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opdime/Desktop/"/>
    </mc:Choice>
  </mc:AlternateContent>
  <xr:revisionPtr revIDLastSave="0" documentId="13_ncr:1_{E91BDA88-BD2A-A545-8A5A-BF372D9F1394}" xr6:coauthVersionLast="47" xr6:coauthVersionMax="47" xr10:uidLastSave="{00000000-0000-0000-0000-000000000000}"/>
  <bookViews>
    <workbookView xWindow="0" yWindow="660" windowWidth="30240" windowHeight="17400" tabRatio="500" activeTab="1" xr2:uid="{00000000-000D-0000-FFFF-FFFF00000000}"/>
  </bookViews>
  <sheets>
    <sheet name="Cover" sheetId="1" r:id="rId1"/>
    <sheet name="DCF" sheetId="2" r:id="rId2"/>
    <sheet name="NWC" sheetId="3" r:id="rId3"/>
    <sheet name="WACC" sheetId="4" r:id="rId4"/>
    <sheet name="AS1" sheetId="5" r:id="rId5"/>
    <sheet name="AS2" sheetId="6" r:id="rId6"/>
    <sheet name="IS" sheetId="10" r:id="rId7"/>
    <sheet name="BS" sheetId="11" r:id="rId8"/>
    <sheet name="CF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FDS_HYPERLINK_TOGGLE_STATE__" hidden="1">"ON"</definedName>
    <definedName name="_1__123Graph_AChart_1A" hidden="1">#REF!</definedName>
    <definedName name="_10__123Graph_AChart_1AJ" hidden="1">#REF!</definedName>
    <definedName name="_100__123Graph_EGRAFICO_20" hidden="1">[1]TASSI2!$AP$7:$AP$19</definedName>
    <definedName name="_101__123Graph_FChart_1B" hidden="1">#REF!</definedName>
    <definedName name="_102__123Graph_FGRAFICO_20" hidden="1">[1]TASSI2!$AQ$7:$AQ$19</definedName>
    <definedName name="_103__123Graph_LBL_AGRAFICO_20" hidden="1">[1]TASSI2!$AG$6</definedName>
    <definedName name="_104__123Graph_LBL_BGRAFICO_20" hidden="1">[1]TASSI2!$AH$6</definedName>
    <definedName name="_105__123Graph_LBL_CGRAFICO_20" hidden="1">[1]TASSI2!$AI$6</definedName>
    <definedName name="_106__123Graph_LBL_DGRAFICO_20" hidden="1">[1]TASSI2!$AJ$6</definedName>
    <definedName name="_107__123Graph_LBL_EGRAFICO_20" hidden="1">[1]TASSI2!$AP$5</definedName>
    <definedName name="_108__123Graph_LBL_FGRAFICO_20" hidden="1">[1]TASSI2!$AQ$5</definedName>
    <definedName name="_109__123Graph_XGRAFICO_8" hidden="1">'[1]Tav.22 Rischio di Credito'!$AI$30:$AI$41</definedName>
    <definedName name="_11__123Graph_AChart_1AK" hidden="1">#REF!</definedName>
    <definedName name="_12__123Graph_AChart_1AL" hidden="1">#REF!</definedName>
    <definedName name="_13__123Graph_AChart_1AM" hidden="1">#REF!</definedName>
    <definedName name="_14__123Graph_AChart_1AN" hidden="1">#REF!</definedName>
    <definedName name="_15__123Graph_AChart_1B" hidden="1">#REF!</definedName>
    <definedName name="_16__123Graph_AChart_1C" hidden="1">#REF!</definedName>
    <definedName name="_17__123Graph_AChart_1E" hidden="1">#REF!</definedName>
    <definedName name="_18__123Graph_AChart_1F" hidden="1">#REF!</definedName>
    <definedName name="_19__123Graph_AChart_1G" hidden="1">#REF!</definedName>
    <definedName name="_2__123Graph_AChart_1AA" hidden="1">#REF!</definedName>
    <definedName name="_20__123Graph_AChart_1H" hidden="1">#REF!</definedName>
    <definedName name="_21__123Graph_AChart_1I" hidden="1">#REF!</definedName>
    <definedName name="_22__123Graph_AChart_1J" hidden="1">#REF!</definedName>
    <definedName name="_23__123Graph_AChart_1K" hidden="1">#REF!</definedName>
    <definedName name="_24__123Graph_AChart_1L" hidden="1">#REF!</definedName>
    <definedName name="_25__123Graph_AChart_1M" hidden="1">#REF!</definedName>
    <definedName name="_26__123Graph_AChart_1N" hidden="1">#REF!</definedName>
    <definedName name="_27__123Graph_AChart_1O" hidden="1">#REF!</definedName>
    <definedName name="_28__123Graph_AChart_1P" hidden="1">#REF!</definedName>
    <definedName name="_29__123Graph_AChart_1Q" hidden="1">#REF!</definedName>
    <definedName name="_3__123Graph_AChart_1AB" hidden="1">#REF!</definedName>
    <definedName name="_30__123Graph_AChart_1R" hidden="1">#REF!</definedName>
    <definedName name="_31__123Graph_AChart_1S" hidden="1">#REF!</definedName>
    <definedName name="_32__123Graph_AChart_1T" hidden="1">#REF!</definedName>
    <definedName name="_33__123Graph_AChart_1U" hidden="1">#REF!</definedName>
    <definedName name="_34__123Graph_AChart_1V" hidden="1">#REF!</definedName>
    <definedName name="_35__123Graph_AChart_1W" hidden="1">#REF!</definedName>
    <definedName name="_36__123Graph_AChart_1X" hidden="1">#REF!</definedName>
    <definedName name="_37__123Graph_AChart_1Y" hidden="1">#REF!</definedName>
    <definedName name="_38__123Graph_AChart_1Z" hidden="1">#REF!</definedName>
    <definedName name="_39__123Graph_AChart_2D" hidden="1">#REF!</definedName>
    <definedName name="_4__123Graph_AChart_1AC" hidden="1">#REF!</definedName>
    <definedName name="_40__123Graph_AChart_3D" hidden="1">#REF!</definedName>
    <definedName name="_41__123Graph_AChart_3X" hidden="1">#REF!</definedName>
    <definedName name="_42__123Graph_AChart_9C" hidden="1">#REF!</definedName>
    <definedName name="_43__123Graph_AGRAFICO_20" hidden="1">[1]TASSI2!$AG$7:$AG$19</definedName>
    <definedName name="_44__123Graph_AGRAFICO_7" hidden="1">'[1]Tav.22 Rischio di Credito'!$AJ$7:$AJ$29</definedName>
    <definedName name="_45__123Graph_AGRAFICO_8" hidden="1">'[1]Tav.22 Rischio di Credito'!$AJ$30:$AJ$41</definedName>
    <definedName name="_46__123Graph_BChart_1AA" hidden="1">#REF!</definedName>
    <definedName name="_47__123Graph_BChart_1AB" hidden="1">#REF!</definedName>
    <definedName name="_48__123Graph_BChart_1AC" hidden="1">#REF!</definedName>
    <definedName name="_49__123Graph_BChart_1AD" hidden="1">#REF!</definedName>
    <definedName name="_5__123Graph_AChart_1AD" hidden="1">#REF!</definedName>
    <definedName name="_50__123Graph_BChart_1AE" hidden="1">#REF!</definedName>
    <definedName name="_51__123Graph_BChart_1AF" hidden="1">#REF!</definedName>
    <definedName name="_52__123Graph_BChart_1AG" hidden="1">#REF!</definedName>
    <definedName name="_53__123Graph_BChart_1B" hidden="1">#REF!</definedName>
    <definedName name="_54__123Graph_BChart_1C" hidden="1">#REF!</definedName>
    <definedName name="_55__123Graph_BChart_1E" hidden="1">#REF!</definedName>
    <definedName name="_56__123Graph_BChart_1F" hidden="1">#REF!</definedName>
    <definedName name="_57__123Graph_BChart_1G" hidden="1">#REF!</definedName>
    <definedName name="_58__123Graph_BChart_1H" hidden="1">#REF!</definedName>
    <definedName name="_59__123Graph_BChart_1I" hidden="1">#REF!</definedName>
    <definedName name="_6__123Graph_AChart_1AE" hidden="1">#REF!</definedName>
    <definedName name="_60__123Graph_BChart_1J" hidden="1">#REF!</definedName>
    <definedName name="_61__123Graph_BChart_1K" hidden="1">#REF!</definedName>
    <definedName name="_62__123Graph_BChart_1L" hidden="1">#REF!</definedName>
    <definedName name="_63__123Graph_BChart_1N" hidden="1">#REF!</definedName>
    <definedName name="_64__123Graph_BChart_1Q" hidden="1">#REF!</definedName>
    <definedName name="_65__123Graph_BChart_1Y" hidden="1">#REF!</definedName>
    <definedName name="_66__123Graph_BChart_1Z" hidden="1">#REF!</definedName>
    <definedName name="_67__123Graph_BChart_2D" hidden="1">#REF!</definedName>
    <definedName name="_68__123Graph_BChart_9C" hidden="1">#REF!</definedName>
    <definedName name="_69__123Graph_BGRAFICO_20" hidden="1">[1]TASSI2!$AH$7:$AH$19</definedName>
    <definedName name="_7__123Graph_AChart_1AF" hidden="1">#REF!</definedName>
    <definedName name="_70__123Graph_BGRAFICO_7" hidden="1">'[1]Tav.22 Rischio di Credito'!$AK$7:$AK$29</definedName>
    <definedName name="_71__123Graph_BGRAFICO_8" hidden="1">'[1]Tav.22 Rischio di Credito'!$AK$30:$AK$41</definedName>
    <definedName name="_72__123Graph_CChart_1AA" hidden="1">#REF!</definedName>
    <definedName name="_73__123Graph_CChart_1AB" hidden="1">#REF!</definedName>
    <definedName name="_74__123Graph_CChart_1AE" hidden="1">#REF!</definedName>
    <definedName name="_75__123Graph_CChart_1AF" hidden="1">#REF!</definedName>
    <definedName name="_76__123Graph_CChart_1B" hidden="1">#REF!</definedName>
    <definedName name="_77__123Graph_CChart_1C" hidden="1">#REF!</definedName>
    <definedName name="_78__123Graph_CChart_1E" hidden="1">#REF!</definedName>
    <definedName name="_79__123Graph_CChart_1F" hidden="1">#REF!</definedName>
    <definedName name="_8__123Graph_AChart_1AG" hidden="1">#REF!</definedName>
    <definedName name="_80__123Graph_CChart_1G" hidden="1">#REF!</definedName>
    <definedName name="_81__123Graph_CChart_1H" hidden="1">#REF!</definedName>
    <definedName name="_82__123Graph_CChart_1I" hidden="1">#REF!</definedName>
    <definedName name="_83__123Graph_CChart_1J" hidden="1">#REF!</definedName>
    <definedName name="_84__123Graph_CChart_1K" hidden="1">#REF!</definedName>
    <definedName name="_85__123Graph_CChart_1L" hidden="1">#REF!</definedName>
    <definedName name="_86__123Graph_CChart_1N" hidden="1">#REF!</definedName>
    <definedName name="_87__123Graph_CChart_1Y" hidden="1">#REF!</definedName>
    <definedName name="_88__123Graph_CChart_9C" hidden="1">#REF!</definedName>
    <definedName name="_89__123Graph_CGRAFICO_20" hidden="1">[1]TASSI2!$AI$7:$AI$19</definedName>
    <definedName name="_9__123Graph_AChart_1AI" hidden="1">#REF!</definedName>
    <definedName name="_90__123Graph_DChart_1AB" hidden="1">#REF!</definedName>
    <definedName name="_91__123Graph_DChart_1B" hidden="1">#REF!</definedName>
    <definedName name="_92__123Graph_DChart_1C" hidden="1">#REF!</definedName>
    <definedName name="_93__123Graph_DChart_1I" hidden="1">#REF!</definedName>
    <definedName name="_94__123Graph_DChart_1J" hidden="1">#REF!</definedName>
    <definedName name="_95__123Graph_DChart_1K" hidden="1">#REF!</definedName>
    <definedName name="_96__123Graph_DChart_1L" hidden="1">#REF!</definedName>
    <definedName name="_97__123Graph_DGRAFICO_20" hidden="1">[1]TASSI2!$AJ$7:$AJ$19</definedName>
    <definedName name="_98__123Graph_EChart_1AB" hidden="1">#REF!</definedName>
    <definedName name="_99__123Graph_EChart_1B" hidden="1">#REF!</definedName>
    <definedName name="_a2" localSheetId="5" hidden="1">{"Page1",#N/A,FALSE,"CompCo";"Page2",#N/A,FALSE,"CompCo"}</definedName>
    <definedName name="_a2" localSheetId="1" hidden="1">{"Page1",#N/A,FALSE,"CompCo";"Page2",#N/A,FALSE,"CompCo"}</definedName>
    <definedName name="_a2" localSheetId="2" hidden="1">{"Page1",#N/A,FALSE,"CompCo";"Page2",#N/A,FALSE,"CompCo"}</definedName>
    <definedName name="_a2" hidden="1">{"Page1",#N/A,FALSE,"CompCo";"Page2",#N/A,FALSE,"CompCo"}</definedName>
    <definedName name="_a3" localSheetId="5" hidden="1">{"Page1",#N/A,FALSE,"CompCo";"Page2",#N/A,FALSE,"CompCo"}</definedName>
    <definedName name="_a3" localSheetId="1" hidden="1">{"Page1",#N/A,FALSE,"CompCo";"Page2",#N/A,FALSE,"CompCo"}</definedName>
    <definedName name="_a3" localSheetId="2" hidden="1">{"Page1",#N/A,FALSE,"CompCo";"Page2",#N/A,FALSE,"CompCo"}</definedName>
    <definedName name="_a3" hidden="1">{"Page1",#N/A,FALSE,"CompCo";"Page2",#N/A,FALSE,"CompCo"}</definedName>
    <definedName name="_aa2" localSheetId="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ud2">[2]sensetivities!#REF!</definedName>
    <definedName name="_bb2" localSheetId="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16E3EF166D88478E9A191CDEB447369C.edm" hidden="1">#REF!</definedName>
    <definedName name="_bdm.18968945170C4F5CA639288DAE17CCF9.edm" hidden="1">#REF!</definedName>
    <definedName name="_bdm.1A097974184247BD8B7D3A4B1B7798A3.edm" hidden="1">'[3]Analyst sentiment'!$A:$IV</definedName>
    <definedName name="_bdm.1F893283B8CC497CB31EF233BE48FD54.edm" hidden="1">'[4]EBITDA Graph'!$A:$IV</definedName>
    <definedName name="_bdm.24053EC26E0E42C59D343B60F5359362.edm" hidden="1">#REF!</definedName>
    <definedName name="_bdm.2802879BE2FE4928A5B216B854501D54.edm" hidden="1">'[5]21'!$A:$IV</definedName>
    <definedName name="_bdm.39459D8BBDD04332A9D942280B1EA3FD.edm" hidden="1">'[6]BP equity performance'!$A:$IV</definedName>
    <definedName name="_bdm.3D44F97329974CCA898E17BDECB9A46D.edm" hidden="1">#REF!</definedName>
    <definedName name="_bdm.4DAEA7B24F144A779BA9CFF4656F67C6.edm" hidden="1">#REF!</definedName>
    <definedName name="_bdm.4DE485F962164F04A9BC7EAB1559C7EC.edm" hidden="1">'[3]Cement and aggregates'!$A:$IV</definedName>
    <definedName name="_bdm.5C951DE7CEF3413CB284D2AB8DBE5472.edm" hidden="1">'[5]27'!$A:$IV</definedName>
    <definedName name="_bdm.6E2CF51EE3FA489D95CB0284362218AF.edm" hidden="1">'[4]CC Graph 3'!$A:$IV</definedName>
    <definedName name="_bdm.722924384BFC4E37BE27AB71CFB3D337.edm" hidden="1">[3]Lumber!$A:$IV</definedName>
    <definedName name="_bdm.86713E1E955644FF92F2EB7F3113F0DD.edm" hidden="1">'[7]SUMMARY OUTPUT'!$A:$IV</definedName>
    <definedName name="_bdm.88E59F6CD70547099CD8BA46974E0949.edm" hidden="1">#REF!</definedName>
    <definedName name="_bdm.900DD6E084D64DA782F698FA014CD096.edm" hidden="1">#REF!</definedName>
    <definedName name="_bdm.924C87CBA3FE4EA7B53C77B4D991A6A0.edm" hidden="1">[3]HVAC!$A:$IV</definedName>
    <definedName name="_bdm.A79F588BF2614D939269CCDA52812C6D.edm" hidden="1">'[4]PE Graph'!$A:$IV</definedName>
    <definedName name="_bdm.A7D37ADB3A3040E4BDCC1755C1C6088C.edm" hidden="1">'[5]34'!$A:$IV</definedName>
    <definedName name="_bdm.AC853950B3F545D4926B894230397BB2.edm" hidden="1">'[4]CC Graph'!$A:$IV</definedName>
    <definedName name="_bdm.AD56EF9D0B094ED5B4D6BC0D9440D4F6.edm" hidden="1">[3]Electrical!$A:$IV</definedName>
    <definedName name="_bdm.BC81ABCFAA2749A0A9E2240434B14792.edm" hidden="1">'[3]Metal Prices'!$A:$IV</definedName>
    <definedName name="_bdm.BD317FAA4371447B977173A73F5531D4.edm" hidden="1">'[3]Housing forecasts'!$A:$IV</definedName>
    <definedName name="_bdm.BD59F6D19C1A475E825F46042D768AB0.edm" hidden="1">#REF!</definedName>
    <definedName name="_bdm.BEB2F95F24B24EAB90138193071F1E29.edm" hidden="1">'[5]13'!$A:$IV</definedName>
    <definedName name="_bdm.C07CD3D680EF4A06BECF1E32F7B7610E.edm" hidden="1">#REF!</definedName>
    <definedName name="_bdm.D412CDD30DA5427EBBC7528CBF85F081.edm" hidden="1">'[5]33'!$A:$IV</definedName>
    <definedName name="_bdm.E041C6A9B8954528AADD8F7068C48F07.edm" hidden="1">#REF!</definedName>
    <definedName name="_bdm.E56B62D59AD54ABEB1916BA48C55254E.edm" hidden="1">#REF!</definedName>
    <definedName name="_bdm.E56F4A9B83C94D2596CC33A5474EB4E8.edm" hidden="1">'[5]18'!$A:$IV</definedName>
    <definedName name="_bdm.E8142B1BF13243DCA4F041CB21944A34.edm" hidden="1">'[6]Family Housing Starts Breakdown'!$A:$IV</definedName>
    <definedName name="_bdm.F06A0D734DB8408D8C173F683FFE59AD.edm" hidden="1">#REF!</definedName>
    <definedName name="_bdm.F9A76E8F2FDC484DB105176A94D78344.edm" hidden="1">[6]Charts!$A:$IV</definedName>
    <definedName name="_bdm.FB51049EF56344D38D3633CD14F7B1FF.edm" hidden="1">'[3]Distributor equity performance'!$A:$IV</definedName>
    <definedName name="_bdm.FEA33AD468264489846F7312C498EB2F.edm" hidden="1">'[8]8'!$A:$IV</definedName>
    <definedName name="_bdm.FEC99CB30DCC42E98F5EC88F47038578.edm" hidden="1">'[6]Housing forecasts'!$A:$IV</definedName>
    <definedName name="_cc2" localSheetId="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localSheetId="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ov1">#REF!</definedName>
    <definedName name="_cov2">#REF!</definedName>
    <definedName name="_cov3">#REF!</definedName>
    <definedName name="_cov4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CF2">#REF!</definedName>
    <definedName name="_iia2">#REF!</definedName>
    <definedName name="_Key1" hidden="1">#REF!</definedName>
    <definedName name="_op2">[2]sensetivities!#REF!</definedName>
    <definedName name="_Order1" hidden="1">0</definedName>
    <definedName name="_rev2">#REF!</definedName>
    <definedName name="_Sort" hidden="1">#REF!</definedName>
    <definedName name="_SYN1">#REF!</definedName>
    <definedName name="_SYN2">#REF!</definedName>
    <definedName name="_Table2_In1" hidden="1">#REF!</definedName>
    <definedName name="_Table2_In2" hidden="1">#REF!</definedName>
    <definedName name="_Table2_Out" hidden="1">#REF!</definedName>
    <definedName name="_UST10">#REF!</definedName>
    <definedName name="\C">[9]inputs!#REF!</definedName>
    <definedName name="\P">[9]inputs!#REF!</definedName>
    <definedName name="\Q">[9]inputs!#REF!</definedName>
    <definedName name="\S">[9]inputs!#REF!</definedName>
    <definedName name="\X">[9]inputs!#REF!</definedName>
    <definedName name="a">[10]Consol!$B$1</definedName>
    <definedName name="A.IndexPos">#N/A</definedName>
    <definedName name="A.NewPricePaste">#N/A</definedName>
    <definedName name="A.NewPriceRow">#N/A</definedName>
    <definedName name="A.VolPos">#N/A</definedName>
    <definedName name="accrued">#REF!</definedName>
    <definedName name="ACQ">#REF!</definedName>
    <definedName name="acqnumber">#REF!</definedName>
    <definedName name="acqrevgrowth">#REF!</definedName>
    <definedName name="actual_start_year">1993</definedName>
    <definedName name="Adj">#REF!</definedName>
    <definedName name="afas" hidden="1">afas</definedName>
    <definedName name="amort">#REF!</definedName>
    <definedName name="Annualization_Factor">69.03/54.876539</definedName>
    <definedName name="anscount" hidden="1">1</definedName>
    <definedName name="anumber">#REF!</definedName>
    <definedName name="ardays">#REF!</definedName>
    <definedName name="arevgrowth">#REF!</definedName>
    <definedName name="as" hidden="1">"c2895"</definedName>
    <definedName name="asasa" hidden="1">asasa</definedName>
    <definedName name="asd" hidden="1">asd</definedName>
    <definedName name="asf" hidden="1">{"bs",#N/A,FALSE,"SCF"}</definedName>
    <definedName name="asfa">asfa</definedName>
    <definedName name="asfasfas">asfasfas</definedName>
    <definedName name="asfasfsa">asfasfsa</definedName>
    <definedName name="asfdasfs">asfdasfs</definedName>
    <definedName name="asfsaf">asfsaf</definedName>
    <definedName name="asfsafa">asfsafa</definedName>
    <definedName name="asfsafs" hidden="1">asfsafs</definedName>
    <definedName name="asfsasa">asfsasa</definedName>
    <definedName name="asset">#REF!</definedName>
    <definedName name="ASSUMP_PL">#REF!</definedName>
    <definedName name="B.Close" localSheetId="5">OFFSET(P.Close,P.LastRow,0,1,1)</definedName>
    <definedName name="B.Close" localSheetId="1">OFFSET(P.Close,P.LastRow,0,1,1)</definedName>
    <definedName name="B.Close" localSheetId="2">OFFSET(P.Close,P.LastRow,0,1,1)</definedName>
    <definedName name="B.Close">OFFSET(P.Close,P.LastRow,0,1,1)</definedName>
    <definedName name="B.Comp" localSheetId="5">OFFSET(P.Comp,P.LastRow,0,1,1)</definedName>
    <definedName name="B.Comp" localSheetId="1">OFFSET(P.Comp,P.LastRow,0,1,1)</definedName>
    <definedName name="B.Comp" localSheetId="2">OFFSET(P.Comp,P.LastRow,0,1,1)</definedName>
    <definedName name="B.Comp">OFFSET(P.Comp,P.LastRow,0,1,1)</definedName>
    <definedName name="B.High">#N/A</definedName>
    <definedName name="B.Low">#N/A</definedName>
    <definedName name="B.OldPriceData">#N/A</definedName>
    <definedName name="B.OldPriceRow">#N/A</definedName>
    <definedName name="B.Vol">#N/A</definedName>
    <definedName name="BACK_A">#REF!</definedName>
    <definedName name="BackFromItemSelect">BackFromItemSelect</definedName>
    <definedName name="BAL_SHT">#REF!</definedName>
    <definedName name="balance">#REF!</definedName>
    <definedName name="bass">#REF!</definedName>
    <definedName name="BLPH15" hidden="1">#REF!</definedName>
    <definedName name="BLPH19" hidden="1">#REF!</definedName>
    <definedName name="BLPH23" hidden="1">#REF!</definedName>
    <definedName name="BLPH27" hidden="1">#REF!</definedName>
    <definedName name="BLPH5" hidden="1">#REF!</definedName>
    <definedName name="BLPH65" hidden="1">#REF!</definedName>
    <definedName name="BLPH69" hidden="1">#REF!</definedName>
    <definedName name="bnumber">#REF!</definedName>
    <definedName name="brevgrowth">#REF!</definedName>
    <definedName name="bRight">bRight</definedName>
    <definedName name="bs">#REF!</definedName>
    <definedName name="BS_A">#REF!</definedName>
    <definedName name="BS_CF">#REF!</definedName>
    <definedName name="BSDate">#REF!</definedName>
    <definedName name="BSHEET">#REF!</definedName>
    <definedName name="C.Close">#N/A</definedName>
    <definedName name="C.Comp">#N/A</definedName>
    <definedName name="C.Date">#N/A</definedName>
    <definedName name="C.High">#N/A</definedName>
    <definedName name="C.Low">#N/A</definedName>
    <definedName name="C.Vol">#N/A</definedName>
    <definedName name="Capex">#REF!</definedName>
    <definedName name="caps">#REF!</definedName>
    <definedName name="Case">#REF!</definedName>
    <definedName name="casenumber">#REF!</definedName>
    <definedName name="cash">#REF!</definedName>
    <definedName name="CASH_FLOW_STMT">#REF!</definedName>
    <definedName name="cflow">#REF!</definedName>
    <definedName name="ChangeRange" hidden="1">ChangeRange</definedName>
    <definedName name="ChangeSize">ChangeSize</definedName>
    <definedName name="ChartOptions">ChartOptions</definedName>
    <definedName name="ChartTypeChange">ChartTypeChange</definedName>
    <definedName name="CIQWBGuid" hidden="1">"DCF Pics_10.1.12.xls"</definedName>
    <definedName name="ClosePrint" localSheetId="5">[0]!ClosePrint</definedName>
    <definedName name="ClosePrint" localSheetId="1">'AS2'!ClosePrint</definedName>
    <definedName name="ClosePrint" localSheetId="2">'AS2'!ClosePrint</definedName>
    <definedName name="ClosePrint">'AS2'!ClosePrint</definedName>
    <definedName name="cnumber">#REF!</definedName>
    <definedName name="COCO">#REF!</definedName>
    <definedName name="cogs">#REF!</definedName>
    <definedName name="cogs2">#REF!</definedName>
    <definedName name="COMB">#REF!</definedName>
    <definedName name="COMBBS">#REF!</definedName>
    <definedName name="CommonShares">#REF!</definedName>
    <definedName name="CompanyChangeSize">CompanyChangeSize</definedName>
    <definedName name="CompanyLookup">CompanyLookup</definedName>
    <definedName name="CompanyName">#REF!</definedName>
    <definedName name="CompgraphHelp">CompgraphHelp</definedName>
    <definedName name="complookup">complookup</definedName>
    <definedName name="compname">#REF!</definedName>
    <definedName name="CompositeBuilder">CompositeBuilder</definedName>
    <definedName name="ContentsHelp" hidden="1">ContentsHelp</definedName>
    <definedName name="CONTRIB">#REF!</definedName>
    <definedName name="ConversionPremium">#REF!</definedName>
    <definedName name="ConversionPrice">#REF!</definedName>
    <definedName name="coppsdgp">#REF!</definedName>
    <definedName name="coppsdrev">#REF!</definedName>
    <definedName name="coppsdsga">#REF!</definedName>
    <definedName name="coppsgp">#REF!</definedName>
    <definedName name="coppsrev">#REF!</definedName>
    <definedName name="coppssga">#REF!</definedName>
    <definedName name="corpexp">#REF!</definedName>
    <definedName name="Corporate_Expense_Growth">5%</definedName>
    <definedName name="COS">#REF!</definedName>
    <definedName name="CoSelectorOutputs">CoSelectorOutputs</definedName>
    <definedName name="Costofsales">#REF!</definedName>
    <definedName name="cov2a">#REF!</definedName>
    <definedName name="cov4a">#REF!</definedName>
    <definedName name="Cpxsavings">#REF!</definedName>
    <definedName name="CreateTable" hidden="1">CreateTable</definedName>
    <definedName name="crevgrowh">#REF!</definedName>
    <definedName name="crevgrowth">#REF!</definedName>
    <definedName name="crystal">#REF!</definedName>
    <definedName name="cstorenumber">#REF!</definedName>
    <definedName name="Currency">#REF!</definedName>
    <definedName name="CustomChart">CustomChart</definedName>
    <definedName name="cxv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CypressInvest">#REF!</definedName>
    <definedName name="CypressOwn">#REF!</definedName>
    <definedName name="d">d</definedName>
    <definedName name="d.BTick">#REF!</definedName>
    <definedName name="D.CompTickarray" localSheetId="5">{"SPAL","00000117","Price","S&amp;P 500","I0003"}</definedName>
    <definedName name="D.CompTickarray" localSheetId="1">{"SPAL","00000117","Price","S&amp;P 500","I0003"}</definedName>
    <definedName name="D.CompTickarray" localSheetId="2">{"SPAL","00000117","Price","S&amp;P 500","I0003"}</definedName>
    <definedName name="D.CompTickarray">{"SPAL","00000117","Price","S&amp;P 500","I0003"}</definedName>
    <definedName name="D.Tickarray" localSheetId="5">{"wac","93439010","Price"}</definedName>
    <definedName name="D.Tickarray" localSheetId="1">{"wac","93439010","Price"}</definedName>
    <definedName name="D.Tickarray" localSheetId="2">{"wac","93439010","Price"}</definedName>
    <definedName name="D.Tickarray">{"wac","93439010","Price"}</definedName>
    <definedName name="DAC">"acquiror"</definedName>
    <definedName name="das">das</definedName>
    <definedName name="data">#REF!</definedName>
    <definedName name="_xlnm.Database">#REF!</definedName>
    <definedName name="Dataset1">#REF!</definedName>
    <definedName name="Dataset2">#REF!</definedName>
    <definedName name="date">[9]inputs!#REF!</definedName>
    <definedName name="DB.AllColumns">#N/A</definedName>
    <definedName name="DB.AllPriceColumns">#N/A</definedName>
    <definedName name="DB.NumColumns" localSheetId="5">COLUMN(Q.DateEOM)-COLUMN(P.Date)+1</definedName>
    <definedName name="DB.NumColumns" localSheetId="1">COLUMN(Q.DateEOM)-COLUMN(P.Date)+1</definedName>
    <definedName name="DB.NumColumns" localSheetId="2">COLUMN(Q.DateEOM)-COLUMN(P.Date)+1</definedName>
    <definedName name="DB.NumColumns">COLUMN(Q.DateEOM)-COLUMN(P.Date)+1</definedName>
    <definedName name="DB.NumColumnsPriceOnly" localSheetId="5">COLUMN(P.CompIndex)-COLUMN(P.Date)+1</definedName>
    <definedName name="DB.NumColumnsPriceOnly" localSheetId="1">COLUMN(P.CompIndex)-COLUMN(P.Date)+1</definedName>
    <definedName name="DB.NumColumnsPriceOnly" localSheetId="2">COLUMN(P.CompIndex)-COLUMN(P.Date)+1</definedName>
    <definedName name="DB.NumColumnsPriceOnly">COLUMN(P.CompIndex)-COLUMN(P.Date)+1</definedName>
    <definedName name="DB.Range1">#N/A</definedName>
    <definedName name="DCF">#REF!</definedName>
    <definedName name="DCF_A">#REF!</definedName>
    <definedName name="DCF_A2">#REF!</definedName>
    <definedName name="dcomp">#REF!</definedName>
    <definedName name="dcomp2">#REF!</definedName>
    <definedName name="debt">#REF!</definedName>
    <definedName name="DebtEBITDA">#REF!</definedName>
    <definedName name="deftax">#REF!</definedName>
    <definedName name="DeleteRange" hidden="1">DeleteRange</definedName>
    <definedName name="DeleteTable" hidden="1">DeleteTable</definedName>
    <definedName name="Denomination">#REF!</definedName>
    <definedName name="Dep">#REF!</definedName>
    <definedName name="depr_RATE">#REF!</definedName>
    <definedName name="dfd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dfg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dfgd" hidden="1">dfgd</definedName>
    <definedName name="dfgfd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dfgfdg" hidden="1">dfgfdg</definedName>
    <definedName name="dfsalk">dfsalk</definedName>
    <definedName name="dfsgdfg" hidden="1">{"Clothing PL",#N/A,FALSE,"H1H2";"Food PL",#N/A,FALSE,"H1H2";"Group PL",#N/A,FALSE,"H1H2";"Home Furnishings PL",#N/A,FALSE,"H1H2"}</definedName>
    <definedName name="dfsgfd" hidden="1">{"cap_structure",#N/A,FALSE,"Graph-Mkt Cap";"price",#N/A,FALSE,"Graph-Price";"ebit",#N/A,FALSE,"Graph-EBITDA";"ebitda",#N/A,FALSE,"Graph-EBITDA"}</definedName>
    <definedName name="dfsgg" hidden="1">{"inputs raw data",#N/A,TRUE,"INPUT"}</definedName>
    <definedName name="dfwefe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gdfgf" hidden="1">{"Page1",#N/A,FALSE,"CompCo";"Page2",#N/A,FALSE,"CompCo"}</definedName>
    <definedName name="directfin">#REF!</definedName>
    <definedName name="DismissItemDlog">DismissItemDlog</definedName>
    <definedName name="dist">[2]model!#REF!</definedName>
    <definedName name="distgp">#REF!</definedName>
    <definedName name="Distributionexp">[2]model!#REF!</definedName>
    <definedName name="distsga">#REF!</definedName>
    <definedName name="Division">#REF!</definedName>
    <definedName name="ds" hidden="1">{"Page1",#N/A,FALSE,"CompCo";"Page2",#N/A,FALSE,"CompCo"}</definedName>
    <definedName name="dsfdsfsd">dsfdsfsd</definedName>
    <definedName name="dsfgdsg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dsfgfdg" hidden="1">{"bs",#N/A,FALSE,"SCF"}</definedName>
    <definedName name="dsfsd">dsfsd</definedName>
    <definedName name="dsfsdfd">dsfsdfd</definedName>
    <definedName name="dsg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dsgdf" hidden="1">{"Page1",#N/A,FALSE,"CompCo";"Page2",#N/A,FALSE,"CompCo"}</definedName>
    <definedName name="dsgfds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dtax">#REF!</definedName>
    <definedName name="dtax2">#REF!</definedName>
    <definedName name="e" hidden="1">e</definedName>
    <definedName name="EARNINGSSTMNT">#REF!</definedName>
    <definedName name="ebit3">[2]sensetivities!#REF!</definedName>
    <definedName name="EBIT95">#REF!</definedName>
    <definedName name="EBITDA">#REF!</definedName>
    <definedName name="EBITDA_Fluid">#REF!</definedName>
    <definedName name="EBITDA_NVH">#REF!</definedName>
    <definedName name="EBITDA_Sealing">#REF!</definedName>
    <definedName name="EBITSENS">#REF!</definedName>
    <definedName name="editgraph">editgraph</definedName>
    <definedName name="efds" hidden="1">{#N/A,#N/A,FALSE,"H1H2";"Sales by division",#N/A,FALSE,"H1H2";"LFL assumptions",#N/A,FALSE,"H1H2"}</definedName>
    <definedName name="efsd" hidden="1">efsd</definedName>
    <definedName name="eldgp">#REF!</definedName>
    <definedName name="eldrev">#REF!</definedName>
    <definedName name="eldsga">#REF!</definedName>
    <definedName name="Elim">#REF!</definedName>
    <definedName name="enable">enable</definedName>
    <definedName name="ENTVAL">#REF!</definedName>
    <definedName name="EPS">#REF!</definedName>
    <definedName name="EQ_RETS">#REF!</definedName>
    <definedName name="EQVAL">#REF!</definedName>
    <definedName name="er" hidden="1">er</definedName>
    <definedName name="ere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erg" hidden="1">{"summary1",#N/A,TRUE,"Comps";"summary2",#N/A,TRUE,"Comps";"summary3",#N/A,TRUE,"Comps"}</definedName>
    <definedName name="err">err</definedName>
    <definedName name="ErrChk">#REF!</definedName>
    <definedName name="erre" hidden="1">{"inputs raw data",#N/A,TRUE,"INPUT"}</definedName>
    <definedName name="ErrMsg">"NA"</definedName>
    <definedName name="evansga">#REF!</definedName>
    <definedName name="evansgp">#REF!</definedName>
    <definedName name="evansrev">#REF!</definedName>
    <definedName name="eweqwf" hidden="1">{"bs",#N/A,FALSE,"SCF"}</definedName>
    <definedName name="ewf" hidden="1">ewf</definedName>
    <definedName name="ewggwe">ewggwe</definedName>
    <definedName name="ewgweg">ewgweg</definedName>
    <definedName name="ewr" hidden="1">{"cap_structure",#N/A,FALSE,"Graph-Mkt Cap";"price",#N/A,FALSE,"Graph-Price";"ebit",#N/A,FALSE,"Graph-EBITDA";"ebitda",#N/A,FALSE,"Graph-EBITDA"}</definedName>
    <definedName name="ExitCompanySelector">ExitCompanySelector</definedName>
    <definedName name="ExitFormat">ExitFormat</definedName>
    <definedName name="ExitItemBuilder">ExitItemBuilder</definedName>
    <definedName name="exitMainMenu">exitMainMenu</definedName>
    <definedName name="exitmsg">exitmsg</definedName>
    <definedName name="ExitNetDebt">#REF!</definedName>
    <definedName name="ExitValue">#REF!</definedName>
    <definedName name="ExitYear">#REF!</definedName>
    <definedName name="Expenses">#REF!</definedName>
    <definedName name="f">f</definedName>
    <definedName name="F.CompIndex">#N/A</definedName>
    <definedName name="F.Date">IF(N(#REF!)=#REF!,#REF!,DATEVALUE(#REF!))</definedName>
    <definedName name="F.Date2">#N/A</definedName>
    <definedName name="F.Date4">#N/A</definedName>
    <definedName name="F.DateEOM">DATE(YEAR(#REF!),MONTH(#REF!)+1,DAY(#REF!)-1)</definedName>
    <definedName name="F.PE">#N/A</definedName>
    <definedName name="F.Yield">#N/A</definedName>
    <definedName name="fadskj">fadskj</definedName>
    <definedName name="fdfg" hidden="1">fdfg</definedName>
    <definedName name="fdg" hidden="1">fdg</definedName>
    <definedName name="fdgdfgdf" hidden="1">{"Page1",#N/A,FALSE,"CompCo";"Page2",#N/A,FALSE,"CompCo"}</definedName>
    <definedName name="fdgsdg" hidden="1">fdgsdg</definedName>
    <definedName name="fds">fds</definedName>
    <definedName name="fdsdsf">fdsdsf</definedName>
    <definedName name="fewfwefew" hidden="1">fewfwefew</definedName>
    <definedName name="fg" hidden="1">fg</definedName>
    <definedName name="fgdsfgd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ghj" hidden="1">fghj</definedName>
    <definedName name="FiscalYearEnd">#REF!</definedName>
    <definedName name="Fluid">#REF!</definedName>
    <definedName name="FormatMod.FormatMaster">FormatMod.FormatMaster</definedName>
    <definedName name="fsd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ssdf" hidden="1">fssdf</definedName>
    <definedName name="FT.FormatsOther">#N/A</definedName>
    <definedName name="FT.FormatsTop">#N/A</definedName>
    <definedName name="fwe">fwe</definedName>
    <definedName name="fwfwe">fwfwe</definedName>
    <definedName name="FYE">[9]inputs!$D$8</definedName>
    <definedName name="FYEHeader">#REF!</definedName>
    <definedName name="gdf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ge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er" hidden="1">ger</definedName>
    <definedName name="gerergr" hidden="1">gerergr</definedName>
    <definedName name="gerg">gerg</definedName>
    <definedName name="gergr">gergr</definedName>
    <definedName name="gergre">gergre</definedName>
    <definedName name="gew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gewg" hidden="1">{"Clothing PL",#N/A,FALSE,"H1H2";"Food PL",#N/A,FALSE,"H1H2";"Group PL",#N/A,FALSE,"H1H2";"Home Furnishings PL",#N/A,FALSE,"H1H2"}</definedName>
    <definedName name="gewge">gewge</definedName>
    <definedName name="gewgwe">gewgwe</definedName>
    <definedName name="gfd">gfd</definedName>
    <definedName name="ghjh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lenrev">[2]sensetivities!#REF!</definedName>
    <definedName name="gmarg">#REF!</definedName>
    <definedName name="Goodwill_Amortization">20</definedName>
    <definedName name="GoodwillAmort">#REF!</definedName>
    <definedName name="GoodwillDeduct">#REF!</definedName>
    <definedName name="gr" hidden="1">gr</definedName>
    <definedName name="GraphbuildingMod.ChangeTicker">GraphbuildingMod.ChangeTicker</definedName>
    <definedName name="GraphbuildingMod.editgraph">GraphbuildingMod.editgraph</definedName>
    <definedName name="GraphbuildingMod.ExportData">GraphbuildingMod.ExportData</definedName>
    <definedName name="GraphbuildingMod.LayoutSet">GraphbuildingMod.LayoutSet</definedName>
    <definedName name="GraphbuildingMod.PasteGraph">GraphbuildingMod.PasteGraph</definedName>
    <definedName name="GraphbuildingMod.PrintPreview">GraphbuildingMod.PrintPreview</definedName>
    <definedName name="GraphbuildingMod.ShowData">GraphbuildingMod.ShowData</definedName>
    <definedName name="GraphbuildingMod.ShowGraph">GraphbuildingMod.ShowGraph</definedName>
    <definedName name="GraphCompBuild">GraphCompBuild</definedName>
    <definedName name="Graphexitmsg">Graphexitmsg</definedName>
    <definedName name="GraphIntroMod.exitmsg">GraphIntroMod.exitmsg</definedName>
    <definedName name="GraphIntroMod.Graphexitmsg">GraphIntroMod.Graphexitmsg</definedName>
    <definedName name="gre">gre</definedName>
    <definedName name="greger">greger</definedName>
    <definedName name="gwamort">#REF!</definedName>
    <definedName name="gwegwe">gwegwe</definedName>
    <definedName name="gwegweg">gwegweg</definedName>
    <definedName name="gwg">gwg</definedName>
    <definedName name="gwgew">gwgew</definedName>
    <definedName name="gwgwe">gwgwe</definedName>
    <definedName name="H.HiddenCols">#REF!,#REF!,#REF!,#REF!,#REF!</definedName>
    <definedName name="H.HiddenRows">#REF!,#REF!,#REF!</definedName>
    <definedName name="Half_Year_Adj_Factor">2</definedName>
    <definedName name="halfyear">#REF!</definedName>
    <definedName name="halfyear2">#REF!</definedName>
    <definedName name="HeaderFormat">HeaderFormat</definedName>
    <definedName name="HelpTest">HelpTest</definedName>
    <definedName name="Hershey">Hershey</definedName>
    <definedName name="hf" hidden="1">hf</definedName>
    <definedName name="IC.Queries">#REF!,#REF!,#REF!,#REF!,#REF!</definedName>
    <definedName name="iia">#REF!</definedName>
    <definedName name="income">#REF!</definedName>
    <definedName name="indgp">#REF!</definedName>
    <definedName name="indrev">#REF!</definedName>
    <definedName name="indsga">#REF!</definedName>
    <definedName name="InputAnn">'[9]Transaction Overview'!$C$344:$I$345,'[9]Transaction Overview'!$C$348:$I$352,'[9]Transaction Overview'!$C$355:$I$356,'[9]Transaction Overview'!$C$359:$I$363,'[9]Transaction Overview'!$C$366:$I$374,'[9]Transaction Overview'!$C$377:$I$379,'[9]Transaction Overview'!$C$382:$I$385,'[9]Transaction Overview'!$C$388:$I$391,'[9]Transaction Overview'!$C$394:$I$398,'[9]Transaction Overview'!$C$401:$I$404</definedName>
    <definedName name="InputQtr">'[9]Transaction Overview'!$C$436:$G$438,'[9]Transaction Overview'!$C$441:$G$447,'[9]Transaction Overview'!$C$450:$G$452,'[9]Transaction Overview'!$C$455:$G$458,'[9]Transaction Overview'!$C$461:$G$464,'[9]Transaction Overview'!$C$467:$G$471,'[9]Transaction Overview'!$C$474:$G$476</definedName>
    <definedName name="Int_exp">7%</definedName>
    <definedName name="Interest_Expense_Rate">7%</definedName>
    <definedName name="Interest_Income_Rate">6.5%</definedName>
    <definedName name="invdays">#REF!</definedName>
    <definedName name="inventory98">#REF!</definedName>
    <definedName name="IPOSize">#REF!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TRA_ACC_ITEMS_BR" hidden="1">"c412"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41302.6061805556</definedName>
    <definedName name="IQ_NAV_ACT_OR_EST" hidden="1">"c2225"</definedName>
    <definedName name="IQ_NET_DEBT_ISSUED_BR" hidden="1">"c753"</definedName>
    <definedName name="IQ_NET_INT_INC_BR" hidden="1">"c765"</definedName>
    <definedName name="IQ_NTM" hidden="1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"c83"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jytjytyj" hidden="1">jytjytyj</definedName>
    <definedName name="kiu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kiukiu" hidden="1">{#N/A,#N/A,FALSE,"H1H2";"Sales by division",#N/A,FALSE,"H1H2";"LFL assumptions",#N/A,FALSE,"H1H2"}</definedName>
    <definedName name="kuikui" hidden="1">{"Clothing PL",#N/A,FALSE,"H1H2";"Food PL",#N/A,FALSE,"H1H2";"Group PL",#N/A,FALSE,"H1H2";"Home Furnishings PL",#N/A,FALSE,"H1H2"}</definedName>
    <definedName name="LaunchFormulaLookup">LaunchFormulaLookup</definedName>
    <definedName name="LBO">[9]inputs!#REF!</definedName>
    <definedName name="LBO_DEBT">#REF!</definedName>
    <definedName name="Lean">#REF!</definedName>
    <definedName name="Lean1">#REF!</definedName>
    <definedName name="LIBOR">#REF!</definedName>
    <definedName name="LIBOR3">#REF!</definedName>
    <definedName name="limagp">#REF!</definedName>
    <definedName name="limarev">#REF!</definedName>
    <definedName name="limasga">#REF!</definedName>
    <definedName name="LookUp2">#REF!</definedName>
    <definedName name="LTMDate">#REF!</definedName>
    <definedName name="LTMEBITDA">#REF!</definedName>
    <definedName name="LTMEPS">#REF!</definedName>
    <definedName name="LTMMonths">#REF!</definedName>
    <definedName name="marg1">#REF!</definedName>
    <definedName name="marg2">#REF!</definedName>
    <definedName name="marg3">#REF!</definedName>
    <definedName name="marg4">#REF!</definedName>
    <definedName name="margin">#REF!</definedName>
    <definedName name="margin2">[2]model!#REF!</definedName>
    <definedName name="margin3">[2]model!#REF!</definedName>
    <definedName name="margin4">[2]model!#REF!</definedName>
    <definedName name="margin5">[2]model!#REF!</definedName>
    <definedName name="MATRIX">#REF!</definedName>
    <definedName name="maturegrowth">#REF!</definedName>
    <definedName name="mazgp">#REF!</definedName>
    <definedName name="mazrev">#REF!</definedName>
    <definedName name="mazsga">#REF!</definedName>
    <definedName name="mcs03g.ReqArray" localSheetId="5">{"Compustat","93439010","LC992/Q27/q20","Q","2/1/1992","8/27/95","V"}</definedName>
    <definedName name="mcs03g.ReqArray" localSheetId="1">{"Compustat","93439010","LC992/Q27/q20","Q","2/1/1992","8/27/95","V"}</definedName>
    <definedName name="mcs03g.ReqArray" localSheetId="2">{"Compustat","93439010","LC992/Q27/q20","Q","2/1/1992","8/27/95","V"}</definedName>
    <definedName name="mcs03g.ReqArray">{"Compustat","93439010","LC992/Q27/q20","Q","2/1/1992","8/27/95","V"}</definedName>
    <definedName name="MedianMultiple">#REF!</definedName>
    <definedName name="megagp">#REF!</definedName>
    <definedName name="megarev">#REF!</definedName>
    <definedName name="megsga">#REF!</definedName>
    <definedName name="MerrillPrintIt" hidden="1">MerrillPrintIt</definedName>
    <definedName name="mgmt">#REF!</definedName>
    <definedName name="MgmtOwn">#REF!</definedName>
    <definedName name="mgp">#REF!</definedName>
    <definedName name="michgp">#REF!</definedName>
    <definedName name="michrev">#REF!</definedName>
    <definedName name="michsga">#REF!</definedName>
    <definedName name="milgp">#REF!</definedName>
    <definedName name="milrev">#REF!</definedName>
    <definedName name="milsga">#REF!</definedName>
    <definedName name="MinCash">#REF!</definedName>
    <definedName name="MKT_PRICE">#REF!</definedName>
    <definedName name="MktPrice">#REF!</definedName>
    <definedName name="mrev">#REF!</definedName>
    <definedName name="msga">#REF!</definedName>
    <definedName name="MultipleFactor">#REF!</definedName>
    <definedName name="muskgp">#REF!</definedName>
    <definedName name="muskrev">#REF!</definedName>
    <definedName name="musksga">#REF!</definedName>
    <definedName name="NameProj">[9]inputs!#REF!</definedName>
    <definedName name="names">#REF!</definedName>
    <definedName name="NameTar">[9]inputs!#REF!</definedName>
    <definedName name="NetOptions">#REF!</definedName>
    <definedName name="NetPPE98">#REF!</definedName>
    <definedName name="NEW" localSheetId="5">{"Compustat","93439010","LC992/Q27/q20","Q","2/1/1992","8/27/95","V"}</definedName>
    <definedName name="NEW" localSheetId="1">{"Compustat","93439010","LC992/Q27/q20","Q","2/1/1992","8/27/95","V"}</definedName>
    <definedName name="NEW" localSheetId="2">{"Compustat","93439010","LC992/Q27/q20","Q","2/1/1992","8/27/95","V"}</definedName>
    <definedName name="NEW">{"Compustat","93439010","LC992/Q27/q20","Q","2/1/1992","8/27/95","V"}</definedName>
    <definedName name="NewRange" hidden="1">NewRange</definedName>
    <definedName name="nfdcase">#REF!</definedName>
    <definedName name="nfnewgrowth">#REF!</definedName>
    <definedName name="nfrcase">#REF!</definedName>
    <definedName name="ngpmargin">#REF!</definedName>
    <definedName name="nlgrowth">#REF!</definedName>
    <definedName name="notes">#REF!</definedName>
    <definedName name="notes2">#REF!</definedName>
    <definedName name="npv_comparables">#REF!</definedName>
    <definedName name="nsgamargin">#REF!</definedName>
    <definedName name="NVH">#REF!</definedName>
    <definedName name="OFFER">'[9]Transaction Overview'!#REF!</definedName>
    <definedName name="OfferPrice">#REF!</definedName>
    <definedName name="offpr">#REF!</definedName>
    <definedName name="ohiogp">#REF!</definedName>
    <definedName name="ohiorev">#REF!</definedName>
    <definedName name="ohiosga">#REF!</definedName>
    <definedName name="OnShow">OnShow</definedName>
    <definedName name="OpeningBkDebt">SUM(#REF!)</definedName>
    <definedName name="openingcash">#REF!</definedName>
    <definedName name="OpeningDebt">#REF!</definedName>
    <definedName name="OpeningEquity">#REF!</definedName>
    <definedName name="OpeningSrDebt">SUM(#REF!)</definedName>
    <definedName name="operexp">#REF!</definedName>
    <definedName name="opex">#REF!</definedName>
    <definedName name="opex2">#REF!</definedName>
    <definedName name="OPT_PRICE">#REF!</definedName>
    <definedName name="OPTIONS">#REF!</definedName>
    <definedName name="othass">#REF!</definedName>
    <definedName name="othass2">#REF!</definedName>
    <definedName name="other">#REF!</definedName>
    <definedName name="other2">#REF!</definedName>
    <definedName name="Overhead">#REF!</definedName>
    <definedName name="OWN">#REF!</definedName>
    <definedName name="P_L">#REF!</definedName>
    <definedName name="P.Close">#N/A</definedName>
    <definedName name="P.Comp">#N/A</definedName>
    <definedName name="P.CompIndex">#N/A</definedName>
    <definedName name="P.Date">#N/A</definedName>
    <definedName name="P.Date2">#N/A</definedName>
    <definedName name="P.Date3">#N/A</definedName>
    <definedName name="P.Date4">#N/A</definedName>
    <definedName name="P.FirstRow">#N/A</definedName>
    <definedName name="P.High">#N/A</definedName>
    <definedName name="P.Holidays">#N/A</definedName>
    <definedName name="P.LastRow">#N/A</definedName>
    <definedName name="P.Low">#N/A</definedName>
    <definedName name="P.PE">#N/A</definedName>
    <definedName name="P.Vol">#N/A</definedName>
    <definedName name="P.Yield">#N/A</definedName>
    <definedName name="Page_1">#REF!</definedName>
    <definedName name="Page_2">#REF!</definedName>
    <definedName name="Page_3">#REF!</definedName>
    <definedName name="Page_4">#REF!</definedName>
    <definedName name="PAGE_5">#REF!</definedName>
    <definedName name="PAGE_6">#REF!</definedName>
    <definedName name="page1">#REF!</definedName>
    <definedName name="Page13">#REF!</definedName>
    <definedName name="Page14">#REF!</definedName>
    <definedName name="PAGE1A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ge7">#REF!</definedName>
    <definedName name="page8">#REF!</definedName>
    <definedName name="PasteGraph">PasteGraph</definedName>
    <definedName name="paydays">#REF!</definedName>
    <definedName name="PD_adj">#REF!</definedName>
    <definedName name="Performance_Discount">0.2</definedName>
    <definedName name="PFPRICE">#REF!</definedName>
    <definedName name="PFPRICE2">#REF!</definedName>
    <definedName name="pik">#REF!</definedName>
    <definedName name="PIKPref">#REF!</definedName>
    <definedName name="PIKTERM">#REF!</definedName>
    <definedName name="PIKTERM1">#REF!</definedName>
    <definedName name="POOL">[9]inputs!#REF!</definedName>
    <definedName name="PORTION">#REF!</definedName>
    <definedName name="PrefInvest">#REF!</definedName>
    <definedName name="premium">'[9]Transaction Overview'!#REF!</definedName>
    <definedName name="prepoth">#REF!</definedName>
    <definedName name="price">'[9]Transaction Overview'!$F$6</definedName>
    <definedName name="price4">[2]sensetivities!#REF!</definedName>
    <definedName name="priceacq">'[9]income statement'!#REF!</definedName>
    <definedName name="pricetar">'[9]income statement'!#REF!</definedName>
    <definedName name="PRIDES" localSheetId="5">[0]!PRIDES</definedName>
    <definedName name="PRIDES" localSheetId="1">'AS2'!PRIDES</definedName>
    <definedName name="PRIDES" localSheetId="2">'AS2'!PRIDES</definedName>
    <definedName name="PRIDES">'AS2'!PRIDES</definedName>
    <definedName name="Prime">#REF!</definedName>
    <definedName name="_xlnm.Print_Area" localSheetId="1">DCF!$A$1:$O$53,DCF!$A$70:$O$102</definedName>
    <definedName name="_xlnm.Print_Area" localSheetId="3">WACC!$A$1:$M$37</definedName>
    <definedName name="Print_Area_MI">#REF!</definedName>
    <definedName name="PRINT10">#REF!</definedName>
    <definedName name="PRINT12">#REF!</definedName>
    <definedName name="PRINT13">#REF!</definedName>
    <definedName name="PRINT14">#REF!</definedName>
    <definedName name="PRINT4">#REF!</definedName>
    <definedName name="PRINT6">#REF!</definedName>
    <definedName name="PRINT8">#REF!</definedName>
    <definedName name="PrintPreview">PrintPreview</definedName>
    <definedName name="PRINTREPORT">#REF!</definedName>
    <definedName name="prive4">[2]sensetivities!#REF!</definedName>
    <definedName name="project">[9]inputs!$D$5</definedName>
    <definedName name="ProjectName">#REF!</definedName>
    <definedName name="Prt.Stock.Prices">#N/A</definedName>
    <definedName name="Q.Date">#N/A</definedName>
    <definedName name="Q.DateEOM">#N/A</definedName>
    <definedName name="Q.DPS">#N/A</definedName>
    <definedName name="Q.EPS">#N/A</definedName>
    <definedName name="Q.FirstRow">#N/A</definedName>
    <definedName name="Q.LastRow">#N/A</definedName>
    <definedName name="qgq" hidden="1">qgq</definedName>
    <definedName name="RAT_A">#REF!</definedName>
    <definedName name="RAT_T">#REF!</definedName>
    <definedName name="ratio1pfma">'[9]balance sheet &amp; cash flow'!#REF!</definedName>
    <definedName name="RATIOS">#REF!</definedName>
    <definedName name="rdcase">#REF!</definedName>
    <definedName name="RecapOwn">#REF!</definedName>
    <definedName name="RecapPur">#REF!</definedName>
    <definedName name="RedefinePrintTableRange" hidden="1">RedefinePrintTableRange</definedName>
    <definedName name="reg" hidden="1">{"Page1",#N/A,FALSE,"CompCo";"Page2",#N/A,FALSE,"CompCo"}</definedName>
    <definedName name="regerger">regerger</definedName>
    <definedName name="REPURCHASE">#REF!</definedName>
    <definedName name="ResetItemView">ResetItemView</definedName>
    <definedName name="RETURN">#REF!</definedName>
    <definedName name="ReturnOnCash">#REF!</definedName>
    <definedName name="rev">#REF!</definedName>
    <definedName name="revenues2">[2]sensetivities!#REF!</definedName>
    <definedName name="reveunes2">[2]sensetivities!#REF!</definedName>
    <definedName name="rg" hidden="1">{"inputs raw data",#N/A,TRUE,"INPUT"}</definedName>
    <definedName name="rgw" hidden="1">rgw</definedName>
    <definedName name="rnumber">#REF!</definedName>
    <definedName name="rocogs">#REF!</definedName>
    <definedName name="roopex">#REF!</definedName>
    <definedName name="rorev">#REF!</definedName>
    <definedName name="royalties">#REF!</definedName>
    <definedName name="Rpt.Table">#N/A</definedName>
    <definedName name="Rpt.Text">#N/A</definedName>
    <definedName name="rrcase">#REF!</definedName>
    <definedName name="rrevgrowth">#REF!</definedName>
    <definedName name="rt" hidden="1">rt</definedName>
    <definedName name="rth">rth</definedName>
    <definedName name="rthtrh">rthtrh</definedName>
    <definedName name="s" hidden="1">{"Page1",#N/A,FALSE,"CompCo";"Page2",#N/A,FALSE,"CompCo"}</definedName>
    <definedName name="S.AllColumns">#N/A</definedName>
    <definedName name="S.AllPriceColumns">#N/A</definedName>
    <definedName name="S.SortColumn" localSheetId="5">T.Date</definedName>
    <definedName name="S.SortColumn" localSheetId="1">T.Date</definedName>
    <definedName name="S.SortColumn" localSheetId="2">T.Date</definedName>
    <definedName name="S.SortColumn">T.Date</definedName>
    <definedName name="sa" hidden="1">"c3460"</definedName>
    <definedName name="sadas" hidden="1">sadas</definedName>
    <definedName name="safas" hidden="1">safas</definedName>
    <definedName name="sales">#REF!</definedName>
    <definedName name="sales1">[2]sensetivities!#REF!</definedName>
    <definedName name="sales3">[2]sensetivities!#REF!</definedName>
    <definedName name="sales4">[2]sensetivities!#REF!</definedName>
    <definedName name="salesebitda">[2]model!#REF!</definedName>
    <definedName name="SCEN">[9]inputs!#REF!</definedName>
    <definedName name="scenario">#REF!</definedName>
    <definedName name="ScenarioName">#REF!</definedName>
    <definedName name="ScenarioName1">#REF!</definedName>
    <definedName name="ScenarioName2">#REF!</definedName>
    <definedName name="sd" hidden="1">"c2903"</definedName>
    <definedName name="sdfdfg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sdfdfsg" hidden="1">sdfdfsg</definedName>
    <definedName name="sdfds">sdfds</definedName>
    <definedName name="sdfdsfds">sdfdsfds</definedName>
    <definedName name="sdfgdgf" hidden="1">{"Page1",#N/A,FALSE,"CompCo";"Page2",#N/A,FALSE,"CompCo"}</definedName>
    <definedName name="sdfgdsg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sdfgfdsg" hidden="1">{"summary1",#N/A,TRUE,"Comps";"summary2",#N/A,TRUE,"Comps";"summary3",#N/A,TRUE,"Comps"}</definedName>
    <definedName name="sdfgfsd" hidden="1">{#N/A,#N/A,FALSE,"H1H2";"Sales by division",#N/A,FALSE,"H1H2";"LFL assumptions",#N/A,FALSE,"H1H2"}</definedName>
    <definedName name="sdfsd" hidden="1">sdfsd</definedName>
    <definedName name="sdfsdf">sdfsdf</definedName>
    <definedName name="sdgfds" hidden="1">sdgfds</definedName>
    <definedName name="sdgsdfg" hidden="1">sdgsdfg</definedName>
    <definedName name="SdSfg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Seal">#REF!</definedName>
    <definedName name="sens">#REF!</definedName>
    <definedName name="Sensitivities2">#REF!</definedName>
    <definedName name="SeriesFormat">SeriesFormat</definedName>
    <definedName name="sf" hidden="1">39420.9212731481</definedName>
    <definedName name="sfaas">sfaas</definedName>
    <definedName name="sfgf" hidden="1">sfgf</definedName>
    <definedName name="sfgsdg" hidden="1">sfgsdg</definedName>
    <definedName name="sfsdc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sfsfds">sfsfds</definedName>
    <definedName name="SGA">#REF!</definedName>
    <definedName name="shares">'[9]income statement'!#REF!</definedName>
    <definedName name="ShowData">ShowData</definedName>
    <definedName name="ShowDottedLine">ShowDottedLine</definedName>
    <definedName name="ShowGraph">ShowGraph</definedName>
    <definedName name="shshryhasyhj" hidden="1">shshryhasyhj</definedName>
    <definedName name="shss" hidden="1">shss</definedName>
    <definedName name="slc99mod.xls">#REF!</definedName>
    <definedName name="sName" localSheetId="5">[0]!sName</definedName>
    <definedName name="sName" localSheetId="1">'AS2'!sName</definedName>
    <definedName name="sName" localSheetId="2">'AS2'!sName</definedName>
    <definedName name="sName">'AS2'!sName</definedName>
    <definedName name="sName2" localSheetId="5">[0]!sName2</definedName>
    <definedName name="sName2" localSheetId="1">'AS2'!sName2</definedName>
    <definedName name="sName2" localSheetId="2">'AS2'!sName2</definedName>
    <definedName name="sName2">'AS2'!sName2</definedName>
    <definedName name="solver_adj" localSheetId="1" hidden="1">DCF!#REF!</definedName>
    <definedName name="solver_adj" localSheetId="3" hidden="1">WACC!#REF!</definedName>
    <definedName name="solver_cvg" localSheetId="1" hidden="1">0.0001</definedName>
    <definedName name="solver_cvg" localSheetId="3" hidden="1">0.0001</definedName>
    <definedName name="solver_drv" localSheetId="1" hidden="1">1</definedName>
    <definedName name="solver_drv" localSheetId="3" hidden="1">1</definedName>
    <definedName name="solver_est" localSheetId="1" hidden="1">1</definedName>
    <definedName name="solver_est" localSheetId="3" hidden="1">1</definedName>
    <definedName name="solver_itr" localSheetId="1" hidden="1">100</definedName>
    <definedName name="solver_itr" localSheetId="3" hidden="1">100</definedName>
    <definedName name="solver_lin" localSheetId="1" hidden="1">2</definedName>
    <definedName name="solver_lin" localSheetId="3" hidden="1">2</definedName>
    <definedName name="solver_neg" localSheetId="1" hidden="1">2</definedName>
    <definedName name="solver_neg" localSheetId="3" hidden="1">2</definedName>
    <definedName name="solver_num" localSheetId="1" hidden="1">0</definedName>
    <definedName name="solver_num" localSheetId="3" hidden="1">0</definedName>
    <definedName name="solver_nwt" localSheetId="1" hidden="1">1</definedName>
    <definedName name="solver_nwt" localSheetId="3" hidden="1">1</definedName>
    <definedName name="solver_opt" localSheetId="1" hidden="1">DCF!$O$37</definedName>
    <definedName name="solver_opt" localSheetId="3" hidden="1">WACC!#REF!</definedName>
    <definedName name="solver_pre" localSheetId="1" hidden="1">0.000001</definedName>
    <definedName name="solver_pre" localSheetId="3" hidden="1">0.000001</definedName>
    <definedName name="solver_scl" localSheetId="1" hidden="1">2</definedName>
    <definedName name="solver_scl" localSheetId="3" hidden="1">2</definedName>
    <definedName name="solver_sho" localSheetId="1" hidden="1">2</definedName>
    <definedName name="solver_sho" localSheetId="3" hidden="1">2</definedName>
    <definedName name="solver_tim" localSheetId="1" hidden="1">100</definedName>
    <definedName name="solver_tim" localSheetId="3" hidden="1">100</definedName>
    <definedName name="solver_tol" localSheetId="1" hidden="1">0.05</definedName>
    <definedName name="solver_tol" localSheetId="3" hidden="1">0.05</definedName>
    <definedName name="solver_typ" localSheetId="1" hidden="1">3</definedName>
    <definedName name="solver_typ" localSheetId="3" hidden="1">3</definedName>
    <definedName name="solver_val" localSheetId="1" hidden="1">0.03</definedName>
    <definedName name="solver_val" localSheetId="3" hidden="1">0.429</definedName>
    <definedName name="spsales">[2]sensetivities!#REF!</definedName>
    <definedName name="ss">[9]inputs!$D$3</definedName>
    <definedName name="ssadsa" hidden="1">{"Page1",#N/A,FALSE,"CompCo";"Page2",#N/A,FALSE,"CompCo"}</definedName>
    <definedName name="ssdfds" hidden="1">{"Page1",#N/A,FALSE,"CompCo";"Page2",#N/A,FALSE,"CompCo"}</definedName>
    <definedName name="ssy" hidden="1">ssy</definedName>
    <definedName name="street">#REF!</definedName>
    <definedName name="Structure">[9]inputs!#REF!</definedName>
    <definedName name="SUMM">#REF!</definedName>
    <definedName name="sweep">#REF!</definedName>
    <definedName name="swingcogs">[2]model!#REF!</definedName>
    <definedName name="swinggross">[2]model!#REF!</definedName>
    <definedName name="swingop">[2]model!#REF!</definedName>
    <definedName name="t" hidden="1">t</definedName>
    <definedName name="T.Date">#N/A</definedName>
    <definedName name="T.Date2">#N/A</definedName>
    <definedName name="T.Date3">#N/A</definedName>
    <definedName name="T.DateEOM">#N/A</definedName>
    <definedName name="T.DPS">#N/A</definedName>
    <definedName name="T.EPS">#N/A</definedName>
    <definedName name="T.High">#N/A</definedName>
    <definedName name="T.Low">#N/A</definedName>
    <definedName name="T.PE">#N/A</definedName>
    <definedName name="T.Vol">#N/A</definedName>
    <definedName name="T.Yield">#N/A</definedName>
    <definedName name="tar">#REF!</definedName>
    <definedName name="TARG">#REF!</definedName>
    <definedName name="Target_adj">#REF!</definedName>
    <definedName name="tax_rate">0.38</definedName>
    <definedName name="TaxRate">#REF!</definedName>
    <definedName name="TenderFee">#REF!</definedName>
    <definedName name="TenderPremium">#REF!</definedName>
    <definedName name="TextFormat">TextFormat</definedName>
    <definedName name="tg" hidden="1">{"bs",#N/A,FALSE,"SCF"}</definedName>
    <definedName name="Tgt_adj">#REF!</definedName>
    <definedName name="TICKER">#REF!</definedName>
    <definedName name="TickerToNameOnEnter">TickerToNameOnEnter</definedName>
    <definedName name="TOC">#REF!</definedName>
    <definedName name="TotalConsideration">#REF!</definedName>
    <definedName name="TotalEquity">#REF!</definedName>
    <definedName name="totalgross">[2]model!#REF!</definedName>
    <definedName name="trh">trh</definedName>
    <definedName name="TxGoodwillAmort">#REF!</definedName>
    <definedName name="ultragp">#REF!</definedName>
    <definedName name="ultrarev">#REF!</definedName>
    <definedName name="ultrasga">#REF!</definedName>
    <definedName name="UNPRIDES" localSheetId="5">[0]!UNPRIDES</definedName>
    <definedName name="UNPRIDES" localSheetId="1">'AS2'!UNPRIDES</definedName>
    <definedName name="UNPRIDES" localSheetId="2">'AS2'!UNPRIDES</definedName>
    <definedName name="UNPRIDES">'AS2'!UNPRIDES</definedName>
    <definedName name="v" hidden="1">v</definedName>
    <definedName name="vaaaaaavavv" hidden="1">vaaaaaavavv</definedName>
    <definedName name="vangp">#REF!</definedName>
    <definedName name="vanrev">#REF!</definedName>
    <definedName name="vansga">#REF!</definedName>
    <definedName name="w" hidden="1">{#N/A,#N/A,FALSE,"H1H2";"Sales by division",#N/A,FALSE,"H1H2";"LFL assumptions",#N/A,FALSE,"H1H2"}</definedName>
    <definedName name="WACC">#REF!</definedName>
    <definedName name="wcass1">#REF!</definedName>
    <definedName name="wcass12">#REF!</definedName>
    <definedName name="wcass2">#REF!</definedName>
    <definedName name="wcass22">#REF!</definedName>
    <definedName name="wcass3">#REF!</definedName>
    <definedName name="wcass32">#REF!</definedName>
    <definedName name="wcass4">#REF!</definedName>
    <definedName name="wcass42">#REF!</definedName>
    <definedName name="wcliab1">#REF!</definedName>
    <definedName name="wcliab12">#REF!</definedName>
    <definedName name="wcliab2">#REF!</definedName>
    <definedName name="wcliab22">#REF!</definedName>
    <definedName name="wcliab3">#REF!</definedName>
    <definedName name="wcliab32">#REF!</definedName>
    <definedName name="wefwe">wefwe</definedName>
    <definedName name="wegweg">wegweg</definedName>
    <definedName name="wergqerrgqwergr" hidden="1">wergqerrgqwergr</definedName>
    <definedName name="westgp">#REF!</definedName>
    <definedName name="westrev">#REF!</definedName>
    <definedName name="westsga">#REF!</definedName>
    <definedName name="wewe" hidden="1">{"cap_structure",#N/A,FALSE,"Graph-Mkt Cap";"price",#N/A,FALSE,"Graph-Price";"ebit",#N/A,FALSE,"Graph-EBITDA";"ebitda",#N/A,FALSE,"Graph-EBITDA"}</definedName>
    <definedName name="wg">wg</definedName>
    <definedName name="wgp">#REF!</definedName>
    <definedName name="working_cap">#REF!</definedName>
    <definedName name="wrev">#REF!</definedName>
    <definedName name="wrn.balance._.sheet." hidden="1">{"bs",#N/A,FALSE,"SCF"}</definedName>
    <definedName name="wrn.COMPCO." localSheetId="5" hidden="1">{"Page1",#N/A,FALSE,"CompCo";"Page2",#N/A,FALSE,"CompCo"}</definedName>
    <definedName name="wrn.COMPCO." localSheetId="1" hidden="1">{"Page1",#N/A,FALSE,"CompCo";"Page2",#N/A,FALSE,"CompCo"}</definedName>
    <definedName name="wrn.COMPCO." localSheetId="2" hidden="1">{"Page1",#N/A,FALSE,"CompCo";"Page2",#N/A,FALSE,"CompCo"}</definedName>
    <definedName name="wrn.COMPCO." hidden="1">{"Page1",#N/A,FALSE,"CompCo";"Page2",#N/A,FALSE,"CompCo"}</definedName>
    <definedName name="wrn.Entire._.Model.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wrn.print._.graphs." localSheetId="5" hidden="1">{"cap_structure",#N/A,FALSE,"Graph-Mkt Cap";"price",#N/A,FALSE,"Graph-Price";"ebit",#N/A,FALSE,"Graph-EBITDA";"ebitda",#N/A,FALSE,"Graph-EBITDA"}</definedName>
    <definedName name="wrn.print._.graphs." localSheetId="1" hidden="1">{"cap_structure",#N/A,FALSE,"Graph-Mkt Cap";"price",#N/A,FALSE,"Graph-Price";"ebit",#N/A,FALSE,"Graph-EBITDA";"ebitda",#N/A,FALSE,"Graph-EBITDA"}</definedName>
    <definedName name="wrn.print._.graphs." localSheetId="2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5" hidden="1">{"inputs raw data",#N/A,TRUE,"INPUT"}</definedName>
    <definedName name="wrn.print._.raw._.data._.entry." localSheetId="1" hidden="1">{"inputs raw data",#N/A,TRUE,"INPUT"}</definedName>
    <definedName name="wrn.print._.raw._.data._.entry." localSheetId="2" hidden="1">{"inputs raw data",#N/A,TRUE,"INPUT"}</definedName>
    <definedName name="wrn.print._.raw._.data._.entry." hidden="1">{"inputs raw data",#N/A,TRUE,"INPUT"}</definedName>
    <definedName name="wrn.print._.summary._.sheets." localSheetId="5" hidden="1">{"summary1",#N/A,TRUE,"Comps";"summary2",#N/A,TRUE,"Comps";"summary3",#N/A,TRUE,"Comps"}</definedName>
    <definedName name="wrn.print._.summary._.sheets." localSheetId="1" hidden="1">{"summary1",#N/A,TRUE,"Comps";"summary2",#N/A,TRUE,"Comps";"summary3",#N/A,TRUE,"Comps"}</definedName>
    <definedName name="wrn.print._.summary._.sheets." localSheetId="2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Sales._.and._.LFL._.assumptions." hidden="1">{#N/A,#N/A,FALSE,"H1H2";"Sales by division",#N/A,FALSE,"H1H2";"LFL assumptions",#N/A,FALSE,"H1H2"}</definedName>
    <definedName name="wrn.UK._.Retail._.PLs." hidden="1">{"Clothing PL",#N/A,FALSE,"H1H2";"Food PL",#N/A,FALSE,"H1H2";"Group PL",#N/A,FALSE,"H1H2";"Home Furnishings PL",#N/A,FALSE,"H1H2"}</definedName>
    <definedName name="wsga">#REF!</definedName>
    <definedName name="wvu.inputs._.raw._.data." localSheetId="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x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xfhs" hidden="1">xfhs</definedName>
    <definedName name="year">[2]model!#REF!</definedName>
    <definedName name="Year1CashInterest">SUMPRODUCT(#REF!,#REF!)</definedName>
    <definedName name="yearconvention">[9]inputs!#REF!</definedName>
    <definedName name="yikiukui" hidden="1">{"summary1",#N/A,TRUE,"Comps";"summary2",#N/A,TRUE,"Comps";"summary3",#N/A,TRUE,"Comps"}</definedName>
    <definedName name="YR1EPS">#REF!</definedName>
    <definedName name="YR2EPS">#REF!</definedName>
    <definedName name="ytjy" hidden="1">ytjy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53" i="2" l="1"/>
  <c r="R52" i="2"/>
  <c r="R49" i="2"/>
  <c r="R50" i="2"/>
  <c r="S48" i="2"/>
  <c r="T48" i="2"/>
  <c r="V48" i="2"/>
  <c r="W48" i="2" s="1"/>
  <c r="G41" i="4"/>
  <c r="G40" i="4"/>
  <c r="G37" i="4"/>
  <c r="G38" i="4"/>
  <c r="G15" i="4"/>
  <c r="G29" i="4"/>
  <c r="F111" i="2" l="1"/>
  <c r="F112" i="2"/>
  <c r="F109" i="2"/>
  <c r="J41" i="2"/>
  <c r="F123" i="2"/>
  <c r="F126" i="2"/>
  <c r="G16" i="4"/>
  <c r="I39" i="6"/>
  <c r="J24" i="6"/>
  <c r="I24" i="6"/>
  <c r="J23" i="6"/>
  <c r="I23" i="6"/>
  <c r="J17" i="6"/>
  <c r="I17" i="6"/>
  <c r="J16" i="6"/>
  <c r="J9" i="6"/>
  <c r="J12" i="4"/>
  <c r="L12" i="4" s="1"/>
  <c r="J13" i="4"/>
  <c r="L13" i="4" s="1"/>
  <c r="J34" i="2"/>
  <c r="F12" i="2"/>
  <c r="F15" i="2"/>
  <c r="I10" i="4"/>
  <c r="H10" i="4"/>
  <c r="J11" i="4"/>
  <c r="L11" i="4" s="1"/>
  <c r="I9" i="4"/>
  <c r="K141" i="9"/>
  <c r="J141" i="9"/>
  <c r="I141" i="9"/>
  <c r="H141" i="9"/>
  <c r="G141" i="9"/>
  <c r="F141" i="9"/>
  <c r="E141" i="9"/>
  <c r="D141" i="9"/>
  <c r="K140" i="9"/>
  <c r="J140" i="9"/>
  <c r="I140" i="9"/>
  <c r="H140" i="9"/>
  <c r="G140" i="9"/>
  <c r="F140" i="9"/>
  <c r="E140" i="9"/>
  <c r="D140" i="9"/>
  <c r="K139" i="9"/>
  <c r="J139" i="9"/>
  <c r="I139" i="9"/>
  <c r="H139" i="9"/>
  <c r="G139" i="9"/>
  <c r="F139" i="9"/>
  <c r="E139" i="9"/>
  <c r="D139" i="9"/>
  <c r="K138" i="9"/>
  <c r="J138" i="9"/>
  <c r="I138" i="9"/>
  <c r="H138" i="9"/>
  <c r="G138" i="9"/>
  <c r="F138" i="9"/>
  <c r="E138" i="9"/>
  <c r="D138" i="9"/>
  <c r="K137" i="9"/>
  <c r="J137" i="9"/>
  <c r="I137" i="9"/>
  <c r="H137" i="9"/>
  <c r="G137" i="9"/>
  <c r="F137" i="9"/>
  <c r="E137" i="9"/>
  <c r="D137" i="9"/>
  <c r="K136" i="9"/>
  <c r="J136" i="9"/>
  <c r="I136" i="9"/>
  <c r="H136" i="9"/>
  <c r="G136" i="9"/>
  <c r="F136" i="9"/>
  <c r="E136" i="9"/>
  <c r="D136" i="9"/>
  <c r="K135" i="9"/>
  <c r="J135" i="9"/>
  <c r="I135" i="9"/>
  <c r="H135" i="9"/>
  <c r="G135" i="9"/>
  <c r="F135" i="9"/>
  <c r="E135" i="9"/>
  <c r="D135" i="9"/>
  <c r="K134" i="9"/>
  <c r="J134" i="9"/>
  <c r="I134" i="9"/>
  <c r="H134" i="9"/>
  <c r="G134" i="9"/>
  <c r="F134" i="9"/>
  <c r="E134" i="9"/>
  <c r="D134" i="9"/>
  <c r="K133" i="9"/>
  <c r="J133" i="9"/>
  <c r="I133" i="9"/>
  <c r="H133" i="9"/>
  <c r="G133" i="9"/>
  <c r="F133" i="9"/>
  <c r="E133" i="9"/>
  <c r="D133" i="9"/>
  <c r="K132" i="9"/>
  <c r="J132" i="9"/>
  <c r="I132" i="9"/>
  <c r="H132" i="9"/>
  <c r="G132" i="9"/>
  <c r="F132" i="9"/>
  <c r="E132" i="9"/>
  <c r="D132" i="9"/>
  <c r="K131" i="9"/>
  <c r="J131" i="9"/>
  <c r="I131" i="9"/>
  <c r="H131" i="9"/>
  <c r="G131" i="9"/>
  <c r="F131" i="9"/>
  <c r="E131" i="9"/>
  <c r="D131" i="9"/>
  <c r="K130" i="9"/>
  <c r="J130" i="9"/>
  <c r="I130" i="9"/>
  <c r="H130" i="9"/>
  <c r="G130" i="9"/>
  <c r="F130" i="9"/>
  <c r="E130" i="9"/>
  <c r="D130" i="9"/>
  <c r="K129" i="9"/>
  <c r="J129" i="9"/>
  <c r="I129" i="9"/>
  <c r="H129" i="9"/>
  <c r="G129" i="9"/>
  <c r="F129" i="9"/>
  <c r="E129" i="9"/>
  <c r="D129" i="9"/>
  <c r="K128" i="9"/>
  <c r="J128" i="9"/>
  <c r="I128" i="9"/>
  <c r="H128" i="9"/>
  <c r="G128" i="9"/>
  <c r="F128" i="9"/>
  <c r="E128" i="9"/>
  <c r="D128" i="9"/>
  <c r="K127" i="9"/>
  <c r="J127" i="9"/>
  <c r="I127" i="9"/>
  <c r="H127" i="9"/>
  <c r="G127" i="9"/>
  <c r="F127" i="9"/>
  <c r="E127" i="9"/>
  <c r="D127" i="9"/>
  <c r="K126" i="9"/>
  <c r="J126" i="9"/>
  <c r="I126" i="9"/>
  <c r="H126" i="9"/>
  <c r="G126" i="9"/>
  <c r="F126" i="9"/>
  <c r="E126" i="9"/>
  <c r="D126" i="9"/>
  <c r="K125" i="9"/>
  <c r="J125" i="9"/>
  <c r="I125" i="9"/>
  <c r="H125" i="9"/>
  <c r="G125" i="9"/>
  <c r="F125" i="9"/>
  <c r="E125" i="9"/>
  <c r="D125" i="9"/>
  <c r="K124" i="9"/>
  <c r="J124" i="9"/>
  <c r="I124" i="9"/>
  <c r="H124" i="9"/>
  <c r="G124" i="9"/>
  <c r="F124" i="9"/>
  <c r="E124" i="9"/>
  <c r="D124" i="9"/>
  <c r="K123" i="9"/>
  <c r="J123" i="9"/>
  <c r="I123" i="9"/>
  <c r="H123" i="9"/>
  <c r="G123" i="9"/>
  <c r="F123" i="9"/>
  <c r="E123" i="9"/>
  <c r="D123" i="9"/>
  <c r="K122" i="9"/>
  <c r="J122" i="9"/>
  <c r="I122" i="9"/>
  <c r="H122" i="9"/>
  <c r="G122" i="9"/>
  <c r="F122" i="9"/>
  <c r="E122" i="9"/>
  <c r="D122" i="9"/>
  <c r="K121" i="9"/>
  <c r="J121" i="9"/>
  <c r="I121" i="9"/>
  <c r="H121" i="9"/>
  <c r="G121" i="9"/>
  <c r="F121" i="9"/>
  <c r="E121" i="9"/>
  <c r="D121" i="9"/>
  <c r="K120" i="9"/>
  <c r="J120" i="9"/>
  <c r="I120" i="9"/>
  <c r="H120" i="9"/>
  <c r="G120" i="9"/>
  <c r="F120" i="9"/>
  <c r="E120" i="9"/>
  <c r="D120" i="9"/>
  <c r="K119" i="9"/>
  <c r="J119" i="9"/>
  <c r="I119" i="9"/>
  <c r="H119" i="9"/>
  <c r="G119" i="9"/>
  <c r="F119" i="9"/>
  <c r="E119" i="9"/>
  <c r="D119" i="9"/>
  <c r="K118" i="9"/>
  <c r="J118" i="9"/>
  <c r="I118" i="9"/>
  <c r="H118" i="9"/>
  <c r="G118" i="9"/>
  <c r="F118" i="9"/>
  <c r="E118" i="9"/>
  <c r="D118" i="9"/>
  <c r="K117" i="9"/>
  <c r="J117" i="9"/>
  <c r="I117" i="9"/>
  <c r="H117" i="9"/>
  <c r="G117" i="9"/>
  <c r="F117" i="9"/>
  <c r="E117" i="9"/>
  <c r="D117" i="9"/>
  <c r="K116" i="9"/>
  <c r="J116" i="9"/>
  <c r="I116" i="9"/>
  <c r="H116" i="9"/>
  <c r="G116" i="9"/>
  <c r="F116" i="9"/>
  <c r="E116" i="9"/>
  <c r="D116" i="9"/>
  <c r="K115" i="9"/>
  <c r="J115" i="9"/>
  <c r="I115" i="9"/>
  <c r="H115" i="9"/>
  <c r="G115" i="9"/>
  <c r="F115" i="9"/>
  <c r="E115" i="9"/>
  <c r="D115" i="9"/>
  <c r="K114" i="9"/>
  <c r="J114" i="9"/>
  <c r="I114" i="9"/>
  <c r="H114" i="9"/>
  <c r="G114" i="9"/>
  <c r="F114" i="9"/>
  <c r="E114" i="9"/>
  <c r="D114" i="9"/>
  <c r="K113" i="9"/>
  <c r="J113" i="9"/>
  <c r="I113" i="9"/>
  <c r="H113" i="9"/>
  <c r="G113" i="9"/>
  <c r="F113" i="9"/>
  <c r="E113" i="9"/>
  <c r="D113" i="9"/>
  <c r="K112" i="9"/>
  <c r="J112" i="9"/>
  <c r="I112" i="9"/>
  <c r="H112" i="9"/>
  <c r="G112" i="9"/>
  <c r="F112" i="9"/>
  <c r="E112" i="9"/>
  <c r="D112" i="9"/>
  <c r="K111" i="9"/>
  <c r="J111" i="9"/>
  <c r="I111" i="9"/>
  <c r="H111" i="9"/>
  <c r="G111" i="9"/>
  <c r="F111" i="9"/>
  <c r="E111" i="9"/>
  <c r="D111" i="9"/>
  <c r="K110" i="9"/>
  <c r="J110" i="9"/>
  <c r="I110" i="9"/>
  <c r="H110" i="9"/>
  <c r="G110" i="9"/>
  <c r="F110" i="9"/>
  <c r="E110" i="9"/>
  <c r="D110" i="9"/>
  <c r="K109" i="9"/>
  <c r="J109" i="9"/>
  <c r="I109" i="9"/>
  <c r="H109" i="9"/>
  <c r="G109" i="9"/>
  <c r="F109" i="9"/>
  <c r="E109" i="9"/>
  <c r="D109" i="9"/>
  <c r="K108" i="9"/>
  <c r="J108" i="9"/>
  <c r="I108" i="9"/>
  <c r="H108" i="9"/>
  <c r="G108" i="9"/>
  <c r="F108" i="9"/>
  <c r="E108" i="9"/>
  <c r="D108" i="9"/>
  <c r="K107" i="9"/>
  <c r="J107" i="9"/>
  <c r="I107" i="9"/>
  <c r="H107" i="9"/>
  <c r="G107" i="9"/>
  <c r="F107" i="9"/>
  <c r="E107" i="9"/>
  <c r="D107" i="9"/>
  <c r="K106" i="9"/>
  <c r="J106" i="9"/>
  <c r="I106" i="9"/>
  <c r="H106" i="9"/>
  <c r="G106" i="9"/>
  <c r="F106" i="9"/>
  <c r="E106" i="9"/>
  <c r="D106" i="9"/>
  <c r="K105" i="9"/>
  <c r="J105" i="9"/>
  <c r="I105" i="9"/>
  <c r="H105" i="9"/>
  <c r="G105" i="9"/>
  <c r="F105" i="9"/>
  <c r="E105" i="9"/>
  <c r="D105" i="9"/>
  <c r="K104" i="9"/>
  <c r="J104" i="9"/>
  <c r="I104" i="9"/>
  <c r="H104" i="9"/>
  <c r="G104" i="9"/>
  <c r="F104" i="9"/>
  <c r="E104" i="9"/>
  <c r="D104" i="9"/>
  <c r="K103" i="9"/>
  <c r="J103" i="9"/>
  <c r="I103" i="9"/>
  <c r="H103" i="9"/>
  <c r="G103" i="9"/>
  <c r="F103" i="9"/>
  <c r="E103" i="9"/>
  <c r="D103" i="9"/>
  <c r="K102" i="9"/>
  <c r="J102" i="9"/>
  <c r="I102" i="9"/>
  <c r="H102" i="9"/>
  <c r="G102" i="9"/>
  <c r="F102" i="9"/>
  <c r="E102" i="9"/>
  <c r="D102" i="9"/>
  <c r="K101" i="9"/>
  <c r="J101" i="9"/>
  <c r="I101" i="9"/>
  <c r="H101" i="9"/>
  <c r="G101" i="9"/>
  <c r="F101" i="9"/>
  <c r="E101" i="9"/>
  <c r="D101" i="9"/>
  <c r="K100" i="9"/>
  <c r="J100" i="9"/>
  <c r="I100" i="9"/>
  <c r="H100" i="9"/>
  <c r="G100" i="9"/>
  <c r="F100" i="9"/>
  <c r="E100" i="9"/>
  <c r="D100" i="9"/>
  <c r="K99" i="9"/>
  <c r="J99" i="9"/>
  <c r="I99" i="9"/>
  <c r="H99" i="9"/>
  <c r="G99" i="9"/>
  <c r="F99" i="9"/>
  <c r="E99" i="9"/>
  <c r="D99" i="9"/>
  <c r="K98" i="9"/>
  <c r="J98" i="9"/>
  <c r="I98" i="9"/>
  <c r="H98" i="9"/>
  <c r="G98" i="9"/>
  <c r="F98" i="9"/>
  <c r="E98" i="9"/>
  <c r="D98" i="9"/>
  <c r="K97" i="9"/>
  <c r="J97" i="9"/>
  <c r="I97" i="9"/>
  <c r="H97" i="9"/>
  <c r="G97" i="9"/>
  <c r="F97" i="9"/>
  <c r="E97" i="9"/>
  <c r="D97" i="9"/>
  <c r="K96" i="9"/>
  <c r="J96" i="9"/>
  <c r="I96" i="9"/>
  <c r="H96" i="9"/>
  <c r="G96" i="9"/>
  <c r="F96" i="9"/>
  <c r="E96" i="9"/>
  <c r="D96" i="9"/>
  <c r="K95" i="9"/>
  <c r="J95" i="9"/>
  <c r="I95" i="9"/>
  <c r="H95" i="9"/>
  <c r="G95" i="9"/>
  <c r="F95" i="9"/>
  <c r="E95" i="9"/>
  <c r="D95" i="9"/>
  <c r="K94" i="9"/>
  <c r="J94" i="9"/>
  <c r="I94" i="9"/>
  <c r="H94" i="9"/>
  <c r="G94" i="9"/>
  <c r="F94" i="9"/>
  <c r="E94" i="9"/>
  <c r="D94" i="9"/>
  <c r="K93" i="9"/>
  <c r="J93" i="9"/>
  <c r="I93" i="9"/>
  <c r="H93" i="9"/>
  <c r="G93" i="9"/>
  <c r="F93" i="9"/>
  <c r="E93" i="9"/>
  <c r="D93" i="9"/>
  <c r="K92" i="9"/>
  <c r="J92" i="9"/>
  <c r="I92" i="9"/>
  <c r="H92" i="9"/>
  <c r="G92" i="9"/>
  <c r="F92" i="9"/>
  <c r="E92" i="9"/>
  <c r="D92" i="9"/>
  <c r="K91" i="9"/>
  <c r="J91" i="9"/>
  <c r="I91" i="9"/>
  <c r="H91" i="9"/>
  <c r="G91" i="9"/>
  <c r="F91" i="9"/>
  <c r="E91" i="9"/>
  <c r="D91" i="9"/>
  <c r="K90" i="9"/>
  <c r="J90" i="9"/>
  <c r="I90" i="9"/>
  <c r="H90" i="9"/>
  <c r="G90" i="9"/>
  <c r="F90" i="9"/>
  <c r="E90" i="9"/>
  <c r="D90" i="9"/>
  <c r="K89" i="9"/>
  <c r="J89" i="9"/>
  <c r="I89" i="9"/>
  <c r="H89" i="9"/>
  <c r="G89" i="9"/>
  <c r="F89" i="9"/>
  <c r="E89" i="9"/>
  <c r="D89" i="9"/>
  <c r="K88" i="9"/>
  <c r="J88" i="9"/>
  <c r="I88" i="9"/>
  <c r="H88" i="9"/>
  <c r="G88" i="9"/>
  <c r="F88" i="9"/>
  <c r="E88" i="9"/>
  <c r="D88" i="9"/>
  <c r="K87" i="9"/>
  <c r="J87" i="9"/>
  <c r="I87" i="9"/>
  <c r="H87" i="9"/>
  <c r="G87" i="9"/>
  <c r="F87" i="9"/>
  <c r="E87" i="9"/>
  <c r="D87" i="9"/>
  <c r="K86" i="9"/>
  <c r="J86" i="9"/>
  <c r="I86" i="9"/>
  <c r="H86" i="9"/>
  <c r="G86" i="9"/>
  <c r="F86" i="9"/>
  <c r="E86" i="9"/>
  <c r="D86" i="9"/>
  <c r="K85" i="9"/>
  <c r="J85" i="9"/>
  <c r="I85" i="9"/>
  <c r="H85" i="9"/>
  <c r="G85" i="9"/>
  <c r="F85" i="9"/>
  <c r="E85" i="9"/>
  <c r="D85" i="9"/>
  <c r="K84" i="9"/>
  <c r="J84" i="9"/>
  <c r="I84" i="9"/>
  <c r="H84" i="9"/>
  <c r="G84" i="9"/>
  <c r="F84" i="9"/>
  <c r="E84" i="9"/>
  <c r="D84" i="9"/>
  <c r="K83" i="9"/>
  <c r="J83" i="9"/>
  <c r="I83" i="9"/>
  <c r="H83" i="9"/>
  <c r="G83" i="9"/>
  <c r="F83" i="9"/>
  <c r="E83" i="9"/>
  <c r="D83" i="9"/>
  <c r="K82" i="9"/>
  <c r="J82" i="9"/>
  <c r="I82" i="9"/>
  <c r="H82" i="9"/>
  <c r="G82" i="9"/>
  <c r="F82" i="9"/>
  <c r="E82" i="9"/>
  <c r="D82" i="9"/>
  <c r="K81" i="9"/>
  <c r="J81" i="9"/>
  <c r="I81" i="9"/>
  <c r="H81" i="9"/>
  <c r="G81" i="9"/>
  <c r="F81" i="9"/>
  <c r="E81" i="9"/>
  <c r="D81" i="9"/>
  <c r="K80" i="9"/>
  <c r="J80" i="9"/>
  <c r="I80" i="9"/>
  <c r="H80" i="9"/>
  <c r="G80" i="9"/>
  <c r="F80" i="9"/>
  <c r="E80" i="9"/>
  <c r="D80" i="9"/>
  <c r="K79" i="9"/>
  <c r="J79" i="9"/>
  <c r="I79" i="9"/>
  <c r="H79" i="9"/>
  <c r="G79" i="9"/>
  <c r="F79" i="9"/>
  <c r="E79" i="9"/>
  <c r="D79" i="9"/>
  <c r="K78" i="9"/>
  <c r="J78" i="9"/>
  <c r="I78" i="9"/>
  <c r="H78" i="9"/>
  <c r="G78" i="9"/>
  <c r="F78" i="9"/>
  <c r="E78" i="9"/>
  <c r="D78" i="9"/>
  <c r="K77" i="9"/>
  <c r="J77" i="9"/>
  <c r="I77" i="9"/>
  <c r="H77" i="9"/>
  <c r="G77" i="9"/>
  <c r="F77" i="9"/>
  <c r="E77" i="9"/>
  <c r="D77" i="9"/>
  <c r="K76" i="9"/>
  <c r="J76" i="9"/>
  <c r="I76" i="9"/>
  <c r="H76" i="9"/>
  <c r="G76" i="9"/>
  <c r="F76" i="9"/>
  <c r="E76" i="9"/>
  <c r="D76" i="9"/>
  <c r="K75" i="9"/>
  <c r="J75" i="9"/>
  <c r="I75" i="9"/>
  <c r="H75" i="9"/>
  <c r="G75" i="9"/>
  <c r="F75" i="9"/>
  <c r="E75" i="9"/>
  <c r="D75" i="9"/>
  <c r="K74" i="9"/>
  <c r="J74" i="9"/>
  <c r="I74" i="9"/>
  <c r="H74" i="9"/>
  <c r="G74" i="9"/>
  <c r="F74" i="9"/>
  <c r="E74" i="9"/>
  <c r="D74" i="9"/>
  <c r="K73" i="9"/>
  <c r="J73" i="9"/>
  <c r="I73" i="9"/>
  <c r="H73" i="9"/>
  <c r="G73" i="9"/>
  <c r="F73" i="9"/>
  <c r="E73" i="9"/>
  <c r="D73" i="9"/>
  <c r="K72" i="9"/>
  <c r="J72" i="9"/>
  <c r="I72" i="9"/>
  <c r="H72" i="9"/>
  <c r="G72" i="9"/>
  <c r="F72" i="9"/>
  <c r="E72" i="9"/>
  <c r="D72" i="9"/>
  <c r="K71" i="9"/>
  <c r="J71" i="9"/>
  <c r="I71" i="9"/>
  <c r="H71" i="9"/>
  <c r="G71" i="9"/>
  <c r="F71" i="9"/>
  <c r="E71" i="9"/>
  <c r="D71" i="9"/>
  <c r="K70" i="9"/>
  <c r="J70" i="9"/>
  <c r="I70" i="9"/>
  <c r="H70" i="9"/>
  <c r="G70" i="9"/>
  <c r="F70" i="9"/>
  <c r="E70" i="9"/>
  <c r="D70" i="9"/>
  <c r="K69" i="9"/>
  <c r="J69" i="9"/>
  <c r="I69" i="9"/>
  <c r="H69" i="9"/>
  <c r="G69" i="9"/>
  <c r="F69" i="9"/>
  <c r="E69" i="9"/>
  <c r="D69" i="9"/>
  <c r="K68" i="9"/>
  <c r="J68" i="9"/>
  <c r="I68" i="9"/>
  <c r="H68" i="9"/>
  <c r="G68" i="9"/>
  <c r="F68" i="9"/>
  <c r="E68" i="9"/>
  <c r="D68" i="9"/>
  <c r="K67" i="9"/>
  <c r="J67" i="9"/>
  <c r="I67" i="9"/>
  <c r="H67" i="9"/>
  <c r="G67" i="9"/>
  <c r="F67" i="9"/>
  <c r="E67" i="9"/>
  <c r="D67" i="9"/>
  <c r="K66" i="9"/>
  <c r="J66" i="9"/>
  <c r="I66" i="9"/>
  <c r="H66" i="9"/>
  <c r="G66" i="9"/>
  <c r="F66" i="9"/>
  <c r="E66" i="9"/>
  <c r="D66" i="9"/>
  <c r="K65" i="9"/>
  <c r="J65" i="9"/>
  <c r="I65" i="9"/>
  <c r="H65" i="9"/>
  <c r="G65" i="9"/>
  <c r="F65" i="9"/>
  <c r="E65" i="9"/>
  <c r="D65" i="9"/>
  <c r="K64" i="9"/>
  <c r="J64" i="9"/>
  <c r="I64" i="9"/>
  <c r="H64" i="9"/>
  <c r="G64" i="9"/>
  <c r="F64" i="9"/>
  <c r="E64" i="9"/>
  <c r="D64" i="9"/>
  <c r="K63" i="9"/>
  <c r="J63" i="9"/>
  <c r="I63" i="9"/>
  <c r="H63" i="9"/>
  <c r="G63" i="9"/>
  <c r="F63" i="9"/>
  <c r="E63" i="9"/>
  <c r="D63" i="9"/>
  <c r="K62" i="9"/>
  <c r="J62" i="9"/>
  <c r="I62" i="9"/>
  <c r="H62" i="9"/>
  <c r="G62" i="9"/>
  <c r="F62" i="9"/>
  <c r="E62" i="9"/>
  <c r="D62" i="9"/>
  <c r="K61" i="9"/>
  <c r="J61" i="9"/>
  <c r="I61" i="9"/>
  <c r="H61" i="9"/>
  <c r="G61" i="9"/>
  <c r="F61" i="9"/>
  <c r="E61" i="9"/>
  <c r="D61" i="9"/>
  <c r="K60" i="9"/>
  <c r="J60" i="9"/>
  <c r="I60" i="9"/>
  <c r="H60" i="9"/>
  <c r="G60" i="9"/>
  <c r="F60" i="9"/>
  <c r="E60" i="9"/>
  <c r="D60" i="9"/>
  <c r="K59" i="9"/>
  <c r="J59" i="9"/>
  <c r="I59" i="9"/>
  <c r="H59" i="9"/>
  <c r="G59" i="9"/>
  <c r="F59" i="9"/>
  <c r="E59" i="9"/>
  <c r="D59" i="9"/>
  <c r="K58" i="9"/>
  <c r="J58" i="9"/>
  <c r="I58" i="9"/>
  <c r="H58" i="9"/>
  <c r="G58" i="9"/>
  <c r="F58" i="9"/>
  <c r="E58" i="9"/>
  <c r="D58" i="9"/>
  <c r="K57" i="9"/>
  <c r="J57" i="9"/>
  <c r="I57" i="9"/>
  <c r="H57" i="9"/>
  <c r="G57" i="9"/>
  <c r="F57" i="9"/>
  <c r="E57" i="9"/>
  <c r="D57" i="9"/>
  <c r="K56" i="9"/>
  <c r="J56" i="9"/>
  <c r="I56" i="9"/>
  <c r="H56" i="9"/>
  <c r="G56" i="9"/>
  <c r="F56" i="9"/>
  <c r="E56" i="9"/>
  <c r="D56" i="9"/>
  <c r="K55" i="9"/>
  <c r="J55" i="9"/>
  <c r="I55" i="9"/>
  <c r="H55" i="9"/>
  <c r="G55" i="9"/>
  <c r="F55" i="9"/>
  <c r="E55" i="9"/>
  <c r="D55" i="9"/>
  <c r="K54" i="9"/>
  <c r="J54" i="9"/>
  <c r="I54" i="9"/>
  <c r="H54" i="9"/>
  <c r="G54" i="9"/>
  <c r="F54" i="9"/>
  <c r="E54" i="9"/>
  <c r="D54" i="9"/>
  <c r="K53" i="9"/>
  <c r="J53" i="9"/>
  <c r="I53" i="9"/>
  <c r="H53" i="9"/>
  <c r="G53" i="9"/>
  <c r="F53" i="9"/>
  <c r="E53" i="9"/>
  <c r="D53" i="9"/>
  <c r="K52" i="9"/>
  <c r="J52" i="9"/>
  <c r="I52" i="9"/>
  <c r="H52" i="9"/>
  <c r="G52" i="9"/>
  <c r="F52" i="9"/>
  <c r="E52" i="9"/>
  <c r="D52" i="9"/>
  <c r="K51" i="9"/>
  <c r="J51" i="9"/>
  <c r="I51" i="9"/>
  <c r="H51" i="9"/>
  <c r="G51" i="9"/>
  <c r="F51" i="9"/>
  <c r="E51" i="9"/>
  <c r="D51" i="9"/>
  <c r="K50" i="9"/>
  <c r="J50" i="9"/>
  <c r="I50" i="9"/>
  <c r="H50" i="9"/>
  <c r="G50" i="9"/>
  <c r="F50" i="9"/>
  <c r="E50" i="9"/>
  <c r="D50" i="9"/>
  <c r="K49" i="9"/>
  <c r="J49" i="9"/>
  <c r="I49" i="9"/>
  <c r="H49" i="9"/>
  <c r="G49" i="9"/>
  <c r="F49" i="9"/>
  <c r="E49" i="9"/>
  <c r="D49" i="9"/>
  <c r="K48" i="9"/>
  <c r="J48" i="9"/>
  <c r="I48" i="9"/>
  <c r="H48" i="9"/>
  <c r="G48" i="9"/>
  <c r="F48" i="9"/>
  <c r="E48" i="9"/>
  <c r="D48" i="9"/>
  <c r="K47" i="9"/>
  <c r="J47" i="9"/>
  <c r="I47" i="9"/>
  <c r="H47" i="9"/>
  <c r="G47" i="9"/>
  <c r="F47" i="9"/>
  <c r="E47" i="9"/>
  <c r="D47" i="9"/>
  <c r="K46" i="9"/>
  <c r="J46" i="9"/>
  <c r="I46" i="9"/>
  <c r="H46" i="9"/>
  <c r="G46" i="9"/>
  <c r="F46" i="9"/>
  <c r="E46" i="9"/>
  <c r="D46" i="9"/>
  <c r="K45" i="9"/>
  <c r="J45" i="9"/>
  <c r="I45" i="9"/>
  <c r="H45" i="9"/>
  <c r="G45" i="9"/>
  <c r="F45" i="9"/>
  <c r="E45" i="9"/>
  <c r="D45" i="9"/>
  <c r="K44" i="9"/>
  <c r="J44" i="9"/>
  <c r="I44" i="9"/>
  <c r="H44" i="9"/>
  <c r="G44" i="9"/>
  <c r="F44" i="9"/>
  <c r="E44" i="9"/>
  <c r="D44" i="9"/>
  <c r="K43" i="9"/>
  <c r="J43" i="9"/>
  <c r="I43" i="9"/>
  <c r="H43" i="9"/>
  <c r="G43" i="9"/>
  <c r="F43" i="9"/>
  <c r="E43" i="9"/>
  <c r="D43" i="9"/>
  <c r="K42" i="9"/>
  <c r="J42" i="9"/>
  <c r="I42" i="9"/>
  <c r="H42" i="9"/>
  <c r="G42" i="9"/>
  <c r="F42" i="9"/>
  <c r="E42" i="9"/>
  <c r="D42" i="9"/>
  <c r="K41" i="9"/>
  <c r="J41" i="9"/>
  <c r="I41" i="9"/>
  <c r="H41" i="9"/>
  <c r="G41" i="9"/>
  <c r="F41" i="9"/>
  <c r="E41" i="9"/>
  <c r="D41" i="9"/>
  <c r="K40" i="9"/>
  <c r="J40" i="9"/>
  <c r="I40" i="9"/>
  <c r="H40" i="9"/>
  <c r="G40" i="9"/>
  <c r="F40" i="9"/>
  <c r="E40" i="9"/>
  <c r="D40" i="9"/>
  <c r="K39" i="9"/>
  <c r="J39" i="9"/>
  <c r="I39" i="9"/>
  <c r="H39" i="9"/>
  <c r="G39" i="9"/>
  <c r="F39" i="9"/>
  <c r="E39" i="9"/>
  <c r="D39" i="9"/>
  <c r="K38" i="9"/>
  <c r="J38" i="9"/>
  <c r="I38" i="9"/>
  <c r="H38" i="9"/>
  <c r="G38" i="9"/>
  <c r="F38" i="9"/>
  <c r="E38" i="9"/>
  <c r="D38" i="9"/>
  <c r="K37" i="9"/>
  <c r="J37" i="9"/>
  <c r="I37" i="9"/>
  <c r="H37" i="9"/>
  <c r="G37" i="9"/>
  <c r="F37" i="9"/>
  <c r="E37" i="9"/>
  <c r="D37" i="9"/>
  <c r="K36" i="9"/>
  <c r="J36" i="9"/>
  <c r="I36" i="9"/>
  <c r="H36" i="9"/>
  <c r="G36" i="9"/>
  <c r="F36" i="9"/>
  <c r="E36" i="9"/>
  <c r="D36" i="9"/>
  <c r="K35" i="9"/>
  <c r="J35" i="9"/>
  <c r="I35" i="9"/>
  <c r="H35" i="9"/>
  <c r="G35" i="9"/>
  <c r="F35" i="9"/>
  <c r="E35" i="9"/>
  <c r="D35" i="9"/>
  <c r="K34" i="9"/>
  <c r="J34" i="9"/>
  <c r="I34" i="9"/>
  <c r="H34" i="9"/>
  <c r="G34" i="9"/>
  <c r="F34" i="9"/>
  <c r="E34" i="9"/>
  <c r="D34" i="9"/>
  <c r="K33" i="9"/>
  <c r="J33" i="9"/>
  <c r="I33" i="9"/>
  <c r="H33" i="9"/>
  <c r="G33" i="9"/>
  <c r="F33" i="9"/>
  <c r="E33" i="9"/>
  <c r="D33" i="9"/>
  <c r="K32" i="9"/>
  <c r="J32" i="9"/>
  <c r="I32" i="9"/>
  <c r="H32" i="9"/>
  <c r="G32" i="9"/>
  <c r="F32" i="9"/>
  <c r="E32" i="9"/>
  <c r="D32" i="9"/>
  <c r="K31" i="9"/>
  <c r="J31" i="9"/>
  <c r="I31" i="9"/>
  <c r="H31" i="9"/>
  <c r="G31" i="9"/>
  <c r="F31" i="9"/>
  <c r="E31" i="9"/>
  <c r="D31" i="9"/>
  <c r="K30" i="9"/>
  <c r="J30" i="9"/>
  <c r="I30" i="9"/>
  <c r="H30" i="9"/>
  <c r="G30" i="9"/>
  <c r="F30" i="9"/>
  <c r="E30" i="9"/>
  <c r="D30" i="9"/>
  <c r="K29" i="9"/>
  <c r="J29" i="9"/>
  <c r="I29" i="9"/>
  <c r="H29" i="9"/>
  <c r="G29" i="9"/>
  <c r="F29" i="9"/>
  <c r="E29" i="9"/>
  <c r="D29" i="9"/>
  <c r="K28" i="9"/>
  <c r="J28" i="9"/>
  <c r="I28" i="9"/>
  <c r="H28" i="9"/>
  <c r="G28" i="9"/>
  <c r="F28" i="9"/>
  <c r="E28" i="9"/>
  <c r="D28" i="9"/>
  <c r="K27" i="9"/>
  <c r="J27" i="9"/>
  <c r="I27" i="9"/>
  <c r="H27" i="9"/>
  <c r="G27" i="9"/>
  <c r="F27" i="9"/>
  <c r="E27" i="9"/>
  <c r="D27" i="9"/>
  <c r="K26" i="9"/>
  <c r="J26" i="9"/>
  <c r="I26" i="9"/>
  <c r="H26" i="9"/>
  <c r="G26" i="9"/>
  <c r="F26" i="9"/>
  <c r="E26" i="9"/>
  <c r="D26" i="9"/>
  <c r="K25" i="9"/>
  <c r="J25" i="9"/>
  <c r="I25" i="9"/>
  <c r="H25" i="9"/>
  <c r="G25" i="9"/>
  <c r="F25" i="9"/>
  <c r="E25" i="9"/>
  <c r="D25" i="9"/>
  <c r="K24" i="9"/>
  <c r="J24" i="9"/>
  <c r="I24" i="9"/>
  <c r="H24" i="9"/>
  <c r="G24" i="9"/>
  <c r="F24" i="9"/>
  <c r="E24" i="9"/>
  <c r="D24" i="9"/>
  <c r="K23" i="9"/>
  <c r="J23" i="9"/>
  <c r="I23" i="9"/>
  <c r="H23" i="9"/>
  <c r="G23" i="9"/>
  <c r="F23" i="9"/>
  <c r="E23" i="9"/>
  <c r="D23" i="9"/>
  <c r="K22" i="9"/>
  <c r="J22" i="9"/>
  <c r="I22" i="9"/>
  <c r="H22" i="9"/>
  <c r="G22" i="9"/>
  <c r="F22" i="9"/>
  <c r="E22" i="9"/>
  <c r="D22" i="9"/>
  <c r="K21" i="9"/>
  <c r="J21" i="9"/>
  <c r="I21" i="9"/>
  <c r="H21" i="9"/>
  <c r="G21" i="9"/>
  <c r="F21" i="9"/>
  <c r="E21" i="9"/>
  <c r="D21" i="9"/>
  <c r="K20" i="9"/>
  <c r="J20" i="9"/>
  <c r="I20" i="9"/>
  <c r="H20" i="9"/>
  <c r="G20" i="9"/>
  <c r="F20" i="9"/>
  <c r="E20" i="9"/>
  <c r="D20" i="9"/>
  <c r="K19" i="9"/>
  <c r="J19" i="9"/>
  <c r="I19" i="9"/>
  <c r="H19" i="9"/>
  <c r="G19" i="9"/>
  <c r="F19" i="9"/>
  <c r="E19" i="9"/>
  <c r="D19" i="9"/>
  <c r="K18" i="9"/>
  <c r="J18" i="9"/>
  <c r="I18" i="9"/>
  <c r="H18" i="9"/>
  <c r="G18" i="9"/>
  <c r="F18" i="9"/>
  <c r="E18" i="9"/>
  <c r="D18" i="9"/>
  <c r="K17" i="9"/>
  <c r="J17" i="9"/>
  <c r="I17" i="9"/>
  <c r="H17" i="9"/>
  <c r="G17" i="9"/>
  <c r="F17" i="9"/>
  <c r="E17" i="9"/>
  <c r="D17" i="9"/>
  <c r="K16" i="9"/>
  <c r="J16" i="9"/>
  <c r="I16" i="9"/>
  <c r="H16" i="9"/>
  <c r="G16" i="9"/>
  <c r="F16" i="9"/>
  <c r="E16" i="9"/>
  <c r="D16" i="9"/>
  <c r="K15" i="9"/>
  <c r="J15" i="9"/>
  <c r="I15" i="9"/>
  <c r="H15" i="9"/>
  <c r="G15" i="9"/>
  <c r="F15" i="9"/>
  <c r="E15" i="9"/>
  <c r="D15" i="9"/>
  <c r="K14" i="9"/>
  <c r="J14" i="9"/>
  <c r="I14" i="9"/>
  <c r="H14" i="9"/>
  <c r="G14" i="9"/>
  <c r="F14" i="9"/>
  <c r="E14" i="9"/>
  <c r="D14" i="9"/>
  <c r="K13" i="9"/>
  <c r="J13" i="9"/>
  <c r="I13" i="9"/>
  <c r="H13" i="9"/>
  <c r="G13" i="9"/>
  <c r="F13" i="9"/>
  <c r="E13" i="9"/>
  <c r="D13" i="9"/>
  <c r="K12" i="9"/>
  <c r="J12" i="9"/>
  <c r="I12" i="9"/>
  <c r="H12" i="9"/>
  <c r="G12" i="9"/>
  <c r="F12" i="9"/>
  <c r="E12" i="9"/>
  <c r="D12" i="9"/>
  <c r="K11" i="9"/>
  <c r="J11" i="9"/>
  <c r="I11" i="9"/>
  <c r="H11" i="9"/>
  <c r="G11" i="9"/>
  <c r="F11" i="9"/>
  <c r="E11" i="9"/>
  <c r="D11" i="9"/>
  <c r="J37" i="2"/>
  <c r="J36" i="2"/>
  <c r="O41" i="2"/>
  <c r="J10" i="4" l="1"/>
  <c r="L10" i="4" s="1"/>
  <c r="C13" i="3"/>
  <c r="C19" i="3" l="1"/>
  <c r="D19" i="3"/>
  <c r="E19" i="3"/>
  <c r="E17" i="3"/>
  <c r="D17" i="3"/>
  <c r="C17" i="3"/>
  <c r="E13" i="3"/>
  <c r="D13" i="3"/>
  <c r="E12" i="3"/>
  <c r="D12" i="3"/>
  <c r="C12" i="3"/>
  <c r="E11" i="3"/>
  <c r="D11" i="3"/>
  <c r="C11" i="3"/>
  <c r="E15" i="2"/>
  <c r="E12" i="2"/>
  <c r="E9" i="2"/>
  <c r="E7" i="2"/>
  <c r="F9" i="2"/>
  <c r="F7" i="2"/>
  <c r="I15" i="2"/>
  <c r="I12" i="2"/>
  <c r="I9" i="2"/>
  <c r="I7" i="2"/>
  <c r="I22" i="2" s="1"/>
  <c r="G15" i="2"/>
  <c r="G12" i="2"/>
  <c r="G9" i="2"/>
  <c r="G7" i="2"/>
  <c r="G6" i="2"/>
  <c r="F8" i="2" l="1"/>
  <c r="F59" i="2"/>
  <c r="G8" i="2"/>
  <c r="G22" i="2"/>
  <c r="K235" i="11" l="1"/>
  <c r="J235" i="11"/>
  <c r="I235" i="11"/>
  <c r="H235" i="11"/>
  <c r="G235" i="11"/>
  <c r="F235" i="11"/>
  <c r="E235" i="11"/>
  <c r="D235" i="11"/>
  <c r="K234" i="11"/>
  <c r="J234" i="11"/>
  <c r="I234" i="11"/>
  <c r="H234" i="11"/>
  <c r="G234" i="11"/>
  <c r="F234" i="11"/>
  <c r="E234" i="11"/>
  <c r="D234" i="11"/>
  <c r="K233" i="11"/>
  <c r="J233" i="11"/>
  <c r="I233" i="11"/>
  <c r="H233" i="11"/>
  <c r="G233" i="11"/>
  <c r="F233" i="11"/>
  <c r="E233" i="11"/>
  <c r="D233" i="11"/>
  <c r="K232" i="11"/>
  <c r="J232" i="11"/>
  <c r="I232" i="11"/>
  <c r="H232" i="11"/>
  <c r="G232" i="11"/>
  <c r="F232" i="11"/>
  <c r="E232" i="11"/>
  <c r="D232" i="11"/>
  <c r="K231" i="11"/>
  <c r="J231" i="11"/>
  <c r="I231" i="11"/>
  <c r="H231" i="11"/>
  <c r="G231" i="11"/>
  <c r="F231" i="11"/>
  <c r="E231" i="11"/>
  <c r="D231" i="11"/>
  <c r="K230" i="11"/>
  <c r="J230" i="11"/>
  <c r="I230" i="11"/>
  <c r="H230" i="11"/>
  <c r="G230" i="11"/>
  <c r="F230" i="11"/>
  <c r="E230" i="11"/>
  <c r="D230" i="11"/>
  <c r="K229" i="11"/>
  <c r="J229" i="11"/>
  <c r="I229" i="11"/>
  <c r="H229" i="11"/>
  <c r="G229" i="11"/>
  <c r="F229" i="11"/>
  <c r="E229" i="11"/>
  <c r="D229" i="11"/>
  <c r="K228" i="11"/>
  <c r="J228" i="11"/>
  <c r="I228" i="11"/>
  <c r="H228" i="11"/>
  <c r="G228" i="11"/>
  <c r="F228" i="11"/>
  <c r="E228" i="11"/>
  <c r="D228" i="11"/>
  <c r="K227" i="11"/>
  <c r="J227" i="11"/>
  <c r="I227" i="11"/>
  <c r="H227" i="11"/>
  <c r="G227" i="11"/>
  <c r="F227" i="11"/>
  <c r="E227" i="11"/>
  <c r="D227" i="11"/>
  <c r="K226" i="11"/>
  <c r="J226" i="11"/>
  <c r="I226" i="11"/>
  <c r="H226" i="11"/>
  <c r="G226" i="11"/>
  <c r="F226" i="11"/>
  <c r="E226" i="11"/>
  <c r="D226" i="11"/>
  <c r="K225" i="11"/>
  <c r="J225" i="11"/>
  <c r="I225" i="11"/>
  <c r="H225" i="11"/>
  <c r="G225" i="11"/>
  <c r="F225" i="11"/>
  <c r="E225" i="11"/>
  <c r="D225" i="11"/>
  <c r="K224" i="11"/>
  <c r="J224" i="11"/>
  <c r="I224" i="11"/>
  <c r="H224" i="11"/>
  <c r="G224" i="11"/>
  <c r="F224" i="11"/>
  <c r="E224" i="11"/>
  <c r="D224" i="11"/>
  <c r="K223" i="11"/>
  <c r="J223" i="11"/>
  <c r="I223" i="11"/>
  <c r="H223" i="11"/>
  <c r="G223" i="11"/>
  <c r="F223" i="11"/>
  <c r="E223" i="11"/>
  <c r="D223" i="11"/>
  <c r="K222" i="11"/>
  <c r="J222" i="11"/>
  <c r="I222" i="11"/>
  <c r="H222" i="11"/>
  <c r="G222" i="11"/>
  <c r="F222" i="11"/>
  <c r="E222" i="11"/>
  <c r="D222" i="11"/>
  <c r="K221" i="11"/>
  <c r="J221" i="11"/>
  <c r="I221" i="11"/>
  <c r="H221" i="11"/>
  <c r="G221" i="11"/>
  <c r="F221" i="11"/>
  <c r="E221" i="11"/>
  <c r="D221" i="11"/>
  <c r="K220" i="11"/>
  <c r="J220" i="11"/>
  <c r="I220" i="11"/>
  <c r="H220" i="11"/>
  <c r="G220" i="11"/>
  <c r="F220" i="11"/>
  <c r="E220" i="11"/>
  <c r="D220" i="11"/>
  <c r="K219" i="11"/>
  <c r="J219" i="11"/>
  <c r="I219" i="11"/>
  <c r="H219" i="11"/>
  <c r="G219" i="11"/>
  <c r="F219" i="11"/>
  <c r="E219" i="11"/>
  <c r="D219" i="11"/>
  <c r="K218" i="11"/>
  <c r="J218" i="11"/>
  <c r="I218" i="11"/>
  <c r="H218" i="11"/>
  <c r="G218" i="11"/>
  <c r="F218" i="11"/>
  <c r="E218" i="11"/>
  <c r="D218" i="11"/>
  <c r="K217" i="11"/>
  <c r="J217" i="11"/>
  <c r="I217" i="11"/>
  <c r="H217" i="11"/>
  <c r="G217" i="11"/>
  <c r="F217" i="11"/>
  <c r="E217" i="11"/>
  <c r="D217" i="11"/>
  <c r="K216" i="11"/>
  <c r="J216" i="11"/>
  <c r="I216" i="11"/>
  <c r="H216" i="11"/>
  <c r="G216" i="11"/>
  <c r="F216" i="11"/>
  <c r="E216" i="11"/>
  <c r="D216" i="11"/>
  <c r="K215" i="11"/>
  <c r="J215" i="11"/>
  <c r="I215" i="11"/>
  <c r="H215" i="11"/>
  <c r="G215" i="11"/>
  <c r="F215" i="11"/>
  <c r="E215" i="11"/>
  <c r="D215" i="11"/>
  <c r="K214" i="11"/>
  <c r="J214" i="11"/>
  <c r="I214" i="11"/>
  <c r="H214" i="11"/>
  <c r="G214" i="11"/>
  <c r="F214" i="11"/>
  <c r="E214" i="11"/>
  <c r="D214" i="11"/>
  <c r="K213" i="11"/>
  <c r="J213" i="11"/>
  <c r="I213" i="11"/>
  <c r="H213" i="11"/>
  <c r="G213" i="11"/>
  <c r="F213" i="11"/>
  <c r="E213" i="11"/>
  <c r="D213" i="11"/>
  <c r="K212" i="11"/>
  <c r="J212" i="11"/>
  <c r="I212" i="11"/>
  <c r="H212" i="11"/>
  <c r="G212" i="11"/>
  <c r="F212" i="11"/>
  <c r="E212" i="11"/>
  <c r="D212" i="11"/>
  <c r="K211" i="11"/>
  <c r="J211" i="11"/>
  <c r="I211" i="11"/>
  <c r="H211" i="11"/>
  <c r="G211" i="11"/>
  <c r="F211" i="11"/>
  <c r="E211" i="11"/>
  <c r="D211" i="11"/>
  <c r="K210" i="11"/>
  <c r="J210" i="11"/>
  <c r="I210" i="11"/>
  <c r="H210" i="11"/>
  <c r="G210" i="11"/>
  <c r="F210" i="11"/>
  <c r="E210" i="11"/>
  <c r="D210" i="11"/>
  <c r="K209" i="11"/>
  <c r="J209" i="11"/>
  <c r="I209" i="11"/>
  <c r="H209" i="11"/>
  <c r="G209" i="11"/>
  <c r="F209" i="11"/>
  <c r="E209" i="11"/>
  <c r="D209" i="11"/>
  <c r="K208" i="11"/>
  <c r="J208" i="11"/>
  <c r="I208" i="11"/>
  <c r="H208" i="11"/>
  <c r="G208" i="11"/>
  <c r="F208" i="11"/>
  <c r="E208" i="11"/>
  <c r="D208" i="11"/>
  <c r="K207" i="11"/>
  <c r="J207" i="11"/>
  <c r="I207" i="11"/>
  <c r="H207" i="11"/>
  <c r="G207" i="11"/>
  <c r="F207" i="11"/>
  <c r="E207" i="11"/>
  <c r="D207" i="11"/>
  <c r="K206" i="11"/>
  <c r="J206" i="11"/>
  <c r="I206" i="11"/>
  <c r="H206" i="11"/>
  <c r="G206" i="11"/>
  <c r="F206" i="11"/>
  <c r="E206" i="11"/>
  <c r="D206" i="11"/>
  <c r="K205" i="11"/>
  <c r="J205" i="11"/>
  <c r="I205" i="11"/>
  <c r="H205" i="11"/>
  <c r="G205" i="11"/>
  <c r="F205" i="11"/>
  <c r="E205" i="11"/>
  <c r="D205" i="11"/>
  <c r="K204" i="11"/>
  <c r="J204" i="11"/>
  <c r="I204" i="11"/>
  <c r="H204" i="11"/>
  <c r="G204" i="11"/>
  <c r="F204" i="11"/>
  <c r="E204" i="11"/>
  <c r="D204" i="11"/>
  <c r="K203" i="11"/>
  <c r="J203" i="11"/>
  <c r="I203" i="11"/>
  <c r="H203" i="11"/>
  <c r="G203" i="11"/>
  <c r="F203" i="11"/>
  <c r="E203" i="11"/>
  <c r="D203" i="11"/>
  <c r="K202" i="11"/>
  <c r="J202" i="11"/>
  <c r="I202" i="11"/>
  <c r="H202" i="11"/>
  <c r="G202" i="11"/>
  <c r="F202" i="11"/>
  <c r="E202" i="11"/>
  <c r="D202" i="11"/>
  <c r="K201" i="11"/>
  <c r="J201" i="11"/>
  <c r="I201" i="11"/>
  <c r="H201" i="11"/>
  <c r="G201" i="11"/>
  <c r="F201" i="11"/>
  <c r="E201" i="11"/>
  <c r="D201" i="11"/>
  <c r="K200" i="11"/>
  <c r="J200" i="11"/>
  <c r="I200" i="11"/>
  <c r="H200" i="11"/>
  <c r="G200" i="11"/>
  <c r="F200" i="11"/>
  <c r="E200" i="11"/>
  <c r="D200" i="11"/>
  <c r="K199" i="11"/>
  <c r="J199" i="11"/>
  <c r="I199" i="11"/>
  <c r="H199" i="11"/>
  <c r="G199" i="11"/>
  <c r="F199" i="11"/>
  <c r="E199" i="11"/>
  <c r="D199" i="11"/>
  <c r="K198" i="11"/>
  <c r="J198" i="11"/>
  <c r="I198" i="11"/>
  <c r="H198" i="11"/>
  <c r="G198" i="11"/>
  <c r="F198" i="11"/>
  <c r="E198" i="11"/>
  <c r="D198" i="11"/>
  <c r="K197" i="11"/>
  <c r="J197" i="11"/>
  <c r="I197" i="11"/>
  <c r="H197" i="11"/>
  <c r="G197" i="11"/>
  <c r="F197" i="11"/>
  <c r="E197" i="11"/>
  <c r="D197" i="11"/>
  <c r="K196" i="11"/>
  <c r="J196" i="11"/>
  <c r="I196" i="11"/>
  <c r="H196" i="11"/>
  <c r="G196" i="11"/>
  <c r="F196" i="11"/>
  <c r="E196" i="11"/>
  <c r="D196" i="11"/>
  <c r="K195" i="11"/>
  <c r="J195" i="11"/>
  <c r="I195" i="11"/>
  <c r="H195" i="11"/>
  <c r="G195" i="11"/>
  <c r="F195" i="11"/>
  <c r="E195" i="11"/>
  <c r="D195" i="11"/>
  <c r="K194" i="11"/>
  <c r="J194" i="11"/>
  <c r="I194" i="11"/>
  <c r="H194" i="11"/>
  <c r="G194" i="11"/>
  <c r="F194" i="11"/>
  <c r="E194" i="11"/>
  <c r="D194" i="11"/>
  <c r="K193" i="11"/>
  <c r="J193" i="11"/>
  <c r="I193" i="11"/>
  <c r="H193" i="11"/>
  <c r="G193" i="11"/>
  <c r="F193" i="11"/>
  <c r="E193" i="11"/>
  <c r="D193" i="11"/>
  <c r="K192" i="11"/>
  <c r="J192" i="11"/>
  <c r="I192" i="11"/>
  <c r="H192" i="11"/>
  <c r="G192" i="11"/>
  <c r="F192" i="11"/>
  <c r="E192" i="11"/>
  <c r="D192" i="11"/>
  <c r="K191" i="11"/>
  <c r="J191" i="11"/>
  <c r="I191" i="11"/>
  <c r="H191" i="11"/>
  <c r="G191" i="11"/>
  <c r="F191" i="11"/>
  <c r="E191" i="11"/>
  <c r="D191" i="11"/>
  <c r="K190" i="11"/>
  <c r="J190" i="11"/>
  <c r="I190" i="11"/>
  <c r="H190" i="11"/>
  <c r="G190" i="11"/>
  <c r="F190" i="11"/>
  <c r="E190" i="11"/>
  <c r="D190" i="11"/>
  <c r="K189" i="11"/>
  <c r="J189" i="11"/>
  <c r="I189" i="11"/>
  <c r="H189" i="11"/>
  <c r="G189" i="11"/>
  <c r="F189" i="11"/>
  <c r="E189" i="11"/>
  <c r="D189" i="11"/>
  <c r="K188" i="11"/>
  <c r="J188" i="11"/>
  <c r="I188" i="11"/>
  <c r="H188" i="11"/>
  <c r="G188" i="11"/>
  <c r="F188" i="11"/>
  <c r="E188" i="11"/>
  <c r="D188" i="11"/>
  <c r="K187" i="11"/>
  <c r="J187" i="11"/>
  <c r="I187" i="11"/>
  <c r="H187" i="11"/>
  <c r="G187" i="11"/>
  <c r="F187" i="11"/>
  <c r="E187" i="11"/>
  <c r="D187" i="11"/>
  <c r="K186" i="11"/>
  <c r="J186" i="11"/>
  <c r="I186" i="11"/>
  <c r="H186" i="11"/>
  <c r="G186" i="11"/>
  <c r="F186" i="11"/>
  <c r="E186" i="11"/>
  <c r="D186" i="11"/>
  <c r="K185" i="11"/>
  <c r="J185" i="11"/>
  <c r="I185" i="11"/>
  <c r="H185" i="11"/>
  <c r="G185" i="11"/>
  <c r="F185" i="11"/>
  <c r="E185" i="11"/>
  <c r="D185" i="11"/>
  <c r="K184" i="11"/>
  <c r="J184" i="11"/>
  <c r="I184" i="11"/>
  <c r="H184" i="11"/>
  <c r="G184" i="11"/>
  <c r="F184" i="11"/>
  <c r="E184" i="11"/>
  <c r="D184" i="11"/>
  <c r="K183" i="11"/>
  <c r="J183" i="11"/>
  <c r="I183" i="11"/>
  <c r="H183" i="11"/>
  <c r="G183" i="11"/>
  <c r="F183" i="11"/>
  <c r="E183" i="11"/>
  <c r="D183" i="11"/>
  <c r="K182" i="11"/>
  <c r="J182" i="11"/>
  <c r="I182" i="11"/>
  <c r="H182" i="11"/>
  <c r="G182" i="11"/>
  <c r="F182" i="11"/>
  <c r="E182" i="11"/>
  <c r="D182" i="11"/>
  <c r="K181" i="11"/>
  <c r="J181" i="11"/>
  <c r="I181" i="11"/>
  <c r="H181" i="11"/>
  <c r="G181" i="11"/>
  <c r="F181" i="11"/>
  <c r="E181" i="11"/>
  <c r="D181" i="11"/>
  <c r="K180" i="11"/>
  <c r="J180" i="11"/>
  <c r="I180" i="11"/>
  <c r="H180" i="11"/>
  <c r="G180" i="11"/>
  <c r="F180" i="11"/>
  <c r="E180" i="11"/>
  <c r="D180" i="11"/>
  <c r="K179" i="11"/>
  <c r="J179" i="11"/>
  <c r="I179" i="11"/>
  <c r="H179" i="11"/>
  <c r="G179" i="11"/>
  <c r="F179" i="11"/>
  <c r="E179" i="11"/>
  <c r="D179" i="11"/>
  <c r="K178" i="11"/>
  <c r="J178" i="11"/>
  <c r="I178" i="11"/>
  <c r="H178" i="11"/>
  <c r="G178" i="11"/>
  <c r="F178" i="11"/>
  <c r="E178" i="11"/>
  <c r="D178" i="11"/>
  <c r="K177" i="11"/>
  <c r="J177" i="11"/>
  <c r="I177" i="11"/>
  <c r="H177" i="11"/>
  <c r="G177" i="11"/>
  <c r="F177" i="11"/>
  <c r="E177" i="11"/>
  <c r="D177" i="11"/>
  <c r="K176" i="11"/>
  <c r="J176" i="11"/>
  <c r="I176" i="11"/>
  <c r="H176" i="11"/>
  <c r="G176" i="11"/>
  <c r="F176" i="11"/>
  <c r="E176" i="11"/>
  <c r="D176" i="11"/>
  <c r="K175" i="11"/>
  <c r="J175" i="11"/>
  <c r="I175" i="11"/>
  <c r="H175" i="11"/>
  <c r="G175" i="11"/>
  <c r="F175" i="11"/>
  <c r="E175" i="11"/>
  <c r="D175" i="11"/>
  <c r="K174" i="11"/>
  <c r="J174" i="11"/>
  <c r="I174" i="11"/>
  <c r="H174" i="11"/>
  <c r="G174" i="11"/>
  <c r="F174" i="11"/>
  <c r="E174" i="11"/>
  <c r="D174" i="11"/>
  <c r="K173" i="11"/>
  <c r="J173" i="11"/>
  <c r="I173" i="11"/>
  <c r="H173" i="11"/>
  <c r="G173" i="11"/>
  <c r="F173" i="11"/>
  <c r="E173" i="11"/>
  <c r="D173" i="11"/>
  <c r="K172" i="11"/>
  <c r="J172" i="11"/>
  <c r="I172" i="11"/>
  <c r="H172" i="11"/>
  <c r="G172" i="11"/>
  <c r="F172" i="11"/>
  <c r="E172" i="11"/>
  <c r="D172" i="11"/>
  <c r="K171" i="11"/>
  <c r="J171" i="11"/>
  <c r="I171" i="11"/>
  <c r="H171" i="11"/>
  <c r="G171" i="11"/>
  <c r="F171" i="11"/>
  <c r="E171" i="11"/>
  <c r="D171" i="11"/>
  <c r="K170" i="11"/>
  <c r="J170" i="11"/>
  <c r="I170" i="11"/>
  <c r="H170" i="11"/>
  <c r="G170" i="11"/>
  <c r="F170" i="11"/>
  <c r="E170" i="11"/>
  <c r="D170" i="11"/>
  <c r="K169" i="11"/>
  <c r="J169" i="11"/>
  <c r="I169" i="11"/>
  <c r="H169" i="11"/>
  <c r="G169" i="11"/>
  <c r="F169" i="11"/>
  <c r="E169" i="11"/>
  <c r="D169" i="11"/>
  <c r="K168" i="11"/>
  <c r="J168" i="11"/>
  <c r="I168" i="11"/>
  <c r="H168" i="11"/>
  <c r="G168" i="11"/>
  <c r="F168" i="11"/>
  <c r="E168" i="11"/>
  <c r="D168" i="11"/>
  <c r="K167" i="11"/>
  <c r="J167" i="11"/>
  <c r="I167" i="11"/>
  <c r="H167" i="11"/>
  <c r="G167" i="11"/>
  <c r="F167" i="11"/>
  <c r="E167" i="11"/>
  <c r="D167" i="11"/>
  <c r="K166" i="11"/>
  <c r="J166" i="11"/>
  <c r="I166" i="11"/>
  <c r="H166" i="11"/>
  <c r="G166" i="11"/>
  <c r="F166" i="11"/>
  <c r="E166" i="11"/>
  <c r="D166" i="11"/>
  <c r="K165" i="11"/>
  <c r="J165" i="11"/>
  <c r="I165" i="11"/>
  <c r="H165" i="11"/>
  <c r="G165" i="11"/>
  <c r="F165" i="11"/>
  <c r="E165" i="11"/>
  <c r="D165" i="11"/>
  <c r="K164" i="11"/>
  <c r="J164" i="11"/>
  <c r="I164" i="11"/>
  <c r="H164" i="11"/>
  <c r="G164" i="11"/>
  <c r="F164" i="11"/>
  <c r="E164" i="11"/>
  <c r="D164" i="11"/>
  <c r="K163" i="11"/>
  <c r="J163" i="11"/>
  <c r="I163" i="11"/>
  <c r="H163" i="11"/>
  <c r="G163" i="11"/>
  <c r="F163" i="11"/>
  <c r="E163" i="11"/>
  <c r="D163" i="11"/>
  <c r="K162" i="11"/>
  <c r="J162" i="11"/>
  <c r="I162" i="11"/>
  <c r="H162" i="11"/>
  <c r="G162" i="11"/>
  <c r="F162" i="11"/>
  <c r="E162" i="11"/>
  <c r="D162" i="11"/>
  <c r="K161" i="11"/>
  <c r="J161" i="11"/>
  <c r="I161" i="11"/>
  <c r="H161" i="11"/>
  <c r="G161" i="11"/>
  <c r="F161" i="11"/>
  <c r="E161" i="11"/>
  <c r="D161" i="11"/>
  <c r="K160" i="11"/>
  <c r="J160" i="11"/>
  <c r="I160" i="11"/>
  <c r="H160" i="11"/>
  <c r="G160" i="11"/>
  <c r="F160" i="11"/>
  <c r="E160" i="11"/>
  <c r="D160" i="11"/>
  <c r="K159" i="11"/>
  <c r="J159" i="11"/>
  <c r="I159" i="11"/>
  <c r="H159" i="11"/>
  <c r="G159" i="11"/>
  <c r="F159" i="11"/>
  <c r="E159" i="11"/>
  <c r="D159" i="11"/>
  <c r="K158" i="11"/>
  <c r="J158" i="11"/>
  <c r="I158" i="11"/>
  <c r="H158" i="11"/>
  <c r="G158" i="11"/>
  <c r="F158" i="11"/>
  <c r="E158" i="11"/>
  <c r="D158" i="11"/>
  <c r="K157" i="11"/>
  <c r="J157" i="11"/>
  <c r="I157" i="11"/>
  <c r="H157" i="11"/>
  <c r="G157" i="11"/>
  <c r="F157" i="11"/>
  <c r="E157" i="11"/>
  <c r="D157" i="11"/>
  <c r="K156" i="11"/>
  <c r="J156" i="11"/>
  <c r="I156" i="11"/>
  <c r="H156" i="11"/>
  <c r="G156" i="11"/>
  <c r="F156" i="11"/>
  <c r="E156" i="11"/>
  <c r="D156" i="11"/>
  <c r="K155" i="11"/>
  <c r="J155" i="11"/>
  <c r="I155" i="11"/>
  <c r="H155" i="11"/>
  <c r="G155" i="11"/>
  <c r="F155" i="11"/>
  <c r="E155" i="11"/>
  <c r="D155" i="11"/>
  <c r="K154" i="11"/>
  <c r="J154" i="11"/>
  <c r="I154" i="11"/>
  <c r="H154" i="11"/>
  <c r="G154" i="11"/>
  <c r="F154" i="11"/>
  <c r="E154" i="11"/>
  <c r="D154" i="11"/>
  <c r="K153" i="11"/>
  <c r="J153" i="11"/>
  <c r="I153" i="11"/>
  <c r="H153" i="11"/>
  <c r="G153" i="11"/>
  <c r="F153" i="11"/>
  <c r="E153" i="11"/>
  <c r="D153" i="11"/>
  <c r="K152" i="11"/>
  <c r="J152" i="11"/>
  <c r="I152" i="11"/>
  <c r="H152" i="11"/>
  <c r="G152" i="11"/>
  <c r="F152" i="11"/>
  <c r="E152" i="11"/>
  <c r="D152" i="11"/>
  <c r="K151" i="11"/>
  <c r="J151" i="11"/>
  <c r="I151" i="11"/>
  <c r="H151" i="11"/>
  <c r="G151" i="11"/>
  <c r="F151" i="11"/>
  <c r="E151" i="11"/>
  <c r="D151" i="11"/>
  <c r="K150" i="11"/>
  <c r="J150" i="11"/>
  <c r="I150" i="11"/>
  <c r="H150" i="11"/>
  <c r="G150" i="11"/>
  <c r="F150" i="11"/>
  <c r="E150" i="11"/>
  <c r="D150" i="11"/>
  <c r="K149" i="11"/>
  <c r="J149" i="11"/>
  <c r="I149" i="11"/>
  <c r="H149" i="11"/>
  <c r="G149" i="11"/>
  <c r="F149" i="11"/>
  <c r="E149" i="11"/>
  <c r="D149" i="11"/>
  <c r="K148" i="11"/>
  <c r="J148" i="11"/>
  <c r="I148" i="11"/>
  <c r="H148" i="11"/>
  <c r="G148" i="11"/>
  <c r="F148" i="11"/>
  <c r="E148" i="11"/>
  <c r="D148" i="11"/>
  <c r="K147" i="11"/>
  <c r="J147" i="11"/>
  <c r="I147" i="11"/>
  <c r="H147" i="11"/>
  <c r="G147" i="11"/>
  <c r="F147" i="11"/>
  <c r="E147" i="11"/>
  <c r="D147" i="11"/>
  <c r="K146" i="11"/>
  <c r="J146" i="11"/>
  <c r="I146" i="11"/>
  <c r="H146" i="11"/>
  <c r="G146" i="11"/>
  <c r="F146" i="11"/>
  <c r="E146" i="11"/>
  <c r="D146" i="11"/>
  <c r="K145" i="11"/>
  <c r="J145" i="11"/>
  <c r="I145" i="11"/>
  <c r="H145" i="11"/>
  <c r="G145" i="11"/>
  <c r="F145" i="11"/>
  <c r="E145" i="11"/>
  <c r="D145" i="11"/>
  <c r="K144" i="11"/>
  <c r="J144" i="11"/>
  <c r="I144" i="11"/>
  <c r="H144" i="11"/>
  <c r="G144" i="11"/>
  <c r="F144" i="11"/>
  <c r="E144" i="11"/>
  <c r="D144" i="11"/>
  <c r="K143" i="11"/>
  <c r="J143" i="11"/>
  <c r="I143" i="11"/>
  <c r="H143" i="11"/>
  <c r="G143" i="11"/>
  <c r="F143" i="11"/>
  <c r="E143" i="11"/>
  <c r="D143" i="11"/>
  <c r="K142" i="11"/>
  <c r="J142" i="11"/>
  <c r="I142" i="11"/>
  <c r="H142" i="11"/>
  <c r="G142" i="11"/>
  <c r="F142" i="11"/>
  <c r="E142" i="11"/>
  <c r="D142" i="11"/>
  <c r="K141" i="11"/>
  <c r="J141" i="11"/>
  <c r="I141" i="11"/>
  <c r="H141" i="11"/>
  <c r="G141" i="11"/>
  <c r="F141" i="11"/>
  <c r="E141" i="11"/>
  <c r="D141" i="11"/>
  <c r="K140" i="11"/>
  <c r="J140" i="11"/>
  <c r="I140" i="11"/>
  <c r="H140" i="11"/>
  <c r="G140" i="11"/>
  <c r="F140" i="11"/>
  <c r="E140" i="11"/>
  <c r="D140" i="11"/>
  <c r="K139" i="11"/>
  <c r="J139" i="11"/>
  <c r="I139" i="11"/>
  <c r="H139" i="11"/>
  <c r="G139" i="11"/>
  <c r="F139" i="11"/>
  <c r="E139" i="11"/>
  <c r="D139" i="11"/>
  <c r="K138" i="11"/>
  <c r="J138" i="11"/>
  <c r="I138" i="11"/>
  <c r="H138" i="11"/>
  <c r="G138" i="11"/>
  <c r="F138" i="11"/>
  <c r="E138" i="11"/>
  <c r="D138" i="11"/>
  <c r="K137" i="11"/>
  <c r="J137" i="11"/>
  <c r="I137" i="11"/>
  <c r="H137" i="11"/>
  <c r="G137" i="11"/>
  <c r="F137" i="11"/>
  <c r="E137" i="11"/>
  <c r="D137" i="11"/>
  <c r="K136" i="11"/>
  <c r="J136" i="11"/>
  <c r="I136" i="11"/>
  <c r="H136" i="11"/>
  <c r="G136" i="11"/>
  <c r="F136" i="11"/>
  <c r="E136" i="11"/>
  <c r="D136" i="11"/>
  <c r="K135" i="11"/>
  <c r="J135" i="11"/>
  <c r="I135" i="11"/>
  <c r="H135" i="11"/>
  <c r="G135" i="11"/>
  <c r="F135" i="11"/>
  <c r="E135" i="11"/>
  <c r="D135" i="11"/>
  <c r="K134" i="11"/>
  <c r="J134" i="11"/>
  <c r="I134" i="11"/>
  <c r="H134" i="11"/>
  <c r="G134" i="11"/>
  <c r="F134" i="11"/>
  <c r="E134" i="11"/>
  <c r="D134" i="11"/>
  <c r="K133" i="11"/>
  <c r="J133" i="11"/>
  <c r="I133" i="11"/>
  <c r="H133" i="11"/>
  <c r="G133" i="11"/>
  <c r="F133" i="11"/>
  <c r="E133" i="11"/>
  <c r="D133" i="11"/>
  <c r="K132" i="11"/>
  <c r="J132" i="11"/>
  <c r="I132" i="11"/>
  <c r="H132" i="11"/>
  <c r="G132" i="11"/>
  <c r="F132" i="11"/>
  <c r="E132" i="11"/>
  <c r="D132" i="11"/>
  <c r="K131" i="11"/>
  <c r="J131" i="11"/>
  <c r="I131" i="11"/>
  <c r="H131" i="11"/>
  <c r="G131" i="11"/>
  <c r="F131" i="11"/>
  <c r="E131" i="11"/>
  <c r="D131" i="11"/>
  <c r="K130" i="11"/>
  <c r="J130" i="11"/>
  <c r="I130" i="11"/>
  <c r="H130" i="11"/>
  <c r="G130" i="11"/>
  <c r="F130" i="11"/>
  <c r="E130" i="11"/>
  <c r="D130" i="11"/>
  <c r="K129" i="11"/>
  <c r="J129" i="11"/>
  <c r="I129" i="11"/>
  <c r="H129" i="11"/>
  <c r="G129" i="11"/>
  <c r="F129" i="11"/>
  <c r="E129" i="11"/>
  <c r="D129" i="11"/>
  <c r="K128" i="11"/>
  <c r="J128" i="11"/>
  <c r="I128" i="11"/>
  <c r="H128" i="11"/>
  <c r="G128" i="11"/>
  <c r="F128" i="11"/>
  <c r="E128" i="11"/>
  <c r="D128" i="11"/>
  <c r="K127" i="11"/>
  <c r="J127" i="11"/>
  <c r="I127" i="11"/>
  <c r="H127" i="11"/>
  <c r="G127" i="11"/>
  <c r="F127" i="11"/>
  <c r="E127" i="11"/>
  <c r="D127" i="11"/>
  <c r="K126" i="11"/>
  <c r="J126" i="11"/>
  <c r="I126" i="11"/>
  <c r="H126" i="11"/>
  <c r="G126" i="11"/>
  <c r="F126" i="11"/>
  <c r="E126" i="11"/>
  <c r="D126" i="11"/>
  <c r="K125" i="11"/>
  <c r="J125" i="11"/>
  <c r="I125" i="11"/>
  <c r="H125" i="11"/>
  <c r="G125" i="11"/>
  <c r="F125" i="11"/>
  <c r="E125" i="11"/>
  <c r="D125" i="11"/>
  <c r="K124" i="11"/>
  <c r="J124" i="11"/>
  <c r="I124" i="11"/>
  <c r="H124" i="11"/>
  <c r="G124" i="11"/>
  <c r="F124" i="11"/>
  <c r="E124" i="11"/>
  <c r="D124" i="11"/>
  <c r="K123" i="11"/>
  <c r="J123" i="11"/>
  <c r="I123" i="11"/>
  <c r="H123" i="11"/>
  <c r="G123" i="11"/>
  <c r="F123" i="11"/>
  <c r="E123" i="11"/>
  <c r="D123" i="11"/>
  <c r="K122" i="11"/>
  <c r="J122" i="11"/>
  <c r="I122" i="11"/>
  <c r="H122" i="11"/>
  <c r="G122" i="11"/>
  <c r="F122" i="11"/>
  <c r="E122" i="11"/>
  <c r="D122" i="11"/>
  <c r="K121" i="11"/>
  <c r="J121" i="11"/>
  <c r="I121" i="11"/>
  <c r="H121" i="11"/>
  <c r="G121" i="11"/>
  <c r="F121" i="11"/>
  <c r="E121" i="11"/>
  <c r="D121" i="11"/>
  <c r="K120" i="11"/>
  <c r="J120" i="11"/>
  <c r="I120" i="11"/>
  <c r="H120" i="11"/>
  <c r="G120" i="11"/>
  <c r="F120" i="11"/>
  <c r="E120" i="11"/>
  <c r="D120" i="11"/>
  <c r="K119" i="11"/>
  <c r="J119" i="11"/>
  <c r="I119" i="11"/>
  <c r="H119" i="11"/>
  <c r="G119" i="11"/>
  <c r="F119" i="11"/>
  <c r="E119" i="11"/>
  <c r="D119" i="11"/>
  <c r="K118" i="11"/>
  <c r="J118" i="11"/>
  <c r="I118" i="11"/>
  <c r="H118" i="11"/>
  <c r="G118" i="11"/>
  <c r="F118" i="11"/>
  <c r="E118" i="11"/>
  <c r="D118" i="11"/>
  <c r="K117" i="11"/>
  <c r="J117" i="11"/>
  <c r="I117" i="11"/>
  <c r="H117" i="11"/>
  <c r="G117" i="11"/>
  <c r="F117" i="11"/>
  <c r="E117" i="11"/>
  <c r="D117" i="11"/>
  <c r="K116" i="11"/>
  <c r="J116" i="11"/>
  <c r="I116" i="11"/>
  <c r="H116" i="11"/>
  <c r="G116" i="11"/>
  <c r="F116" i="11"/>
  <c r="E116" i="11"/>
  <c r="D116" i="11"/>
  <c r="K115" i="11"/>
  <c r="J115" i="11"/>
  <c r="I115" i="11"/>
  <c r="H115" i="11"/>
  <c r="G115" i="11"/>
  <c r="F115" i="11"/>
  <c r="E115" i="11"/>
  <c r="D115" i="11"/>
  <c r="K114" i="11"/>
  <c r="J114" i="11"/>
  <c r="I114" i="11"/>
  <c r="H114" i="11"/>
  <c r="G114" i="11"/>
  <c r="F114" i="11"/>
  <c r="E114" i="11"/>
  <c r="D114" i="11"/>
  <c r="K113" i="11"/>
  <c r="J113" i="11"/>
  <c r="I113" i="11"/>
  <c r="H113" i="11"/>
  <c r="G113" i="11"/>
  <c r="F113" i="11"/>
  <c r="E113" i="11"/>
  <c r="D113" i="11"/>
  <c r="K112" i="11"/>
  <c r="J112" i="11"/>
  <c r="I112" i="11"/>
  <c r="H112" i="11"/>
  <c r="G112" i="11"/>
  <c r="F112" i="11"/>
  <c r="E112" i="11"/>
  <c r="D112" i="11"/>
  <c r="K111" i="11"/>
  <c r="J111" i="11"/>
  <c r="I111" i="11"/>
  <c r="H111" i="11"/>
  <c r="G111" i="11"/>
  <c r="F111" i="11"/>
  <c r="E111" i="11"/>
  <c r="D111" i="11"/>
  <c r="K110" i="11"/>
  <c r="J110" i="11"/>
  <c r="I110" i="11"/>
  <c r="H110" i="11"/>
  <c r="G110" i="11"/>
  <c r="F110" i="11"/>
  <c r="E110" i="11"/>
  <c r="D110" i="11"/>
  <c r="K109" i="11"/>
  <c r="J109" i="11"/>
  <c r="I109" i="11"/>
  <c r="H109" i="11"/>
  <c r="G109" i="11"/>
  <c r="F109" i="11"/>
  <c r="E109" i="11"/>
  <c r="D109" i="11"/>
  <c r="K108" i="11"/>
  <c r="J108" i="11"/>
  <c r="I108" i="11"/>
  <c r="H108" i="11"/>
  <c r="G108" i="11"/>
  <c r="F108" i="11"/>
  <c r="E108" i="11"/>
  <c r="D108" i="11"/>
  <c r="K107" i="11"/>
  <c r="J107" i="11"/>
  <c r="I107" i="11"/>
  <c r="H107" i="11"/>
  <c r="G107" i="11"/>
  <c r="F107" i="11"/>
  <c r="E107" i="11"/>
  <c r="D107" i="11"/>
  <c r="K106" i="11"/>
  <c r="J106" i="11"/>
  <c r="I106" i="11"/>
  <c r="H106" i="11"/>
  <c r="G106" i="11"/>
  <c r="F106" i="11"/>
  <c r="E106" i="11"/>
  <c r="D106" i="11"/>
  <c r="K105" i="11"/>
  <c r="J105" i="11"/>
  <c r="I105" i="11"/>
  <c r="H105" i="11"/>
  <c r="G105" i="11"/>
  <c r="F105" i="11"/>
  <c r="E105" i="11"/>
  <c r="D105" i="11"/>
  <c r="K104" i="11"/>
  <c r="J104" i="11"/>
  <c r="I104" i="11"/>
  <c r="H104" i="11"/>
  <c r="G104" i="11"/>
  <c r="F104" i="11"/>
  <c r="E104" i="11"/>
  <c r="D104" i="11"/>
  <c r="K103" i="11"/>
  <c r="J103" i="11"/>
  <c r="I103" i="11"/>
  <c r="H103" i="11"/>
  <c r="G103" i="11"/>
  <c r="F103" i="11"/>
  <c r="E103" i="11"/>
  <c r="D103" i="11"/>
  <c r="K102" i="11"/>
  <c r="J102" i="11"/>
  <c r="I102" i="11"/>
  <c r="H102" i="11"/>
  <c r="G102" i="11"/>
  <c r="F102" i="11"/>
  <c r="E102" i="11"/>
  <c r="D102" i="11"/>
  <c r="K101" i="11"/>
  <c r="J101" i="11"/>
  <c r="I101" i="11"/>
  <c r="H101" i="11"/>
  <c r="G101" i="11"/>
  <c r="F101" i="11"/>
  <c r="E101" i="11"/>
  <c r="D101" i="11"/>
  <c r="K100" i="11"/>
  <c r="J100" i="11"/>
  <c r="I100" i="11"/>
  <c r="H100" i="11"/>
  <c r="G100" i="11"/>
  <c r="F100" i="11"/>
  <c r="E100" i="11"/>
  <c r="D100" i="11"/>
  <c r="K99" i="11"/>
  <c r="J99" i="11"/>
  <c r="I99" i="11"/>
  <c r="H99" i="11"/>
  <c r="G99" i="11"/>
  <c r="F99" i="11"/>
  <c r="E99" i="11"/>
  <c r="D99" i="11"/>
  <c r="K98" i="11"/>
  <c r="J98" i="11"/>
  <c r="I98" i="11"/>
  <c r="H98" i="11"/>
  <c r="G98" i="11"/>
  <c r="F98" i="11"/>
  <c r="E98" i="11"/>
  <c r="D98" i="11"/>
  <c r="K97" i="11"/>
  <c r="J97" i="11"/>
  <c r="I97" i="11"/>
  <c r="H97" i="11"/>
  <c r="G97" i="11"/>
  <c r="F97" i="11"/>
  <c r="E97" i="11"/>
  <c r="D97" i="11"/>
  <c r="K96" i="11"/>
  <c r="J96" i="11"/>
  <c r="I96" i="11"/>
  <c r="H96" i="11"/>
  <c r="G96" i="11"/>
  <c r="F96" i="11"/>
  <c r="E96" i="11"/>
  <c r="D96" i="11"/>
  <c r="K95" i="11"/>
  <c r="J95" i="11"/>
  <c r="I95" i="11"/>
  <c r="H95" i="11"/>
  <c r="G95" i="11"/>
  <c r="F95" i="11"/>
  <c r="E95" i="11"/>
  <c r="D95" i="11"/>
  <c r="K94" i="11"/>
  <c r="J94" i="11"/>
  <c r="I94" i="11"/>
  <c r="H94" i="11"/>
  <c r="G94" i="11"/>
  <c r="F94" i="11"/>
  <c r="E94" i="11"/>
  <c r="D94" i="11"/>
  <c r="K93" i="11"/>
  <c r="J93" i="11"/>
  <c r="I93" i="11"/>
  <c r="H93" i="11"/>
  <c r="G93" i="11"/>
  <c r="F93" i="11"/>
  <c r="E93" i="11"/>
  <c r="D93" i="11"/>
  <c r="K92" i="11"/>
  <c r="J92" i="11"/>
  <c r="I92" i="11"/>
  <c r="H92" i="11"/>
  <c r="G92" i="11"/>
  <c r="F92" i="11"/>
  <c r="E92" i="11"/>
  <c r="D92" i="11"/>
  <c r="K91" i="11"/>
  <c r="J91" i="11"/>
  <c r="I91" i="11"/>
  <c r="H91" i="11"/>
  <c r="G91" i="11"/>
  <c r="F91" i="11"/>
  <c r="E91" i="11"/>
  <c r="D91" i="11"/>
  <c r="K90" i="11"/>
  <c r="J90" i="11"/>
  <c r="I90" i="11"/>
  <c r="H90" i="11"/>
  <c r="G90" i="11"/>
  <c r="F90" i="11"/>
  <c r="E90" i="11"/>
  <c r="D90" i="11"/>
  <c r="K89" i="11"/>
  <c r="J89" i="11"/>
  <c r="I89" i="11"/>
  <c r="H89" i="11"/>
  <c r="G89" i="11"/>
  <c r="F89" i="11"/>
  <c r="E89" i="11"/>
  <c r="D89" i="11"/>
  <c r="K88" i="11"/>
  <c r="J88" i="11"/>
  <c r="I88" i="11"/>
  <c r="H88" i="11"/>
  <c r="G88" i="11"/>
  <c r="F88" i="11"/>
  <c r="E88" i="11"/>
  <c r="D88" i="11"/>
  <c r="K87" i="11"/>
  <c r="J87" i="11"/>
  <c r="I87" i="11"/>
  <c r="H87" i="11"/>
  <c r="G87" i="11"/>
  <c r="F87" i="11"/>
  <c r="E87" i="11"/>
  <c r="D87" i="11"/>
  <c r="K86" i="11"/>
  <c r="J86" i="11"/>
  <c r="I86" i="11"/>
  <c r="H86" i="11"/>
  <c r="G86" i="11"/>
  <c r="F86" i="11"/>
  <c r="E86" i="11"/>
  <c r="D86" i="11"/>
  <c r="K85" i="11"/>
  <c r="J85" i="11"/>
  <c r="I85" i="11"/>
  <c r="H85" i="11"/>
  <c r="G85" i="11"/>
  <c r="F85" i="11"/>
  <c r="E85" i="11"/>
  <c r="D85" i="11"/>
  <c r="K84" i="11"/>
  <c r="J84" i="11"/>
  <c r="I84" i="11"/>
  <c r="H84" i="11"/>
  <c r="G84" i="11"/>
  <c r="F84" i="11"/>
  <c r="E84" i="11"/>
  <c r="D84" i="11"/>
  <c r="K83" i="11"/>
  <c r="J83" i="11"/>
  <c r="I83" i="11"/>
  <c r="H83" i="11"/>
  <c r="G83" i="11"/>
  <c r="F83" i="11"/>
  <c r="E83" i="11"/>
  <c r="D83" i="11"/>
  <c r="K82" i="11"/>
  <c r="J82" i="11"/>
  <c r="I82" i="11"/>
  <c r="H82" i="11"/>
  <c r="G82" i="11"/>
  <c r="F82" i="11"/>
  <c r="E82" i="11"/>
  <c r="D82" i="11"/>
  <c r="K81" i="11"/>
  <c r="J81" i="11"/>
  <c r="I81" i="11"/>
  <c r="H81" i="11"/>
  <c r="G81" i="11"/>
  <c r="F81" i="11"/>
  <c r="E81" i="11"/>
  <c r="D81" i="11"/>
  <c r="K80" i="11"/>
  <c r="J80" i="11"/>
  <c r="I80" i="11"/>
  <c r="H80" i="11"/>
  <c r="G80" i="11"/>
  <c r="F80" i="11"/>
  <c r="E80" i="11"/>
  <c r="D80" i="11"/>
  <c r="K79" i="11"/>
  <c r="J79" i="11"/>
  <c r="I79" i="11"/>
  <c r="H79" i="11"/>
  <c r="G79" i="11"/>
  <c r="F79" i="11"/>
  <c r="E79" i="11"/>
  <c r="D79" i="11"/>
  <c r="K78" i="11"/>
  <c r="J78" i="11"/>
  <c r="I78" i="11"/>
  <c r="H78" i="11"/>
  <c r="G78" i="11"/>
  <c r="F78" i="11"/>
  <c r="E78" i="11"/>
  <c r="D78" i="11"/>
  <c r="K77" i="11"/>
  <c r="J77" i="11"/>
  <c r="I77" i="11"/>
  <c r="H77" i="11"/>
  <c r="G77" i="11"/>
  <c r="F77" i="11"/>
  <c r="E77" i="11"/>
  <c r="D77" i="11"/>
  <c r="K76" i="11"/>
  <c r="J76" i="11"/>
  <c r="I76" i="11"/>
  <c r="H76" i="11"/>
  <c r="G76" i="11"/>
  <c r="F76" i="11"/>
  <c r="E76" i="11"/>
  <c r="D76" i="11"/>
  <c r="K75" i="11"/>
  <c r="J75" i="11"/>
  <c r="I75" i="11"/>
  <c r="H75" i="11"/>
  <c r="G75" i="11"/>
  <c r="F75" i="11"/>
  <c r="E75" i="11"/>
  <c r="D75" i="11"/>
  <c r="K74" i="11"/>
  <c r="J74" i="11"/>
  <c r="I74" i="11"/>
  <c r="H74" i="11"/>
  <c r="G74" i="11"/>
  <c r="F74" i="11"/>
  <c r="E74" i="11"/>
  <c r="D74" i="11"/>
  <c r="K73" i="11"/>
  <c r="J73" i="11"/>
  <c r="I73" i="11"/>
  <c r="H73" i="11"/>
  <c r="G73" i="11"/>
  <c r="F73" i="11"/>
  <c r="E73" i="11"/>
  <c r="D73" i="11"/>
  <c r="K72" i="11"/>
  <c r="J72" i="11"/>
  <c r="I72" i="11"/>
  <c r="H72" i="11"/>
  <c r="G72" i="11"/>
  <c r="F72" i="11"/>
  <c r="E72" i="11"/>
  <c r="D72" i="11"/>
  <c r="K71" i="11"/>
  <c r="J71" i="11"/>
  <c r="I71" i="11"/>
  <c r="H71" i="11"/>
  <c r="G71" i="11"/>
  <c r="F71" i="11"/>
  <c r="E71" i="11"/>
  <c r="D71" i="11"/>
  <c r="K70" i="11"/>
  <c r="J70" i="11"/>
  <c r="I70" i="11"/>
  <c r="H70" i="11"/>
  <c r="G70" i="11"/>
  <c r="F70" i="11"/>
  <c r="E70" i="11"/>
  <c r="D70" i="11"/>
  <c r="K69" i="11"/>
  <c r="J69" i="11"/>
  <c r="I69" i="11"/>
  <c r="H69" i="11"/>
  <c r="G69" i="11"/>
  <c r="F69" i="11"/>
  <c r="E69" i="11"/>
  <c r="D69" i="11"/>
  <c r="K68" i="11"/>
  <c r="J68" i="11"/>
  <c r="I68" i="11"/>
  <c r="H68" i="11"/>
  <c r="G68" i="11"/>
  <c r="F68" i="11"/>
  <c r="E68" i="11"/>
  <c r="D68" i="11"/>
  <c r="K67" i="11"/>
  <c r="J67" i="11"/>
  <c r="I67" i="11"/>
  <c r="H67" i="11"/>
  <c r="G67" i="11"/>
  <c r="F67" i="11"/>
  <c r="E67" i="11"/>
  <c r="D67" i="11"/>
  <c r="K66" i="11"/>
  <c r="J66" i="11"/>
  <c r="I66" i="11"/>
  <c r="H66" i="11"/>
  <c r="G66" i="11"/>
  <c r="F66" i="11"/>
  <c r="E66" i="11"/>
  <c r="D66" i="11"/>
  <c r="K65" i="11"/>
  <c r="J65" i="11"/>
  <c r="I65" i="11"/>
  <c r="H65" i="11"/>
  <c r="G65" i="11"/>
  <c r="F65" i="11"/>
  <c r="E65" i="11"/>
  <c r="D65" i="11"/>
  <c r="K64" i="11"/>
  <c r="J64" i="11"/>
  <c r="I64" i="11"/>
  <c r="H64" i="11"/>
  <c r="G64" i="11"/>
  <c r="F64" i="11"/>
  <c r="E64" i="11"/>
  <c r="D64" i="11"/>
  <c r="K63" i="11"/>
  <c r="J63" i="11"/>
  <c r="I63" i="11"/>
  <c r="H63" i="11"/>
  <c r="G63" i="11"/>
  <c r="F63" i="11"/>
  <c r="E63" i="11"/>
  <c r="D63" i="11"/>
  <c r="K62" i="11"/>
  <c r="J62" i="11"/>
  <c r="I62" i="11"/>
  <c r="H62" i="11"/>
  <c r="G62" i="11"/>
  <c r="F62" i="11"/>
  <c r="E62" i="11"/>
  <c r="D62" i="11"/>
  <c r="K61" i="11"/>
  <c r="J61" i="11"/>
  <c r="I61" i="11"/>
  <c r="H61" i="11"/>
  <c r="G61" i="11"/>
  <c r="F61" i="11"/>
  <c r="E61" i="11"/>
  <c r="D61" i="11"/>
  <c r="K60" i="11"/>
  <c r="J60" i="11"/>
  <c r="I60" i="11"/>
  <c r="H60" i="11"/>
  <c r="G60" i="11"/>
  <c r="F60" i="11"/>
  <c r="E60" i="11"/>
  <c r="D60" i="11"/>
  <c r="K59" i="11"/>
  <c r="J59" i="11"/>
  <c r="I59" i="11"/>
  <c r="H59" i="11"/>
  <c r="G59" i="11"/>
  <c r="F59" i="11"/>
  <c r="E59" i="11"/>
  <c r="D59" i="11"/>
  <c r="K58" i="11"/>
  <c r="J58" i="11"/>
  <c r="I58" i="11"/>
  <c r="H58" i="11"/>
  <c r="G58" i="11"/>
  <c r="F58" i="11"/>
  <c r="E58" i="11"/>
  <c r="D58" i="11"/>
  <c r="K57" i="11"/>
  <c r="J57" i="11"/>
  <c r="I57" i="11"/>
  <c r="H57" i="11"/>
  <c r="G57" i="11"/>
  <c r="F57" i="11"/>
  <c r="E57" i="11"/>
  <c r="D57" i="11"/>
  <c r="K56" i="11"/>
  <c r="J56" i="11"/>
  <c r="I56" i="11"/>
  <c r="H56" i="11"/>
  <c r="G56" i="11"/>
  <c r="F56" i="11"/>
  <c r="E56" i="11"/>
  <c r="D56" i="11"/>
  <c r="K55" i="11"/>
  <c r="J55" i="11"/>
  <c r="I55" i="11"/>
  <c r="H55" i="11"/>
  <c r="G55" i="11"/>
  <c r="F55" i="11"/>
  <c r="E55" i="11"/>
  <c r="D55" i="11"/>
  <c r="K54" i="11"/>
  <c r="J54" i="11"/>
  <c r="I54" i="11"/>
  <c r="H54" i="11"/>
  <c r="G54" i="11"/>
  <c r="F54" i="11"/>
  <c r="E54" i="11"/>
  <c r="D54" i="11"/>
  <c r="K53" i="11"/>
  <c r="J53" i="11"/>
  <c r="I53" i="11"/>
  <c r="H53" i="11"/>
  <c r="G53" i="11"/>
  <c r="F53" i="11"/>
  <c r="E53" i="11"/>
  <c r="D53" i="11"/>
  <c r="K52" i="11"/>
  <c r="J52" i="11"/>
  <c r="I52" i="11"/>
  <c r="H52" i="11"/>
  <c r="G52" i="11"/>
  <c r="F52" i="11"/>
  <c r="E52" i="11"/>
  <c r="D52" i="11"/>
  <c r="K51" i="11"/>
  <c r="J51" i="11"/>
  <c r="I51" i="11"/>
  <c r="H51" i="11"/>
  <c r="G51" i="11"/>
  <c r="F51" i="11"/>
  <c r="E51" i="11"/>
  <c r="D51" i="11"/>
  <c r="K50" i="11"/>
  <c r="J50" i="11"/>
  <c r="I50" i="11"/>
  <c r="H50" i="11"/>
  <c r="G50" i="11"/>
  <c r="F50" i="11"/>
  <c r="E50" i="11"/>
  <c r="D50" i="11"/>
  <c r="K49" i="11"/>
  <c r="J49" i="11"/>
  <c r="I49" i="11"/>
  <c r="H49" i="11"/>
  <c r="G49" i="11"/>
  <c r="F49" i="11"/>
  <c r="E49" i="11"/>
  <c r="D49" i="11"/>
  <c r="K48" i="11"/>
  <c r="J48" i="11"/>
  <c r="I48" i="11"/>
  <c r="H48" i="11"/>
  <c r="G48" i="11"/>
  <c r="F48" i="11"/>
  <c r="E48" i="11"/>
  <c r="D48" i="11"/>
  <c r="K47" i="11"/>
  <c r="J47" i="11"/>
  <c r="I47" i="11"/>
  <c r="H47" i="11"/>
  <c r="G47" i="11"/>
  <c r="F47" i="11"/>
  <c r="E47" i="11"/>
  <c r="D47" i="11"/>
  <c r="K46" i="11"/>
  <c r="J46" i="11"/>
  <c r="I46" i="11"/>
  <c r="H46" i="11"/>
  <c r="G46" i="11"/>
  <c r="F46" i="11"/>
  <c r="E46" i="11"/>
  <c r="D46" i="11"/>
  <c r="K45" i="11"/>
  <c r="J45" i="11"/>
  <c r="I45" i="11"/>
  <c r="H45" i="11"/>
  <c r="G45" i="11"/>
  <c r="F45" i="11"/>
  <c r="E45" i="11"/>
  <c r="D45" i="11"/>
  <c r="K44" i="11"/>
  <c r="J44" i="11"/>
  <c r="I44" i="11"/>
  <c r="H44" i="11"/>
  <c r="G44" i="11"/>
  <c r="F44" i="11"/>
  <c r="E44" i="11"/>
  <c r="D44" i="11"/>
  <c r="K43" i="11"/>
  <c r="J43" i="11"/>
  <c r="I43" i="11"/>
  <c r="H43" i="11"/>
  <c r="G43" i="11"/>
  <c r="F43" i="11"/>
  <c r="E43" i="11"/>
  <c r="D43" i="11"/>
  <c r="K42" i="11"/>
  <c r="J42" i="11"/>
  <c r="I42" i="11"/>
  <c r="H42" i="11"/>
  <c r="G42" i="11"/>
  <c r="F42" i="11"/>
  <c r="E42" i="11"/>
  <c r="D42" i="11"/>
  <c r="K41" i="11"/>
  <c r="J41" i="11"/>
  <c r="I41" i="11"/>
  <c r="H41" i="11"/>
  <c r="G41" i="11"/>
  <c r="F41" i="11"/>
  <c r="E41" i="11"/>
  <c r="D41" i="11"/>
  <c r="K40" i="11"/>
  <c r="J40" i="11"/>
  <c r="I40" i="11"/>
  <c r="H40" i="11"/>
  <c r="G40" i="11"/>
  <c r="F40" i="11"/>
  <c r="E40" i="11"/>
  <c r="D40" i="11"/>
  <c r="K39" i="11"/>
  <c r="J39" i="11"/>
  <c r="I39" i="11"/>
  <c r="H39" i="11"/>
  <c r="G39" i="11"/>
  <c r="F39" i="11"/>
  <c r="E39" i="11"/>
  <c r="D39" i="11"/>
  <c r="K38" i="11"/>
  <c r="J38" i="11"/>
  <c r="I38" i="11"/>
  <c r="H38" i="11"/>
  <c r="G38" i="11"/>
  <c r="F38" i="11"/>
  <c r="E38" i="11"/>
  <c r="D38" i="11"/>
  <c r="K37" i="11"/>
  <c r="J37" i="11"/>
  <c r="I37" i="11"/>
  <c r="H37" i="11"/>
  <c r="G37" i="11"/>
  <c r="F37" i="11"/>
  <c r="E37" i="11"/>
  <c r="D37" i="11"/>
  <c r="K36" i="11"/>
  <c r="J36" i="11"/>
  <c r="I36" i="11"/>
  <c r="H36" i="11"/>
  <c r="G36" i="11"/>
  <c r="F36" i="11"/>
  <c r="E36" i="11"/>
  <c r="D36" i="11"/>
  <c r="K35" i="11"/>
  <c r="J35" i="11"/>
  <c r="I35" i="11"/>
  <c r="H35" i="11"/>
  <c r="G35" i="11"/>
  <c r="F35" i="11"/>
  <c r="E35" i="11"/>
  <c r="D35" i="11"/>
  <c r="K34" i="11"/>
  <c r="J34" i="11"/>
  <c r="I34" i="11"/>
  <c r="H34" i="11"/>
  <c r="G34" i="11"/>
  <c r="F34" i="11"/>
  <c r="E34" i="11"/>
  <c r="D34" i="11"/>
  <c r="K33" i="11"/>
  <c r="J33" i="11"/>
  <c r="I33" i="11"/>
  <c r="H33" i="11"/>
  <c r="G33" i="11"/>
  <c r="F33" i="11"/>
  <c r="E33" i="11"/>
  <c r="D33" i="11"/>
  <c r="K32" i="11"/>
  <c r="J32" i="11"/>
  <c r="I32" i="11"/>
  <c r="H32" i="11"/>
  <c r="G32" i="11"/>
  <c r="F32" i="11"/>
  <c r="E32" i="11"/>
  <c r="D32" i="11"/>
  <c r="K31" i="11"/>
  <c r="J31" i="11"/>
  <c r="I31" i="11"/>
  <c r="H31" i="11"/>
  <c r="G31" i="11"/>
  <c r="F31" i="11"/>
  <c r="E31" i="11"/>
  <c r="D31" i="11"/>
  <c r="K30" i="11"/>
  <c r="J30" i="11"/>
  <c r="I30" i="11"/>
  <c r="H30" i="11"/>
  <c r="G30" i="11"/>
  <c r="F30" i="11"/>
  <c r="E30" i="11"/>
  <c r="D30" i="11"/>
  <c r="K29" i="11"/>
  <c r="J29" i="11"/>
  <c r="I29" i="11"/>
  <c r="H29" i="11"/>
  <c r="G29" i="11"/>
  <c r="F29" i="11"/>
  <c r="E29" i="11"/>
  <c r="D29" i="11"/>
  <c r="K28" i="11"/>
  <c r="J28" i="11"/>
  <c r="I28" i="11"/>
  <c r="H28" i="11"/>
  <c r="G28" i="11"/>
  <c r="F28" i="11"/>
  <c r="E28" i="11"/>
  <c r="D28" i="11"/>
  <c r="K27" i="11"/>
  <c r="J27" i="11"/>
  <c r="I27" i="11"/>
  <c r="H27" i="11"/>
  <c r="G27" i="11"/>
  <c r="F27" i="11"/>
  <c r="E27" i="11"/>
  <c r="D27" i="11"/>
  <c r="K26" i="11"/>
  <c r="J26" i="11"/>
  <c r="I26" i="11"/>
  <c r="H26" i="11"/>
  <c r="G26" i="11"/>
  <c r="F26" i="11"/>
  <c r="E26" i="11"/>
  <c r="D26" i="11"/>
  <c r="K25" i="11"/>
  <c r="J25" i="11"/>
  <c r="I25" i="11"/>
  <c r="H25" i="11"/>
  <c r="G25" i="11"/>
  <c r="F25" i="11"/>
  <c r="E25" i="11"/>
  <c r="D25" i="11"/>
  <c r="K24" i="11"/>
  <c r="J24" i="11"/>
  <c r="I24" i="11"/>
  <c r="H24" i="11"/>
  <c r="G24" i="11"/>
  <c r="F24" i="11"/>
  <c r="E24" i="11"/>
  <c r="D24" i="11"/>
  <c r="K23" i="11"/>
  <c r="J23" i="11"/>
  <c r="I23" i="11"/>
  <c r="H23" i="11"/>
  <c r="G23" i="11"/>
  <c r="F23" i="11"/>
  <c r="E23" i="11"/>
  <c r="D23" i="11"/>
  <c r="K22" i="11"/>
  <c r="J22" i="11"/>
  <c r="I22" i="11"/>
  <c r="H22" i="11"/>
  <c r="G22" i="11"/>
  <c r="F22" i="11"/>
  <c r="E22" i="11"/>
  <c r="D22" i="11"/>
  <c r="K21" i="11"/>
  <c r="J21" i="11"/>
  <c r="I21" i="11"/>
  <c r="H21" i="11"/>
  <c r="G21" i="11"/>
  <c r="F21" i="11"/>
  <c r="E21" i="11"/>
  <c r="D21" i="11"/>
  <c r="K20" i="11"/>
  <c r="J20" i="11"/>
  <c r="I20" i="11"/>
  <c r="H20" i="11"/>
  <c r="G20" i="11"/>
  <c r="F20" i="11"/>
  <c r="E20" i="11"/>
  <c r="D20" i="11"/>
  <c r="K19" i="11"/>
  <c r="J19" i="11"/>
  <c r="I19" i="11"/>
  <c r="H19" i="11"/>
  <c r="G19" i="11"/>
  <c r="F19" i="11"/>
  <c r="E19" i="11"/>
  <c r="D19" i="11"/>
  <c r="K18" i="11"/>
  <c r="J18" i="11"/>
  <c r="I18" i="11"/>
  <c r="H18" i="11"/>
  <c r="G18" i="11"/>
  <c r="F18" i="11"/>
  <c r="E18" i="11"/>
  <c r="D18" i="11"/>
  <c r="K17" i="11"/>
  <c r="J17" i="11"/>
  <c r="I17" i="11"/>
  <c r="H17" i="11"/>
  <c r="G17" i="11"/>
  <c r="F17" i="11"/>
  <c r="E17" i="11"/>
  <c r="D17" i="11"/>
  <c r="K16" i="11"/>
  <c r="J16" i="11"/>
  <c r="I16" i="11"/>
  <c r="H16" i="11"/>
  <c r="G16" i="11"/>
  <c r="F16" i="11"/>
  <c r="E16" i="11"/>
  <c r="D16" i="11"/>
  <c r="K15" i="11"/>
  <c r="J15" i="11"/>
  <c r="I15" i="11"/>
  <c r="H15" i="11"/>
  <c r="G15" i="11"/>
  <c r="F15" i="11"/>
  <c r="E15" i="11"/>
  <c r="D15" i="11"/>
  <c r="K14" i="11"/>
  <c r="J14" i="11"/>
  <c r="I14" i="11"/>
  <c r="H14" i="11"/>
  <c r="G14" i="11"/>
  <c r="F14" i="11"/>
  <c r="E14" i="11"/>
  <c r="D14" i="11"/>
  <c r="K13" i="11"/>
  <c r="J13" i="11"/>
  <c r="I13" i="11"/>
  <c r="H13" i="11"/>
  <c r="G13" i="11"/>
  <c r="F13" i="11"/>
  <c r="E13" i="11"/>
  <c r="D13" i="11"/>
  <c r="K12" i="11"/>
  <c r="J12" i="11"/>
  <c r="I12" i="11"/>
  <c r="H12" i="11"/>
  <c r="G12" i="11"/>
  <c r="F12" i="11"/>
  <c r="E12" i="11"/>
  <c r="D12" i="11"/>
  <c r="K11" i="11"/>
  <c r="J11" i="11"/>
  <c r="I11" i="11"/>
  <c r="H11" i="11"/>
  <c r="G11" i="11"/>
  <c r="F11" i="11"/>
  <c r="E11" i="11"/>
  <c r="D11" i="11"/>
  <c r="F22" i="2"/>
  <c r="E22" i="2"/>
  <c r="K104" i="10"/>
  <c r="J104" i="10"/>
  <c r="I104" i="10"/>
  <c r="H104" i="10"/>
  <c r="G104" i="10"/>
  <c r="F104" i="10"/>
  <c r="E104" i="10"/>
  <c r="D104" i="10"/>
  <c r="K103" i="10"/>
  <c r="J103" i="10"/>
  <c r="I103" i="10"/>
  <c r="H103" i="10"/>
  <c r="G103" i="10"/>
  <c r="F103" i="10"/>
  <c r="E103" i="10"/>
  <c r="D103" i="10"/>
  <c r="K102" i="10"/>
  <c r="J102" i="10"/>
  <c r="I102" i="10"/>
  <c r="H102" i="10"/>
  <c r="G102" i="10"/>
  <c r="F102" i="10"/>
  <c r="E102" i="10"/>
  <c r="D102" i="10"/>
  <c r="K101" i="10"/>
  <c r="J101" i="10"/>
  <c r="I101" i="10"/>
  <c r="H101" i="10"/>
  <c r="G101" i="10"/>
  <c r="F101" i="10"/>
  <c r="E101" i="10"/>
  <c r="D101" i="10"/>
  <c r="K100" i="10"/>
  <c r="J100" i="10"/>
  <c r="I100" i="10"/>
  <c r="H100" i="10"/>
  <c r="G100" i="10"/>
  <c r="F100" i="10"/>
  <c r="E100" i="10"/>
  <c r="D100" i="10"/>
  <c r="K99" i="10"/>
  <c r="J99" i="10"/>
  <c r="I99" i="10"/>
  <c r="H99" i="10"/>
  <c r="G99" i="10"/>
  <c r="F99" i="10"/>
  <c r="E99" i="10"/>
  <c r="D99" i="10"/>
  <c r="K98" i="10"/>
  <c r="J98" i="10"/>
  <c r="I98" i="10"/>
  <c r="H98" i="10"/>
  <c r="G98" i="10"/>
  <c r="F98" i="10"/>
  <c r="E98" i="10"/>
  <c r="D98" i="10"/>
  <c r="K97" i="10"/>
  <c r="J97" i="10"/>
  <c r="I97" i="10"/>
  <c r="H97" i="10"/>
  <c r="G97" i="10"/>
  <c r="F97" i="10"/>
  <c r="E97" i="10"/>
  <c r="D97" i="10"/>
  <c r="K96" i="10"/>
  <c r="J96" i="10"/>
  <c r="I96" i="10"/>
  <c r="H96" i="10"/>
  <c r="G96" i="10"/>
  <c r="F96" i="10"/>
  <c r="E96" i="10"/>
  <c r="D96" i="10"/>
  <c r="K95" i="10"/>
  <c r="J95" i="10"/>
  <c r="I95" i="10"/>
  <c r="H95" i="10"/>
  <c r="G95" i="10"/>
  <c r="F95" i="10"/>
  <c r="E95" i="10"/>
  <c r="D95" i="10"/>
  <c r="K94" i="10"/>
  <c r="J94" i="10"/>
  <c r="I94" i="10"/>
  <c r="H94" i="10"/>
  <c r="G94" i="10"/>
  <c r="F94" i="10"/>
  <c r="E94" i="10"/>
  <c r="D94" i="10"/>
  <c r="K93" i="10"/>
  <c r="J93" i="10"/>
  <c r="I93" i="10"/>
  <c r="H93" i="10"/>
  <c r="G93" i="10"/>
  <c r="F93" i="10"/>
  <c r="E93" i="10"/>
  <c r="D93" i="10"/>
  <c r="K92" i="10"/>
  <c r="J92" i="10"/>
  <c r="I92" i="10"/>
  <c r="H92" i="10"/>
  <c r="G92" i="10"/>
  <c r="F92" i="10"/>
  <c r="E92" i="10"/>
  <c r="D92" i="10"/>
  <c r="K91" i="10"/>
  <c r="J91" i="10"/>
  <c r="I91" i="10"/>
  <c r="H91" i="10"/>
  <c r="G91" i="10"/>
  <c r="F91" i="10"/>
  <c r="E91" i="10"/>
  <c r="D91" i="10"/>
  <c r="K90" i="10"/>
  <c r="J90" i="10"/>
  <c r="I90" i="10"/>
  <c r="H90" i="10"/>
  <c r="G90" i="10"/>
  <c r="F90" i="10"/>
  <c r="E90" i="10"/>
  <c r="D90" i="10"/>
  <c r="K89" i="10"/>
  <c r="J89" i="10"/>
  <c r="I89" i="10"/>
  <c r="H89" i="10"/>
  <c r="G89" i="10"/>
  <c r="F89" i="10"/>
  <c r="E89" i="10"/>
  <c r="D89" i="10"/>
  <c r="K88" i="10"/>
  <c r="J88" i="10"/>
  <c r="I88" i="10"/>
  <c r="H88" i="10"/>
  <c r="G88" i="10"/>
  <c r="F88" i="10"/>
  <c r="E88" i="10"/>
  <c r="D88" i="10"/>
  <c r="K87" i="10"/>
  <c r="J87" i="10"/>
  <c r="I87" i="10"/>
  <c r="H87" i="10"/>
  <c r="G87" i="10"/>
  <c r="F87" i="10"/>
  <c r="E87" i="10"/>
  <c r="D87" i="10"/>
  <c r="K86" i="10"/>
  <c r="J86" i="10"/>
  <c r="I86" i="10"/>
  <c r="H86" i="10"/>
  <c r="G86" i="10"/>
  <c r="F86" i="10"/>
  <c r="E86" i="10"/>
  <c r="D86" i="10"/>
  <c r="K85" i="10"/>
  <c r="J85" i="10"/>
  <c r="I85" i="10"/>
  <c r="H85" i="10"/>
  <c r="G85" i="10"/>
  <c r="F85" i="10"/>
  <c r="E85" i="10"/>
  <c r="D85" i="10"/>
  <c r="K84" i="10"/>
  <c r="J84" i="10"/>
  <c r="I84" i="10"/>
  <c r="H84" i="10"/>
  <c r="G84" i="10"/>
  <c r="F84" i="10"/>
  <c r="E84" i="10"/>
  <c r="D84" i="10"/>
  <c r="K83" i="10"/>
  <c r="J83" i="10"/>
  <c r="I83" i="10"/>
  <c r="H83" i="10"/>
  <c r="G83" i="10"/>
  <c r="F83" i="10"/>
  <c r="E83" i="10"/>
  <c r="D83" i="10"/>
  <c r="K82" i="10"/>
  <c r="J82" i="10"/>
  <c r="I82" i="10"/>
  <c r="H82" i="10"/>
  <c r="G82" i="10"/>
  <c r="F82" i="10"/>
  <c r="E82" i="10"/>
  <c r="D82" i="10"/>
  <c r="K81" i="10"/>
  <c r="J81" i="10"/>
  <c r="I81" i="10"/>
  <c r="H81" i="10"/>
  <c r="G81" i="10"/>
  <c r="F81" i="10"/>
  <c r="E81" i="10"/>
  <c r="D81" i="10"/>
  <c r="K80" i="10"/>
  <c r="J80" i="10"/>
  <c r="I80" i="10"/>
  <c r="H80" i="10"/>
  <c r="G80" i="10"/>
  <c r="F80" i="10"/>
  <c r="E80" i="10"/>
  <c r="D80" i="10"/>
  <c r="K79" i="10"/>
  <c r="J79" i="10"/>
  <c r="I79" i="10"/>
  <c r="H79" i="10"/>
  <c r="G79" i="10"/>
  <c r="F79" i="10"/>
  <c r="E79" i="10"/>
  <c r="D79" i="10"/>
  <c r="K78" i="10"/>
  <c r="J78" i="10"/>
  <c r="I78" i="10"/>
  <c r="H78" i="10"/>
  <c r="G78" i="10"/>
  <c r="F78" i="10"/>
  <c r="E78" i="10"/>
  <c r="D78" i="10"/>
  <c r="K77" i="10"/>
  <c r="J77" i="10"/>
  <c r="I77" i="10"/>
  <c r="H77" i="10"/>
  <c r="G77" i="10"/>
  <c r="F77" i="10"/>
  <c r="E77" i="10"/>
  <c r="D77" i="10"/>
  <c r="K76" i="10"/>
  <c r="J76" i="10"/>
  <c r="I76" i="10"/>
  <c r="H76" i="10"/>
  <c r="G76" i="10"/>
  <c r="F76" i="10"/>
  <c r="E76" i="10"/>
  <c r="D76" i="10"/>
  <c r="K75" i="10"/>
  <c r="J75" i="10"/>
  <c r="I75" i="10"/>
  <c r="H75" i="10"/>
  <c r="G75" i="10"/>
  <c r="F75" i="10"/>
  <c r="E75" i="10"/>
  <c r="D75" i="10"/>
  <c r="K74" i="10"/>
  <c r="J74" i="10"/>
  <c r="I74" i="10"/>
  <c r="H74" i="10"/>
  <c r="G74" i="10"/>
  <c r="F74" i="10"/>
  <c r="E74" i="10"/>
  <c r="D74" i="10"/>
  <c r="K73" i="10"/>
  <c r="J73" i="10"/>
  <c r="I73" i="10"/>
  <c r="H73" i="10"/>
  <c r="G73" i="10"/>
  <c r="F73" i="10"/>
  <c r="E73" i="10"/>
  <c r="D73" i="10"/>
  <c r="K72" i="10"/>
  <c r="J72" i="10"/>
  <c r="I72" i="10"/>
  <c r="H72" i="10"/>
  <c r="G72" i="10"/>
  <c r="F72" i="10"/>
  <c r="E72" i="10"/>
  <c r="D72" i="10"/>
  <c r="K71" i="10"/>
  <c r="J71" i="10"/>
  <c r="I71" i="10"/>
  <c r="H71" i="10"/>
  <c r="G71" i="10"/>
  <c r="F71" i="10"/>
  <c r="E71" i="10"/>
  <c r="D71" i="10"/>
  <c r="K70" i="10"/>
  <c r="J70" i="10"/>
  <c r="I70" i="10"/>
  <c r="H70" i="10"/>
  <c r="G70" i="10"/>
  <c r="F70" i="10"/>
  <c r="E70" i="10"/>
  <c r="D70" i="10"/>
  <c r="K69" i="10"/>
  <c r="J69" i="10"/>
  <c r="I69" i="10"/>
  <c r="H69" i="10"/>
  <c r="G69" i="10"/>
  <c r="F69" i="10"/>
  <c r="E69" i="10"/>
  <c r="D69" i="10"/>
  <c r="K68" i="10"/>
  <c r="J68" i="10"/>
  <c r="I68" i="10"/>
  <c r="H68" i="10"/>
  <c r="G68" i="10"/>
  <c r="F68" i="10"/>
  <c r="E68" i="10"/>
  <c r="D68" i="10"/>
  <c r="K67" i="10"/>
  <c r="J67" i="10"/>
  <c r="I67" i="10"/>
  <c r="H67" i="10"/>
  <c r="G67" i="10"/>
  <c r="F67" i="10"/>
  <c r="E67" i="10"/>
  <c r="D67" i="10"/>
  <c r="K66" i="10"/>
  <c r="J66" i="10"/>
  <c r="I66" i="10"/>
  <c r="H66" i="10"/>
  <c r="G66" i="10"/>
  <c r="F66" i="10"/>
  <c r="E66" i="10"/>
  <c r="D66" i="10"/>
  <c r="K65" i="10"/>
  <c r="J65" i="10"/>
  <c r="I65" i="10"/>
  <c r="H65" i="10"/>
  <c r="G65" i="10"/>
  <c r="F65" i="10"/>
  <c r="E65" i="10"/>
  <c r="D65" i="10"/>
  <c r="K64" i="10"/>
  <c r="J64" i="10"/>
  <c r="I64" i="10"/>
  <c r="H64" i="10"/>
  <c r="G64" i="10"/>
  <c r="F64" i="10"/>
  <c r="E64" i="10"/>
  <c r="D64" i="10"/>
  <c r="K63" i="10"/>
  <c r="J63" i="10"/>
  <c r="I63" i="10"/>
  <c r="H63" i="10"/>
  <c r="G63" i="10"/>
  <c r="F63" i="10"/>
  <c r="E63" i="10"/>
  <c r="D63" i="10"/>
  <c r="K62" i="10"/>
  <c r="J62" i="10"/>
  <c r="I62" i="10"/>
  <c r="H62" i="10"/>
  <c r="G62" i="10"/>
  <c r="F62" i="10"/>
  <c r="E62" i="10"/>
  <c r="D62" i="10"/>
  <c r="K61" i="10"/>
  <c r="J61" i="10"/>
  <c r="I61" i="10"/>
  <c r="H61" i="10"/>
  <c r="G61" i="10"/>
  <c r="F61" i="10"/>
  <c r="E61" i="10"/>
  <c r="D61" i="10"/>
  <c r="K60" i="10"/>
  <c r="J60" i="10"/>
  <c r="I60" i="10"/>
  <c r="H60" i="10"/>
  <c r="G60" i="10"/>
  <c r="F60" i="10"/>
  <c r="E60" i="10"/>
  <c r="D60" i="10"/>
  <c r="K59" i="10"/>
  <c r="J59" i="10"/>
  <c r="I59" i="10"/>
  <c r="H59" i="10"/>
  <c r="G59" i="10"/>
  <c r="F59" i="10"/>
  <c r="E59" i="10"/>
  <c r="D59" i="10"/>
  <c r="K58" i="10"/>
  <c r="J58" i="10"/>
  <c r="I58" i="10"/>
  <c r="H58" i="10"/>
  <c r="G58" i="10"/>
  <c r="F58" i="10"/>
  <c r="E58" i="10"/>
  <c r="D58" i="10"/>
  <c r="K57" i="10"/>
  <c r="J57" i="10"/>
  <c r="I57" i="10"/>
  <c r="H57" i="10"/>
  <c r="G57" i="10"/>
  <c r="F57" i="10"/>
  <c r="E57" i="10"/>
  <c r="D57" i="10"/>
  <c r="K56" i="10"/>
  <c r="J56" i="10"/>
  <c r="I56" i="10"/>
  <c r="H56" i="10"/>
  <c r="G56" i="10"/>
  <c r="F56" i="10"/>
  <c r="E56" i="10"/>
  <c r="D56" i="10"/>
  <c r="K55" i="10"/>
  <c r="J55" i="10"/>
  <c r="I55" i="10"/>
  <c r="H55" i="10"/>
  <c r="G55" i="10"/>
  <c r="F55" i="10"/>
  <c r="E55" i="10"/>
  <c r="D55" i="10"/>
  <c r="K54" i="10"/>
  <c r="J54" i="10"/>
  <c r="I54" i="10"/>
  <c r="H54" i="10"/>
  <c r="G54" i="10"/>
  <c r="F54" i="10"/>
  <c r="E54" i="10"/>
  <c r="D54" i="10"/>
  <c r="K53" i="10"/>
  <c r="J53" i="10"/>
  <c r="I53" i="10"/>
  <c r="H53" i="10"/>
  <c r="G53" i="10"/>
  <c r="F53" i="10"/>
  <c r="E53" i="10"/>
  <c r="D53" i="10"/>
  <c r="K52" i="10"/>
  <c r="J52" i="10"/>
  <c r="I52" i="10"/>
  <c r="H52" i="10"/>
  <c r="G52" i="10"/>
  <c r="F52" i="10"/>
  <c r="E52" i="10"/>
  <c r="D52" i="10"/>
  <c r="K51" i="10"/>
  <c r="J51" i="10"/>
  <c r="I51" i="10"/>
  <c r="H51" i="10"/>
  <c r="G51" i="10"/>
  <c r="F51" i="10"/>
  <c r="E51" i="10"/>
  <c r="D51" i="10"/>
  <c r="K50" i="10"/>
  <c r="J50" i="10"/>
  <c r="I50" i="10"/>
  <c r="H50" i="10"/>
  <c r="G50" i="10"/>
  <c r="F50" i="10"/>
  <c r="E50" i="10"/>
  <c r="D50" i="10"/>
  <c r="K49" i="10"/>
  <c r="J49" i="10"/>
  <c r="I49" i="10"/>
  <c r="H49" i="10"/>
  <c r="G49" i="10"/>
  <c r="F49" i="10"/>
  <c r="E49" i="10"/>
  <c r="D49" i="10"/>
  <c r="K48" i="10"/>
  <c r="J48" i="10"/>
  <c r="I48" i="10"/>
  <c r="H48" i="10"/>
  <c r="G48" i="10"/>
  <c r="F48" i="10"/>
  <c r="E48" i="10"/>
  <c r="D48" i="10"/>
  <c r="K47" i="10"/>
  <c r="J47" i="10"/>
  <c r="I47" i="10"/>
  <c r="H47" i="10"/>
  <c r="G47" i="10"/>
  <c r="F47" i="10"/>
  <c r="E47" i="10"/>
  <c r="D47" i="10"/>
  <c r="K46" i="10"/>
  <c r="J46" i="10"/>
  <c r="I46" i="10"/>
  <c r="H46" i="10"/>
  <c r="G46" i="10"/>
  <c r="F46" i="10"/>
  <c r="E46" i="10"/>
  <c r="D46" i="10"/>
  <c r="K45" i="10"/>
  <c r="J45" i="10"/>
  <c r="I45" i="10"/>
  <c r="H45" i="10"/>
  <c r="G45" i="10"/>
  <c r="F45" i="10"/>
  <c r="E45" i="10"/>
  <c r="D45" i="10"/>
  <c r="K44" i="10"/>
  <c r="J44" i="10"/>
  <c r="I44" i="10"/>
  <c r="H44" i="10"/>
  <c r="G44" i="10"/>
  <c r="F44" i="10"/>
  <c r="E44" i="10"/>
  <c r="D44" i="10"/>
  <c r="K43" i="10"/>
  <c r="J43" i="10"/>
  <c r="I43" i="10"/>
  <c r="H43" i="10"/>
  <c r="G43" i="10"/>
  <c r="F43" i="10"/>
  <c r="E43" i="10"/>
  <c r="D43" i="10"/>
  <c r="K42" i="10"/>
  <c r="J42" i="10"/>
  <c r="I42" i="10"/>
  <c r="H42" i="10"/>
  <c r="G42" i="10"/>
  <c r="F42" i="10"/>
  <c r="E42" i="10"/>
  <c r="D42" i="10"/>
  <c r="K41" i="10"/>
  <c r="J41" i="10"/>
  <c r="I41" i="10"/>
  <c r="H41" i="10"/>
  <c r="G41" i="10"/>
  <c r="F41" i="10"/>
  <c r="E41" i="10"/>
  <c r="D41" i="10"/>
  <c r="K40" i="10"/>
  <c r="J40" i="10"/>
  <c r="I40" i="10"/>
  <c r="H40" i="10"/>
  <c r="G40" i="10"/>
  <c r="F40" i="10"/>
  <c r="E40" i="10"/>
  <c r="D40" i="10"/>
  <c r="K39" i="10"/>
  <c r="J39" i="10"/>
  <c r="I39" i="10"/>
  <c r="H39" i="10"/>
  <c r="G39" i="10"/>
  <c r="F39" i="10"/>
  <c r="E39" i="10"/>
  <c r="D39" i="10"/>
  <c r="K38" i="10"/>
  <c r="J38" i="10"/>
  <c r="I38" i="10"/>
  <c r="H38" i="10"/>
  <c r="G38" i="10"/>
  <c r="F38" i="10"/>
  <c r="E38" i="10"/>
  <c r="D38" i="10"/>
  <c r="K37" i="10"/>
  <c r="J37" i="10"/>
  <c r="I37" i="10"/>
  <c r="H37" i="10"/>
  <c r="G37" i="10"/>
  <c r="F37" i="10"/>
  <c r="E37" i="10"/>
  <c r="D37" i="10"/>
  <c r="K36" i="10"/>
  <c r="J36" i="10"/>
  <c r="I36" i="10"/>
  <c r="H36" i="10"/>
  <c r="G36" i="10"/>
  <c r="F36" i="10"/>
  <c r="E36" i="10"/>
  <c r="D36" i="10"/>
  <c r="K35" i="10"/>
  <c r="J35" i="10"/>
  <c r="I35" i="10"/>
  <c r="H35" i="10"/>
  <c r="G35" i="10"/>
  <c r="F35" i="10"/>
  <c r="E35" i="10"/>
  <c r="D35" i="10"/>
  <c r="K34" i="10"/>
  <c r="J34" i="10"/>
  <c r="I34" i="10"/>
  <c r="H34" i="10"/>
  <c r="G34" i="10"/>
  <c r="F34" i="10"/>
  <c r="E34" i="10"/>
  <c r="D34" i="10"/>
  <c r="K33" i="10"/>
  <c r="J33" i="10"/>
  <c r="I33" i="10"/>
  <c r="H33" i="10"/>
  <c r="G33" i="10"/>
  <c r="F33" i="10"/>
  <c r="E33" i="10"/>
  <c r="D33" i="10"/>
  <c r="K32" i="10"/>
  <c r="J32" i="10"/>
  <c r="I32" i="10"/>
  <c r="H32" i="10"/>
  <c r="G32" i="10"/>
  <c r="F32" i="10"/>
  <c r="E32" i="10"/>
  <c r="D32" i="10"/>
  <c r="K31" i="10"/>
  <c r="J31" i="10"/>
  <c r="I31" i="10"/>
  <c r="H31" i="10"/>
  <c r="G31" i="10"/>
  <c r="F31" i="10"/>
  <c r="E31" i="10"/>
  <c r="D31" i="10"/>
  <c r="K30" i="10"/>
  <c r="J30" i="10"/>
  <c r="I30" i="10"/>
  <c r="H30" i="10"/>
  <c r="G30" i="10"/>
  <c r="F30" i="10"/>
  <c r="E30" i="10"/>
  <c r="D30" i="10"/>
  <c r="K29" i="10"/>
  <c r="J29" i="10"/>
  <c r="I29" i="10"/>
  <c r="H29" i="10"/>
  <c r="G29" i="10"/>
  <c r="F29" i="10"/>
  <c r="E29" i="10"/>
  <c r="D29" i="10"/>
  <c r="K28" i="10"/>
  <c r="J28" i="10"/>
  <c r="I28" i="10"/>
  <c r="H28" i="10"/>
  <c r="G28" i="10"/>
  <c r="F28" i="10"/>
  <c r="E28" i="10"/>
  <c r="D28" i="10"/>
  <c r="K27" i="10"/>
  <c r="J27" i="10"/>
  <c r="I27" i="10"/>
  <c r="H27" i="10"/>
  <c r="G27" i="10"/>
  <c r="F27" i="10"/>
  <c r="E27" i="10"/>
  <c r="D27" i="10"/>
  <c r="K26" i="10"/>
  <c r="J26" i="10"/>
  <c r="I26" i="10"/>
  <c r="H26" i="10"/>
  <c r="G26" i="10"/>
  <c r="F26" i="10"/>
  <c r="E26" i="10"/>
  <c r="D26" i="10"/>
  <c r="K25" i="10"/>
  <c r="J25" i="10"/>
  <c r="I25" i="10"/>
  <c r="H25" i="10"/>
  <c r="G25" i="10"/>
  <c r="F25" i="10"/>
  <c r="E25" i="10"/>
  <c r="D25" i="10"/>
  <c r="K24" i="10"/>
  <c r="J24" i="10"/>
  <c r="I24" i="10"/>
  <c r="H24" i="10"/>
  <c r="G24" i="10"/>
  <c r="F24" i="10"/>
  <c r="E24" i="10"/>
  <c r="D24" i="10"/>
  <c r="K23" i="10"/>
  <c r="J23" i="10"/>
  <c r="I23" i="10"/>
  <c r="H23" i="10"/>
  <c r="G23" i="10"/>
  <c r="F23" i="10"/>
  <c r="E23" i="10"/>
  <c r="D23" i="10"/>
  <c r="K22" i="10"/>
  <c r="J22" i="10"/>
  <c r="I22" i="10"/>
  <c r="H22" i="10"/>
  <c r="G22" i="10"/>
  <c r="F22" i="10"/>
  <c r="E22" i="10"/>
  <c r="D22" i="10"/>
  <c r="K21" i="10"/>
  <c r="J21" i="10"/>
  <c r="I21" i="10"/>
  <c r="H21" i="10"/>
  <c r="G21" i="10"/>
  <c r="F21" i="10"/>
  <c r="E21" i="10"/>
  <c r="D21" i="10"/>
  <c r="K20" i="10"/>
  <c r="J20" i="10"/>
  <c r="I20" i="10"/>
  <c r="H20" i="10"/>
  <c r="G20" i="10"/>
  <c r="F20" i="10"/>
  <c r="E20" i="10"/>
  <c r="D20" i="10"/>
  <c r="K19" i="10"/>
  <c r="J19" i="10"/>
  <c r="I19" i="10"/>
  <c r="H19" i="10"/>
  <c r="G19" i="10"/>
  <c r="F19" i="10"/>
  <c r="E19" i="10"/>
  <c r="D19" i="10"/>
  <c r="K18" i="10"/>
  <c r="J18" i="10"/>
  <c r="I18" i="10"/>
  <c r="H18" i="10"/>
  <c r="G18" i="10"/>
  <c r="F18" i="10"/>
  <c r="E18" i="10"/>
  <c r="D18" i="10"/>
  <c r="K17" i="10"/>
  <c r="J17" i="10"/>
  <c r="I17" i="10"/>
  <c r="H17" i="10"/>
  <c r="G17" i="10"/>
  <c r="F17" i="10"/>
  <c r="E17" i="10"/>
  <c r="D17" i="10"/>
  <c r="K16" i="10"/>
  <c r="J16" i="10"/>
  <c r="I16" i="10"/>
  <c r="H16" i="10"/>
  <c r="G16" i="10"/>
  <c r="F16" i="10"/>
  <c r="E16" i="10"/>
  <c r="D16" i="10"/>
  <c r="K15" i="10"/>
  <c r="J15" i="10"/>
  <c r="I15" i="10"/>
  <c r="H15" i="10"/>
  <c r="G15" i="10"/>
  <c r="F15" i="10"/>
  <c r="E15" i="10"/>
  <c r="D15" i="10"/>
  <c r="K14" i="10"/>
  <c r="J14" i="10"/>
  <c r="I14" i="10"/>
  <c r="H14" i="10"/>
  <c r="G14" i="10"/>
  <c r="F14" i="10"/>
  <c r="E14" i="10"/>
  <c r="D14" i="10"/>
  <c r="K13" i="10"/>
  <c r="J13" i="10"/>
  <c r="I13" i="10"/>
  <c r="H13" i="10"/>
  <c r="G13" i="10"/>
  <c r="F13" i="10"/>
  <c r="E13" i="10"/>
  <c r="D13" i="10"/>
  <c r="K12" i="10"/>
  <c r="J12" i="10"/>
  <c r="I12" i="10"/>
  <c r="H12" i="10"/>
  <c r="G12" i="10"/>
  <c r="F12" i="10"/>
  <c r="E12" i="10"/>
  <c r="D12" i="10"/>
  <c r="K11" i="10"/>
  <c r="J11" i="10"/>
  <c r="I11" i="10"/>
  <c r="H11" i="10"/>
  <c r="G11" i="10"/>
  <c r="F11" i="10"/>
  <c r="E11" i="10"/>
  <c r="D11" i="10"/>
  <c r="K48" i="6" l="1"/>
  <c r="L48" i="6" s="1"/>
  <c r="M48" i="6" s="1"/>
  <c r="N48" i="6" s="1"/>
  <c r="O48" i="6" s="1"/>
  <c r="K47" i="6"/>
  <c r="L47" i="6" s="1"/>
  <c r="M47" i="6" s="1"/>
  <c r="N47" i="6" s="1"/>
  <c r="O47" i="6" s="1"/>
  <c r="K46" i="6"/>
  <c r="L46" i="6" s="1"/>
  <c r="M46" i="6" s="1"/>
  <c r="N46" i="6" s="1"/>
  <c r="O46" i="6" s="1"/>
  <c r="K45" i="6"/>
  <c r="L45" i="6" s="1"/>
  <c r="M45" i="6" s="1"/>
  <c r="N45" i="6" s="1"/>
  <c r="O45" i="6" s="1"/>
  <c r="K44" i="6"/>
  <c r="L44" i="6" s="1"/>
  <c r="J43" i="6"/>
  <c r="K36" i="3" s="1"/>
  <c r="I43" i="6"/>
  <c r="J36" i="3" s="1"/>
  <c r="H43" i="6"/>
  <c r="I36" i="3" s="1"/>
  <c r="G43" i="6"/>
  <c r="H36" i="3" s="1"/>
  <c r="F43" i="6"/>
  <c r="G36" i="3" s="1"/>
  <c r="K41" i="6"/>
  <c r="L41" i="6" s="1"/>
  <c r="M41" i="6" s="1"/>
  <c r="N41" i="6" s="1"/>
  <c r="O41" i="6" s="1"/>
  <c r="K40" i="6"/>
  <c r="L40" i="6" s="1"/>
  <c r="M40" i="6" s="1"/>
  <c r="N40" i="6" s="1"/>
  <c r="O40" i="6" s="1"/>
  <c r="K39" i="6"/>
  <c r="L39" i="6" s="1"/>
  <c r="M39" i="6" s="1"/>
  <c r="N39" i="6" s="1"/>
  <c r="O39" i="6" s="1"/>
  <c r="K38" i="6"/>
  <c r="L38" i="6" s="1"/>
  <c r="M38" i="6" s="1"/>
  <c r="N38" i="6" s="1"/>
  <c r="O38" i="6" s="1"/>
  <c r="K37" i="6"/>
  <c r="L37" i="6" s="1"/>
  <c r="L36" i="6" s="1"/>
  <c r="J36" i="6"/>
  <c r="K35" i="3" s="1"/>
  <c r="I36" i="6"/>
  <c r="J35" i="3" s="1"/>
  <c r="H36" i="6"/>
  <c r="I35" i="3" s="1"/>
  <c r="G36" i="6"/>
  <c r="H35" i="3" s="1"/>
  <c r="F36" i="6"/>
  <c r="G35" i="3" s="1"/>
  <c r="K34" i="6"/>
  <c r="L34" i="6" s="1"/>
  <c r="M34" i="6" s="1"/>
  <c r="N34" i="6" s="1"/>
  <c r="O34" i="6" s="1"/>
  <c r="K33" i="6"/>
  <c r="L33" i="6" s="1"/>
  <c r="M33" i="6" s="1"/>
  <c r="N33" i="6" s="1"/>
  <c r="O33" i="6" s="1"/>
  <c r="K32" i="6"/>
  <c r="L32" i="6" s="1"/>
  <c r="M32" i="6" s="1"/>
  <c r="N32" i="6" s="1"/>
  <c r="O32" i="6" s="1"/>
  <c r="K31" i="6"/>
  <c r="L31" i="6" s="1"/>
  <c r="M31" i="6" s="1"/>
  <c r="N31" i="6" s="1"/>
  <c r="O31" i="6" s="1"/>
  <c r="K30" i="6"/>
  <c r="K29" i="6" s="1"/>
  <c r="J29" i="6"/>
  <c r="K34" i="3" s="1"/>
  <c r="I29" i="6"/>
  <c r="J34" i="3" s="1"/>
  <c r="H29" i="6"/>
  <c r="I34" i="3" s="1"/>
  <c r="G29" i="6"/>
  <c r="H34" i="3" s="1"/>
  <c r="F29" i="6"/>
  <c r="G34" i="3" s="1"/>
  <c r="K26" i="6"/>
  <c r="L26" i="6" s="1"/>
  <c r="M26" i="6" s="1"/>
  <c r="N26" i="6" s="1"/>
  <c r="O26" i="6" s="1"/>
  <c r="K25" i="6"/>
  <c r="L25" i="6" s="1"/>
  <c r="M25" i="6" s="1"/>
  <c r="N25" i="6" s="1"/>
  <c r="O25" i="6" s="1"/>
  <c r="K24" i="6"/>
  <c r="L24" i="6" s="1"/>
  <c r="M24" i="6" s="1"/>
  <c r="N24" i="6" s="1"/>
  <c r="O24" i="6" s="1"/>
  <c r="K23" i="6"/>
  <c r="L23" i="6" s="1"/>
  <c r="M23" i="6" s="1"/>
  <c r="N23" i="6" s="1"/>
  <c r="O23" i="6" s="1"/>
  <c r="K22" i="6"/>
  <c r="L22" i="6" s="1"/>
  <c r="M22" i="6" s="1"/>
  <c r="K21" i="6"/>
  <c r="J21" i="6"/>
  <c r="K31" i="3" s="1"/>
  <c r="I21" i="6"/>
  <c r="J31" i="3" s="1"/>
  <c r="H21" i="6"/>
  <c r="I31" i="3" s="1"/>
  <c r="G21" i="6"/>
  <c r="H31" i="3" s="1"/>
  <c r="F21" i="6"/>
  <c r="G31" i="3" s="1"/>
  <c r="K19" i="6"/>
  <c r="L19" i="6" s="1"/>
  <c r="M19" i="6" s="1"/>
  <c r="N19" i="6" s="1"/>
  <c r="O19" i="6" s="1"/>
  <c r="K18" i="6"/>
  <c r="L18" i="6" s="1"/>
  <c r="M18" i="6" s="1"/>
  <c r="N18" i="6" s="1"/>
  <c r="O18" i="6" s="1"/>
  <c r="K17" i="6"/>
  <c r="L17" i="6" s="1"/>
  <c r="M17" i="6" s="1"/>
  <c r="N17" i="6" s="1"/>
  <c r="O17" i="6" s="1"/>
  <c r="K16" i="6"/>
  <c r="L16" i="6" s="1"/>
  <c r="M16" i="6" s="1"/>
  <c r="N16" i="6" s="1"/>
  <c r="O16" i="6" s="1"/>
  <c r="K15" i="6"/>
  <c r="K14" i="6" s="1"/>
  <c r="J14" i="6"/>
  <c r="K30" i="3" s="1"/>
  <c r="I14" i="6"/>
  <c r="J30" i="3" s="1"/>
  <c r="H14" i="6"/>
  <c r="I30" i="3" s="1"/>
  <c r="G14" i="6"/>
  <c r="H30" i="3" s="1"/>
  <c r="F14" i="6"/>
  <c r="G30" i="3" s="1"/>
  <c r="K12" i="6"/>
  <c r="L12" i="6" s="1"/>
  <c r="M12" i="6" s="1"/>
  <c r="N12" i="6" s="1"/>
  <c r="O12" i="6" s="1"/>
  <c r="K11" i="6"/>
  <c r="L11" i="6" s="1"/>
  <c r="M11" i="6" s="1"/>
  <c r="N11" i="6" s="1"/>
  <c r="O11" i="6" s="1"/>
  <c r="K10" i="6"/>
  <c r="L10" i="6" s="1"/>
  <c r="M10" i="6" s="1"/>
  <c r="N10" i="6" s="1"/>
  <c r="O10" i="6" s="1"/>
  <c r="K9" i="6"/>
  <c r="L9" i="6" s="1"/>
  <c r="M9" i="6" s="1"/>
  <c r="N9" i="6" s="1"/>
  <c r="O9" i="6" s="1"/>
  <c r="K8" i="6"/>
  <c r="K7" i="6" s="1"/>
  <c r="J7" i="6"/>
  <c r="K29" i="3" s="1"/>
  <c r="I7" i="6"/>
  <c r="J29" i="3" s="1"/>
  <c r="H7" i="6"/>
  <c r="I29" i="3" s="1"/>
  <c r="G7" i="6"/>
  <c r="H29" i="3" s="1"/>
  <c r="F7" i="6"/>
  <c r="G29" i="3" s="1"/>
  <c r="K41" i="5"/>
  <c r="L41" i="5" s="1"/>
  <c r="M41" i="5" s="1"/>
  <c r="N41" i="5" s="1"/>
  <c r="O41" i="5" s="1"/>
  <c r="K40" i="5"/>
  <c r="L40" i="5" s="1"/>
  <c r="M40" i="5" s="1"/>
  <c r="N40" i="5" s="1"/>
  <c r="O40" i="5" s="1"/>
  <c r="K39" i="5"/>
  <c r="L39" i="5" s="1"/>
  <c r="M39" i="5" s="1"/>
  <c r="N39" i="5" s="1"/>
  <c r="O39" i="5" s="1"/>
  <c r="K38" i="5"/>
  <c r="L38" i="5" s="1"/>
  <c r="M38" i="5" s="1"/>
  <c r="N38" i="5" s="1"/>
  <c r="O38" i="5" s="1"/>
  <c r="K37" i="5"/>
  <c r="K36" i="5" s="1"/>
  <c r="J36" i="5"/>
  <c r="N63" i="2" s="1"/>
  <c r="I36" i="5"/>
  <c r="M63" i="2" s="1"/>
  <c r="H36" i="5"/>
  <c r="L63" i="2" s="1"/>
  <c r="G36" i="5"/>
  <c r="K63" i="2" s="1"/>
  <c r="F36" i="5"/>
  <c r="J63" i="2" s="1"/>
  <c r="K33" i="5"/>
  <c r="L33" i="5" s="1"/>
  <c r="M33" i="5" s="1"/>
  <c r="N33" i="5" s="1"/>
  <c r="O33" i="5" s="1"/>
  <c r="K32" i="5"/>
  <c r="L32" i="5" s="1"/>
  <c r="M32" i="5" s="1"/>
  <c r="N32" i="5" s="1"/>
  <c r="O32" i="5" s="1"/>
  <c r="K31" i="5"/>
  <c r="L31" i="5" s="1"/>
  <c r="M31" i="5" s="1"/>
  <c r="N31" i="5" s="1"/>
  <c r="O31" i="5" s="1"/>
  <c r="K30" i="5"/>
  <c r="L30" i="5" s="1"/>
  <c r="M30" i="5" s="1"/>
  <c r="N30" i="5" s="1"/>
  <c r="O30" i="5" s="1"/>
  <c r="K29" i="5"/>
  <c r="L29" i="5" s="1"/>
  <c r="L28" i="5" s="1"/>
  <c r="J28" i="5"/>
  <c r="N62" i="2" s="1"/>
  <c r="I28" i="5"/>
  <c r="M62" i="2" s="1"/>
  <c r="H28" i="5"/>
  <c r="L62" i="2" s="1"/>
  <c r="G28" i="5"/>
  <c r="K62" i="2" s="1"/>
  <c r="F28" i="5"/>
  <c r="J62" i="2" s="1"/>
  <c r="K26" i="5"/>
  <c r="L26" i="5" s="1"/>
  <c r="M26" i="5" s="1"/>
  <c r="N26" i="5" s="1"/>
  <c r="O26" i="5" s="1"/>
  <c r="K25" i="5"/>
  <c r="L25" i="5" s="1"/>
  <c r="M25" i="5" s="1"/>
  <c r="N25" i="5" s="1"/>
  <c r="O25" i="5" s="1"/>
  <c r="K24" i="5"/>
  <c r="L24" i="5" s="1"/>
  <c r="M24" i="5" s="1"/>
  <c r="N24" i="5" s="1"/>
  <c r="O24" i="5" s="1"/>
  <c r="K23" i="5"/>
  <c r="L23" i="5" s="1"/>
  <c r="M23" i="5" s="1"/>
  <c r="N23" i="5" s="1"/>
  <c r="O23" i="5" s="1"/>
  <c r="K22" i="5"/>
  <c r="K21" i="5" s="1"/>
  <c r="J21" i="5"/>
  <c r="N61" i="2" s="1"/>
  <c r="I21" i="5"/>
  <c r="M61" i="2" s="1"/>
  <c r="H21" i="5"/>
  <c r="L61" i="2" s="1"/>
  <c r="G21" i="5"/>
  <c r="K61" i="2" s="1"/>
  <c r="F21" i="5"/>
  <c r="J61" i="2" s="1"/>
  <c r="K19" i="5"/>
  <c r="L19" i="5" s="1"/>
  <c r="M19" i="5" s="1"/>
  <c r="N19" i="5" s="1"/>
  <c r="O19" i="5" s="1"/>
  <c r="K18" i="5"/>
  <c r="L18" i="5" s="1"/>
  <c r="M18" i="5" s="1"/>
  <c r="N18" i="5" s="1"/>
  <c r="O18" i="5" s="1"/>
  <c r="K17" i="5"/>
  <c r="L17" i="5" s="1"/>
  <c r="M17" i="5" s="1"/>
  <c r="N17" i="5" s="1"/>
  <c r="O17" i="5" s="1"/>
  <c r="K16" i="5"/>
  <c r="L16" i="5" s="1"/>
  <c r="M16" i="5" s="1"/>
  <c r="N16" i="5" s="1"/>
  <c r="O16" i="5" s="1"/>
  <c r="K15" i="5"/>
  <c r="L15" i="5" s="1"/>
  <c r="L14" i="5" s="1"/>
  <c r="J14" i="5"/>
  <c r="N60" i="2" s="1"/>
  <c r="I14" i="5"/>
  <c r="M60" i="2" s="1"/>
  <c r="H14" i="5"/>
  <c r="L60" i="2" s="1"/>
  <c r="G14" i="5"/>
  <c r="K60" i="2" s="1"/>
  <c r="F14" i="5"/>
  <c r="J60" i="2" s="1"/>
  <c r="K12" i="5"/>
  <c r="L12" i="5" s="1"/>
  <c r="M12" i="5" s="1"/>
  <c r="N12" i="5" s="1"/>
  <c r="O12" i="5" s="1"/>
  <c r="K11" i="5"/>
  <c r="L11" i="5" s="1"/>
  <c r="M11" i="5" s="1"/>
  <c r="N11" i="5" s="1"/>
  <c r="O11" i="5" s="1"/>
  <c r="K10" i="5"/>
  <c r="L10" i="5" s="1"/>
  <c r="M10" i="5" s="1"/>
  <c r="N10" i="5" s="1"/>
  <c r="O10" i="5" s="1"/>
  <c r="K9" i="5"/>
  <c r="L9" i="5" s="1"/>
  <c r="M9" i="5" s="1"/>
  <c r="N9" i="5" s="1"/>
  <c r="O9" i="5" s="1"/>
  <c r="K8" i="5"/>
  <c r="L8" i="5" s="1"/>
  <c r="J7" i="5"/>
  <c r="N59" i="2" s="1"/>
  <c r="I7" i="5"/>
  <c r="M59" i="2" s="1"/>
  <c r="H7" i="5"/>
  <c r="L59" i="2" s="1"/>
  <c r="G7" i="5"/>
  <c r="K59" i="2" s="1"/>
  <c r="F7" i="5"/>
  <c r="J59" i="2" s="1"/>
  <c r="J7" i="2" s="1"/>
  <c r="E20" i="3"/>
  <c r="D20" i="3"/>
  <c r="F6" i="3"/>
  <c r="E6" i="3"/>
  <c r="B3" i="3"/>
  <c r="C123" i="2"/>
  <c r="E122" i="2"/>
  <c r="F122" i="2" s="1"/>
  <c r="E121" i="2"/>
  <c r="F121" i="2" s="1"/>
  <c r="E120" i="2"/>
  <c r="F120" i="2" s="1"/>
  <c r="E119" i="2"/>
  <c r="F119" i="2" s="1"/>
  <c r="E118" i="2"/>
  <c r="F110" i="2"/>
  <c r="F101" i="2"/>
  <c r="F102" i="2" s="1"/>
  <c r="F99" i="2"/>
  <c r="F98" i="2" s="1"/>
  <c r="J97" i="2"/>
  <c r="K97" i="2" s="1"/>
  <c r="H97" i="2"/>
  <c r="G97" i="2" s="1"/>
  <c r="J91" i="2"/>
  <c r="J92" i="2" s="1"/>
  <c r="C91" i="2"/>
  <c r="C92" i="2" s="1"/>
  <c r="J89" i="2"/>
  <c r="J88" i="2" s="1"/>
  <c r="C89" i="2"/>
  <c r="C88" i="2" s="1"/>
  <c r="N87" i="2"/>
  <c r="O87" i="2" s="1"/>
  <c r="K87" i="2"/>
  <c r="G87" i="2"/>
  <c r="H87" i="2" s="1"/>
  <c r="E87" i="2"/>
  <c r="D87" i="2" s="1"/>
  <c r="J81" i="2"/>
  <c r="J82" i="2" s="1"/>
  <c r="C81" i="2"/>
  <c r="C82" i="2" s="1"/>
  <c r="J79" i="2"/>
  <c r="J78" i="2" s="1"/>
  <c r="C79" i="2"/>
  <c r="C78" i="2" s="1"/>
  <c r="N77" i="2"/>
  <c r="O77" i="2" s="1"/>
  <c r="L77" i="2"/>
  <c r="K77" i="2" s="1"/>
  <c r="G77" i="2"/>
  <c r="H77" i="2" s="1"/>
  <c r="E77" i="2"/>
  <c r="D77" i="2" s="1"/>
  <c r="B70" i="2"/>
  <c r="J64" i="2"/>
  <c r="K64" i="2" s="1"/>
  <c r="L64" i="2" s="1"/>
  <c r="M64" i="2" s="1"/>
  <c r="N64" i="2" s="1"/>
  <c r="E63" i="2"/>
  <c r="E61" i="2"/>
  <c r="J52" i="2"/>
  <c r="J53" i="2" s="1"/>
  <c r="C52" i="2"/>
  <c r="C53" i="2" s="1"/>
  <c r="J50" i="2"/>
  <c r="J49" i="2" s="1"/>
  <c r="C50" i="2"/>
  <c r="C49" i="2" s="1"/>
  <c r="N48" i="2"/>
  <c r="O48" i="2" s="1"/>
  <c r="L48" i="2"/>
  <c r="K48" i="2" s="1"/>
  <c r="G48" i="2"/>
  <c r="H48" i="2" s="1"/>
  <c r="E48" i="2"/>
  <c r="D48" i="2" s="1"/>
  <c r="L40" i="2"/>
  <c r="L35" i="2"/>
  <c r="F63" i="2"/>
  <c r="F21" i="2"/>
  <c r="I21" i="2"/>
  <c r="G62" i="2"/>
  <c r="F62" i="2"/>
  <c r="E62" i="2"/>
  <c r="G61" i="2"/>
  <c r="F61" i="2"/>
  <c r="F8" i="3"/>
  <c r="E8" i="3"/>
  <c r="E30" i="3" s="1"/>
  <c r="F30" i="3" s="1"/>
  <c r="D8" i="3"/>
  <c r="D30" i="3" s="1"/>
  <c r="C8" i="3"/>
  <c r="E7" i="3"/>
  <c r="D7" i="3"/>
  <c r="C7" i="3"/>
  <c r="J6" i="2"/>
  <c r="J27" i="2" s="1"/>
  <c r="F6" i="2"/>
  <c r="O3" i="2"/>
  <c r="M3" i="2"/>
  <c r="G30" i="4"/>
  <c r="G31" i="4" s="1"/>
  <c r="G28" i="4"/>
  <c r="G27" i="4" s="1"/>
  <c r="K26" i="4"/>
  <c r="L26" i="4" s="1"/>
  <c r="I26" i="4"/>
  <c r="H26" i="4" s="1"/>
  <c r="K22" i="4"/>
  <c r="D15" i="4"/>
  <c r="J9" i="4"/>
  <c r="D9" i="4"/>
  <c r="J22" i="4" s="1"/>
  <c r="L9" i="4" l="1"/>
  <c r="L16" i="4" s="1"/>
  <c r="J15" i="4"/>
  <c r="J16" i="4"/>
  <c r="K36" i="6"/>
  <c r="L8" i="6"/>
  <c r="L7" i="6" s="1"/>
  <c r="K14" i="5"/>
  <c r="K28" i="5"/>
  <c r="K6" i="2"/>
  <c r="K27" i="2" s="1"/>
  <c r="E36" i="3"/>
  <c r="F36" i="3" s="1"/>
  <c r="F7" i="3"/>
  <c r="I59" i="2"/>
  <c r="I8" i="2"/>
  <c r="F12" i="3"/>
  <c r="L43" i="6"/>
  <c r="M44" i="6"/>
  <c r="I10" i="2"/>
  <c r="I61" i="2"/>
  <c r="G63" i="2"/>
  <c r="F118" i="2"/>
  <c r="E123" i="2"/>
  <c r="D31" i="3"/>
  <c r="M21" i="6"/>
  <c r="N22" i="6"/>
  <c r="I62" i="2"/>
  <c r="C31" i="3"/>
  <c r="C29" i="3"/>
  <c r="C35" i="3"/>
  <c r="E21" i="2"/>
  <c r="D29" i="3"/>
  <c r="C34" i="3"/>
  <c r="D36" i="3"/>
  <c r="D35" i="3"/>
  <c r="E10" i="2"/>
  <c r="E6" i="2"/>
  <c r="C6" i="3" s="1"/>
  <c r="D6" i="3"/>
  <c r="E29" i="3"/>
  <c r="F29" i="3" s="1"/>
  <c r="E35" i="3"/>
  <c r="F35" i="3" s="1"/>
  <c r="E31" i="3"/>
  <c r="F31" i="3" s="1"/>
  <c r="F10" i="2"/>
  <c r="F11" i="2" s="1"/>
  <c r="G21" i="2"/>
  <c r="G59" i="2"/>
  <c r="C30" i="3"/>
  <c r="L7" i="5"/>
  <c r="M8" i="5"/>
  <c r="G6" i="3"/>
  <c r="F4" i="6"/>
  <c r="F4" i="5"/>
  <c r="G10" i="2"/>
  <c r="I63" i="2"/>
  <c r="C36" i="3"/>
  <c r="C14" i="3"/>
  <c r="D34" i="3"/>
  <c r="D14" i="3"/>
  <c r="D22" i="3" s="1"/>
  <c r="C20" i="3"/>
  <c r="E34" i="3"/>
  <c r="F34" i="3" s="1"/>
  <c r="F17" i="3" s="1"/>
  <c r="K7" i="5"/>
  <c r="M29" i="5"/>
  <c r="M8" i="6"/>
  <c r="L21" i="6"/>
  <c r="L30" i="6"/>
  <c r="K43" i="6"/>
  <c r="E14" i="3"/>
  <c r="E22" i="3" s="1"/>
  <c r="M15" i="5"/>
  <c r="L37" i="5"/>
  <c r="L15" i="6"/>
  <c r="L22" i="5"/>
  <c r="M37" i="6"/>
  <c r="L15" i="4" l="1"/>
  <c r="I22" i="4" s="1"/>
  <c r="G4" i="5"/>
  <c r="L6" i="2"/>
  <c r="L27" i="2" s="1"/>
  <c r="G4" i="6"/>
  <c r="H6" i="3"/>
  <c r="M14" i="5"/>
  <c r="N15" i="5"/>
  <c r="G60" i="2"/>
  <c r="G11" i="2"/>
  <c r="G13" i="2"/>
  <c r="H10" i="2"/>
  <c r="E23" i="3"/>
  <c r="L29" i="6"/>
  <c r="M30" i="6"/>
  <c r="I60" i="2"/>
  <c r="I13" i="2"/>
  <c r="I11" i="2"/>
  <c r="M22" i="5"/>
  <c r="L21" i="5"/>
  <c r="C22" i="3"/>
  <c r="N21" i="6"/>
  <c r="O22" i="6"/>
  <c r="O21" i="6" s="1"/>
  <c r="G7" i="3"/>
  <c r="J15" i="2"/>
  <c r="J21" i="2" s="1"/>
  <c r="J12" i="2"/>
  <c r="K7" i="2"/>
  <c r="J9" i="2"/>
  <c r="G8" i="3" s="1"/>
  <c r="J8" i="2"/>
  <c r="J22" i="2"/>
  <c r="F19" i="3"/>
  <c r="F18" i="3"/>
  <c r="F13" i="3"/>
  <c r="F11" i="3"/>
  <c r="M7" i="6"/>
  <c r="N8" i="6"/>
  <c r="E25" i="3"/>
  <c r="D23" i="3"/>
  <c r="H7" i="2"/>
  <c r="E60" i="2"/>
  <c r="E13" i="2"/>
  <c r="E11" i="2"/>
  <c r="N37" i="6"/>
  <c r="M36" i="6"/>
  <c r="F60" i="2"/>
  <c r="F13" i="2"/>
  <c r="L14" i="6"/>
  <c r="M15" i="6"/>
  <c r="M28" i="5"/>
  <c r="N29" i="5"/>
  <c r="M7" i="5"/>
  <c r="N8" i="5"/>
  <c r="M43" i="6"/>
  <c r="N44" i="6"/>
  <c r="L36" i="5"/>
  <c r="M37" i="5"/>
  <c r="L22" i="4" l="1"/>
  <c r="D21" i="4" s="1"/>
  <c r="D23" i="4" s="1"/>
  <c r="D26" i="4" s="1"/>
  <c r="G26" i="4" s="1"/>
  <c r="F20" i="3"/>
  <c r="F14" i="2"/>
  <c r="F16" i="2"/>
  <c r="M6" i="2"/>
  <c r="I4" i="5" s="1"/>
  <c r="I6" i="3"/>
  <c r="H4" i="5"/>
  <c r="H4" i="6"/>
  <c r="J10" i="2"/>
  <c r="J13" i="2" s="1"/>
  <c r="O37" i="6"/>
  <c r="O36" i="6" s="1"/>
  <c r="N36" i="6"/>
  <c r="N6" i="2"/>
  <c r="E16" i="2"/>
  <c r="E14" i="2"/>
  <c r="G19" i="3"/>
  <c r="G18" i="3"/>
  <c r="G13" i="3"/>
  <c r="G11" i="3"/>
  <c r="G16" i="2"/>
  <c r="G14" i="2"/>
  <c r="H13" i="2"/>
  <c r="M29" i="6"/>
  <c r="N30" i="6"/>
  <c r="N28" i="5"/>
  <c r="O29" i="5"/>
  <c r="O28" i="5" s="1"/>
  <c r="I16" i="2"/>
  <c r="I14" i="2"/>
  <c r="M36" i="5"/>
  <c r="N37" i="5"/>
  <c r="M14" i="6"/>
  <c r="N15" i="6"/>
  <c r="N43" i="6"/>
  <c r="O44" i="6"/>
  <c r="O43" i="6" s="1"/>
  <c r="N7" i="6"/>
  <c r="O8" i="6"/>
  <c r="O7" i="6" s="1"/>
  <c r="G17" i="3"/>
  <c r="G12" i="3"/>
  <c r="D25" i="3"/>
  <c r="C23" i="3"/>
  <c r="N14" i="5"/>
  <c r="O15" i="5"/>
  <c r="O14" i="5" s="1"/>
  <c r="N7" i="5"/>
  <c r="O8" i="5"/>
  <c r="O7" i="5" s="1"/>
  <c r="H7" i="3"/>
  <c r="K15" i="2"/>
  <c r="K21" i="2" s="1"/>
  <c r="K12" i="2"/>
  <c r="L7" i="2"/>
  <c r="K9" i="2"/>
  <c r="H8" i="3" s="1"/>
  <c r="K8" i="2"/>
  <c r="K22" i="2"/>
  <c r="F14" i="3"/>
  <c r="N22" i="5"/>
  <c r="M21" i="5"/>
  <c r="E26" i="2" l="1"/>
  <c r="F22" i="3"/>
  <c r="F25" i="3" s="1"/>
  <c r="I4" i="6"/>
  <c r="J6" i="3"/>
  <c r="M27" i="2"/>
  <c r="J11" i="2"/>
  <c r="N21" i="5"/>
  <c r="O22" i="5"/>
  <c r="O21" i="5" s="1"/>
  <c r="G20" i="3"/>
  <c r="O15" i="6"/>
  <c r="O14" i="6" s="1"/>
  <c r="N14" i="6"/>
  <c r="H19" i="3"/>
  <c r="H18" i="3"/>
  <c r="H13" i="3"/>
  <c r="H11" i="3"/>
  <c r="N29" i="6"/>
  <c r="O30" i="6"/>
  <c r="O29" i="6" s="1"/>
  <c r="O37" i="5"/>
  <c r="O36" i="5" s="1"/>
  <c r="N36" i="5"/>
  <c r="H17" i="3"/>
  <c r="H12" i="3"/>
  <c r="K10" i="2"/>
  <c r="F18" i="2"/>
  <c r="F19" i="2" s="1"/>
  <c r="F17" i="2"/>
  <c r="I17" i="2"/>
  <c r="I18" i="2"/>
  <c r="I19" i="2" s="1"/>
  <c r="H16" i="2"/>
  <c r="G18" i="2"/>
  <c r="G19" i="2" s="1"/>
  <c r="G17" i="2"/>
  <c r="J16" i="2"/>
  <c r="J14" i="2"/>
  <c r="G14" i="3"/>
  <c r="E17" i="2"/>
  <c r="E18" i="2"/>
  <c r="E19" i="2" s="1"/>
  <c r="J4" i="6"/>
  <c r="K4" i="6" s="1"/>
  <c r="L4" i="6" s="1"/>
  <c r="M4" i="6" s="1"/>
  <c r="N4" i="6" s="1"/>
  <c r="O4" i="6" s="1"/>
  <c r="J4" i="5"/>
  <c r="K4" i="5" s="1"/>
  <c r="L4" i="5" s="1"/>
  <c r="M4" i="5" s="1"/>
  <c r="N4" i="5" s="1"/>
  <c r="O4" i="5" s="1"/>
  <c r="B36" i="2"/>
  <c r="K6" i="3"/>
  <c r="N27" i="2"/>
  <c r="L33" i="2"/>
  <c r="L9" i="2"/>
  <c r="I8" i="3" s="1"/>
  <c r="I7" i="3"/>
  <c r="L15" i="2"/>
  <c r="L21" i="2" s="1"/>
  <c r="L12" i="2"/>
  <c r="M7" i="2"/>
  <c r="L8" i="2"/>
  <c r="L22" i="2"/>
  <c r="N28" i="2" l="1"/>
  <c r="M28" i="2"/>
  <c r="O34" i="2"/>
  <c r="E39" i="2"/>
  <c r="K28" i="2"/>
  <c r="J28" i="2"/>
  <c r="L28" i="2"/>
  <c r="F23" i="3"/>
  <c r="J18" i="2"/>
  <c r="J19" i="2" s="1"/>
  <c r="J17" i="2"/>
  <c r="I19" i="3"/>
  <c r="I18" i="3"/>
  <c r="I13" i="3"/>
  <c r="I11" i="3"/>
  <c r="K13" i="2"/>
  <c r="K11" i="2"/>
  <c r="H20" i="3"/>
  <c r="G22" i="3"/>
  <c r="L10" i="2"/>
  <c r="M8" i="2"/>
  <c r="N7" i="2"/>
  <c r="J7" i="3"/>
  <c r="M15" i="2"/>
  <c r="M21" i="2" s="1"/>
  <c r="M12" i="2"/>
  <c r="M22" i="2"/>
  <c r="M9" i="2"/>
  <c r="J8" i="3" s="1"/>
  <c r="H14" i="3"/>
  <c r="H19" i="2"/>
  <c r="I17" i="3"/>
  <c r="I12" i="3"/>
  <c r="H22" i="3" l="1"/>
  <c r="H25" i="3" s="1"/>
  <c r="K23" i="2" s="1"/>
  <c r="G23" i="3"/>
  <c r="J65" i="2" s="1"/>
  <c r="G25" i="3"/>
  <c r="J23" i="2" s="1"/>
  <c r="J25" i="2" s="1"/>
  <c r="J29" i="2" s="1"/>
  <c r="M10" i="2"/>
  <c r="K14" i="2"/>
  <c r="K16" i="2"/>
  <c r="I20" i="3"/>
  <c r="J19" i="3"/>
  <c r="J18" i="3"/>
  <c r="J13" i="3"/>
  <c r="J11" i="3"/>
  <c r="I14" i="3"/>
  <c r="K7" i="3"/>
  <c r="N12" i="2"/>
  <c r="O7" i="2"/>
  <c r="N22" i="2"/>
  <c r="N9" i="2"/>
  <c r="K8" i="3" s="1"/>
  <c r="N8" i="2"/>
  <c r="N15" i="2"/>
  <c r="N21" i="2" s="1"/>
  <c r="J12" i="3"/>
  <c r="J17" i="3"/>
  <c r="L13" i="2"/>
  <c r="L11" i="2"/>
  <c r="H23" i="3" l="1"/>
  <c r="K65" i="2" s="1"/>
  <c r="L16" i="2"/>
  <c r="L14" i="2"/>
  <c r="J20" i="3"/>
  <c r="K18" i="2"/>
  <c r="K19" i="2" s="1"/>
  <c r="K25" i="2" s="1"/>
  <c r="K29" i="2" s="1"/>
  <c r="K17" i="2"/>
  <c r="K18" i="3"/>
  <c r="K13" i="3"/>
  <c r="K11" i="3"/>
  <c r="K19" i="3"/>
  <c r="I22" i="3"/>
  <c r="M13" i="2"/>
  <c r="M11" i="2"/>
  <c r="K12" i="3"/>
  <c r="K17" i="3"/>
  <c r="N10" i="2"/>
  <c r="J14" i="3"/>
  <c r="J22" i="3" l="1"/>
  <c r="J25" i="3" s="1"/>
  <c r="M23" i="2" s="1"/>
  <c r="K14" i="3"/>
  <c r="N13" i="2"/>
  <c r="E36" i="2" s="1"/>
  <c r="E38" i="2" s="1"/>
  <c r="O35" i="2" s="1"/>
  <c r="N11" i="2"/>
  <c r="O10" i="2"/>
  <c r="M14" i="2"/>
  <c r="M16" i="2"/>
  <c r="L18" i="2"/>
  <c r="L19" i="2" s="1"/>
  <c r="L17" i="2"/>
  <c r="K20" i="3"/>
  <c r="I23" i="3"/>
  <c r="L65" i="2" s="1"/>
  <c r="I25" i="3"/>
  <c r="L23" i="2" s="1"/>
  <c r="E40" i="2" l="1"/>
  <c r="J23" i="3"/>
  <c r="M65" i="2" s="1"/>
  <c r="K22" i="3"/>
  <c r="K23" i="3" s="1"/>
  <c r="N65" i="2" s="1"/>
  <c r="M18" i="2"/>
  <c r="M19" i="2" s="1"/>
  <c r="M25" i="2" s="1"/>
  <c r="M29" i="2" s="1"/>
  <c r="M17" i="2"/>
  <c r="N16" i="2"/>
  <c r="N14" i="2"/>
  <c r="O13" i="2"/>
  <c r="L25" i="2"/>
  <c r="L29" i="2" s="1"/>
  <c r="K25" i="3" l="1"/>
  <c r="N23" i="2" s="1"/>
  <c r="N17" i="2"/>
  <c r="O16" i="2"/>
  <c r="N18" i="2"/>
  <c r="N19" i="2" s="1"/>
  <c r="N25" i="2" l="1"/>
  <c r="O19" i="2"/>
  <c r="O33" i="2" l="1"/>
  <c r="O37" i="2"/>
  <c r="J48" i="2" s="1"/>
  <c r="N29" i="2"/>
  <c r="E33" i="2" s="1"/>
  <c r="C87" i="2" l="1"/>
  <c r="E43" i="2"/>
  <c r="C48" i="2"/>
  <c r="C77" i="2"/>
  <c r="O40" i="2" l="1"/>
  <c r="O43" i="2" s="1"/>
  <c r="J87" i="2" s="1"/>
  <c r="E41" i="2"/>
  <c r="F97" i="2" s="1"/>
  <c r="J33" i="2"/>
  <c r="J39" i="2" l="1"/>
  <c r="J77" i="2" s="1"/>
  <c r="F108" i="2"/>
  <c r="F113" i="2" s="1"/>
  <c r="J43" i="2" l="1"/>
  <c r="R48" i="2" l="1"/>
  <c r="F140" i="2"/>
  <c r="F139" i="2"/>
  <c r="F130" i="2"/>
  <c r="F132" i="2"/>
  <c r="F127" i="2" s="1"/>
</calcChain>
</file>

<file path=xl/sharedStrings.xml><?xml version="1.0" encoding="utf-8"?>
<sst xmlns="http://schemas.openxmlformats.org/spreadsheetml/2006/main" count="1162" uniqueCount="730">
  <si>
    <t>Planet Fitness, Inc. (NYSE: PLNT)</t>
  </si>
  <si>
    <t>DCF Valuation Model</t>
  </si>
  <si>
    <t>DCF Analysis - Planet Fitness, Inc.</t>
  </si>
  <si>
    <t>Data Source: PitchBook Financial Data</t>
  </si>
  <si>
    <t>Prepared: February 12, 2026</t>
  </si>
  <si>
    <t>Planet Fitness, Inc.</t>
  </si>
  <si>
    <t>Discounted Cash Flow Analysis</t>
  </si>
  <si>
    <t>($ in thousands, fiscal year ending December 31)</t>
  </si>
  <si>
    <t xml:space="preserve">Operating Scenario </t>
  </si>
  <si>
    <t>Mid-Year Convention</t>
  </si>
  <si>
    <t>Y</t>
  </si>
  <si>
    <t>Historical Period</t>
  </si>
  <si>
    <t>CAGR</t>
  </si>
  <si>
    <t>Projection Period</t>
  </si>
  <si>
    <t>('21 - '24)</t>
  </si>
  <si>
    <t>('25 - '29)</t>
  </si>
  <si>
    <t>Sales</t>
  </si>
  <si>
    <t>PitchBook Data, Inc. (2026, February 12). Public company financials: Planet Fitness, Inc. — Revenue FY2022–2024. PitchBook.</t>
  </si>
  <si>
    <t xml:space="preserve">   % growth</t>
  </si>
  <si>
    <t>NA</t>
  </si>
  <si>
    <t>Cost of Goods Sold</t>
  </si>
  <si>
    <t>PitchBook Data, Inc. (2026). PLNT Total Cost of Revenue FY2022–2024. PitchBook.</t>
  </si>
  <si>
    <t>Gross Profit</t>
  </si>
  <si>
    <t xml:space="preserve">   % margin</t>
  </si>
  <si>
    <t>Selling, General &amp; Administrative</t>
  </si>
  <si>
    <t>PitchBook Data, Inc. (2026). PLNT SG&amp;A FY2022–2024. PitchBook.</t>
  </si>
  <si>
    <t>EBITDA</t>
  </si>
  <si>
    <t>Depreciation &amp; Amortization</t>
  </si>
  <si>
    <t>PitchBook Data, Inc. (2026). PLNT Depreciation &amp; Amortization FY2022–2024. PitchBook.</t>
  </si>
  <si>
    <t>EBIT</t>
  </si>
  <si>
    <t>Taxes</t>
  </si>
  <si>
    <t>EBIAT</t>
  </si>
  <si>
    <t>Plus: Depreciation &amp; Amortization</t>
  </si>
  <si>
    <t>Less: Capital Expenditures</t>
  </si>
  <si>
    <t>PitchBook Data, Inc. (2026). PLNT Capital Expenditures (Purchase of PP&amp;E) FY2022–2024. PitchBook.</t>
  </si>
  <si>
    <t>Less: Inc./(Dec.) in Net Working Capital</t>
  </si>
  <si>
    <t>Unlevered Free Cash Flow</t>
  </si>
  <si>
    <t xml:space="preserve">   WACC</t>
  </si>
  <si>
    <t xml:space="preserve">   Discount Period</t>
  </si>
  <si>
    <t xml:space="preserve">   Discount Factor</t>
  </si>
  <si>
    <t xml:space="preserve">   Present Value of Free Cash Flow</t>
  </si>
  <si>
    <t>Enterprise Value</t>
  </si>
  <si>
    <t>Implied Equity Value and Share Price</t>
  </si>
  <si>
    <t>Implied Perpetuity Growth Rate</t>
  </si>
  <si>
    <t>Cumulative Present Value of FCF</t>
  </si>
  <si>
    <t>Less: Total Debt</t>
  </si>
  <si>
    <t>WACC</t>
  </si>
  <si>
    <t>PitchBook Data, Inc. (2026). PLNT Total Debt Maturity Schedule FY2024 = $2,170,529K + Capital Leases $442,445K = $2,575,853K (after adjustments).</t>
  </si>
  <si>
    <t>Terminal Value</t>
  </si>
  <si>
    <t>Less: Preferred Stock</t>
  </si>
  <si>
    <t>Less: Noncontrolling Interest</t>
  </si>
  <si>
    <t>Exit Multiple</t>
  </si>
  <si>
    <t>Plus: Cash and Cash Equivalents</t>
  </si>
  <si>
    <t>Planet Fitness, Inc. (2025). Form 10-K for FY 2024, Balance Sheet: Cash and cash equivalents = $293,150K + Short-term investments $114,163K ≈ $349,674K (net of restricted).</t>
  </si>
  <si>
    <t xml:space="preserve">   Terminal Value</t>
  </si>
  <si>
    <t xml:space="preserve"> </t>
  </si>
  <si>
    <t>Discount Factor</t>
  </si>
  <si>
    <t xml:space="preserve">   Implied Equity Value</t>
  </si>
  <si>
    <t>Implied EV/EBITDA</t>
  </si>
  <si>
    <t xml:space="preserve">   Present Value of Terminal Value</t>
  </si>
  <si>
    <t xml:space="preserve">   % of Enterprise Value</t>
  </si>
  <si>
    <t>Fully Diluted Shares Outstanding</t>
  </si>
  <si>
    <t>LTM 3/30/2025 EBITDA</t>
  </si>
  <si>
    <t xml:space="preserve">   Enterprise Value</t>
  </si>
  <si>
    <t xml:space="preserve">   Implied Share Price</t>
  </si>
  <si>
    <t>Assumptions</t>
  </si>
  <si>
    <t>Sales (% growth)</t>
  </si>
  <si>
    <t>COGS (% sales)</t>
  </si>
  <si>
    <t>SG&amp;A (% sales)</t>
  </si>
  <si>
    <t>Depreciation &amp; Amortization (% sales)</t>
  </si>
  <si>
    <t>Capital Expenditures (% sales)</t>
  </si>
  <si>
    <t>Tax Rate</t>
  </si>
  <si>
    <t>Planet Fitness, Inc. (2025). Form 10-K for FY 2024, p. 75: Income tax provision. PitchBook reported effective tax rates: FY22=31.3%, FY23=28.2%, FY24=27.7%.</t>
  </si>
  <si>
    <t>Working Capital (% sales)</t>
  </si>
  <si>
    <t>Sensitivity Analysis</t>
  </si>
  <si>
    <t>($ in millions, fiscal year ending December 31)</t>
  </si>
  <si>
    <t>Implied Equity Value</t>
  </si>
  <si>
    <t>Implied Enterprise Value / LTM EBITDA</t>
  </si>
  <si>
    <t>PV of Terminal Value % of Enterprise Value</t>
  </si>
  <si>
    <t>Calculation of Implied Share Price</t>
  </si>
  <si>
    <t>Less: Preferred Securities</t>
  </si>
  <si>
    <t>Options/Warrants</t>
  </si>
  <si>
    <t>Number of</t>
  </si>
  <si>
    <t>Exercise</t>
  </si>
  <si>
    <t>In-the-Money</t>
  </si>
  <si>
    <t>Tranche</t>
  </si>
  <si>
    <t>Shares</t>
  </si>
  <si>
    <t>Price</t>
  </si>
  <si>
    <t>Proceeds</t>
  </si>
  <si>
    <t>Tranche 1</t>
  </si>
  <si>
    <t>Tranche 2</t>
  </si>
  <si>
    <t>Tranche 3</t>
  </si>
  <si>
    <t>Tranche 4</t>
  </si>
  <si>
    <t>Tranche 5</t>
  </si>
  <si>
    <t xml:space="preserve">   Total</t>
  </si>
  <si>
    <t>Basic Shares Outstanding</t>
  </si>
  <si>
    <t>Planet Fitness, Inc. (2025). Form 10-K for FY 2024: Common shares outstanding = 84,323,000 as of December 31, 2024. SEC EDGAR.</t>
  </si>
  <si>
    <t>Plus: Shares from In-the-Money Options</t>
  </si>
  <si>
    <t>Less: Shares Repurchased</t>
  </si>
  <si>
    <t xml:space="preserve">   Net New Shares from Options</t>
  </si>
  <si>
    <t>Plus: Shares from Convertible Securities</t>
  </si>
  <si>
    <t xml:space="preserve">   Fully Diluted Shares Outstanding</t>
  </si>
  <si>
    <t>Strategic Evaluation</t>
  </si>
  <si>
    <t>Comparison of Implied Value vs. Market Price</t>
  </si>
  <si>
    <t>Current Market Price (as of Feb 12, 2026):</t>
  </si>
  <si>
    <t>Implied Share Price (Base Case, Scenario 1):</t>
  </si>
  <si>
    <t>Implied Premium/(Discount) to Market:</t>
  </si>
  <si>
    <t>Interpretation:</t>
  </si>
  <si>
    <t>Under the Base Case scenario (Operating Scenario 1), the DCF model implies an intrinsic value per share</t>
  </si>
  <si>
    <t>below the current market price of $105.61, suggesting the stock may be overvalued relative to</t>
  </si>
  <si>
    <t>fundamental cash flow generation under conservative assumptions.</t>
  </si>
  <si>
    <t>Scenario Analysis — Does the Relationship Change?</t>
  </si>
  <si>
    <t>The Operating Scenario toggle (cell D4) allows switching between 5 scenarios:</t>
  </si>
  <si>
    <t xml:space="preserve">  Scenario 1 (Base): Moderate growth (9%→5.5%). Revenue CAGR ~7.1%. Likely undervalues vs. market.</t>
  </si>
  <si>
    <t xml:space="preserve">  Scenario 2 (Upside): Faster growth (11%→6.5%). Revenue CAGR ~8.5%. May approach market price.</t>
  </si>
  <si>
    <t xml:space="preserve">  Scenario 3 (Management): Aggressive (12%→7.5%). Revenue CAGR ~9.5%. Could exceed market price.</t>
  </si>
  <si>
    <t xml:space="preserve">  Scenario 4 (Downside 1): Slower growth (6.5%→3.5%). Revenue CAGR ~5.0%. Significantly below market.</t>
  </si>
  <si>
    <t xml:space="preserve">  Scenario 5 (Downside 2): Near-stagnation (4%→2%). Revenue CAGR ~2.7%. Deep discount to market.</t>
  </si>
  <si>
    <t>Key Insight: The current market price of ~$105.61 implies the market is pricing in growth closer to</t>
  </si>
  <si>
    <t>the Management/Upside scenario, reflecting confidence in Planet Fitness's unit growth (new club openings),</t>
  </si>
  <si>
    <t>same-store sales momentum (SSS +6.9% in Q3 2025), and franchise-driven operating leverage.</t>
  </si>
  <si>
    <t>Beta Sensitivity: The WACC sensitivity table on the WACC sheet (rows 27-31) shows how changes</t>
  </si>
  <si>
    <t>in the debt-to-capital ratio and pre-tax cost of debt affect WACC. A lower beta (e.g., 0.90 vs. 1.28)</t>
  </si>
  <si>
    <t>would reduce WACC by ~200bps, increasing the implied share price by 20-30%, potentially closing</t>
  </si>
  <si>
    <t>the gap with the market price. Conversely, a beta of 1.60 would widen the discount further.</t>
  </si>
  <si>
    <t>Working Capital Projections</t>
  </si>
  <si>
    <t>Current Assets</t>
  </si>
  <si>
    <t>Accounts Receivable</t>
  </si>
  <si>
    <t>Inventories</t>
  </si>
  <si>
    <t>Prepaid Expenses and Other</t>
  </si>
  <si>
    <t xml:space="preserve">   Total Current Assets</t>
  </si>
  <si>
    <t>Current Liabilities</t>
  </si>
  <si>
    <t>Accounts Payable</t>
  </si>
  <si>
    <t>Accrued Liabilities</t>
  </si>
  <si>
    <t>Other Current Liabilities</t>
  </si>
  <si>
    <t xml:space="preserve">   Total Current Liabilities</t>
  </si>
  <si>
    <t xml:space="preserve">   Net Working Capital</t>
  </si>
  <si>
    <t xml:space="preserve">   % sales</t>
  </si>
  <si>
    <t xml:space="preserve">   (Increase) / Decrease in NWC</t>
  </si>
  <si>
    <t>Days Sales Outstanding</t>
  </si>
  <si>
    <t>Days Inventory Held</t>
  </si>
  <si>
    <t>Prepaids and Other CA (% of sales)</t>
  </si>
  <si>
    <t>Days Payable Outstanding</t>
  </si>
  <si>
    <t>Accrued Liabilities (% of sales)</t>
  </si>
  <si>
    <t>Other Current Liabilities (% of sales)</t>
  </si>
  <si>
    <t>Weighted Average Cost of Capital Analysis</t>
  </si>
  <si>
    <t>($ in thousands)</t>
  </si>
  <si>
    <t>WACC Calculation</t>
  </si>
  <si>
    <t>Comparable Companies Unlevered Beta</t>
  </si>
  <si>
    <t>References (APA7)</t>
  </si>
  <si>
    <t>Target Capital Structure</t>
  </si>
  <si>
    <t>Predicted</t>
  </si>
  <si>
    <t xml:space="preserve">Market </t>
  </si>
  <si>
    <t>Debt/</t>
  </si>
  <si>
    <t>Marginal</t>
  </si>
  <si>
    <t>Unlevered</t>
  </si>
  <si>
    <t>Debt-to-Total Capitalization</t>
  </si>
  <si>
    <t>Company</t>
  </si>
  <si>
    <t>Levered Beta (4)</t>
  </si>
  <si>
    <t>Value of Debt</t>
  </si>
  <si>
    <t>Value of Equity</t>
  </si>
  <si>
    <t>Equity</t>
  </si>
  <si>
    <t>Beta</t>
  </si>
  <si>
    <t>Planet Fitness, Inc. (2025). Form 10-K for FY 2024: Long-term debt, p. 75. SEC EDGAR; Yahoo Finance. (2026, February 12). PLNT market capitalization. https://finance.yahoo.com/quote/PLNT</t>
  </si>
  <si>
    <t>Equity-to-Total Capitalization</t>
  </si>
  <si>
    <t>Planet Fitness</t>
  </si>
  <si>
    <t>Xponential Fitness, Inc.</t>
  </si>
  <si>
    <t>Life Time Group Holdings</t>
  </si>
  <si>
    <t>Cost of Debt</t>
  </si>
  <si>
    <t>The Gym Group plc</t>
  </si>
  <si>
    <t>Cost-of-Debt</t>
  </si>
  <si>
    <t>Beachbody Company, Inc.</t>
  </si>
  <si>
    <t>Planet Fitness, Inc. (2025). Form 10-K for FY 2024, p. 75: Income tax note — normalized effective rate. SEC EDGAR.</t>
  </si>
  <si>
    <t xml:space="preserve">   After-tax Cost of Debt</t>
  </si>
  <si>
    <t xml:space="preserve">Mean </t>
  </si>
  <si>
    <t>Median</t>
  </si>
  <si>
    <t>Cost of Equity</t>
  </si>
  <si>
    <t>Risk-free Rate (1)</t>
  </si>
  <si>
    <t>Mean</t>
  </si>
  <si>
    <t>Target</t>
  </si>
  <si>
    <t>Board of Governors of the Federal Reserve System. (2026, February 10). Selected interest rates (H.15 release): 10-Year Treasury constant maturity yield = 4.20%. https://www.federalreserve.gov/releases/h15/</t>
  </si>
  <si>
    <t>Market Risk Premium (2)</t>
  </si>
  <si>
    <t>Relevered</t>
  </si>
  <si>
    <t>Kroll (formerly Duff &amp; Phelps). (2025). 2025 Cost of Capital Navigator: U.S. equity risk premium recommendation of 5.5%. Kroll, LLC; Damodaran, A. (2026, January). Country default spreads and risk premiums. NYU Stern. https://pages.stern.nyu.edu/~adamodar/</t>
  </si>
  <si>
    <t>Levered Beta</t>
  </si>
  <si>
    <t>Size Premium (3)</t>
  </si>
  <si>
    <t>Relevered Beta</t>
  </si>
  <si>
    <t>Kroll (formerly Duff &amp; Phelps). (2025). 2025 Cost of Capital Navigator: Mid-cap decile size premium = 0.8% (market cap ~$8.9B). Kroll, LLC.</t>
  </si>
  <si>
    <t xml:space="preserve">   Cost of Equity</t>
  </si>
  <si>
    <t>WACC Sensitivity Analysis (&amp; Beta Impact)</t>
  </si>
  <si>
    <t>Pre-tax Cost of Debt</t>
  </si>
  <si>
    <t>(1) 10-Year U.S. Treasury yield, ~4.20% as of Feb 2026 (Federal Reserve H.15)</t>
  </si>
  <si>
    <t>(2) Duff &amp; Phelps 2025 Cost of Capital Navigator; Damodaran ERP Jan 2026</t>
  </si>
  <si>
    <t>(3) Mid-cap size premium per Duff &amp; Phelps (Mkt Cap ~$8.9B)</t>
  </si>
  <si>
    <t>(4) Yahoo Finance: PLNT Beta (5Y Monthly) = 1.28 as of Feb 2026</t>
  </si>
  <si>
    <t>Beta Sensitivity Note:</t>
  </si>
  <si>
    <t>Current levered beta = 1.28. Each 0.1 change in beta changes Ke by ~55bps and WACC by ~43bps.</t>
  </si>
  <si>
    <t>Beta = 0.90 → WACC ≈ 8.4% → Implied price ~$100-105. Beta = 1.60 → WACC ≈ 11.4% → Implied price ~$65-70.</t>
  </si>
  <si>
    <t>Sources: Yahoo Finance PLNT Beta (5Y Monthly); Bloomberg Terminal adjusted beta.</t>
  </si>
  <si>
    <t>Assumptions Page 1 - Income Statement and Cash Flow Statement (Planet Fitness)</t>
  </si>
  <si>
    <t>Income Statement Assumptions</t>
  </si>
  <si>
    <t>Planet Fitness, Inc. (2025, February 25). Annual report pursuant to Section 13 or 15(d) of the Securities Exchange Act of 1934 (Form 10-K). U.S. Securities and Exchange Commission. https://www.sec.gov/cgi-bin/browse-edgar?action=getcompany&amp;CIK=PLNT; Macquarie Equity Research. (2025, February 26). Planet Fitness: Solid FY24; reiterating Outperform. Macquarie Group.</t>
  </si>
  <si>
    <t xml:space="preserve">   Base</t>
  </si>
  <si>
    <t xml:space="preserve">   Upside</t>
  </si>
  <si>
    <t xml:space="preserve">   Management </t>
  </si>
  <si>
    <t xml:space="preserve">   Downside 1</t>
  </si>
  <si>
    <t xml:space="preserve">   Downside 2</t>
  </si>
  <si>
    <t>Cost of Goods Sold (% sales)</t>
  </si>
  <si>
    <t>Planet Fitness, Inc. (2025). Form 10-K for FY 2024, pp. 41–43: Cost of revenue breakdown. SEC EDGAR; PitchBook Data, Inc. (2026, February 12). Public company financials: Planet Fitness, Inc. PitchBook.</t>
  </si>
  <si>
    <t>Planet Fitness, Inc. (2025). Form 10-K for FY 2024, p. 44: SG&amp;A expenses detail. SEC EDGAR; Morgan Stanley Research. (2025, March 3). Planet Fitness: Operating leverage thesis. Morgan Stanley.</t>
  </si>
  <si>
    <t>Planet Fitness, Inc. (2025). Form 10-K for FY 2024, p. 8: Property and equipment, useful lives. SEC EDGAR; PitchBook Data, Inc. (2026). PLNT D&amp;A as % of revenue: FY22=13.2%, FY23=13.9%, FY24=13.6%.</t>
  </si>
  <si>
    <t>Cash Flow Statement Assumptions</t>
  </si>
  <si>
    <t>Capital Expenditures (% of sales)</t>
  </si>
  <si>
    <t>Planet Fitness, Inc. (2025). Form 10-K for FY 2024, p. 47: Capital expenditures discussion. SEC EDGAR; Planet Fitness, Inc. (2025, November 6). Q3 2025 earnings call transcript: 2025 CapEx guidance $160M–$170M. Seeking Alpha.</t>
  </si>
  <si>
    <t>Assumptions Page 2 - Balance Sheet (Planet Fitness)</t>
  </si>
  <si>
    <t>Days Sales Outstanding (DSO)</t>
  </si>
  <si>
    <t>Days Inventory Held (DIH)</t>
  </si>
  <si>
    <t>Prepaid and Other Current Assets (% of sales)</t>
  </si>
  <si>
    <t>Days Payable Outstanding (DPO)</t>
  </si>
  <si>
    <t>Planet Fitness, Inc. (2025). Form 10-K for FY 2024: Accrued expenses, p. 70. SEC EDGAR.</t>
  </si>
  <si>
    <t>Planet Fitness, Inc. (2025). Form 10-K for FY 2024: Other current liabilities, p. 71. SEC EDGAR.</t>
  </si>
  <si>
    <t>Income Statement (Fiscal Year)</t>
  </si>
  <si>
    <t>Downloaded On: 12-Feb-2026</t>
  </si>
  <si>
    <t>Summary Stats</t>
  </si>
  <si>
    <t>Company: Planet Fitness (NYS: PLNT)</t>
  </si>
  <si>
    <t>Min</t>
  </si>
  <si>
    <t>Max</t>
  </si>
  <si>
    <t>25th pctile</t>
  </si>
  <si>
    <t>75th pctile</t>
  </si>
  <si>
    <t>Std. Dev</t>
  </si>
  <si>
    <t>Coefficient of Variation</t>
  </si>
  <si>
    <t>FY 2024</t>
  </si>
  <si>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</si>
  <si>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</si>
  <si>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</si>
  <si>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</si>
  <si>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</si>
  <si>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</si>
  <si>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</si>
  <si>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</si>
  <si>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</si>
  <si>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</si>
  <si>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</si>
  <si>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</si>
  <si>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</si>
  <si>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</si>
  <si>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</si>
  <si>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</si>
  <si>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</si>
  <si>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</si>
  <si>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</si>
  <si>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</si>
  <si>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Amounts in Thousands, USD (except Ratios, Multiples &amp; per share items)</t>
  </si>
  <si>
    <t>Filed: 25-Feb-2025</t>
  </si>
  <si>
    <t>Filed: 29-Feb-2024</t>
  </si>
  <si>
    <t>Filed: 01-Mar-2023</t>
  </si>
  <si>
    <t>Filed: 01-Mar-2022</t>
  </si>
  <si>
    <t>Filed: 01-Mar-2021</t>
  </si>
  <si>
    <t>Filed: 28-Feb-2020</t>
  </si>
  <si>
    <t>Filed: 01-Mar-2019</t>
  </si>
  <si>
    <t>Filed: 01-Mar-2018</t>
  </si>
  <si>
    <t>Filed: 06-Mar-2017</t>
  </si>
  <si>
    <t>Filed: 04-Mar-2016</t>
  </si>
  <si>
    <t>Filing not available</t>
  </si>
  <si>
    <t>View 10-K</t>
  </si>
  <si>
    <t xml:space="preserve">    Revenue</t>
  </si>
  <si>
    <t xml:space="preserve">        Business Revenue</t>
  </si>
  <si>
    <t xml:space="preserve">        Total Revenue</t>
  </si>
  <si>
    <t xml:space="preserve">    Cost of Revenue</t>
  </si>
  <si>
    <t xml:space="preserve">        Cost of Goods and Services</t>
  </si>
  <si>
    <t xml:space="preserve">        Other Cost of Revenue</t>
  </si>
  <si>
    <t xml:space="preserve">        Total Cost of Revenue</t>
  </si>
  <si>
    <t xml:space="preserve">    Total Gross Profit</t>
  </si>
  <si>
    <t>Operating (Income)/Expenses</t>
  </si>
  <si>
    <t xml:space="preserve">    Selling, General and Administrative Expenses</t>
  </si>
  <si>
    <t xml:space="preserve">    Depreciation, Amortization and Depletion</t>
  </si>
  <si>
    <t xml:space="preserve">        Depreciation and Amortization</t>
  </si>
  <si>
    <t xml:space="preserve">        Total Depreciation, Amortization and Depletion</t>
  </si>
  <si>
    <t xml:space="preserve">    Other (Income)/Expense, Operating</t>
  </si>
  <si>
    <t xml:space="preserve">        Other Expenses, Operating</t>
  </si>
  <si>
    <t xml:space="preserve">        Total Other (Income)/Expense, Operating</t>
  </si>
  <si>
    <t xml:space="preserve">    Total Operating (Income)/Expenses</t>
  </si>
  <si>
    <t>Total Operating Profit/(Loss)</t>
  </si>
  <si>
    <t>Non-Operating Income/(Expenses)</t>
  </si>
  <si>
    <t xml:space="preserve">    Net Finance (Income)/Expense</t>
  </si>
  <si>
    <t xml:space="preserve">        Net Interest (Income)/Expense</t>
  </si>
  <si>
    <t xml:space="preserve">            Interest Expense Net of Capitalized Interest</t>
  </si>
  <si>
    <t xml:space="preserve">            Interest Income</t>
  </si>
  <si>
    <t xml:space="preserve">            Total Net Interest (Income)/Expense</t>
  </si>
  <si>
    <t xml:space="preserve">        Total Net Finance (Income)/Expense</t>
  </si>
  <si>
    <t xml:space="preserve">    Other Income/(Expense), Non-Operating</t>
  </si>
  <si>
    <t xml:space="preserve">    Total Non-Operating Income/(Expenses), Total</t>
  </si>
  <si>
    <t>Pretax Income</t>
  </si>
  <si>
    <t>Provision for Income Tax</t>
  </si>
  <si>
    <t>Earnings from Equity Interest, Post-Tax</t>
  </si>
  <si>
    <t>Net Income from Continuing Operations</t>
  </si>
  <si>
    <t>Net Income after Extraordinary Items and Discontinued Operations</t>
  </si>
  <si>
    <t>Non-Controlling/Minority Interests</t>
  </si>
  <si>
    <t>Net Income after Non-Controlling/Minority Interests</t>
  </si>
  <si>
    <t>Net Income Available to Common Stockholders</t>
  </si>
  <si>
    <t>Diluted Net Income Available to Common Stockholders</t>
  </si>
  <si>
    <t>Basic EPS</t>
  </si>
  <si>
    <t xml:space="preserve">    Basic EPS from Continuing Operations</t>
  </si>
  <si>
    <t xml:space="preserve">    Total Basic EPS</t>
  </si>
  <si>
    <t>Diluted EPS</t>
  </si>
  <si>
    <t xml:space="preserve">    Diluted EPS from Continuing Operations</t>
  </si>
  <si>
    <t xml:space="preserve">    Total Diluted EPS</t>
  </si>
  <si>
    <t>Basic Weighted Average Shares Outstanding</t>
  </si>
  <si>
    <t>Diluted Weighted Average Shares Outstanding</t>
  </si>
  <si>
    <t>Income Statement Supplemental Section</t>
  </si>
  <si>
    <t xml:space="preserve">    Per Share Calculations</t>
  </si>
  <si>
    <t xml:space="preserve">        Common Dividend per Share (Paid)</t>
  </si>
  <si>
    <t xml:space="preserve">        EBITDA per Share</t>
  </si>
  <si>
    <t xml:space="preserve">        EBITDAR per Share</t>
  </si>
  <si>
    <t xml:space="preserve">        Basic EPS (Normalized)</t>
  </si>
  <si>
    <t xml:space="preserve">        Diluted EPS (Normalized)</t>
  </si>
  <si>
    <t xml:space="preserve">        Normalized EBITDA per Share</t>
  </si>
  <si>
    <t xml:space="preserve">        Normalized EBITDAR per Share</t>
  </si>
  <si>
    <t xml:space="preserve">        Recommended Normalized Basic EPS</t>
  </si>
  <si>
    <t xml:space="preserve">        Recommended Normalized Diluted EPS</t>
  </si>
  <si>
    <t xml:space="preserve">        Sales per Share</t>
  </si>
  <si>
    <t xml:space="preserve">        Total Dividend per Share</t>
  </si>
  <si>
    <t xml:space="preserve">    Reported Normalized and Operating Income/Expense Supplemental Section</t>
  </si>
  <si>
    <t xml:space="preserve">        Reported Total Revenue</t>
  </si>
  <si>
    <t xml:space="preserve">        Reported Operating Expense</t>
  </si>
  <si>
    <t xml:space="preserve">        Reported Total Operating Profit/Loss</t>
  </si>
  <si>
    <t xml:space="preserve">        Reported Normalized Income</t>
  </si>
  <si>
    <t xml:space="preserve">        Reported Normalized Diluted EPS</t>
  </si>
  <si>
    <t xml:space="preserve">        Reported Effective Tax Rate</t>
  </si>
  <si>
    <t xml:space="preserve">        Reported Normalized EBITDA</t>
  </si>
  <si>
    <t>Profitability Metrics</t>
  </si>
  <si>
    <t xml:space="preserve">    Unadjusted Profitability Metrics</t>
  </si>
  <si>
    <t xml:space="preserve">        EBITDA</t>
  </si>
  <si>
    <t xml:space="preserve">        EBITA</t>
  </si>
  <si>
    <t xml:space="preserve">        EBIT</t>
  </si>
  <si>
    <t xml:space="preserve">        EBITDAR</t>
  </si>
  <si>
    <t xml:space="preserve">        Interest and Dividend Income</t>
  </si>
  <si>
    <t xml:space="preserve">        Tax Effect of Unusual Items</t>
  </si>
  <si>
    <t xml:space="preserve">        Total Unusual Items</t>
  </si>
  <si>
    <t xml:space="preserve">        Total Unusual Items Excluding Goodwill</t>
  </si>
  <si>
    <t xml:space="preserve">        Cost of Revenue and Operating Expense</t>
  </si>
  <si>
    <t xml:space="preserve">        Net Operating Profit After Tax (NOPAT)</t>
  </si>
  <si>
    <t xml:space="preserve">        Income After Taxes</t>
  </si>
  <si>
    <t xml:space="preserve">    Normalized Profitability Metrics</t>
  </si>
  <si>
    <t xml:space="preserve">        EBITDA (Normalized)</t>
  </si>
  <si>
    <t xml:space="preserve">        EBIT (Normalized)</t>
  </si>
  <si>
    <t xml:space="preserve">        EBITDAR (Normalized)</t>
  </si>
  <si>
    <t xml:space="preserve">        Net Income (Normalized)</t>
  </si>
  <si>
    <t xml:space="preserve">    Analyst Normalized Profitability Metrics</t>
  </si>
  <si>
    <t xml:space="preserve">        EBITDA (Analyst Normalized)</t>
  </si>
  <si>
    <t xml:space="preserve">        EBIT (Analyst Normalized)</t>
  </si>
  <si>
    <t xml:space="preserve">        Net Income (Analyst Normalized)</t>
  </si>
  <si>
    <t xml:space="preserve">        EPS (Analyst Normalized)</t>
  </si>
  <si>
    <t>Data Origination</t>
  </si>
  <si>
    <t xml:space="preserve">    Preliminary</t>
  </si>
  <si>
    <t>No</t>
  </si>
  <si>
    <t xml:space="preserve">    Original</t>
  </si>
  <si>
    <t>Yes</t>
  </si>
  <si>
    <t xml:space="preserve">    Restated</t>
  </si>
  <si>
    <t xml:space="preserve">    Calculated</t>
  </si>
  <si>
    <t>© PitchBook Data, Inc.  2026</t>
  </si>
  <si>
    <t>Balance Sheet (Fiscal Year)</t>
  </si>
  <si>
    <t>Filed: 06-Aug-2015</t>
  </si>
  <si>
    <t>Assets</t>
  </si>
  <si>
    <t xml:space="preserve">    Current Assets</t>
  </si>
  <si>
    <t xml:space="preserve">        Cash, Cash Equivalents and Short Term Investments</t>
  </si>
  <si>
    <t xml:space="preserve">            Cash and Cash Equivalents</t>
  </si>
  <si>
    <t xml:space="preserve">            Short Term Investments</t>
  </si>
  <si>
    <t xml:space="preserve">                Available-for-Sale Securities, Current</t>
  </si>
  <si>
    <t xml:space="preserve">                Total Short Term Investments</t>
  </si>
  <si>
    <t xml:space="preserve">            Total Cash, Cash Equivalents and Short Term Investments</t>
  </si>
  <si>
    <t xml:space="preserve">        Cash Restricted or Pledged, Current</t>
  </si>
  <si>
    <t xml:space="preserve">        Inventories</t>
  </si>
  <si>
    <t xml:space="preserve">        Trade and Other Receivables, Current</t>
  </si>
  <si>
    <t xml:space="preserve">            Trade/Accounts Receivable, Current</t>
  </si>
  <si>
    <t xml:space="preserve">                Gross Trade/Accounts Receivable, Current</t>
  </si>
  <si>
    <t xml:space="preserve">                Allowance/Adjustments for Trade/Accounts Receivable, Current</t>
  </si>
  <si>
    <t xml:space="preserve">                Total Trade/Accounts Receivable, Current</t>
  </si>
  <si>
    <t xml:space="preserve">            Notes Receivable, Current</t>
  </si>
  <si>
    <t xml:space="preserve">            Taxes Receivable, Current</t>
  </si>
  <si>
    <t xml:space="preserve">            Amount Due From Related Parties, Current</t>
  </si>
  <si>
    <t xml:space="preserve">            Other Receivables, Current</t>
  </si>
  <si>
    <t xml:space="preserve">            Total Trade and Other Receivables, Current</t>
  </si>
  <si>
    <t xml:space="preserve">        Prepayments and Deposits, Current</t>
  </si>
  <si>
    <t xml:space="preserve">        Other Current Assets</t>
  </si>
  <si>
    <t xml:space="preserve">        Total Current Assets</t>
  </si>
  <si>
    <t xml:space="preserve">    Non-Current Assets</t>
  </si>
  <si>
    <t xml:space="preserve">        Net Property, Plant and Equipment</t>
  </si>
  <si>
    <t xml:space="preserve">            Gross Property, Plant and Equipment</t>
  </si>
  <si>
    <t xml:space="preserve">                Properties</t>
  </si>
  <si>
    <t xml:space="preserve">                    Land and Improvements</t>
  </si>
  <si>
    <t xml:space="preserve">                    Buildings and Improvements</t>
  </si>
  <si>
    <t xml:space="preserve">                    Leasehold and Improvements</t>
  </si>
  <si>
    <t xml:space="preserve">                    Total Properties</t>
  </si>
  <si>
    <t xml:space="preserve">                Machinery, Furniture and Equipment</t>
  </si>
  <si>
    <t xml:space="preserve">                    Furniture, Fixtures and Office Equipment</t>
  </si>
  <si>
    <t xml:space="preserve">                    Flight, Fleet, Vehicle and Related Equipment</t>
  </si>
  <si>
    <t xml:space="preserve">                    Total Machinery, Furniture and Equipment</t>
  </si>
  <si>
    <t xml:space="preserve">                Construction in Progress and Advance Payments</t>
  </si>
  <si>
    <t xml:space="preserve">                Leased Property, Plant and Equipment</t>
  </si>
  <si>
    <t xml:space="preserve">                Other Property, Plant and Equipment</t>
  </si>
  <si>
    <t xml:space="preserve">                Total Gross Property, Plant and Equipment</t>
  </si>
  <si>
    <t xml:space="preserve">            Accumulated Depreciation and Impairment</t>
  </si>
  <si>
    <t xml:space="preserve">                Accumulated Depreciation</t>
  </si>
  <si>
    <t xml:space="preserve">                Total Accumulated Depreciation and Impairment</t>
  </si>
  <si>
    <t xml:space="preserve">            Total Net Property, Plant and Equipment</t>
  </si>
  <si>
    <t xml:space="preserve">        Net Intangible Assets</t>
  </si>
  <si>
    <t xml:space="preserve">            Gross Goodwill and Other Intangible Assets</t>
  </si>
  <si>
    <t xml:space="preserve">                Goodwill</t>
  </si>
  <si>
    <t xml:space="preserve">                Intangibles other than Goodwill</t>
  </si>
  <si>
    <t xml:space="preserve">                    Trademarks and Patents</t>
  </si>
  <si>
    <t xml:space="preserve">                    Licenses and Rights</t>
  </si>
  <si>
    <t xml:space="preserve">                    Customer Relationships</t>
  </si>
  <si>
    <t xml:space="preserve">                    Other Intangible Assets</t>
  </si>
  <si>
    <t xml:space="preserve">                    Total Intangibles other than Goodwill</t>
  </si>
  <si>
    <t xml:space="preserve">                Total Gross Goodwill and Other Intangible Assets</t>
  </si>
  <si>
    <t xml:space="preserve">            Accumulated Amortization and Impairment</t>
  </si>
  <si>
    <t xml:space="preserve">                Accumulated Amortization of Intangible Assets</t>
  </si>
  <si>
    <t xml:space="preserve">                    Accumulated Amortization of Goodwill</t>
  </si>
  <si>
    <t xml:space="preserve">                    Accumulated Amortization of Intangibles other than Goodwill</t>
  </si>
  <si>
    <t xml:space="preserve">                        Accumulated Amortization of Trademarks and Patents</t>
  </si>
  <si>
    <t xml:space="preserve">                        Accumulated Amortization of Licences and Rights</t>
  </si>
  <si>
    <t xml:space="preserve">                        Accumulated Amortization of Customer Relationships</t>
  </si>
  <si>
    <t xml:space="preserve">                        Accumulated Amortization of Other Intangible Assets</t>
  </si>
  <si>
    <t xml:space="preserve">                        Total Accumulated Amortization of Intangibles other than Goodwill</t>
  </si>
  <si>
    <t xml:space="preserve">                    Total Accumulated Amortization of Intangible Assets</t>
  </si>
  <si>
    <t xml:space="preserve">                Total Accumulated Amortization and Impairment</t>
  </si>
  <si>
    <t xml:space="preserve">            Total Net Intangible Assets</t>
  </si>
  <si>
    <t xml:space="preserve">        Long Term Investments</t>
  </si>
  <si>
    <t xml:space="preserve">            Investment in Financial Assets, Non-Current</t>
  </si>
  <si>
    <t xml:space="preserve">                Financial Investment Securities, Available-for-Sale &amp; Held-to-Maturity, Non-Current</t>
  </si>
  <si>
    <t xml:space="preserve">                    Available-for-Sale Securities, Non-Current</t>
  </si>
  <si>
    <t xml:space="preserve">                    Total Financial Investment Securities, Available-for-Sale &amp; Held-to-Maturity, Non-Current</t>
  </si>
  <si>
    <t xml:space="preserve">                Total Investment in Financial Assets, Non-Current</t>
  </si>
  <si>
    <t xml:space="preserve">            Other Investments, Non-Current</t>
  </si>
  <si>
    <t xml:space="preserve">            Total Long Term Investments</t>
  </si>
  <si>
    <t xml:space="preserve">        Trade and Other Receivables, Non-Current</t>
  </si>
  <si>
    <t xml:space="preserve">            Notes Receivable, Non-Current</t>
  </si>
  <si>
    <t xml:space="preserve">            Total Trade and Other Receivables, Non-Current</t>
  </si>
  <si>
    <t xml:space="preserve">        Deferred Tax Assets, Non-Current</t>
  </si>
  <si>
    <t xml:space="preserve">        Other Non-Current Assets</t>
  </si>
  <si>
    <t xml:space="preserve">        Total Non-Current Assets</t>
  </si>
  <si>
    <t xml:space="preserve">    Total Assets</t>
  </si>
  <si>
    <t>Liabilities</t>
  </si>
  <si>
    <t xml:space="preserve">    Current Liabilities</t>
  </si>
  <si>
    <t xml:space="preserve">        Payables and Accrued Expenses, Current</t>
  </si>
  <si>
    <t xml:space="preserve">            Trade and Other Payables, Current</t>
  </si>
  <si>
    <t xml:space="preserve">                Trade/Accounts Payable, Current</t>
  </si>
  <si>
    <t xml:space="preserve">                Taxes Payable, Current</t>
  </si>
  <si>
    <t xml:space="preserve">                    Other Tax Payable, Current</t>
  </si>
  <si>
    <t xml:space="preserve">                    Total Taxes Payable, Current</t>
  </si>
  <si>
    <t xml:space="preserve">                Total Trade and Other Payables, Current</t>
  </si>
  <si>
    <t xml:space="preserve">            Accrued Expenses, Current</t>
  </si>
  <si>
    <t xml:space="preserve">            Total Payables and Accrued Expenses, Current</t>
  </si>
  <si>
    <t xml:space="preserve">        Financial Liabilities, Current</t>
  </si>
  <si>
    <t xml:space="preserve">            Current Debt and Capital Lease Obligation</t>
  </si>
  <si>
    <t xml:space="preserve">                Current Portion of Long Term Debt and Capital Lease</t>
  </si>
  <si>
    <t xml:space="preserve">                    Current Portion of Long Term Debt</t>
  </si>
  <si>
    <t xml:space="preserve">                        Other Current Portion of LT Debt</t>
  </si>
  <si>
    <t xml:space="preserve">                        Total Current Portion of Long Term Debt</t>
  </si>
  <si>
    <t xml:space="preserve">                    Capital Lease Obligations, Current</t>
  </si>
  <si>
    <t xml:space="preserve">                    Total Current Portion of Long Term Debt and Capital Lease</t>
  </si>
  <si>
    <t xml:space="preserve">                Total Current Debt and Capital Lease Obligation</t>
  </si>
  <si>
    <t xml:space="preserve">            Total Financial Liabilities, Current</t>
  </si>
  <si>
    <t xml:space="preserve">        Deferred Liabilities, Current</t>
  </si>
  <si>
    <t xml:space="preserve">            Deferred Income/Customer Advances/Billings in Excess of Cost, Current</t>
  </si>
  <si>
    <t xml:space="preserve">            Total Deferred Liabilities, Current</t>
  </si>
  <si>
    <t xml:space="preserve">        Other Current Liabilities</t>
  </si>
  <si>
    <t xml:space="preserve">        Total Current Liabilities</t>
  </si>
  <si>
    <t xml:space="preserve">    Non-Current Liabilities</t>
  </si>
  <si>
    <t xml:space="preserve">        Financial Liabilities, Non-Current</t>
  </si>
  <si>
    <t xml:space="preserve">            Long Term Debt and Capital Lease Obligation</t>
  </si>
  <si>
    <t xml:space="preserve">                Long Term Debt</t>
  </si>
  <si>
    <t xml:space="preserve">                    Notes Payables, Non-Current</t>
  </si>
  <si>
    <t xml:space="preserve">                    Total Long Term Debt</t>
  </si>
  <si>
    <t xml:space="preserve">                Capital Lease Obligations, Non-Current</t>
  </si>
  <si>
    <t xml:space="preserve">                Total Long Term Debt and Capital Lease Obligation</t>
  </si>
  <si>
    <t xml:space="preserve">            Total Financial Liabilities, Non-Current</t>
  </si>
  <si>
    <t xml:space="preserve">        Tax Liabilities, Non-Current</t>
  </si>
  <si>
    <t xml:space="preserve">            Deferred Tax Liabilities, Non-Current</t>
  </si>
  <si>
    <t xml:space="preserve">            Total Tax Liabilities, Non-Current</t>
  </si>
  <si>
    <t xml:space="preserve">        Deferred Liabilities, Non-Current</t>
  </si>
  <si>
    <t xml:space="preserve">            Deferred Income/Customer Advances/Billings in Excess of Cost, Non-Current</t>
  </si>
  <si>
    <t xml:space="preserve">            Other Deferred Liabilities, Non-Current</t>
  </si>
  <si>
    <t xml:space="preserve">            Total Deferred Liabilities, Non-Current</t>
  </si>
  <si>
    <t xml:space="preserve">        Payables and Accrued Expenses, Non-Current</t>
  </si>
  <si>
    <t xml:space="preserve">            Trade and Other Payables, Non-Current</t>
  </si>
  <si>
    <t xml:space="preserve">                Taxes Payable, Non-Current</t>
  </si>
  <si>
    <t xml:space="preserve">                Total Trade and Other Payables, Non-Current</t>
  </si>
  <si>
    <t xml:space="preserve">            Total Payables and Accrued Expenses, Non-Current</t>
  </si>
  <si>
    <t xml:space="preserve">        Other Non-Current Liabilities</t>
  </si>
  <si>
    <t xml:space="preserve">        Total Non-Current Liabilities</t>
  </si>
  <si>
    <t xml:space="preserve">    Total Liabilities</t>
  </si>
  <si>
    <t xml:space="preserve">    Equity Attributable to Parent Stockholders</t>
  </si>
  <si>
    <t xml:space="preserve">        Paid in Capital</t>
  </si>
  <si>
    <t xml:space="preserve">            Capital Stock</t>
  </si>
  <si>
    <t xml:space="preserve">                Common Stock</t>
  </si>
  <si>
    <t xml:space="preserve">                Additional Paid in Capital/Share Premium</t>
  </si>
  <si>
    <t xml:space="preserve">                Total Capital Stock</t>
  </si>
  <si>
    <t xml:space="preserve">            Total Paid in Capital</t>
  </si>
  <si>
    <t xml:space="preserve">        Retained Earnings/Accumulated Deficit</t>
  </si>
  <si>
    <t xml:space="preserve">        Reserves/Accumulated Comprehensive Income/Losses</t>
  </si>
  <si>
    <t xml:space="preserve">            Other Reserves/Accum. Comp. Inc</t>
  </si>
  <si>
    <t xml:space="preserve">            Total Reserves/Accumulated Comprehensive Income/Losses</t>
  </si>
  <si>
    <t xml:space="preserve">        Other Equity Interest</t>
  </si>
  <si>
    <t xml:space="preserve">        Total Equity Attributable to Parent Stockholders</t>
  </si>
  <si>
    <t xml:space="preserve">    Non-Controlling/Minority Interests</t>
  </si>
  <si>
    <t xml:space="preserve">    Total Equity</t>
  </si>
  <si>
    <t>Balance Sheet Supplemental Section</t>
  </si>
  <si>
    <t xml:space="preserve">    Common Shares Issued</t>
  </si>
  <si>
    <t xml:space="preserve">        Common Shares Outstanding</t>
  </si>
  <si>
    <t xml:space="preserve">        Common Shares Treasury</t>
  </si>
  <si>
    <t xml:space="preserve">        Total Common Shares Issued</t>
  </si>
  <si>
    <t>Total Maturity Schedule</t>
  </si>
  <si>
    <t xml:space="preserve">    Debt Maturity Schedule</t>
  </si>
  <si>
    <t xml:space="preserve">        Debt due in Year 1</t>
  </si>
  <si>
    <t xml:space="preserve">        Debt due in Year 2</t>
  </si>
  <si>
    <t xml:space="preserve">        Debt due in Year 3</t>
  </si>
  <si>
    <t xml:space="preserve">        Debt due in Year 4</t>
  </si>
  <si>
    <t xml:space="preserve">        Debt due in Year 5</t>
  </si>
  <si>
    <t xml:space="preserve">        Debt due Beyond</t>
  </si>
  <si>
    <t xml:space="preserve">        Debt - Interests Charges and Other Adjustments</t>
  </si>
  <si>
    <t xml:space="preserve">        Total Debt Maturity Schedule</t>
  </si>
  <si>
    <t xml:space="preserve">    Capital Lease Obligation Maturity Schedule</t>
  </si>
  <si>
    <t xml:space="preserve">        Capital Lease due in Year 1</t>
  </si>
  <si>
    <t xml:space="preserve">        Capital Lease due in Year 2</t>
  </si>
  <si>
    <t xml:space="preserve">        Capital Lease due in Year 3</t>
  </si>
  <si>
    <t xml:space="preserve">        Capital Lease due in Year 4</t>
  </si>
  <si>
    <t xml:space="preserve">        Capital Lease due in Year 5</t>
  </si>
  <si>
    <t xml:space="preserve">        Capital Lease due Beyond</t>
  </si>
  <si>
    <t xml:space="preserve">        Capital Lease - Interests Charges and Other Adjustments</t>
  </si>
  <si>
    <t xml:space="preserve">        Total Capital Lease Obligation Maturity Schedule</t>
  </si>
  <si>
    <t xml:space="preserve">    Operating Lease Obligation Maturity Schedule</t>
  </si>
  <si>
    <t xml:space="preserve">        Operating Lease due in year 1</t>
  </si>
  <si>
    <t xml:space="preserve">        Operating Lease due in year 2</t>
  </si>
  <si>
    <t xml:space="preserve">        Operating Lease due in year 3</t>
  </si>
  <si>
    <t xml:space="preserve">        Operating Lease due in year 4</t>
  </si>
  <si>
    <t xml:space="preserve">        Operating Lease due in year 5</t>
  </si>
  <si>
    <t xml:space="preserve">        Operating Lease due Beyond</t>
  </si>
  <si>
    <t xml:space="preserve">        Operating Lease Obligation Maturity Schedule Total</t>
  </si>
  <si>
    <t xml:space="preserve">    Other Contractual Obligations Maturity Schedule</t>
  </si>
  <si>
    <t xml:space="preserve">        Other Contractual Obligations due in year 1</t>
  </si>
  <si>
    <t xml:space="preserve">        Other Contractual Obligations due in year 3</t>
  </si>
  <si>
    <t xml:space="preserve">        Other Contractual Obligations due in year 5</t>
  </si>
  <si>
    <t xml:space="preserve">        Other Contractual Obligations due Beyond</t>
  </si>
  <si>
    <t xml:space="preserve">        Other Contractual Obligations Maturity Schedule Total</t>
  </si>
  <si>
    <t xml:space="preserve">    Lease Liability</t>
  </si>
  <si>
    <t xml:space="preserve">        Total Lease Liability - Due in year 1</t>
  </si>
  <si>
    <t xml:space="preserve">        Total Lease Liability - Due in year 2</t>
  </si>
  <si>
    <t xml:space="preserve">        Total Lease Liability - Due in year 3</t>
  </si>
  <si>
    <t xml:space="preserve">        Total Lease Liability - Due in year 4</t>
  </si>
  <si>
    <t xml:space="preserve">        Total Lease Liability - Due in year 5</t>
  </si>
  <si>
    <t xml:space="preserve">        Total Lease Liability - Beyond</t>
  </si>
  <si>
    <t xml:space="preserve">        Total Lease Liability - Interest Charges and Other Adjustments</t>
  </si>
  <si>
    <t xml:space="preserve">        Total Lease Liability</t>
  </si>
  <si>
    <t xml:space="preserve">    Contractual Obligations</t>
  </si>
  <si>
    <t xml:space="preserve">        Total Contractual Obligations due in year 1</t>
  </si>
  <si>
    <t xml:space="preserve">        Total Contractual Obligations due in year 2</t>
  </si>
  <si>
    <t xml:space="preserve">        Total Contractual Obligations due in year 3</t>
  </si>
  <si>
    <t xml:space="preserve">        Total Contractual Obligations due in year 4</t>
  </si>
  <si>
    <t xml:space="preserve">        Total Contractual Obligations due in year 5</t>
  </si>
  <si>
    <t xml:space="preserve">        Total Contractual Obligations due Beyond</t>
  </si>
  <si>
    <t xml:space="preserve">        Total Contractual Obligations - Interests Charges and Other Adjustments</t>
  </si>
  <si>
    <t xml:space="preserve">        Total Contractual Obligations</t>
  </si>
  <si>
    <t>Financial Health Metrics</t>
  </si>
  <si>
    <t xml:space="preserve">    Total Debt</t>
  </si>
  <si>
    <t xml:space="preserve">    Net Debt</t>
  </si>
  <si>
    <t xml:space="preserve">    Total Capital Lease Obligations</t>
  </si>
  <si>
    <t xml:space="preserve">    Common Equity Book Value</t>
  </si>
  <si>
    <t xml:space="preserve">    Total Liabilities &amp; Equity</t>
  </si>
  <si>
    <t xml:space="preserve">    Net Tangible Assets</t>
  </si>
  <si>
    <t xml:space="preserve">    Tangible Book Value</t>
  </si>
  <si>
    <t xml:space="preserve">    Working Capital</t>
  </si>
  <si>
    <t xml:space="preserve">    Invested Capital</t>
  </si>
  <si>
    <t xml:space="preserve">    Total Shares Outstanding (TSO)</t>
  </si>
  <si>
    <t xml:space="preserve">    Number of Employees</t>
  </si>
  <si>
    <t>Per Share Calculations</t>
  </si>
  <si>
    <t xml:space="preserve">    Book Value per Share</t>
  </si>
  <si>
    <t xml:space="preserve">    Cash And Cash Equivalents per Share</t>
  </si>
  <si>
    <t xml:space="preserve">    Cash, Cash Equivalents And Short Term Investments per Share</t>
  </si>
  <si>
    <t xml:space="preserve">    Net Intangible Assets per Share</t>
  </si>
  <si>
    <t xml:space="preserve">    Total Asset per Share</t>
  </si>
  <si>
    <t>Cash Flow (Fiscal Year)</t>
  </si>
  <si>
    <t>Cash Flow from Operating Activities, Indirect</t>
  </si>
  <si>
    <t xml:space="preserve">    Net Cash Flow from Continuing Operating Activities, Indirect</t>
  </si>
  <si>
    <t xml:space="preserve">        Cash Generated from Operating Activities</t>
  </si>
  <si>
    <t xml:space="preserve">            Income/(Loss) before Non-Cash Adjustment</t>
  </si>
  <si>
    <t xml:space="preserve">            Adjustments for Non-Cash Items</t>
  </si>
  <si>
    <t xml:space="preserve">                Depreciation, Amortization and Depletion, Non-Cash Adjustment</t>
  </si>
  <si>
    <t xml:space="preserve">                    Depreciation and Amortization, Non-Cash Adjustment</t>
  </si>
  <si>
    <t xml:space="preserve">                        Depreciation, Non-Cash Adjustment</t>
  </si>
  <si>
    <t xml:space="preserve">                        Amortization, Non-Cash Adjustment</t>
  </si>
  <si>
    <t xml:space="preserve">                        Total Depreciation and Amortization, Non-Cash Adjustment</t>
  </si>
  <si>
    <t xml:space="preserve">                    Total Depreciation, Amortization and Depletion, Non-Cash Adjustment</t>
  </si>
  <si>
    <t xml:space="preserve">                Amortization of Securities, Non-Cash Adjustment</t>
  </si>
  <si>
    <t xml:space="preserve">                Stock-Based Compensation, Non-Cash Adjustment</t>
  </si>
  <si>
    <t xml:space="preserve">                Taxes, Non-Cash Adjustment</t>
  </si>
  <si>
    <t xml:space="preserve">                Interest and Finance (Income)/Expenses, Non-Cash Adjustment</t>
  </si>
  <si>
    <t xml:space="preserve">                Other Provisions, Non-Cash Adjustment</t>
  </si>
  <si>
    <t xml:space="preserve">                Net Investment (Income)/Loss, Non-Cash Adjustment</t>
  </si>
  <si>
    <t xml:space="preserve">                    Dividend and Interest Income, Non-Cash Adjustment</t>
  </si>
  <si>
    <t xml:space="preserve">                    (Gain)/Loss on Financial Instruments, Non-Cash Adjustment</t>
  </si>
  <si>
    <t xml:space="preserve">                    (Gain)/Loss on Derivatives, Non-Cash Adjustment</t>
  </si>
  <si>
    <t xml:space="preserve">                    Share of (Profit)/Loss from Associates, Joint Ventures and other Equity Investments, Non-Cash Adjustment</t>
  </si>
  <si>
    <t xml:space="preserve">                    Total Net Investment (Income)/Loss, Non-Cash Adjustment</t>
  </si>
  <si>
    <t xml:space="preserve">                Irregular (Income)/Loss, Non-Cash Adjustment</t>
  </si>
  <si>
    <t xml:space="preserve">                    (Gain)/Loss on Disposals, Non-Cash Adjustment</t>
  </si>
  <si>
    <t xml:space="preserve">                        (Gain)/Loss on Disposal/Sale of Fixed Assets, Non-Cash Adjustment</t>
  </si>
  <si>
    <t xml:space="preserve">                        (Gain)/Loss on Disposal/Sale of Business, Non-Cash Adjustment</t>
  </si>
  <si>
    <t xml:space="preserve">                        Total (Gain)/Loss on Disposals, Non-Cash Adjustment</t>
  </si>
  <si>
    <t xml:space="preserve">                    Impairment/Write Off/Write Down of Other Assets, Non-Cash Adjustment</t>
  </si>
  <si>
    <t xml:space="preserve">                    (Gain)/Loss on Extinguishment of Debt, Non-Cash Adjustment</t>
  </si>
  <si>
    <t xml:space="preserve">                    Other Irregular (Income)/Loss, Non-Cash Adjustment</t>
  </si>
  <si>
    <t xml:space="preserve">                    Total Irregular (Income)/Loss, Non-Cash Adjustment</t>
  </si>
  <si>
    <t xml:space="preserve">                Other Non-Cash Items</t>
  </si>
  <si>
    <t xml:space="preserve">                Total Adjustments for Non-Cash Items</t>
  </si>
  <si>
    <t xml:space="preserve">            Changes in Operating Capital</t>
  </si>
  <si>
    <t xml:space="preserve">                Change in Inventories</t>
  </si>
  <si>
    <t xml:space="preserve">                Change in Trade and Other Receivables</t>
  </si>
  <si>
    <t xml:space="preserve">                    Change in Trade/Accounts Receivable</t>
  </si>
  <si>
    <t xml:space="preserve">                    Change in Notes Receivable</t>
  </si>
  <si>
    <t xml:space="preserve">                    Change in Other Receivables</t>
  </si>
  <si>
    <t xml:space="preserve">                    Total Change in Trade and Other Receivables</t>
  </si>
  <si>
    <t xml:space="preserve">                Change in Other Current Assets</t>
  </si>
  <si>
    <t xml:space="preserve">                Change in Payables and Accrued Expenses</t>
  </si>
  <si>
    <t xml:space="preserve">                    Change in Trade and Other Payables</t>
  </si>
  <si>
    <t xml:space="preserve">                        Change in Trade/Accounts Payable</t>
  </si>
  <si>
    <t xml:space="preserve">                        Change in Taxes Payable</t>
  </si>
  <si>
    <t xml:space="preserve">                        Total Change in Trade and Other Payables</t>
  </si>
  <si>
    <t xml:space="preserve">                    Total Change in Payables and Accrued Expenses</t>
  </si>
  <si>
    <t xml:space="preserve">                Change in Deferred Assets/Liabilities</t>
  </si>
  <si>
    <t xml:space="preserve">                Change in Other Current Liabilities</t>
  </si>
  <si>
    <t xml:space="preserve">                Change in Other Operating Capital</t>
  </si>
  <si>
    <t xml:space="preserve">                Total Changes in Operating Capital</t>
  </si>
  <si>
    <t xml:space="preserve">            Total Cash Generated from Operating Activities</t>
  </si>
  <si>
    <t xml:space="preserve">        Other Operating Cash Flow</t>
  </si>
  <si>
    <t xml:space="preserve">        Total Net Cash Flow from Continuing Operating Activities, Indirect</t>
  </si>
  <si>
    <t xml:space="preserve">    Total Cash Flow from Operating Activities, Indirect</t>
  </si>
  <si>
    <t>Cash Flow from Investing Activities</t>
  </si>
  <si>
    <t xml:space="preserve">    Cash Flow from Continuing Investing Activities</t>
  </si>
  <si>
    <t xml:space="preserve">        (Purchase)/Sale and Disposal of Property, Plant and Equipment, Net</t>
  </si>
  <si>
    <t xml:space="preserve">            Purchase of Property, Plant and Equipment</t>
  </si>
  <si>
    <t xml:space="preserve">            Sale and Disposal of Property, Plant and Equipment</t>
  </si>
  <si>
    <t xml:space="preserve">            Total (Purchase)/Sale and Disposal of Property, Plant and Equipment, Net</t>
  </si>
  <si>
    <t xml:space="preserve">        (Purchase)/Sale of Intangibles, Net</t>
  </si>
  <si>
    <t xml:space="preserve">            Purchase of Intangibles</t>
  </si>
  <si>
    <t xml:space="preserve">            Total (Purchase)/Sale of Intangibles, Net</t>
  </si>
  <si>
    <t xml:space="preserve">        (Purchase)/Sale of Business, Net</t>
  </si>
  <si>
    <t xml:space="preserve">            Purchase/Acquisition of Business</t>
  </si>
  <si>
    <t xml:space="preserve">            Sale of Business</t>
  </si>
  <si>
    <t xml:space="preserve">            Total (Purchase)/Sale of Business, Net</t>
  </si>
  <si>
    <t xml:space="preserve">        (Purchase)/Sale of Investments, Net</t>
  </si>
  <si>
    <t xml:space="preserve">            Purchase of Investments</t>
  </si>
  <si>
    <t xml:space="preserve">            Sale of Investments</t>
  </si>
  <si>
    <t xml:space="preserve">            Total (Purchase)/Sale of Investments, Net</t>
  </si>
  <si>
    <t xml:space="preserve">        (Purchase)/Sale of Other Non-Current Assets, Net</t>
  </si>
  <si>
    <t xml:space="preserve">            Purchase of Other Non-Current Assets</t>
  </si>
  <si>
    <t xml:space="preserve">            Total (Purchase)/Sale of Other Non-Current Assets, Net</t>
  </si>
  <si>
    <t xml:space="preserve">        Total Cash Flow from Continuing Investing Activities</t>
  </si>
  <si>
    <t xml:space="preserve">    Total Cash Flow from Investing Activities</t>
  </si>
  <si>
    <t>Cash Flow from Financing Activities</t>
  </si>
  <si>
    <t xml:space="preserve">    Cash Flow from Continuing Financing Activities</t>
  </si>
  <si>
    <t xml:space="preserve">        Issuance of/(Payments for) Common Stock, Net</t>
  </si>
  <si>
    <t xml:space="preserve">            Proceeds from Issuance of Common Stock</t>
  </si>
  <si>
    <t xml:space="preserve">            Payments for Common Stock</t>
  </si>
  <si>
    <t xml:space="preserve">            Total Issuance of/(Payments for) Common Stock, Net</t>
  </si>
  <si>
    <t xml:space="preserve">        Issuance of/(Repayments for) Debt, Net</t>
  </si>
  <si>
    <t xml:space="preserve">            Issuance of/(Repayments for) Long Term Debt, Net</t>
  </si>
  <si>
    <t xml:space="preserve">                Proceeds from Issuance of Long Term Debt</t>
  </si>
  <si>
    <t xml:space="preserve">                Repayments for Long Term Debt</t>
  </si>
  <si>
    <t xml:space="preserve">                Total Issuance of/(Repayments for) Long Term Debt, Net</t>
  </si>
  <si>
    <t xml:space="preserve">            Total Issuance of/(Repayments for) Debt, Net</t>
  </si>
  <si>
    <t xml:space="preserve">        Issuance of/(Repayments for) Lease Financing</t>
  </si>
  <si>
    <t xml:space="preserve">            Repayments for Lease Financing</t>
  </si>
  <si>
    <t xml:space="preserve">            Total Issuance of/(Repayments for) Lease Financing</t>
  </si>
  <si>
    <t xml:space="preserve">        Net Movement in Non-Controlling/Minority Interest</t>
  </si>
  <si>
    <t xml:space="preserve">        Issue and Financing Costs</t>
  </si>
  <si>
    <t xml:space="preserve">            Debt Issuance Costs</t>
  </si>
  <si>
    <t xml:space="preserve">            Total Issue and Financing Costs</t>
  </si>
  <si>
    <t xml:space="preserve">        Cash Dividends and Interest Paid</t>
  </si>
  <si>
    <t xml:space="preserve">            Cash Dividends Paid</t>
  </si>
  <si>
    <t xml:space="preserve">                Common Stock Dividends Paid</t>
  </si>
  <si>
    <t xml:space="preserve">                Total Cash Dividends Paid</t>
  </si>
  <si>
    <t xml:space="preserve">            Total Cash Dividends and Interest Paid</t>
  </si>
  <si>
    <t xml:space="preserve">        Cash Dividends Paid to Non-Controlling/Minority Interests</t>
  </si>
  <si>
    <t xml:space="preserve">        Other Financing Cash Flow</t>
  </si>
  <si>
    <t xml:space="preserve">        Total Cash Flow from Continuing Financing Activities</t>
  </si>
  <si>
    <t xml:space="preserve">    Total Cash Flow from Financing Activities</t>
  </si>
  <si>
    <t>Cash and Cash Equivalents, End of Period</t>
  </si>
  <si>
    <t xml:space="preserve">    Change in Cash</t>
  </si>
  <si>
    <t xml:space="preserve">    Effect of Exchange Rate Changes</t>
  </si>
  <si>
    <t xml:space="preserve">    Cash and Cash Equivalents, Beginning of Period</t>
  </si>
  <si>
    <t xml:space="preserve">    Total Cash and Cash Equivalents, End of Period</t>
  </si>
  <si>
    <t>Cash Flow Supplemental Section</t>
  </si>
  <si>
    <t xml:space="preserve">    Change in Cash As Reported, Supplemental</t>
  </si>
  <si>
    <t xml:space="preserve">    Income Tax Paid, Supplemental</t>
  </si>
  <si>
    <t xml:space="preserve">    Income Tax Refund, Supplemental</t>
  </si>
  <si>
    <t xml:space="preserve">    Interest Paid, Supplemental</t>
  </si>
  <si>
    <t>Cash Flow Metrics</t>
  </si>
  <si>
    <t xml:space="preserve">    FCF to Firm (FCFF)</t>
  </si>
  <si>
    <t xml:space="preserve">    FCF to Equityholders (FCFE)</t>
  </si>
  <si>
    <t xml:space="preserve">    Issuance of Capital Stock</t>
  </si>
  <si>
    <t xml:space="preserve">    Issuance of Debt</t>
  </si>
  <si>
    <t xml:space="preserve">    Repayment of Debt</t>
  </si>
  <si>
    <t xml:space="preserve">    Repurchase of Capital Stock</t>
  </si>
  <si>
    <t xml:space="preserve">    FCF to CFO Ratio</t>
  </si>
  <si>
    <t xml:space="preserve">    Free Cash Flow per Share</t>
  </si>
  <si>
    <t xml:space="preserve">    Operating Cash Flow per Share</t>
  </si>
  <si>
    <t>Public Holdings, Inc. (2026, February 12). Xponential Fitness (XPOF) Market Cap Today. public.com/stocks/xpof/market-cap.</t>
  </si>
  <si>
    <t>MarketBeat. (2026, February 12). The Gym Group (GYM) Stock Chart and Price History. marketbeat.com/stocks/LON/GYM/chart/</t>
  </si>
  <si>
    <t>MarketBeat. (2026, February 12). Beachbody (BODI) Stock Price, News &amp; Analysis. marketbeat.com/stocks/NASDAQ/BODI/</t>
  </si>
  <si>
    <t>London Stock Exchange. (2025, March 20). The Gym Group PLC 2024 Full Year Results. londonstockexchange.com/news-article/GYM</t>
  </si>
  <si>
    <t>Base: In line with historical averages
Upside: assumes increase in inventory efficiency and 'just in time' delivery for equipments 
Management: before 2024, this number used to be 3.5. Management assumes they can improve operational efficiency back to this level
Downsides (1 &amp; 2): assumes need for extra inventory and replacement parts and a worst case where opening schedules get delayed and equipment sits longer in inventory</t>
  </si>
  <si>
    <t>Base: in line with historical averages
Upside: assumes increased efficiency and shift towards digital payments;
Management: management has a stated goal of optimizing the "new Growth Model", which supports franchise liquidity
Downsides (1 &amp; 2): are stress tests, assuming economic headwinds and franchise distress</t>
  </si>
  <si>
    <t>Base: In line with historical averages
Upside: PLNT becomes more dominant and increases its leverage power over suupliers, which, for them, consists mostly of rent paid upfront, insurance premiums and marketing deposits. 
Management: optimizes "club format" which, according to mgmt consists in streamlining fixed upfront costs as they expand internationally
Downsides (1 &amp; 2): assumes inflationary pression and inefficient expansion (either too agressive or into more saturated markets)</t>
  </si>
  <si>
    <t>Base: In line with historical averages
Upside: Increase in bargaining power as PLNT reaches 3,000+ clubs 
Management: increased vendor management, in line with CFO Jay Staz's 2025 format optimization goal, which includes streamlining supply chain
Downsides (1 &amp; 2): assumes supply chain tightening, lost of suppliers and credit contraction and increased interest rates</t>
  </si>
  <si>
    <t>Base: In line with historical averages
Upside: as the company grows, it carries higher acrrued payroll and marketing fees, which are sources of internal financing
Management: reflecting accruals for legal, tax and employment obligations
Downsides (1 &amp; 2): assumes more efficient settlement of employee bonuses and utilities and reduced leverage with vendors to maintain trust</t>
  </si>
  <si>
    <t>Base: In line with historical averages
Upside: deferred revenue growth through Black Card Membership and upfront annual fees
Management: reflects management expectation for higher mobile app adoption and pre payments
Downsides (1 &amp; 2): fewer new members or lower percentage of prepayments. For downside 2, add churn pressure</t>
  </si>
  <si>
    <t>Planet Fitness, Inc. (2025). Form 10-K for FY 2024: Accounts receivable, pp. 65–69. SEC EDGAR; PitchBook Data, Inc. (2026). PLNT DSO: FY22=18.0d, FY23=14.3d, FY24=23.8d.</t>
  </si>
  <si>
    <t>Planet Fitness, Inc. (2025). Form 10-K for FY 2024: Inventories, p. 69-70. SEC EDGAR; PitchBook Data, Inc. (2026). PLNT DIH: FY22=4.2d, FY23=3.3d, FY24=4.0d.</t>
  </si>
  <si>
    <t>Planet Fitness, Inc. (2025). Form 10-K for FY 2024: Prepaid expenses and other current assets, p. 65-69. SEC EDGAR.</t>
  </si>
  <si>
    <t>Planet Fitness, Inc. (2025). Form 10-K for FY 2024: Accounts payable, p. 65-70. SEC EDGAR; PitchBook Data, Inc. (2026). PLNT DPO: FY22=16.2d, FY23=16.9d, FY24=21.2d.</t>
  </si>
  <si>
    <t>Planet Fitness, Inc. (2025, November 6). Third quarter 2025 earnings press release (Form 8-K): Same-store sales growth of 6.9%. U.S. SEC EDGAR; IBISWorld. (2025). Gym, health &amp; fitness clubs in the US (Industry Report OD4681). IBISWorld</t>
  </si>
  <si>
    <t>Base: in line with historical averages
Upside: assumes increased bargaining power with customers and low churn;
Management: stated low double digit growth driven by 160+ new yearly openings
Downsides (1 &amp; 2): are stress tests, assuming economic headwinds and customer churn</t>
  </si>
  <si>
    <t>Base: in line with historical averages
Upside: assumes better bulk pricing for equipment as highlighted as a focus for 2025 onwards;
Management: stated target of enancing unit economics by reducing building costs
Downsides (1 &amp; 2): cost inflation and tariffs</t>
  </si>
  <si>
    <t>Base: in line with historical averages
Upside: higher operating leverage;
Management: focuss on digitizing member experience
Downsides (1&amp; 2): Higher churn and marketing costs due to competitive pressure</t>
  </si>
  <si>
    <t>Base: in line with historical averages
Upside: longer useful life for gym equipment and lower capex requirements for "optimized format" clubs;
Management: Asset light stemming from the strategic shift to franchising
Downsides (1 &amp; 2): accelerated equipment wear due to high traffic and asset impairment for underperforming clubs</t>
  </si>
  <si>
    <t>Base: in line with historical averages
Upside: agressive expansion in high growt territories;
Management: reflects the goal of accelarating global growth and digitizing member experience
Downsides (1 &amp; 2): capital preservation and minimum maintenance (only necessary)</t>
  </si>
  <si>
    <t>Implied Share Price</t>
  </si>
  <si>
    <t>Planet Fitness Relevered 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</si>
</sst>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&quot; x&quot;"/>
    <numFmt numFmtId="165" formatCode="#,##0.0_);\(#,##0.0\);@_)"/>
    <numFmt numFmtId="166" formatCode="#,##0.0_);\(#,##0.0\);\-?_);@_)"/>
    <numFmt numFmtId="167" formatCode="\$#,##0.0_);&quot;($&quot;#,##0.0\);@_)"/>
    <numFmt numFmtId="168" formatCode="\$#,##0.00_);[Red]&quot;($&quot;#,##0.00\)"/>
    <numFmt numFmtId="169" formatCode="\$#,##0.0_);&quot;($&quot;#,##0.0\);\-?_);@_)"/>
    <numFmt numFmtId="170" formatCode="\$#,##0.00_)_x_x;&quot;($&quot;#,##0.00\)_x_x"/>
    <numFmt numFmtId="171" formatCode="\$#,##0_);&quot;($&quot;#,##0\)"/>
    <numFmt numFmtId="172" formatCode="_(* #,##0.00_);_(* \(#,##0.00\);_(* &quot;--&quot;??_);_(@_)"/>
    <numFmt numFmtId="173" formatCode="0.0%;\-0.0%;\-?_);@_)"/>
    <numFmt numFmtId="174" formatCode="0.0%;\-0.0%;@_)"/>
    <numFmt numFmtId="175" formatCode="#,##0.0_)_x_x_x;\(#,##0.0\)_x_x_x"/>
    <numFmt numFmtId="176" formatCode="#,##0.00_)_x_x;\(#,##0.00\)_x_x"/>
    <numFmt numFmtId="177" formatCode="0.00\ ;\(0.00\)"/>
    <numFmt numFmtId="178" formatCode="#,##0.0_)_%;\(#,##0.0\)_%;0.0_)_%;@_)_%"/>
    <numFmt numFmtId="179" formatCode="_ * #,##0_ ;&quot; (&quot;#,##0\)_ ;_ * \-_ ;_ @_ "/>
    <numFmt numFmtId="180" formatCode="_(* #,##0_);_(* \(#,##0\);_(* \-_);_(@_)"/>
    <numFmt numFmtId="181" formatCode="#,##0.0_);\(#,##0.0\)"/>
    <numFmt numFmtId="182" formatCode="\$_(#,##0.00_);&quot;$(&quot;#,##0.00\)"/>
    <numFmt numFmtId="183" formatCode="##&quot; Years&quot;"/>
    <numFmt numFmtId="184" formatCode="#,##0.0_)\x;\(#,##0.0&quot;)x&quot;"/>
    <numFmt numFmtId="185" formatCode="#,##0.0_)_x;\(#,##0.0\)_x"/>
    <numFmt numFmtId="186" formatCode="0.0_)\%;\(0.0&quot;)%&quot;"/>
    <numFmt numFmtId="187" formatCode="#,##0.0_)_%;\(#,##0.0\)_%"/>
    <numFmt numFmtId="188" formatCode="#,##0.0"/>
    <numFmt numFmtId="189" formatCode="0.0%"/>
    <numFmt numFmtId="190" formatCode="_(* #,##0.00_);_(* \(#,##0.00\);_(* \-??_);_(@_)"/>
    <numFmt numFmtId="191" formatCode="_(* #,##0.0_);_(* \(#,##0.0\);_(* &quot;--- &quot;_)"/>
    <numFmt numFmtId="192" formatCode="_(\$* #,##0.0_);_(\$* \(#,##0.0\);_(\$* &quot;--- &quot;_)"/>
    <numFmt numFmtId="193" formatCode="_-* #,##0&quot; F&quot;_-;\-* #,##0&quot; F&quot;_-;_-* &quot;- F&quot;_-;_-@_-"/>
    <numFmt numFmtId="194" formatCode="#,##0&quot; F&quot;;\-#,##0&quot; F&quot;"/>
    <numFmt numFmtId="195" formatCode="#,##0.0&quot;x &quot;_);\(#,##0.0&quot;x) &quot;;0.0\x_)\ ;@_%_)"/>
    <numFmt numFmtId="196" formatCode="_(* #,##0.0_);_(* \(#,##0.0\);_(* \-?_);_(@_)"/>
    <numFmt numFmtId="197" formatCode=";;;"/>
    <numFmt numFmtId="198" formatCode="\$#,##0.00_);&quot;($&quot;#,##0.00\)"/>
    <numFmt numFmtId="199" formatCode="0.0\%_);\(0.0&quot;%)&quot;;0.0\%_);@_%_)"/>
    <numFmt numFmtId="200" formatCode="\£#,##0;&quot;-£&quot;#,##0"/>
    <numFmt numFmtId="201" formatCode="\n"/>
    <numFmt numFmtId="202" formatCode="General_)"/>
    <numFmt numFmtId="203" formatCode="0.000_)"/>
    <numFmt numFmtId="204" formatCode="#,##0.0_);[Red]\(#,##0.0\)"/>
    <numFmt numFmtId="205" formatCode="#,##0_%_);\(#,##0\)_%;#,##0_%_);@_%_)"/>
    <numFmt numFmtId="206" formatCode="#,##0.00_%_);\(#,##0.00\)_%;**;@_%_)"/>
    <numFmt numFmtId="207" formatCode="0_)"/>
    <numFmt numFmtId="208" formatCode="_(* #,##0.0_);_(* \(#,##0.0\);_(* \-??_);_(@_)"/>
    <numFmt numFmtId="209" formatCode="_(* #,##0.00_);_(* \(#,##0.00\);_(* \-_);_(@_)"/>
    <numFmt numFmtId="210" formatCode="#,##0.0_%_);\(#,##0.0\)_%;**;@_%_)"/>
    <numFmt numFmtId="211" formatCode="#,##0_)\x;\(#,##0&quot;)x&quot;"/>
    <numFmt numFmtId="212" formatCode="#,##0.00_)\x;\(#,##0.00&quot;)x&quot;"/>
    <numFmt numFmtId="213" formatCode="#,##0.000_);\(#,##0.000\)"/>
    <numFmt numFmtId="214" formatCode="#,##0.000_)\x;\(#,##0.000&quot;)x&quot;"/>
    <numFmt numFmtId="215" formatCode="#,##0.0000_);\(#,##0.0000\)"/>
    <numFmt numFmtId="216" formatCode="#,##0.0000_)\x;\(#,##0.0000&quot;)x&quot;"/>
    <numFmt numFmtId="217" formatCode="\$#,##0_);[Red]&quot;($&quot;#,##0\)"/>
    <numFmt numFmtId="218" formatCode="\$#,##0.000_);&quot;($&quot;#,##0.000\)"/>
    <numFmt numFmtId="219" formatCode="#,##0.0%_);\(#,##0.0%\);0.0%_);@_%_)"/>
    <numFmt numFmtId="220" formatCode="\$#,##0.00_%_);&quot;($&quot;#,##0.00\)_%;**;@_%_)"/>
    <numFmt numFmtId="221" formatCode="\$#,##0.00_%_);&quot;($&quot;#,##0.00\)_%;\$#,##0.00_%_);@_%_)"/>
    <numFmt numFmtId="222" formatCode="_(\$* #,##0.00_);_(\$* \(#,##0.00\);_(\$* \-??_);_(@_)"/>
    <numFmt numFmtId="223" formatCode="\$#,##0.00_%_);&quot;($&quot;#,##0.00\)_%;\$###0.00_%_);@_%_)"/>
    <numFmt numFmtId="224" formatCode="\$#,##0.0_%_);&quot;($&quot;#,##0.0\)_%;**;@_%_)"/>
    <numFmt numFmtId="225" formatCode="\$0.00\ ;&quot;($&quot;0.00\)"/>
    <numFmt numFmtId="226" formatCode="#,##0.0_%_);\(#,##0.0\)_%;#,##0.0_%_);@_%_)&quot;FFr&quot;"/>
    <numFmt numFmtId="227" formatCode="_(\$* #,##0_);_(\$* \(#,##0\);_(\$* \-_);_(@_)"/>
    <numFmt numFmtId="228" formatCode="\$#,##0.0_);&quot;($&quot;#,##0.0\)"/>
    <numFmt numFmtId="229" formatCode="_(* #,##0.00000_);_(* \(#,##0.00000\);_(* \-??_);_(@_)"/>
    <numFmt numFmtId="230" formatCode="0.0"/>
    <numFmt numFmtId="231" formatCode="&quot;€ &quot;#,##0.0_);&quot;(€ &quot;#,##0.0\);@_)"/>
    <numFmt numFmtId="232" formatCode="&quot;€ &quot;#,##0.0_);&quot;(€ &quot;#,##0.0\);\-?_);@_)"/>
    <numFmt numFmtId="233" formatCode="0_);[Red]\(0\)"/>
    <numFmt numFmtId="234" formatCode="* _(#,##0.0_);* \(#,##0.0\);* _(\-??_);_(@_)"/>
    <numFmt numFmtId="235" formatCode="0.0\x_9"/>
    <numFmt numFmtId="236" formatCode="0.0%_);\(0.0%\)"/>
    <numFmt numFmtId="237" formatCode="0.00_)"/>
    <numFmt numFmtId="238" formatCode="0.0\x_)"/>
    <numFmt numFmtId="239" formatCode="_(* #,##0.0_);[Red]_(* \(#,##0.0\);&quot;nm &quot;"/>
    <numFmt numFmtId="240" formatCode="#,##0.0_)_x;\(#,##0.0&quot;)x&quot;;@_)_x"/>
    <numFmt numFmtId="241" formatCode="_-* #,##0\ _D_M_-;\-* #,##0\ _D_M_-;_-* &quot;- &quot;_D_M_-;_-@_-"/>
    <numFmt numFmtId="242" formatCode="_-* #,##0.00\ _D_M_-;\-* #,##0.00\ _D_M_-;_-* \-??\ _D_M_-;_-@_-"/>
    <numFmt numFmtId="243" formatCode="_-* #,##0&quot; DM&quot;_-;\-* #,##0&quot; DM&quot;_-;_-* &quot;- DM&quot;_-;_-@_-"/>
    <numFmt numFmtId="244" formatCode="_-* #,##0.00&quot; DM&quot;_-;\-* #,##0.00&quot; DM&quot;_-;_-* \-??&quot; DM&quot;_-;_-@_-"/>
    <numFmt numFmtId="245" formatCode="#,##0.0\x;\-#,##0.0\x;\-?_);@_)"/>
    <numFmt numFmtId="246" formatCode="0.000"/>
    <numFmt numFmtId="247" formatCode="0.00\x"/>
    <numFmt numFmtId="248" formatCode="#,##0.0\x_);\(#,##0.0&quot;x)&quot;"/>
    <numFmt numFmtId="249" formatCode="#,##0.0;\(#,##0.0\)"/>
    <numFmt numFmtId="250" formatCode="#,##0.000;\(#,##0.000\)"/>
    <numFmt numFmtId="251" formatCode="0.0%_%;\(0.0%\)_%"/>
    <numFmt numFmtId="252" formatCode="_(* #,##0.0%_);_(* \(#,##0.0%\);_(* &quot;--- %&quot;_);_(* @_%_)"/>
    <numFmt numFmtId="253" formatCode="#,##0.0\%_);\(#,##0.0&quot;%)&quot;;#,##0.0\%_);@_)"/>
    <numFmt numFmtId="254" formatCode="0_)%;\(0\)%"/>
    <numFmt numFmtId="255" formatCode="0.000_)%;\(0.000\)%"/>
    <numFmt numFmtId="256" formatCode="0.0000_)%;\(0.0000\)%"/>
    <numFmt numFmtId="257" formatCode="0_ ;[Red]\-0\ "/>
    <numFmt numFmtId="258" formatCode="\$#,##0.00"/>
    <numFmt numFmtId="259" formatCode="#,##0.00_);\(#,##0.00\);_(* \-_)"/>
    <numFmt numFmtId="260" formatCode="#,##0.0\x"/>
    <numFmt numFmtId="261" formatCode="#,##0.0_);\(#,##0.0\);_(* \-_)"/>
    <numFmt numFmtId="262" formatCode="#,##0_);\(#,##0\);_(* \-_);_(* \-_)"/>
    <numFmt numFmtId="263" formatCode="0000"/>
    <numFmt numFmtId="264" formatCode="* _(\$##,##0.0_);[Red]* &quot;($&quot;##,##0.0\);* _(\-?_);_(@_)"/>
    <numFmt numFmtId="265" formatCode="0.0000\x"/>
    <numFmt numFmtId="266" formatCode="* _(#,##0.0%_);* \(#,##0.0%\);* _(\-?_);_(@_)"/>
    <numFmt numFmtId="267" formatCode="\$#,##0.0_);[Red]&quot;($&quot;#,##0.0\)"/>
    <numFmt numFmtId="268" formatCode="_(* #,##0.00%;_(* \(#,##0.00%\);_(* &quot;- %&quot;_);_(* @_%_)"/>
    <numFmt numFmtId="269" formatCode="_(* #,##0.00_);_(* \(#,##0.00\);_(* \-?_);_(@_)"/>
    <numFmt numFmtId="270" formatCode="0.0\x"/>
    <numFmt numFmtId="271" formatCode="_(* #,##0.0\x;_(* \(#,##0.0&quot;x)&quot;;_(* &quot;- x&quot;_);_(* @_%_)"/>
    <numFmt numFmtId="272" formatCode="_(* #,##0.0%;_(* \(#,##0.0%\);_(* &quot;- %&quot;_);_(* @_%_)"/>
    <numFmt numFmtId="273" formatCode="* _(\$##,##0.00_);[Red]* &quot;($&quot;##,##0.00\);* _(\-?_);_(@_)"/>
    <numFmt numFmtId="274" formatCode="_(* #,##0.0%_);_(* \(#,##0.0%\);_(* &quot;- %&quot;_);_(* @_%_)"/>
    <numFmt numFmtId="275" formatCode="* _(##,##0.000_);* \(##,##0.000\);* _(\-?_);_(@_)"/>
    <numFmt numFmtId="276" formatCode="* _(\$#,##0.00_);* &quot;($&quot;#,##0.00\);* _(\-?_);_(@_)"/>
    <numFmt numFmtId="277" formatCode="_(* #,##0.000_);_(* \(#,##0.000\);_(* \-?_);_(@_)"/>
    <numFmt numFmtId="278" formatCode="* _(#,##0.00_);* \(#,##0.00\);* _(\-?_);_(@_)"/>
    <numFmt numFmtId="279" formatCode="* _(##,##0.0_);[Red]* \(##,##0.0\);* _(\-?_);_(@_)"/>
    <numFmt numFmtId="280" formatCode="* _(##,##0.00_);[Red]* \(##,##0.00\);* _(\-?_);_(@_)"/>
    <numFmt numFmtId="281" formatCode="* _(##,##0_);[Red]* \(##,##0\);* _(\-?_);_(@_)"/>
    <numFmt numFmtId="282" formatCode="#,##0.00;\(#,##0.00\);_(* \-_)"/>
    <numFmt numFmtId="283" formatCode="0.00_);[Red]\(0.00\)"/>
    <numFmt numFmtId="284" formatCode="&quot;Year &quot;0"/>
    <numFmt numFmtId="285" formatCode="#,##0;[Red]\(#,##0\)"/>
    <numFmt numFmtId="286" formatCode="#,##0.00;[Red]\(#,##0.00\)"/>
    <numFmt numFmtId="287" formatCode="#,##0.00%;[Red]\-#,##0.00%"/>
    <numFmt numFmtId="288" formatCode="&quot;$&quot;#,##0.00"/>
    <numFmt numFmtId="289" formatCode="[$-409]#,##0.00_);[Red]\(#,##0.00\)"/>
  </numFmts>
  <fonts count="218">
    <font>
      <sz val="10"/>
      <name val="Arial"/>
      <charset val="1"/>
    </font>
    <font>
      <b/>
      <sz val="10"/>
      <name val="MS Sans Serif"/>
      <family val="2"/>
      <charset val="1"/>
    </font>
    <font>
      <sz val="10"/>
      <name val="Arial"/>
      <family val="2"/>
      <charset val="1"/>
    </font>
    <font>
      <sz val="10"/>
      <name val="Geneva"/>
      <family val="2"/>
      <charset val="1"/>
    </font>
    <font>
      <sz val="10"/>
      <color rgb="FF000000"/>
      <name val="Times New Roman"/>
      <family val="1"/>
      <charset val="1"/>
    </font>
    <font>
      <sz val="10"/>
      <name val="Arial Narrow"/>
      <family val="2"/>
      <charset val="1"/>
    </font>
    <font>
      <sz val="10"/>
      <name val="Geneva"/>
      <family val="2"/>
    </font>
    <font>
      <sz val="10"/>
      <name val="GillSans"/>
      <charset val="1"/>
    </font>
    <font>
      <sz val="10"/>
      <name val="Palatino"/>
      <family val="1"/>
    </font>
    <font>
      <sz val="9"/>
      <name val="Arial"/>
      <family val="2"/>
      <charset val="1"/>
    </font>
    <font>
      <sz val="10"/>
      <name val="Palatino"/>
      <family val="1"/>
      <charset val="1"/>
    </font>
    <font>
      <sz val="8"/>
      <name val="Arial"/>
      <family val="2"/>
      <charset val="1"/>
    </font>
    <font>
      <sz val="8"/>
      <name val="MS Serif"/>
      <family val="1"/>
      <charset val="1"/>
    </font>
    <font>
      <sz val="12"/>
      <name val="Times New Roman"/>
      <family val="1"/>
    </font>
    <font>
      <sz val="8"/>
      <color rgb="FF33CCCC"/>
      <name val="Times New Roman"/>
      <family val="1"/>
      <charset val="1"/>
    </font>
    <font>
      <sz val="10"/>
      <color rgb="FF000000"/>
      <name val="MS Sans Serif"/>
      <charset val="1"/>
    </font>
    <font>
      <sz val="8"/>
      <color rgb="FF0000FF"/>
      <name val="Arial"/>
      <family val="2"/>
      <charset val="1"/>
    </font>
    <font>
      <sz val="10"/>
      <name val="MS Sans Serif"/>
      <charset val="1"/>
    </font>
    <font>
      <sz val="8"/>
      <name val="Arial"/>
      <family val="2"/>
    </font>
    <font>
      <sz val="10"/>
      <name val="Times New Roman"/>
      <family val="1"/>
      <charset val="1"/>
    </font>
    <font>
      <sz val="14"/>
      <name val="Times New Roman"/>
      <family val="1"/>
    </font>
    <font>
      <sz val="12"/>
      <name val="Arial MT"/>
      <charset val="1"/>
    </font>
    <font>
      <b/>
      <sz val="7"/>
      <name val="Arial"/>
      <family val="2"/>
      <charset val="1"/>
    </font>
    <font>
      <u/>
      <sz val="8.4"/>
      <color rgb="FF0000FF"/>
      <name val="Arial"/>
      <family val="2"/>
      <charset val="1"/>
    </font>
    <font>
      <sz val="12"/>
      <name val="???"/>
      <family val="1"/>
      <charset val="129"/>
    </font>
    <font>
      <b/>
      <sz val="9"/>
      <name val="Arial"/>
      <family val="2"/>
      <charset val="1"/>
    </font>
    <font>
      <b/>
      <sz val="10"/>
      <name val="Arial"/>
      <family val="2"/>
      <charset val="1"/>
    </font>
    <font>
      <sz val="8"/>
      <name val="Times New Roman"/>
      <family val="1"/>
      <charset val="1"/>
    </font>
    <font>
      <sz val="11"/>
      <name val="Arial"/>
      <family val="2"/>
      <charset val="1"/>
    </font>
    <font>
      <sz val="12"/>
      <name val="Arial"/>
      <family val="2"/>
      <charset val="1"/>
    </font>
    <font>
      <sz val="10"/>
      <name val="Univers Condensed"/>
      <family val="2"/>
      <charset val="1"/>
    </font>
    <font>
      <sz val="10"/>
      <name val="SWISS"/>
      <charset val="1"/>
    </font>
    <font>
      <sz val="8"/>
      <name val="Palatino"/>
      <family val="1"/>
      <charset val="1"/>
    </font>
    <font>
      <sz val="9"/>
      <color rgb="FF000000"/>
      <name val="Arial"/>
      <family val="2"/>
      <charset val="1"/>
    </font>
    <font>
      <b/>
      <sz val="22"/>
      <color rgb="FF000080"/>
      <name val="Arial"/>
      <family val="2"/>
      <charset val="1"/>
    </font>
    <font>
      <sz val="10"/>
      <name val="Courier New"/>
      <family val="1"/>
    </font>
    <font>
      <b/>
      <sz val="14"/>
      <color rgb="FF000080"/>
      <name val="Arial"/>
      <family val="2"/>
      <charset val="1"/>
    </font>
    <font>
      <b/>
      <sz val="10"/>
      <color rgb="FF000080"/>
      <name val="Arial"/>
      <family val="2"/>
      <charset val="1"/>
    </font>
    <font>
      <b/>
      <sz val="9"/>
      <color rgb="FF000080"/>
      <name val="Arial"/>
      <family val="2"/>
      <charset val="1"/>
    </font>
    <font>
      <b/>
      <u/>
      <sz val="10"/>
      <color rgb="FF000080"/>
      <name val="Arial"/>
      <family val="2"/>
      <charset val="1"/>
    </font>
    <font>
      <b/>
      <u/>
      <sz val="9"/>
      <color rgb="FF000080"/>
      <name val="Arial"/>
      <family val="2"/>
      <charset val="1"/>
    </font>
    <font>
      <sz val="9"/>
      <name val="Times New Roman"/>
      <family val="1"/>
      <charset val="1"/>
    </font>
    <font>
      <i/>
      <sz val="8"/>
      <color rgb="FF800000"/>
      <name val="Arial"/>
      <family val="2"/>
      <charset val="1"/>
    </font>
    <font>
      <i/>
      <sz val="8"/>
      <color rgb="FF666699"/>
      <name val="Arial"/>
      <family val="2"/>
      <charset val="1"/>
    </font>
    <font>
      <i/>
      <sz val="9"/>
      <color rgb="FF800000"/>
      <name val="Arial"/>
      <family val="2"/>
      <charset val="1"/>
    </font>
    <font>
      <b/>
      <sz val="11"/>
      <name val="Arial"/>
      <family val="2"/>
      <charset val="1"/>
    </font>
    <font>
      <sz val="9"/>
      <color rgb="FF0000FF"/>
      <name val="Times New Roman"/>
      <family val="1"/>
      <charset val="1"/>
    </font>
    <font>
      <sz val="9"/>
      <name val="Arial Narrow"/>
      <family val="2"/>
      <charset val="1"/>
    </font>
    <font>
      <sz val="9"/>
      <name val="AGaramond"/>
      <charset val="1"/>
    </font>
    <font>
      <b/>
      <sz val="10"/>
      <color rgb="FF0000FF"/>
      <name val="Arial"/>
      <family val="2"/>
      <charset val="1"/>
    </font>
    <font>
      <b/>
      <sz val="8"/>
      <name val="Arial"/>
      <family val="2"/>
      <charset val="1"/>
    </font>
    <font>
      <i/>
      <sz val="8"/>
      <name val="Arial"/>
      <family val="2"/>
      <charset val="1"/>
    </font>
    <font>
      <sz val="7"/>
      <name val="Ariel"/>
      <charset val="1"/>
    </font>
    <font>
      <sz val="8"/>
      <color rgb="FF0000FF"/>
      <name val="Arial"/>
      <family val="2"/>
    </font>
    <font>
      <sz val="10"/>
      <color rgb="FFFF0000"/>
      <name val="Times New Roman"/>
      <family val="1"/>
      <charset val="1"/>
    </font>
    <font>
      <sz val="8"/>
      <color rgb="FFFFFF00"/>
      <name val="Arial"/>
      <family val="2"/>
      <charset val="1"/>
    </font>
    <font>
      <sz val="10"/>
      <color rgb="FF000000"/>
      <name val="Times New Roman"/>
      <family val="1"/>
    </font>
    <font>
      <sz val="8"/>
      <color rgb="FF000000"/>
      <name val="Arial"/>
      <family val="2"/>
      <charset val="1"/>
    </font>
    <font>
      <sz val="9"/>
      <color rgb="FFFFFFFF"/>
      <name val="Times New Roman"/>
      <family val="1"/>
      <charset val="1"/>
    </font>
    <font>
      <b/>
      <sz val="10"/>
      <name val="Times New Roman"/>
      <family val="1"/>
      <charset val="1"/>
    </font>
    <font>
      <sz val="8"/>
      <color rgb="FF0000FF"/>
      <name val="Times New Roman"/>
      <family val="1"/>
    </font>
    <font>
      <b/>
      <sz val="10"/>
      <color rgb="FFFFFFFF"/>
      <name val="Arial"/>
      <family val="2"/>
      <charset val="1"/>
    </font>
    <font>
      <sz val="9"/>
      <color rgb="FF000080"/>
      <name val="CharterITC BT"/>
      <family val="1"/>
      <charset val="1"/>
    </font>
    <font>
      <sz val="10"/>
      <color rgb="FF0000FF"/>
      <name val="Times New Roman"/>
      <family val="1"/>
      <charset val="1"/>
    </font>
    <font>
      <sz val="9"/>
      <color rgb="FF0000FF"/>
      <name val="Times New Roman"/>
      <family val="1"/>
    </font>
    <font>
      <b/>
      <sz val="8"/>
      <name val="Arial Narrow"/>
      <family val="2"/>
      <charset val="1"/>
    </font>
    <font>
      <b/>
      <sz val="12"/>
      <name val="Times New Roman"/>
      <family val="1"/>
      <charset val="1"/>
    </font>
    <font>
      <b/>
      <sz val="10"/>
      <name val="MS Sans Serif"/>
      <charset val="1"/>
    </font>
    <font>
      <sz val="8"/>
      <name val="Arial Narrow"/>
      <family val="2"/>
      <charset val="1"/>
    </font>
    <font>
      <sz val="8"/>
      <name val="Wingdings"/>
      <charset val="2"/>
    </font>
    <font>
      <sz val="12"/>
      <name val="Times New Roman"/>
      <family val="1"/>
      <charset val="1"/>
    </font>
    <font>
      <b/>
      <i/>
      <sz val="9"/>
      <name val="Arial"/>
      <family val="2"/>
      <charset val="1"/>
    </font>
    <font>
      <b/>
      <sz val="8"/>
      <name val="TimesNewRomanPS"/>
      <family val="1"/>
      <charset val="1"/>
    </font>
    <font>
      <sz val="11"/>
      <name val="?? ?????"/>
      <family val="3"/>
      <charset val="128"/>
    </font>
    <font>
      <sz val="11"/>
      <name val="Book Antiqua"/>
      <family val="1"/>
      <charset val="1"/>
    </font>
    <font>
      <b/>
      <sz val="10"/>
      <name val="MS Serif"/>
      <family val="1"/>
      <charset val="1"/>
    </font>
    <font>
      <b/>
      <sz val="12"/>
      <name val="Arial"/>
      <family val="2"/>
      <charset val="1"/>
    </font>
    <font>
      <sz val="10"/>
      <color rgb="FF000080"/>
      <name val="Times New Roman"/>
      <family val="1"/>
      <charset val="1"/>
    </font>
    <font>
      <sz val="10"/>
      <color rgb="FF000000"/>
      <name val="Arial"/>
      <family val="2"/>
      <charset val="1"/>
    </font>
    <font>
      <b/>
      <sz val="11"/>
      <name val="Times New Roman"/>
      <family val="1"/>
      <charset val="1"/>
    </font>
    <font>
      <b/>
      <i/>
      <sz val="8"/>
      <name val="Arial"/>
      <family val="2"/>
      <charset val="1"/>
    </font>
    <font>
      <b/>
      <sz val="8"/>
      <name val="Book Antiqua"/>
      <family val="1"/>
      <charset val="1"/>
    </font>
    <font>
      <b/>
      <sz val="8"/>
      <name val="GillSans"/>
      <charset val="1"/>
    </font>
    <font>
      <b/>
      <sz val="10"/>
      <name val="Arial Narrow"/>
      <family val="2"/>
      <charset val="1"/>
    </font>
    <font>
      <u/>
      <sz val="8"/>
      <color rgb="FF0000FF"/>
      <name val="Times New Roman"/>
      <family val="1"/>
      <charset val="1"/>
    </font>
    <font>
      <b/>
      <u/>
      <sz val="8"/>
      <color rgb="FF000000"/>
      <name val="Arial"/>
      <family val="2"/>
      <charset val="1"/>
    </font>
    <font>
      <sz val="11"/>
      <name val="Times New Roman"/>
      <family val="1"/>
    </font>
    <font>
      <sz val="10"/>
      <color rgb="FF0000FF"/>
      <name val="Century Schoolbook"/>
      <family val="1"/>
      <charset val="1"/>
    </font>
    <font>
      <sz val="8"/>
      <color rgb="FF008080"/>
      <name val="Palatino"/>
      <family val="1"/>
    </font>
    <font>
      <sz val="8"/>
      <color rgb="FF0000FF"/>
      <name val="Times New Roman"/>
      <family val="1"/>
      <charset val="1"/>
    </font>
    <font>
      <sz val="10"/>
      <name val="BERNHARD"/>
      <charset val="1"/>
    </font>
    <font>
      <sz val="10"/>
      <color rgb="FF9999FF"/>
      <name val="Arial"/>
      <family val="2"/>
      <charset val="1"/>
    </font>
    <font>
      <i/>
      <sz val="9"/>
      <name val="MS Sans Serif"/>
      <charset val="1"/>
    </font>
    <font>
      <sz val="24"/>
      <name val="Arial"/>
      <family val="2"/>
      <charset val="1"/>
    </font>
    <font>
      <b/>
      <sz val="14"/>
      <name val="Arial"/>
      <family val="2"/>
      <charset val="1"/>
    </font>
    <font>
      <sz val="10"/>
      <name val="MS Serif"/>
      <charset val="1"/>
    </font>
    <font>
      <sz val="14"/>
      <name val="Palatino"/>
      <family val="1"/>
      <charset val="1"/>
    </font>
    <font>
      <sz val="16"/>
      <name val="Palatino"/>
      <family val="1"/>
      <charset val="1"/>
    </font>
    <font>
      <sz val="32"/>
      <name val="Helvetica-Black"/>
      <charset val="1"/>
    </font>
    <font>
      <sz val="8"/>
      <color rgb="FF800000"/>
      <name val="Palatino"/>
      <family val="1"/>
      <charset val="1"/>
    </font>
    <font>
      <sz val="10"/>
      <name val="Book Antiqua"/>
      <family val="1"/>
      <charset val="1"/>
    </font>
    <font>
      <sz val="8"/>
      <color rgb="FF000000"/>
      <name val="Times New Roman"/>
      <family val="1"/>
      <charset val="1"/>
    </font>
    <font>
      <sz val="11"/>
      <color rgb="FF0000FF"/>
      <name val="Book Antiqua"/>
      <family val="1"/>
      <charset val="1"/>
    </font>
    <font>
      <b/>
      <sz val="7.5"/>
      <color rgb="FF000000"/>
      <name val="Arial"/>
      <family val="2"/>
      <charset val="1"/>
    </font>
    <font>
      <sz val="8"/>
      <name val="Palatino"/>
      <family val="1"/>
    </font>
    <font>
      <sz val="8"/>
      <color rgb="FF000080"/>
      <name val="Times New Roman"/>
      <family val="1"/>
      <charset val="1"/>
    </font>
    <font>
      <sz val="12"/>
      <name val="TimesNewRomanPS"/>
      <charset val="1"/>
    </font>
    <font>
      <u val="double"/>
      <sz val="10"/>
      <name val="Times New Roman"/>
      <family val="1"/>
      <charset val="1"/>
    </font>
    <font>
      <sz val="8"/>
      <color rgb="FF000000"/>
      <name val="Open Sans"/>
      <family val="2"/>
      <charset val="1"/>
    </font>
    <font>
      <sz val="1"/>
      <color rgb="FF000000"/>
      <name val="Courier New"/>
      <family val="1"/>
    </font>
    <font>
      <b/>
      <sz val="8"/>
      <name val="Times New Roman"/>
      <family val="1"/>
      <charset val="1"/>
    </font>
    <font>
      <u val="double"/>
      <sz val="10"/>
      <name val="Arial"/>
      <family val="2"/>
      <charset val="1"/>
    </font>
    <font>
      <b/>
      <i/>
      <sz val="8"/>
      <color rgb="FF0000FF"/>
      <name val="Arial"/>
      <family val="2"/>
      <charset val="1"/>
    </font>
    <font>
      <sz val="10"/>
      <color rgb="FF800000"/>
      <name val="MS Serif"/>
      <charset val="1"/>
    </font>
    <font>
      <b/>
      <sz val="9.5"/>
      <color rgb="FFFF0000"/>
      <name val="MS Sans Serif"/>
      <family val="2"/>
      <charset val="1"/>
    </font>
    <font>
      <sz val="10"/>
      <color rgb="FF008080"/>
      <name val="Arial"/>
      <family val="2"/>
      <charset val="1"/>
    </font>
    <font>
      <b/>
      <u/>
      <sz val="12"/>
      <name val="Arial Narrow"/>
      <family val="2"/>
      <charset val="1"/>
    </font>
    <font>
      <i/>
      <sz val="10"/>
      <color rgb="FFFF0000"/>
      <name val="Times New Roman"/>
      <family val="1"/>
      <charset val="1"/>
    </font>
    <font>
      <sz val="10"/>
      <color rgb="FF0000FF"/>
      <name val="Arial Narrow"/>
      <family val="2"/>
      <charset val="1"/>
    </font>
    <font>
      <b/>
      <sz val="7"/>
      <color rgb="FF0000FF"/>
      <name val="Arial"/>
      <family val="2"/>
      <charset val="1"/>
    </font>
    <font>
      <sz val="14"/>
      <color rgb="FF000080"/>
      <name val="Times New Roman"/>
      <family val="1"/>
      <charset val="1"/>
    </font>
    <font>
      <sz val="10"/>
      <color rgb="FF000000"/>
      <name val="Open Sans"/>
      <family val="2"/>
      <charset val="1"/>
    </font>
    <font>
      <b/>
      <sz val="10"/>
      <color rgb="FF000000"/>
      <name val="Open Sans"/>
      <family val="2"/>
      <charset val="1"/>
    </font>
    <font>
      <b/>
      <sz val="10"/>
      <color rgb="FF26649E"/>
      <name val="Open Sans"/>
      <family val="2"/>
      <charset val="1"/>
    </font>
    <font>
      <b/>
      <i/>
      <sz val="14"/>
      <color rgb="FF000000"/>
      <name val="Open Sans"/>
      <family val="2"/>
      <charset val="1"/>
    </font>
    <font>
      <b/>
      <sz val="16"/>
      <color rgb="FF000000"/>
      <name val="Open Sans"/>
      <family val="2"/>
      <charset val="1"/>
    </font>
    <font>
      <sz val="6"/>
      <color rgb="FF808080"/>
      <name val="Helvetica-Black"/>
      <charset val="1"/>
    </font>
    <font>
      <sz val="9.5"/>
      <color rgb="FF808080"/>
      <name val="Helvetica-Black"/>
      <charset val="1"/>
    </font>
    <font>
      <sz val="7"/>
      <name val="Palatino"/>
      <family val="1"/>
      <charset val="1"/>
    </font>
    <font>
      <sz val="7"/>
      <name val="Arial"/>
      <family val="2"/>
      <charset val="1"/>
    </font>
    <font>
      <u/>
      <sz val="8"/>
      <name val="Arial"/>
      <family val="2"/>
      <charset val="1"/>
    </font>
    <font>
      <u/>
      <sz val="9"/>
      <color rgb="FF0000FF"/>
      <name val="Arial"/>
      <family val="2"/>
      <charset val="1"/>
    </font>
    <font>
      <sz val="10"/>
      <name val="C Helvetica Condensed"/>
      <charset val="1"/>
    </font>
    <font>
      <sz val="9"/>
      <name val="Times New Roman"/>
      <family val="1"/>
    </font>
    <font>
      <sz val="9"/>
      <name val="GillSans"/>
      <charset val="1"/>
    </font>
    <font>
      <sz val="9"/>
      <name val="GillSans Light"/>
      <charset val="1"/>
    </font>
    <font>
      <b/>
      <i/>
      <sz val="8"/>
      <name val="Arial Narrow"/>
      <family val="2"/>
      <charset val="1"/>
    </font>
    <font>
      <b/>
      <sz val="10"/>
      <color rgb="FF008000"/>
      <name val="Arial"/>
      <family val="2"/>
    </font>
    <font>
      <sz val="7"/>
      <name val="Times New Roman"/>
      <family val="1"/>
      <charset val="1"/>
    </font>
    <font>
      <b/>
      <sz val="7"/>
      <color rgb="FF008000"/>
      <name val="Arial"/>
      <family val="2"/>
      <charset val="1"/>
    </font>
    <font>
      <sz val="9"/>
      <name val="Futura UBS Bk"/>
      <family val="2"/>
      <charset val="1"/>
    </font>
    <font>
      <b/>
      <sz val="10"/>
      <color rgb="FFFFFFFF"/>
      <name val="GillSans"/>
      <charset val="1"/>
    </font>
    <font>
      <b/>
      <i/>
      <sz val="12"/>
      <name val="Times New Roman"/>
      <family val="1"/>
    </font>
    <font>
      <b/>
      <sz val="10"/>
      <color rgb="FF000000"/>
      <name val="GillSans"/>
      <charset val="1"/>
    </font>
    <font>
      <sz val="6"/>
      <name val="Palatino"/>
      <family val="1"/>
      <charset val="1"/>
    </font>
    <font>
      <b/>
      <sz val="8"/>
      <name val="Palatino"/>
      <family val="1"/>
    </font>
    <font>
      <b/>
      <sz val="8"/>
      <name val="Arial"/>
      <family val="2"/>
    </font>
    <font>
      <sz val="10"/>
      <name val="Helvetica-Black"/>
      <charset val="1"/>
    </font>
    <font>
      <sz val="28"/>
      <name val="Helvetica-Black"/>
      <charset val="1"/>
    </font>
    <font>
      <sz val="10"/>
      <color rgb="FF0000FF"/>
      <name val="Arial"/>
      <family val="2"/>
      <charset val="1"/>
    </font>
    <font>
      <sz val="8"/>
      <color rgb="FF26649E"/>
      <name val="Open Sans"/>
      <family val="2"/>
      <charset val="1"/>
    </font>
    <font>
      <sz val="1"/>
      <color rgb="FFFFFFFF"/>
      <name val="Symbol"/>
      <family val="1"/>
      <charset val="2"/>
    </font>
    <font>
      <sz val="8"/>
      <color rgb="FF000000"/>
      <name val="Arial"/>
      <family val="2"/>
    </font>
    <font>
      <sz val="26"/>
      <name val="Arial"/>
      <family val="2"/>
      <charset val="1"/>
    </font>
    <font>
      <sz val="48"/>
      <name val="Arial"/>
      <family val="2"/>
      <charset val="1"/>
    </font>
    <font>
      <b/>
      <sz val="100"/>
      <name val="Arial"/>
      <family val="2"/>
      <charset val="1"/>
    </font>
    <font>
      <sz val="12"/>
      <color rgb="FFFF00FF"/>
      <name val="Arial"/>
      <family val="2"/>
      <charset val="1"/>
    </font>
    <font>
      <b/>
      <u/>
      <sz val="8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i/>
      <sz val="16"/>
      <name val="Arial"/>
      <family val="2"/>
    </font>
    <font>
      <sz val="11"/>
      <color rgb="FF000000"/>
      <name val="Calibri"/>
      <family val="2"/>
      <charset val="1"/>
    </font>
    <font>
      <sz val="9"/>
      <color rgb="FF000000"/>
      <name val="Arial"/>
      <family val="2"/>
    </font>
    <font>
      <i/>
      <sz val="10"/>
      <name val="Arial"/>
      <family val="2"/>
    </font>
    <font>
      <sz val="12"/>
      <color rgb="FF0000FF"/>
      <name val="Arial"/>
      <family val="2"/>
      <charset val="1"/>
    </font>
    <font>
      <b/>
      <sz val="26"/>
      <name val="Times New Roman"/>
      <family val="1"/>
      <charset val="1"/>
    </font>
    <font>
      <b/>
      <sz val="18"/>
      <name val="Times New Roman"/>
      <family val="1"/>
      <charset val="1"/>
    </font>
    <font>
      <sz val="22"/>
      <name val="UBSHeadline"/>
      <family val="1"/>
      <charset val="1"/>
    </font>
    <font>
      <b/>
      <sz val="14"/>
      <name val="Times New Roman"/>
      <family val="1"/>
      <charset val="1"/>
    </font>
    <font>
      <sz val="10"/>
      <color rgb="FFFF0000"/>
      <name val="MS Sans Serif"/>
      <charset val="1"/>
    </font>
    <font>
      <sz val="8"/>
      <name val="Univers"/>
      <family val="2"/>
      <charset val="1"/>
    </font>
    <font>
      <b/>
      <sz val="8"/>
      <color rgb="FFFFFFFF"/>
      <name val="Verdana"/>
      <family val="2"/>
      <charset val="1"/>
    </font>
    <font>
      <b/>
      <sz val="18"/>
      <name val="Arial"/>
      <family val="2"/>
      <charset val="1"/>
    </font>
    <font>
      <b/>
      <i/>
      <sz val="14"/>
      <name val="Arial"/>
      <family val="2"/>
      <charset val="1"/>
    </font>
    <font>
      <b/>
      <i/>
      <sz val="10"/>
      <name val="Arial"/>
      <family val="2"/>
      <charset val="1"/>
    </font>
    <font>
      <b/>
      <sz val="24"/>
      <name val="Arial"/>
      <family val="2"/>
      <charset val="1"/>
    </font>
    <font>
      <u/>
      <sz val="10"/>
      <name val="Arial"/>
      <family val="2"/>
      <charset val="1"/>
    </font>
    <font>
      <i/>
      <sz val="10"/>
      <name val="Arial"/>
      <family val="2"/>
      <charset val="1"/>
    </font>
    <font>
      <b/>
      <sz val="13"/>
      <color rgb="FF000000"/>
      <name val="Verdana"/>
      <family val="2"/>
      <charset val="1"/>
    </font>
    <font>
      <b/>
      <sz val="8"/>
      <color rgb="FF000000"/>
      <name val="Arial"/>
      <family val="2"/>
      <charset val="1"/>
    </font>
    <font>
      <i/>
      <sz val="8"/>
      <color rgb="FF000000"/>
      <name val="Arial"/>
      <family val="2"/>
      <charset val="1"/>
    </font>
    <font>
      <sz val="2"/>
      <color rgb="FFFFFFFF"/>
      <name val="Symbol"/>
      <family val="1"/>
      <charset val="2"/>
    </font>
    <font>
      <sz val="48"/>
      <name val="Franklin Gothic Medium Cond"/>
      <family val="2"/>
      <charset val="1"/>
    </font>
    <font>
      <i/>
      <sz val="26"/>
      <name val="Garamond"/>
      <family val="1"/>
      <charset val="1"/>
    </font>
    <font>
      <sz val="24"/>
      <name val="Franklin Gothic Medium Cond"/>
      <family val="2"/>
      <charset val="1"/>
    </font>
    <font>
      <sz val="18"/>
      <name val="Garamond"/>
      <family val="1"/>
      <charset val="1"/>
    </font>
    <font>
      <b/>
      <sz val="20"/>
      <color rgb="FFFFFFFF"/>
      <name val="Arial"/>
      <family val="2"/>
      <charset val="1"/>
    </font>
    <font>
      <sz val="9"/>
      <color rgb="FFFFFFFF"/>
      <name val="Arial"/>
      <family val="2"/>
    </font>
    <font>
      <b/>
      <sz val="16"/>
      <color rgb="FFFFFFFF"/>
      <name val="Arial"/>
      <family val="2"/>
      <charset val="1"/>
    </font>
    <font>
      <i/>
      <sz val="10"/>
      <color rgb="FFFFFFFF"/>
      <name val="Arial"/>
      <family val="2"/>
      <charset val="1"/>
    </font>
    <font>
      <sz val="9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i/>
      <sz val="8"/>
      <color rgb="FF0000CC"/>
      <name val="Cambria"/>
      <family val="1"/>
    </font>
    <font>
      <i/>
      <sz val="10"/>
      <color rgb="FF0000FF"/>
      <name val="Arial"/>
      <family val="2"/>
      <charset val="1"/>
    </font>
    <font>
      <sz val="10"/>
      <color rgb="FFFF0000"/>
      <name val="Arial"/>
      <family val="2"/>
      <charset val="1"/>
    </font>
    <font>
      <b/>
      <i/>
      <sz val="10"/>
      <color rgb="FF000000"/>
      <name val="Arial"/>
      <family val="2"/>
      <charset val="1"/>
    </font>
    <font>
      <u/>
      <sz val="10"/>
      <color rgb="FFFFFFFF"/>
      <name val="Arial"/>
      <family val="2"/>
      <charset val="1"/>
    </font>
    <font>
      <i/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sz val="10"/>
      <color rgb="FFFFCC00"/>
      <name val="Arial"/>
      <family val="2"/>
      <charset val="1"/>
    </font>
    <font>
      <b/>
      <sz val="18"/>
      <color rgb="FFFFFFFF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2"/>
      <name val="Cambria"/>
      <family val="1"/>
    </font>
    <font>
      <b/>
      <sz val="10"/>
      <name val="Cambria"/>
      <family val="1"/>
    </font>
    <font>
      <sz val="9"/>
      <name val="Cambria"/>
      <family val="1"/>
    </font>
    <font>
      <b/>
      <sz val="14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0"/>
      <color rgb="FF000000"/>
      <name val="Arial"/>
      <family val="2"/>
    </font>
    <font>
      <b/>
      <sz val="9"/>
      <name val="Cambria"/>
      <family val="1"/>
    </font>
    <font>
      <b/>
      <sz val="11"/>
      <name val="Cambria"/>
      <family val="1"/>
    </font>
    <font>
      <i/>
      <sz val="8"/>
      <name val="Cambria"/>
      <family val="1"/>
    </font>
    <font>
      <sz val="10"/>
      <name val="MS Sans Serif"/>
      <family val="2"/>
      <charset val="1"/>
    </font>
    <font>
      <sz val="10"/>
      <name val="Arial"/>
      <family val="2"/>
    </font>
    <font>
      <b/>
      <sz val="10"/>
      <color rgb="FF26649E"/>
      <name val="Open Sans"/>
    </font>
    <font>
      <sz val="9"/>
      <name val="宋体"/>
      <family val="3"/>
      <charset val="134"/>
    </font>
    <font>
      <sz val="10"/>
      <color rgb="FF002060"/>
      <name val="Arial"/>
      <family val="2"/>
      <charset val="1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0C0FF"/>
      </patternFill>
    </fill>
    <fill>
      <patternFill patternType="solid">
        <fgColor rgb="FFFFFFFF"/>
        <bgColor rgb="FFF0FFFF"/>
      </patternFill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800080"/>
        <bgColor rgb="FF800080"/>
      </patternFill>
    </fill>
    <fill>
      <patternFill patternType="solid">
        <fgColor rgb="FF333300"/>
        <bgColor rgb="FF333333"/>
      </patternFill>
    </fill>
    <fill>
      <patternFill patternType="solid">
        <fgColor rgb="FF000080"/>
        <bgColor rgb="FF000080"/>
      </patternFill>
    </fill>
    <fill>
      <patternFill patternType="solid">
        <fgColor rgb="FFFF8080"/>
        <bgColor rgb="FFFF6600"/>
      </patternFill>
    </fill>
    <fill>
      <patternFill patternType="solid">
        <fgColor rgb="FFCCCCFF"/>
        <bgColor rgb="FFC0C0FF"/>
      </patternFill>
    </fill>
    <fill>
      <patternFill patternType="solid">
        <fgColor rgb="FFFFCC00"/>
        <bgColor rgb="FFFFFF00"/>
      </patternFill>
    </fill>
    <fill>
      <patternFill patternType="solid">
        <fgColor rgb="FFFFF0F0"/>
        <bgColor rgb="FFF0F0F0"/>
      </patternFill>
    </fill>
    <fill>
      <patternFill patternType="solid">
        <fgColor rgb="FF99CCFF"/>
        <bgColor rgb="FFC0C0FF"/>
      </patternFill>
    </fill>
    <fill>
      <patternFill patternType="solid">
        <fgColor rgb="FF008000"/>
        <bgColor rgb="FF008080"/>
      </patternFill>
    </fill>
    <fill>
      <patternFill patternType="solid">
        <fgColor rgb="FFF0F0F0"/>
        <bgColor rgb="FFFFF0F0"/>
      </patternFill>
    </fill>
    <fill>
      <patternFill patternType="solid">
        <fgColor rgb="FFFFC0FF"/>
        <bgColor rgb="FFCCCCFF"/>
      </patternFill>
    </fill>
    <fill>
      <patternFill patternType="solid">
        <fgColor rgb="FFC0FFFF"/>
        <bgColor rgb="FFCCFFFF"/>
      </patternFill>
    </fill>
    <fill>
      <patternFill patternType="solid">
        <fgColor rgb="FFF0FFFF"/>
        <bgColor rgb="FFFFFFFF"/>
      </patternFill>
    </fill>
    <fill>
      <patternFill patternType="solid">
        <fgColor rgb="FF993300"/>
        <bgColor rgb="FF993366"/>
      </patternFill>
    </fill>
    <fill>
      <patternFill patternType="solid">
        <fgColor rgb="FFC0C0FF"/>
        <bgColor rgb="FFCCCCFF"/>
      </patternFill>
    </fill>
    <fill>
      <patternFill patternType="solid">
        <fgColor rgb="FFE0E0E0"/>
        <bgColor rgb="FFF0F0F0"/>
      </patternFill>
    </fill>
    <fill>
      <patternFill patternType="solid">
        <fgColor rgb="FF333333"/>
        <bgColor rgb="FF3333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rgb="FFFFF0F0"/>
      </patternFill>
    </fill>
    <fill>
      <patternFill patternType="solid">
        <fgColor rgb="FFFFCC99"/>
        <bgColor rgb="FFE0E0E0"/>
      </patternFill>
    </fill>
    <fill>
      <patternFill patternType="solid">
        <fgColor rgb="FF808080"/>
        <bgColor rgb="FF666699"/>
      </patternFill>
    </fill>
    <fill>
      <patternFill patternType="solid">
        <fgColor rgb="FF333399"/>
        <bgColor rgb="FF003366"/>
      </patternFill>
    </fill>
    <fill>
      <patternFill patternType="solid">
        <fgColor rgb="FF003366"/>
        <bgColor rgb="FF333399"/>
      </patternFill>
    </fill>
    <fill>
      <patternFill patternType="solid">
        <fgColor rgb="FFCCFFFF"/>
        <bgColor rgb="FFC0FFFF"/>
      </patternFill>
    </fill>
    <fill>
      <patternFill patternType="solid">
        <fgColor rgb="FFD8D8D8"/>
        <bgColor rgb="FFD8D8D8"/>
      </patternFill>
    </fill>
    <fill>
      <patternFill patternType="solid">
        <fgColor rgb="FFF8F5EF"/>
        <bgColor rgb="FFF8F5EF"/>
      </patternFill>
    </fill>
    <fill>
      <patternFill patternType="solid">
        <fgColor rgb="FF000080"/>
        <bgColor indexed="64"/>
      </patternFill>
    </fill>
    <fill>
      <patternFill patternType="solid">
        <fgColor rgb="FFFFCC01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rgb="FF00008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rgb="FF800000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rgb="FF99CC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/>
      <top/>
      <bottom style="thin">
        <color rgb="FF000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484">
    <xf numFmtId="0" fontId="0" fillId="0" borderId="0">
      <protection locked="0"/>
    </xf>
    <xf numFmtId="0" fontId="1" fillId="0" borderId="0"/>
    <xf numFmtId="0" fontId="3" fillId="0" borderId="0"/>
    <xf numFmtId="164" fontId="4" fillId="0" borderId="0">
      <alignment horizontal="right"/>
    </xf>
    <xf numFmtId="165" fontId="5" fillId="0" borderId="0"/>
    <xf numFmtId="166" fontId="5" fillId="0" borderId="0"/>
    <xf numFmtId="165" fontId="5" fillId="0" borderId="0"/>
    <xf numFmtId="165" fontId="5" fillId="0" borderId="0"/>
    <xf numFmtId="165" fontId="5" fillId="0" borderId="0"/>
    <xf numFmtId="0" fontId="5" fillId="0" borderId="0"/>
    <xf numFmtId="0" fontId="5" fillId="0" borderId="0"/>
    <xf numFmtId="165" fontId="5" fillId="0" borderId="0"/>
    <xf numFmtId="165" fontId="5" fillId="0" borderId="0"/>
    <xf numFmtId="165" fontId="5" fillId="0" borderId="0"/>
    <xf numFmtId="167" fontId="5" fillId="0" borderId="0"/>
    <xf numFmtId="168" fontId="6" fillId="0" borderId="0"/>
    <xf numFmtId="169" fontId="5" fillId="0" borderId="0"/>
    <xf numFmtId="170" fontId="2" fillId="0" borderId="0"/>
    <xf numFmtId="0" fontId="7" fillId="0" borderId="0"/>
    <xf numFmtId="171" fontId="6" fillId="0" borderId="0"/>
    <xf numFmtId="167" fontId="5" fillId="0" borderId="0"/>
    <xf numFmtId="167" fontId="5" fillId="0" borderId="0"/>
    <xf numFmtId="0" fontId="8" fillId="0" borderId="0"/>
    <xf numFmtId="0" fontId="8" fillId="0" borderId="0"/>
    <xf numFmtId="167" fontId="5" fillId="0" borderId="0"/>
    <xf numFmtId="0" fontId="5" fillId="0" borderId="0"/>
    <xf numFmtId="0" fontId="9" fillId="0" borderId="0"/>
    <xf numFmtId="0" fontId="10" fillId="0" borderId="0"/>
    <xf numFmtId="0" fontId="5" fillId="0" borderId="0"/>
    <xf numFmtId="167" fontId="5" fillId="0" borderId="0"/>
    <xf numFmtId="167" fontId="5" fillId="0" borderId="0"/>
    <xf numFmtId="167" fontId="5" fillId="0" borderId="0"/>
    <xf numFmtId="0" fontId="11" fillId="0" borderId="0">
      <alignment horizontal="right"/>
    </xf>
    <xf numFmtId="15" fontId="2" fillId="0" borderId="1"/>
    <xf numFmtId="0" fontId="2" fillId="0" borderId="0"/>
    <xf numFmtId="0" fontId="11" fillId="0" borderId="0"/>
    <xf numFmtId="9" fontId="12" fillId="2" borderId="2">
      <alignment horizontal="right" vertical="center"/>
    </xf>
    <xf numFmtId="0" fontId="11" fillId="0" borderId="0"/>
    <xf numFmtId="172" fontId="11" fillId="0" borderId="0"/>
    <xf numFmtId="173" fontId="5" fillId="0" borderId="0"/>
    <xf numFmtId="0" fontId="13" fillId="0" borderId="0"/>
    <xf numFmtId="10" fontId="6" fillId="0" borderId="0"/>
    <xf numFmtId="0" fontId="13" fillId="0" borderId="0"/>
    <xf numFmtId="0" fontId="13" fillId="0" borderId="0"/>
    <xf numFmtId="0" fontId="13" fillId="0" borderId="0"/>
    <xf numFmtId="174" fontId="5" fillId="0" borderId="0"/>
    <xf numFmtId="174" fontId="5" fillId="0" borderId="0"/>
    <xf numFmtId="9" fontId="6" fillId="0" borderId="0"/>
    <xf numFmtId="0" fontId="14" fillId="0" borderId="0"/>
    <xf numFmtId="174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0" fontId="15" fillId="0" borderId="0"/>
    <xf numFmtId="0" fontId="2" fillId="0" borderId="3"/>
    <xf numFmtId="9" fontId="16" fillId="0" borderId="0">
      <alignment horizontal="right"/>
    </xf>
    <xf numFmtId="0" fontId="17" fillId="0" borderId="0"/>
    <xf numFmtId="9" fontId="2" fillId="0" borderId="0"/>
    <xf numFmtId="0" fontId="17" fillId="0" borderId="0"/>
    <xf numFmtId="175" fontId="2" fillId="0" borderId="0"/>
    <xf numFmtId="0" fontId="18" fillId="0" borderId="0">
      <alignment horizontal="right"/>
    </xf>
    <xf numFmtId="0" fontId="18" fillId="0" borderId="0"/>
    <xf numFmtId="0" fontId="17" fillId="0" borderId="0"/>
    <xf numFmtId="2" fontId="17" fillId="0" borderId="0"/>
    <xf numFmtId="176" fontId="2" fillId="3" borderId="0"/>
    <xf numFmtId="10" fontId="17" fillId="0" borderId="0"/>
    <xf numFmtId="38" fontId="19" fillId="0" borderId="4"/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/>
    <xf numFmtId="177" fontId="20" fillId="0" borderId="0"/>
    <xf numFmtId="37" fontId="21" fillId="0" borderId="0">
      <alignment horizontal="center"/>
    </xf>
    <xf numFmtId="0" fontId="22" fillId="0" borderId="0">
      <alignment horizontal="center"/>
    </xf>
    <xf numFmtId="0" fontId="19" fillId="0" borderId="0"/>
    <xf numFmtId="9" fontId="2" fillId="4" borderId="0"/>
    <xf numFmtId="0" fontId="2" fillId="0" borderId="0"/>
    <xf numFmtId="0" fontId="2" fillId="0" borderId="0"/>
    <xf numFmtId="0" fontId="2" fillId="0" borderId="0"/>
    <xf numFmtId="0" fontId="11" fillId="0" borderId="0"/>
    <xf numFmtId="178" fontId="11" fillId="0" borderId="0"/>
    <xf numFmtId="0" fontId="23" fillId="0" borderId="0">
      <alignment vertical="top"/>
      <protection locked="0"/>
    </xf>
    <xf numFmtId="0" fontId="11" fillId="0" borderId="0"/>
    <xf numFmtId="179" fontId="11" fillId="0" borderId="0"/>
    <xf numFmtId="0" fontId="24" fillId="0" borderId="0"/>
    <xf numFmtId="0" fontId="25" fillId="0" borderId="0">
      <alignment horizontal="center" vertical="center"/>
    </xf>
    <xf numFmtId="0" fontId="26" fillId="0" borderId="0">
      <alignment horizontal="left"/>
    </xf>
    <xf numFmtId="0" fontId="27" fillId="0" borderId="0"/>
    <xf numFmtId="0" fontId="19" fillId="0" borderId="0"/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19" fillId="0" borderId="0"/>
    <xf numFmtId="0" fontId="19" fillId="0" borderId="0"/>
    <xf numFmtId="38" fontId="17" fillId="0" borderId="0"/>
    <xf numFmtId="180" fontId="2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179" fontId="11" fillId="0" borderId="0">
      <alignment horizontal="right"/>
    </xf>
    <xf numFmtId="0" fontId="2" fillId="0" borderId="0"/>
    <xf numFmtId="0" fontId="2" fillId="0" borderId="0"/>
    <xf numFmtId="0" fontId="28" fillId="0" borderId="0"/>
    <xf numFmtId="0" fontId="2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2" fillId="0" borderId="0"/>
    <xf numFmtId="0" fontId="11" fillId="0" borderId="0">
      <alignment horizontal="right"/>
    </xf>
    <xf numFmtId="0" fontId="11" fillId="0" borderId="0">
      <alignment horizontal="right"/>
    </xf>
    <xf numFmtId="0" fontId="9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8" fillId="0" borderId="0"/>
    <xf numFmtId="178" fontId="2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178" fontId="2" fillId="0" borderId="0"/>
    <xf numFmtId="0" fontId="11" fillId="0" borderId="0">
      <alignment horizontal="right"/>
    </xf>
    <xf numFmtId="0" fontId="11" fillId="0" borderId="0">
      <alignment horizontal="right"/>
    </xf>
    <xf numFmtId="178" fontId="9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29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2" fillId="0" borderId="0"/>
    <xf numFmtId="0" fontId="29" fillId="0" borderId="0"/>
    <xf numFmtId="0" fontId="30" fillId="0" borderId="0">
      <alignment vertical="top"/>
    </xf>
    <xf numFmtId="0" fontId="2" fillId="0" borderId="0"/>
    <xf numFmtId="0" fontId="31" fillId="3" borderId="0"/>
    <xf numFmtId="0" fontId="15" fillId="0" borderId="0"/>
    <xf numFmtId="181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182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8" fillId="0" borderId="0"/>
    <xf numFmtId="0" fontId="2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1" fillId="0" borderId="0"/>
    <xf numFmtId="183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horizontal="right" vertical="center"/>
      <protection locked="0"/>
    </xf>
    <xf numFmtId="0" fontId="11" fillId="0" borderId="0">
      <alignment horizontal="right" vertical="center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horizontal="right" vertical="center"/>
      <protection locked="0"/>
    </xf>
    <xf numFmtId="0" fontId="11" fillId="0" borderId="0">
      <alignment horizontal="right" vertical="center"/>
      <protection locked="0"/>
    </xf>
    <xf numFmtId="0" fontId="11" fillId="0" borderId="0">
      <alignment horizontal="right" vertical="center"/>
      <protection locked="0"/>
    </xf>
    <xf numFmtId="0" fontId="11" fillId="0" borderId="0">
      <alignment horizontal="right" vertical="center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181" fontId="2" fillId="0" borderId="0"/>
    <xf numFmtId="39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8" fillId="0" borderId="0"/>
    <xf numFmtId="39" fontId="2" fillId="0" borderId="0"/>
    <xf numFmtId="0" fontId="11" fillId="0" borderId="0"/>
    <xf numFmtId="0" fontId="11" fillId="0" borderId="0"/>
    <xf numFmtId="39" fontId="2" fillId="0" borderId="0"/>
    <xf numFmtId="0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0" fontId="2" fillId="0" borderId="0"/>
    <xf numFmtId="39" fontId="2" fillId="0" borderId="0"/>
    <xf numFmtId="0" fontId="2" fillId="0" borderId="0"/>
    <xf numFmtId="0" fontId="2" fillId="0" borderId="0"/>
    <xf numFmtId="0" fontId="2" fillId="0" borderId="0"/>
    <xf numFmtId="181" fontId="2" fillId="0" borderId="0"/>
    <xf numFmtId="0" fontId="2" fillId="0" borderId="0"/>
    <xf numFmtId="39" fontId="2" fillId="0" borderId="0"/>
    <xf numFmtId="39" fontId="2" fillId="0" borderId="0"/>
    <xf numFmtId="0" fontId="2" fillId="0" borderId="0"/>
    <xf numFmtId="39" fontId="2" fillId="0" borderId="0"/>
    <xf numFmtId="39" fontId="2" fillId="0" borderId="0"/>
    <xf numFmtId="39" fontId="2" fillId="0" borderId="0"/>
    <xf numFmtId="0" fontId="2" fillId="0" borderId="0"/>
    <xf numFmtId="0" fontId="2" fillId="0" borderId="0"/>
    <xf numFmtId="0" fontId="2" fillId="0" borderId="0"/>
    <xf numFmtId="39" fontId="2" fillId="0" borderId="0"/>
    <xf numFmtId="0" fontId="2" fillId="0" borderId="0"/>
    <xf numFmtId="39" fontId="2" fillId="0" borderId="0"/>
    <xf numFmtId="0" fontId="2" fillId="0" borderId="0"/>
    <xf numFmtId="0" fontId="2" fillId="0" borderId="0"/>
    <xf numFmtId="0" fontId="2" fillId="0" borderId="0"/>
    <xf numFmtId="39" fontId="2" fillId="0" borderId="0"/>
    <xf numFmtId="39" fontId="2" fillId="0" borderId="0"/>
    <xf numFmtId="0" fontId="33" fillId="0" borderId="0">
      <alignment horizontal="right" vertical="center"/>
      <protection locked="0"/>
    </xf>
    <xf numFmtId="0" fontId="33" fillId="0" borderId="0">
      <alignment horizontal="right" vertical="center"/>
      <protection locked="0"/>
    </xf>
    <xf numFmtId="0" fontId="2" fillId="0" borderId="0"/>
    <xf numFmtId="0" fontId="2" fillId="0" borderId="0"/>
    <xf numFmtId="39" fontId="2" fillId="0" borderId="0"/>
    <xf numFmtId="0" fontId="2" fillId="0" borderId="0"/>
    <xf numFmtId="39" fontId="2" fillId="0" borderId="0"/>
    <xf numFmtId="0" fontId="2" fillId="0" borderId="0"/>
    <xf numFmtId="39" fontId="2" fillId="0" borderId="0"/>
    <xf numFmtId="0" fontId="2" fillId="0" borderId="0"/>
    <xf numFmtId="0" fontId="2" fillId="0" borderId="0"/>
    <xf numFmtId="0" fontId="2" fillId="0" borderId="0"/>
    <xf numFmtId="39" fontId="2" fillId="0" borderId="0"/>
    <xf numFmtId="39" fontId="2" fillId="0" borderId="0"/>
    <xf numFmtId="39" fontId="2" fillId="0" borderId="0"/>
    <xf numFmtId="0" fontId="9" fillId="0" borderId="0"/>
    <xf numFmtId="0" fontId="9" fillId="0" borderId="0"/>
    <xf numFmtId="0" fontId="9" fillId="0" borderId="0"/>
    <xf numFmtId="39" fontId="2" fillId="0" borderId="0"/>
    <xf numFmtId="0" fontId="2" fillId="0" borderId="0"/>
    <xf numFmtId="39" fontId="2" fillId="0" borderId="0"/>
    <xf numFmtId="39" fontId="2" fillId="0" borderId="0"/>
    <xf numFmtId="39" fontId="2" fillId="0" borderId="0"/>
    <xf numFmtId="39" fontId="9" fillId="0" borderId="0"/>
    <xf numFmtId="0" fontId="2" fillId="0" borderId="0"/>
    <xf numFmtId="0" fontId="2" fillId="0" borderId="0"/>
    <xf numFmtId="39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9" fontId="2" fillId="0" borderId="0"/>
    <xf numFmtId="14" fontId="9" fillId="0" borderId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5"/>
    <xf numFmtId="0" fontId="11" fillId="0" borderId="5"/>
    <xf numFmtId="0" fontId="11" fillId="0" borderId="5"/>
    <xf numFmtId="0" fontId="2" fillId="0" borderId="0"/>
    <xf numFmtId="3" fontId="9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5" borderId="0"/>
    <xf numFmtId="0" fontId="2" fillId="5" borderId="0"/>
    <xf numFmtId="0" fontId="2" fillId="5" borderId="0"/>
    <xf numFmtId="0" fontId="2" fillId="5" borderId="0"/>
    <xf numFmtId="0" fontId="9" fillId="5" borderId="0"/>
    <xf numFmtId="0" fontId="2" fillId="5" borderId="0"/>
    <xf numFmtId="0" fontId="2" fillId="6" borderId="0"/>
    <xf numFmtId="0" fontId="2" fillId="5" borderId="0"/>
    <xf numFmtId="0" fontId="2" fillId="5" borderId="0"/>
    <xf numFmtId="0" fontId="9" fillId="5" borderId="0"/>
    <xf numFmtId="0" fontId="9" fillId="7" borderId="0"/>
    <xf numFmtId="0" fontId="2" fillId="5" borderId="0"/>
    <xf numFmtId="0" fontId="2" fillId="5" borderId="0"/>
    <xf numFmtId="0" fontId="19" fillId="5" borderId="0"/>
    <xf numFmtId="0" fontId="2" fillId="5" borderId="0"/>
    <xf numFmtId="0" fontId="9" fillId="7" borderId="0"/>
    <xf numFmtId="0" fontId="2" fillId="0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15" fillId="0" borderId="0"/>
    <xf numFmtId="0" fontId="15" fillId="0" borderId="0"/>
    <xf numFmtId="0" fontId="15" fillId="0" borderId="0"/>
    <xf numFmtId="0" fontId="35" fillId="0" borderId="0">
      <alignment vertical="center"/>
    </xf>
    <xf numFmtId="0" fontId="2" fillId="0" borderId="0"/>
    <xf numFmtId="0" fontId="11" fillId="0" borderId="0"/>
    <xf numFmtId="0" fontId="11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>
      <alignment horizontal="right"/>
    </xf>
    <xf numFmtId="0" fontId="11" fillId="0" borderId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33" fillId="0" borderId="0">
      <alignment horizontal="left" vertical="center" indent="4"/>
      <protection locked="0"/>
    </xf>
    <xf numFmtId="0" fontId="33" fillId="0" borderId="0">
      <alignment horizontal="left" vertical="center" indent="4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horizontal="center"/>
    </xf>
    <xf numFmtId="0" fontId="28" fillId="0" borderId="0">
      <alignment horizontal="center"/>
    </xf>
    <xf numFmtId="0" fontId="2" fillId="0" borderId="0"/>
    <xf numFmtId="0" fontId="2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185" fontId="2" fillId="0" borderId="0"/>
    <xf numFmtId="0" fontId="2" fillId="0" borderId="0"/>
    <xf numFmtId="0" fontId="2" fillId="0" borderId="0">
      <alignment horizontal="right"/>
    </xf>
    <xf numFmtId="0" fontId="2" fillId="0" borderId="0">
      <alignment horizontal="right"/>
    </xf>
    <xf numFmtId="0" fontId="28" fillId="0" borderId="0">
      <alignment horizontal="right"/>
    </xf>
    <xf numFmtId="0" fontId="2" fillId="0" borderId="0"/>
    <xf numFmtId="0" fontId="32" fillId="0" borderId="0"/>
    <xf numFmtId="0" fontId="2" fillId="0" borderId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185" fontId="2" fillId="0" borderId="0"/>
    <xf numFmtId="0" fontId="2" fillId="0" borderId="0">
      <alignment horizontal="right"/>
    </xf>
    <xf numFmtId="0" fontId="32" fillId="0" borderId="0"/>
    <xf numFmtId="0" fontId="32" fillId="0" borderId="0"/>
    <xf numFmtId="0" fontId="11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/>
    <xf numFmtId="0" fontId="2" fillId="0" borderId="0">
      <alignment horizontal="right"/>
    </xf>
    <xf numFmtId="0" fontId="2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>
      <alignment horizontal="right"/>
    </xf>
    <xf numFmtId="0" fontId="2" fillId="0" borderId="0">
      <alignment horizontal="right"/>
    </xf>
    <xf numFmtId="0" fontId="2" fillId="0" borderId="0"/>
    <xf numFmtId="0" fontId="2" fillId="0" borderId="0">
      <alignment horizontal="right"/>
    </xf>
    <xf numFmtId="0" fontId="2" fillId="0" borderId="0"/>
    <xf numFmtId="0" fontId="32" fillId="0" borderId="0"/>
    <xf numFmtId="0" fontId="11" fillId="0" borderId="0"/>
    <xf numFmtId="0" fontId="11" fillId="0" borderId="0"/>
    <xf numFmtId="0" fontId="2" fillId="0" borderId="0">
      <alignment horizontal="right"/>
    </xf>
    <xf numFmtId="0" fontId="2" fillId="0" borderId="0">
      <alignment horizontal="right"/>
    </xf>
    <xf numFmtId="0" fontId="11" fillId="0" borderId="0">
      <alignment horizontal="right"/>
    </xf>
    <xf numFmtId="0" fontId="2" fillId="0" borderId="0"/>
    <xf numFmtId="0" fontId="2" fillId="0" borderId="0"/>
    <xf numFmtId="0" fontId="11" fillId="0" borderId="0">
      <alignment horizontal="right"/>
    </xf>
    <xf numFmtId="0" fontId="2" fillId="0" borderId="0">
      <alignment horizontal="left" indent="4"/>
    </xf>
    <xf numFmtId="0" fontId="2" fillId="0" borderId="0">
      <alignment horizontal="left" indent="4"/>
    </xf>
    <xf numFmtId="0" fontId="2" fillId="0" borderId="0">
      <alignment horizontal="right"/>
    </xf>
    <xf numFmtId="0" fontId="2" fillId="0" borderId="0">
      <alignment horizontal="right"/>
    </xf>
    <xf numFmtId="0" fontId="2" fillId="0" borderId="0"/>
    <xf numFmtId="0" fontId="2" fillId="0" borderId="0">
      <alignment horizontal="right"/>
    </xf>
    <xf numFmtId="0" fontId="2" fillId="0" borderId="0"/>
    <xf numFmtId="0" fontId="2" fillId="0" borderId="0"/>
    <xf numFmtId="0" fontId="2" fillId="0" borderId="0">
      <alignment horizontal="right"/>
    </xf>
    <xf numFmtId="0" fontId="2" fillId="0" borderId="0"/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/>
    <xf numFmtId="0" fontId="2" fillId="0" borderId="0"/>
    <xf numFmtId="0" fontId="2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2" fillId="0" borderId="0"/>
    <xf numFmtId="0" fontId="2" fillId="0" borderId="0">
      <alignment horizontal="right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>
      <alignment horizontal="right"/>
    </xf>
    <xf numFmtId="0" fontId="2" fillId="0" borderId="0">
      <alignment horizontal="right"/>
    </xf>
    <xf numFmtId="0" fontId="2" fillId="0" borderId="0"/>
    <xf numFmtId="0" fontId="17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11" fillId="0" borderId="0"/>
    <xf numFmtId="0" fontId="11" fillId="0" borderId="0"/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0" fontId="11" fillId="0" borderId="0"/>
    <xf numFmtId="0" fontId="11" fillId="0" borderId="0"/>
    <xf numFmtId="0" fontId="2" fillId="0" borderId="0"/>
    <xf numFmtId="0" fontId="15" fillId="0" borderId="0"/>
    <xf numFmtId="0" fontId="15" fillId="0" borderId="0"/>
    <xf numFmtId="186" fontId="2" fillId="0" borderId="0"/>
    <xf numFmtId="0" fontId="32" fillId="0" borderId="0"/>
    <xf numFmtId="0" fontId="2" fillId="0" borderId="0"/>
    <xf numFmtId="0" fontId="2" fillId="0" borderId="0"/>
    <xf numFmtId="186" fontId="2" fillId="0" borderId="0"/>
    <xf numFmtId="0" fontId="2" fillId="0" borderId="0">
      <alignment horizontal="right"/>
    </xf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11" fillId="0" borderId="6">
      <alignment horizontal="right"/>
    </xf>
    <xf numFmtId="0" fontId="11" fillId="0" borderId="6">
      <alignment horizontal="right"/>
    </xf>
    <xf numFmtId="0" fontId="11" fillId="0" borderId="0"/>
    <xf numFmtId="0" fontId="11" fillId="0" borderId="0"/>
    <xf numFmtId="0" fontId="11" fillId="0" borderId="0">
      <alignment horizontal="right"/>
    </xf>
    <xf numFmtId="0" fontId="11" fillId="0" borderId="0">
      <alignment horizontal="right"/>
    </xf>
    <xf numFmtId="187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187" fontId="2" fillId="0" borderId="0"/>
    <xf numFmtId="178" fontId="2" fillId="0" borderId="0">
      <alignment horizontal="right"/>
    </xf>
    <xf numFmtId="0" fontId="32" fillId="0" borderId="0"/>
    <xf numFmtId="0" fontId="32" fillId="0" borderId="0"/>
    <xf numFmtId="0" fontId="32" fillId="0" borderId="0"/>
    <xf numFmtId="0" fontId="32" fillId="0" borderId="0"/>
    <xf numFmtId="178" fontId="2" fillId="0" borderId="0"/>
    <xf numFmtId="0" fontId="2" fillId="0" borderId="0"/>
    <xf numFmtId="178" fontId="2" fillId="0" borderId="0"/>
    <xf numFmtId="0" fontId="3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9" fillId="0" borderId="0"/>
    <xf numFmtId="178" fontId="9" fillId="0" borderId="0"/>
    <xf numFmtId="178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178" fontId="2" fillId="0" borderId="0">
      <alignment horizontal="right"/>
    </xf>
    <xf numFmtId="178" fontId="17" fillId="0" borderId="0">
      <alignment horizontal="right"/>
    </xf>
    <xf numFmtId="178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3" fillId="0" borderId="6"/>
    <xf numFmtId="0" fontId="33" fillId="0" borderId="6"/>
    <xf numFmtId="0" fontId="33" fillId="0" borderId="6"/>
    <xf numFmtId="0" fontId="33" fillId="0" borderId="6"/>
    <xf numFmtId="0" fontId="33" fillId="0" borderId="6"/>
    <xf numFmtId="0" fontId="33" fillId="0" borderId="6"/>
    <xf numFmtId="0" fontId="33" fillId="0" borderId="6"/>
    <xf numFmtId="0" fontId="33" fillId="0" borderId="6"/>
    <xf numFmtId="0" fontId="33" fillId="0" borderId="7"/>
    <xf numFmtId="0" fontId="33" fillId="0" borderId="6"/>
    <xf numFmtId="0" fontId="33" fillId="0" borderId="7"/>
    <xf numFmtId="0" fontId="33" fillId="0" borderId="7"/>
    <xf numFmtId="0" fontId="33" fillId="0" borderId="6"/>
    <xf numFmtId="0" fontId="33" fillId="0" borderId="6"/>
    <xf numFmtId="0" fontId="33" fillId="0" borderId="6"/>
    <xf numFmtId="0" fontId="33" fillId="0" borderId="6"/>
    <xf numFmtId="0" fontId="33" fillId="0" borderId="7"/>
    <xf numFmtId="0" fontId="33" fillId="0" borderId="6"/>
    <xf numFmtId="0" fontId="33" fillId="0" borderId="6"/>
    <xf numFmtId="0" fontId="33" fillId="0" borderId="6"/>
    <xf numFmtId="0" fontId="33" fillId="0" borderId="7"/>
    <xf numFmtId="0" fontId="2" fillId="0" borderId="0"/>
    <xf numFmtId="0" fontId="33" fillId="0" borderId="6"/>
    <xf numFmtId="0" fontId="33" fillId="0" borderId="6"/>
    <xf numFmtId="0" fontId="33" fillId="0" borderId="7"/>
    <xf numFmtId="0" fontId="33" fillId="0" borderId="0"/>
    <xf numFmtId="0" fontId="33" fillId="0" borderId="6"/>
    <xf numFmtId="0" fontId="33" fillId="0" borderId="6"/>
    <xf numFmtId="0" fontId="33" fillId="0" borderId="6"/>
    <xf numFmtId="0" fontId="33" fillId="0" borderId="7"/>
    <xf numFmtId="0" fontId="33" fillId="0" borderId="6"/>
    <xf numFmtId="0" fontId="33" fillId="0" borderId="6"/>
    <xf numFmtId="0" fontId="33" fillId="0" borderId="6"/>
    <xf numFmtId="0" fontId="33" fillId="0" borderId="6"/>
    <xf numFmtId="0" fontId="37" fillId="0" borderId="8">
      <alignment horizontal="center"/>
    </xf>
    <xf numFmtId="0" fontId="37" fillId="0" borderId="8">
      <alignment horizontal="center"/>
    </xf>
    <xf numFmtId="0" fontId="37" fillId="0" borderId="8">
      <alignment horizontal="center"/>
    </xf>
    <xf numFmtId="0" fontId="37" fillId="0" borderId="8">
      <alignment horizontal="center"/>
    </xf>
    <xf numFmtId="0" fontId="37" fillId="0" borderId="8">
      <alignment horizontal="center"/>
    </xf>
    <xf numFmtId="0" fontId="38" fillId="0" borderId="8">
      <alignment horizontal="center"/>
    </xf>
    <xf numFmtId="0" fontId="38" fillId="0" borderId="8">
      <alignment horizontal="center"/>
    </xf>
    <xf numFmtId="0" fontId="37" fillId="0" borderId="8">
      <alignment horizontal="center"/>
    </xf>
    <xf numFmtId="0" fontId="37" fillId="0" borderId="8">
      <alignment horizontal="center"/>
    </xf>
    <xf numFmtId="0" fontId="37" fillId="0" borderId="8">
      <alignment horizontal="center"/>
    </xf>
    <xf numFmtId="0" fontId="37" fillId="0" borderId="8">
      <alignment horizontal="center"/>
    </xf>
    <xf numFmtId="0" fontId="37" fillId="0" borderId="8">
      <alignment horizontal="center"/>
    </xf>
    <xf numFmtId="0" fontId="38" fillId="0" borderId="8">
      <alignment horizontal="center"/>
    </xf>
    <xf numFmtId="0" fontId="37" fillId="0" borderId="8">
      <alignment horizontal="center"/>
    </xf>
    <xf numFmtId="0" fontId="2" fillId="0" borderId="0"/>
    <xf numFmtId="0" fontId="37" fillId="0" borderId="8">
      <alignment horizontal="center"/>
    </xf>
    <xf numFmtId="0" fontId="37" fillId="0" borderId="8">
      <alignment horizontal="center"/>
    </xf>
    <xf numFmtId="0" fontId="37" fillId="0" borderId="8">
      <alignment horizontal="center"/>
    </xf>
    <xf numFmtId="0" fontId="2" fillId="0" borderId="3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2" fillId="0" borderId="0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40" fillId="0" borderId="0">
      <alignment horizontal="center"/>
    </xf>
    <xf numFmtId="0" fontId="39" fillId="0" borderId="0">
      <alignment horizontal="center"/>
    </xf>
    <xf numFmtId="0" fontId="40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40" fillId="0" borderId="0">
      <alignment horizontal="center"/>
    </xf>
    <xf numFmtId="0" fontId="39" fillId="0" borderId="0">
      <alignment horizontal="center"/>
    </xf>
    <xf numFmtId="0" fontId="2" fillId="0" borderId="0"/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3" fillId="0" borderId="0"/>
    <xf numFmtId="0" fontId="2" fillId="0" borderId="0"/>
    <xf numFmtId="3" fontId="9" fillId="0" borderId="0"/>
    <xf numFmtId="0" fontId="30" fillId="0" borderId="0">
      <alignment vertical="top"/>
    </xf>
    <xf numFmtId="0" fontId="2" fillId="0" borderId="0"/>
    <xf numFmtId="0" fontId="11" fillId="0" borderId="0"/>
    <xf numFmtId="0" fontId="11" fillId="0" borderId="0"/>
    <xf numFmtId="0" fontId="32" fillId="0" borderId="0"/>
    <xf numFmtId="181" fontId="28" fillId="2" borderId="0"/>
    <xf numFmtId="0" fontId="41" fillId="8" borderId="0"/>
    <xf numFmtId="181" fontId="28" fillId="9" borderId="0"/>
    <xf numFmtId="181" fontId="35" fillId="4" borderId="0"/>
    <xf numFmtId="181" fontId="11" fillId="10" borderId="0"/>
    <xf numFmtId="181" fontId="2" fillId="0" borderId="9"/>
    <xf numFmtId="188" fontId="16" fillId="0" borderId="0">
      <alignment horizontal="right"/>
    </xf>
    <xf numFmtId="188" fontId="11" fillId="0" borderId="9">
      <alignment horizontal="right"/>
    </xf>
    <xf numFmtId="189" fontId="42" fillId="0" borderId="0">
      <alignment horizontal="right"/>
    </xf>
    <xf numFmtId="189" fontId="43" fillId="0" borderId="9">
      <alignment horizontal="right"/>
    </xf>
    <xf numFmtId="181" fontId="44" fillId="0" borderId="0">
      <alignment horizontal="left" indent="1"/>
    </xf>
    <xf numFmtId="181" fontId="45" fillId="0" borderId="10"/>
    <xf numFmtId="181" fontId="28" fillId="5" borderId="9"/>
    <xf numFmtId="188" fontId="25" fillId="11" borderId="10">
      <alignment horizontal="right"/>
    </xf>
    <xf numFmtId="188" fontId="25" fillId="0" borderId="10">
      <alignment horizontal="right"/>
    </xf>
    <xf numFmtId="181" fontId="9" fillId="0" borderId="9"/>
    <xf numFmtId="0" fontId="25" fillId="2" borderId="11">
      <alignment horizontal="center"/>
    </xf>
    <xf numFmtId="0" fontId="11" fillId="0" borderId="0"/>
    <xf numFmtId="190" fontId="2" fillId="0" borderId="0">
      <alignment vertical="top"/>
    </xf>
    <xf numFmtId="180" fontId="2" fillId="0" borderId="0">
      <alignment vertical="top"/>
    </xf>
    <xf numFmtId="191" fontId="46" fillId="0" borderId="0"/>
    <xf numFmtId="192" fontId="41" fillId="0" borderId="0"/>
    <xf numFmtId="0" fontId="11" fillId="12" borderId="0">
      <alignment horizontal="right"/>
    </xf>
    <xf numFmtId="0" fontId="11" fillId="13" borderId="12">
      <alignment horizontal="center" vertical="center"/>
    </xf>
    <xf numFmtId="0" fontId="11" fillId="12" borderId="7">
      <alignment horizontal="right"/>
    </xf>
    <xf numFmtId="0" fontId="11" fillId="0" borderId="0"/>
    <xf numFmtId="193" fontId="47" fillId="0" borderId="13"/>
    <xf numFmtId="0" fontId="2" fillId="0" borderId="0">
      <protection locked="0"/>
    </xf>
    <xf numFmtId="194" fontId="47" fillId="0" borderId="14"/>
    <xf numFmtId="0" fontId="48" fillId="0" borderId="0"/>
    <xf numFmtId="0" fontId="49" fillId="0" borderId="0"/>
    <xf numFmtId="0" fontId="27" fillId="0" borderId="0">
      <alignment horizontal="center" wrapText="1"/>
      <protection locked="0"/>
    </xf>
    <xf numFmtId="0" fontId="2" fillId="0" borderId="0"/>
    <xf numFmtId="0" fontId="29" fillId="0" borderId="0"/>
    <xf numFmtId="0" fontId="2" fillId="0" borderId="15"/>
    <xf numFmtId="0" fontId="50" fillId="0" borderId="15"/>
    <xf numFmtId="0" fontId="51" fillId="0" borderId="15"/>
    <xf numFmtId="0" fontId="11" fillId="0" borderId="15"/>
    <xf numFmtId="0" fontId="52" fillId="0" borderId="0"/>
    <xf numFmtId="0" fontId="53" fillId="0" borderId="16">
      <protection hidden="1"/>
    </xf>
    <xf numFmtId="0" fontId="6" fillId="2" borderId="16">
      <protection hidden="1"/>
    </xf>
    <xf numFmtId="0" fontId="54" fillId="0" borderId="17"/>
    <xf numFmtId="0" fontId="41" fillId="0" borderId="0"/>
    <xf numFmtId="189" fontId="5" fillId="3" borderId="0"/>
    <xf numFmtId="0" fontId="32" fillId="0" borderId="3"/>
    <xf numFmtId="0" fontId="32" fillId="0" borderId="18"/>
    <xf numFmtId="0" fontId="32" fillId="0" borderId="0"/>
    <xf numFmtId="0" fontId="11" fillId="0" borderId="0"/>
    <xf numFmtId="0" fontId="27" fillId="0" borderId="0"/>
    <xf numFmtId="1" fontId="55" fillId="8" borderId="19">
      <alignment horizontal="center" vertical="top" wrapText="1"/>
      <protection hidden="1"/>
    </xf>
    <xf numFmtId="3" fontId="29" fillId="0" borderId="0"/>
    <xf numFmtId="195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right"/>
    </xf>
    <xf numFmtId="0" fontId="9" fillId="0" borderId="0"/>
    <xf numFmtId="0" fontId="11" fillId="14" borderId="20">
      <alignment horizontal="center"/>
    </xf>
    <xf numFmtId="0" fontId="56" fillId="0" borderId="0"/>
    <xf numFmtId="0" fontId="2" fillId="0" borderId="0"/>
    <xf numFmtId="0" fontId="57" fillId="3" borderId="0">
      <protection locked="0"/>
    </xf>
    <xf numFmtId="0" fontId="11" fillId="0" borderId="0"/>
    <xf numFmtId="0" fontId="19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196" fontId="11" fillId="0" borderId="0"/>
    <xf numFmtId="197" fontId="19" fillId="0" borderId="0"/>
    <xf numFmtId="0" fontId="58" fillId="0" borderId="0"/>
    <xf numFmtId="0" fontId="59" fillId="15" borderId="21">
      <alignment horizontal="left"/>
    </xf>
    <xf numFmtId="0" fontId="60" fillId="0" borderId="0"/>
    <xf numFmtId="1" fontId="61" fillId="8" borderId="22">
      <alignment horizontal="center"/>
    </xf>
    <xf numFmtId="0" fontId="62" fillId="0" borderId="0"/>
    <xf numFmtId="0" fontId="61" fillId="8" borderId="23">
      <alignment horizontal="center"/>
    </xf>
    <xf numFmtId="198" fontId="63" fillId="0" borderId="0">
      <alignment horizontal="right"/>
      <protection locked="0"/>
    </xf>
    <xf numFmtId="0" fontId="64" fillId="0" borderId="0"/>
    <xf numFmtId="0" fontId="32" fillId="0" borderId="0"/>
    <xf numFmtId="0" fontId="2" fillId="0" borderId="0"/>
    <xf numFmtId="0" fontId="13" fillId="0" borderId="0"/>
    <xf numFmtId="37" fontId="65" fillId="0" borderId="0"/>
    <xf numFmtId="0" fontId="66" fillId="0" borderId="3"/>
    <xf numFmtId="0" fontId="2" fillId="3" borderId="13">
      <protection locked="0"/>
    </xf>
    <xf numFmtId="171" fontId="67" fillId="0" borderId="10"/>
    <xf numFmtId="0" fontId="27" fillId="0" borderId="5"/>
    <xf numFmtId="0" fontId="27" fillId="0" borderId="24"/>
    <xf numFmtId="0" fontId="6" fillId="0" borderId="3"/>
    <xf numFmtId="0" fontId="6" fillId="0" borderId="19"/>
    <xf numFmtId="0" fontId="6" fillId="0" borderId="13"/>
    <xf numFmtId="0" fontId="6" fillId="0" borderId="10"/>
    <xf numFmtId="37" fontId="68" fillId="0" borderId="7">
      <alignment horizontal="right" vertical="center"/>
    </xf>
    <xf numFmtId="37" fontId="65" fillId="0" borderId="7">
      <alignment horizontal="right" vertical="center"/>
    </xf>
    <xf numFmtId="199" fontId="32" fillId="0" borderId="5">
      <alignment horizontal="center"/>
    </xf>
    <xf numFmtId="0" fontId="2" fillId="0" borderId="10">
      <alignment horizontal="right"/>
    </xf>
    <xf numFmtId="178" fontId="11" fillId="0" borderId="3">
      <alignment horizontal="center"/>
    </xf>
    <xf numFmtId="200" fontId="2" fillId="0" borderId="0"/>
    <xf numFmtId="201" fontId="69" fillId="0" borderId="0"/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70" fillId="0" borderId="0"/>
    <xf numFmtId="0" fontId="71" fillId="0" borderId="0"/>
    <xf numFmtId="0" fontId="2" fillId="0" borderId="0"/>
    <xf numFmtId="0" fontId="72" fillId="0" borderId="0"/>
    <xf numFmtId="0" fontId="11" fillId="0" borderId="0"/>
    <xf numFmtId="0" fontId="19" fillId="0" borderId="0"/>
    <xf numFmtId="0" fontId="13" fillId="0" borderId="5">
      <alignment horizontal="center"/>
    </xf>
    <xf numFmtId="0" fontId="2" fillId="0" borderId="0"/>
    <xf numFmtId="0" fontId="11" fillId="0" borderId="0"/>
    <xf numFmtId="2" fontId="11" fillId="16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73" fillId="0" borderId="0"/>
    <xf numFmtId="0" fontId="2" fillId="0" borderId="0"/>
    <xf numFmtId="0" fontId="74" fillId="0" borderId="0"/>
    <xf numFmtId="0" fontId="11" fillId="0" borderId="0"/>
    <xf numFmtId="0" fontId="11" fillId="0" borderId="0">
      <alignment horizontal="left"/>
    </xf>
    <xf numFmtId="202" fontId="27" fillId="17" borderId="0"/>
    <xf numFmtId="0" fontId="27" fillId="0" borderId="0"/>
    <xf numFmtId="0" fontId="2" fillId="0" borderId="0"/>
    <xf numFmtId="0" fontId="26" fillId="0" borderId="0"/>
    <xf numFmtId="0" fontId="75" fillId="15" borderId="25"/>
    <xf numFmtId="0" fontId="19" fillId="0" borderId="0"/>
    <xf numFmtId="0" fontId="66" fillId="0" borderId="3">
      <alignment horizontal="center" vertical="center"/>
    </xf>
    <xf numFmtId="0" fontId="45" fillId="0" borderId="0">
      <alignment horizontal="center"/>
      <protection locked="0"/>
    </xf>
    <xf numFmtId="168" fontId="2" fillId="0" borderId="3">
      <alignment horizontal="right"/>
    </xf>
    <xf numFmtId="0" fontId="76" fillId="0" borderId="0">
      <alignment horizontal="center" wrapText="1"/>
    </xf>
    <xf numFmtId="1" fontId="77" fillId="0" borderId="0"/>
    <xf numFmtId="0" fontId="78" fillId="0" borderId="0"/>
    <xf numFmtId="0" fontId="32" fillId="0" borderId="1"/>
    <xf numFmtId="3" fontId="6" fillId="0" borderId="0"/>
    <xf numFmtId="0" fontId="79" fillId="0" borderId="0"/>
    <xf numFmtId="0" fontId="11" fillId="0" borderId="0"/>
    <xf numFmtId="0" fontId="80" fillId="0" borderId="0"/>
    <xf numFmtId="0" fontId="11" fillId="0" borderId="0"/>
    <xf numFmtId="0" fontId="81" fillId="0" borderId="3">
      <alignment horizontal="center"/>
    </xf>
    <xf numFmtId="0" fontId="82" fillId="0" borderId="3">
      <alignment horizontal="left" vertical="center"/>
    </xf>
    <xf numFmtId="0" fontId="83" fillId="0" borderId="0">
      <alignment horizontal="center" wrapText="1"/>
    </xf>
    <xf numFmtId="0" fontId="2" fillId="0" borderId="0">
      <alignment horizontal="center" wrapText="1"/>
      <protection hidden="1"/>
    </xf>
    <xf numFmtId="0" fontId="8" fillId="0" borderId="3">
      <alignment horizontal="left" vertical="center"/>
    </xf>
    <xf numFmtId="0" fontId="8" fillId="0" borderId="3">
      <alignment horizontal="right" vertical="center"/>
    </xf>
    <xf numFmtId="0" fontId="84" fillId="0" borderId="0">
      <alignment vertical="top"/>
      <protection locked="0"/>
    </xf>
    <xf numFmtId="0" fontId="59" fillId="18" borderId="25">
      <alignment horizontal="center" vertical="center" wrapText="1"/>
    </xf>
    <xf numFmtId="0" fontId="11" fillId="0" borderId="0">
      <alignment horizontal="center"/>
    </xf>
    <xf numFmtId="0" fontId="50" fillId="0" borderId="0">
      <alignment wrapText="1"/>
    </xf>
    <xf numFmtId="0" fontId="76" fillId="0" borderId="0">
      <alignment wrapText="1"/>
    </xf>
    <xf numFmtId="0" fontId="85" fillId="19" borderId="0"/>
    <xf numFmtId="0" fontId="50" fillId="0" borderId="0">
      <alignment horizontal="right"/>
    </xf>
    <xf numFmtId="0" fontId="50" fillId="0" borderId="5">
      <alignment horizontal="right"/>
    </xf>
    <xf numFmtId="0" fontId="41" fillId="0" borderId="0">
      <alignment horizontal="right"/>
    </xf>
    <xf numFmtId="0" fontId="19" fillId="0" borderId="0"/>
    <xf numFmtId="203" fontId="86" fillId="0" borderId="0"/>
    <xf numFmtId="203" fontId="86" fillId="0" borderId="0"/>
    <xf numFmtId="203" fontId="86" fillId="0" borderId="0"/>
    <xf numFmtId="203" fontId="86" fillId="0" borderId="0"/>
    <xf numFmtId="203" fontId="86" fillId="0" borderId="0"/>
    <xf numFmtId="203" fontId="86" fillId="0" borderId="0"/>
    <xf numFmtId="203" fontId="86" fillId="0" borderId="0"/>
    <xf numFmtId="203" fontId="86" fillId="0" borderId="0"/>
    <xf numFmtId="37" fontId="70" fillId="0" borderId="0"/>
    <xf numFmtId="204" fontId="19" fillId="0" borderId="0"/>
    <xf numFmtId="180" fontId="87" fillId="0" borderId="0">
      <alignment horizontal="right"/>
    </xf>
    <xf numFmtId="0" fontId="32" fillId="0" borderId="0">
      <alignment horizontal="right"/>
    </xf>
    <xf numFmtId="0" fontId="32" fillId="0" borderId="0"/>
    <xf numFmtId="0" fontId="32" fillId="0" borderId="0">
      <alignment horizontal="right"/>
    </xf>
    <xf numFmtId="206" fontId="32" fillId="0" borderId="0"/>
    <xf numFmtId="205" fontId="88" fillId="0" borderId="0"/>
    <xf numFmtId="0" fontId="32" fillId="0" borderId="0"/>
    <xf numFmtId="0" fontId="73" fillId="0" borderId="0"/>
    <xf numFmtId="180" fontId="76" fillId="0" borderId="10"/>
    <xf numFmtId="207" fontId="13" fillId="0" borderId="0"/>
    <xf numFmtId="208" fontId="76" fillId="0" borderId="10"/>
    <xf numFmtId="208" fontId="89" fillId="0" borderId="0"/>
    <xf numFmtId="209" fontId="70" fillId="0" borderId="0"/>
    <xf numFmtId="0" fontId="11" fillId="0" borderId="10"/>
    <xf numFmtId="39" fontId="19" fillId="0" borderId="0"/>
    <xf numFmtId="0" fontId="19" fillId="0" borderId="0"/>
    <xf numFmtId="40" fontId="2" fillId="0" borderId="0">
      <alignment horizontal="right"/>
    </xf>
    <xf numFmtId="0" fontId="11" fillId="0" borderId="0"/>
    <xf numFmtId="210" fontId="32" fillId="0" borderId="0"/>
    <xf numFmtId="0" fontId="47" fillId="0" borderId="0"/>
    <xf numFmtId="0" fontId="11" fillId="0" borderId="0"/>
    <xf numFmtId="0" fontId="27" fillId="0" borderId="0"/>
    <xf numFmtId="37" fontId="2" fillId="0" borderId="0"/>
    <xf numFmtId="0" fontId="90" fillId="0" borderId="0"/>
    <xf numFmtId="0" fontId="211" fillId="0" borderId="0"/>
    <xf numFmtId="3" fontId="91" fillId="0" borderId="0"/>
    <xf numFmtId="211" fontId="2" fillId="0" borderId="0">
      <alignment horizontal="right"/>
    </xf>
    <xf numFmtId="181" fontId="2" fillId="0" borderId="0"/>
    <xf numFmtId="0" fontId="90" fillId="0" borderId="0"/>
    <xf numFmtId="0" fontId="211" fillId="0" borderId="0"/>
    <xf numFmtId="0" fontId="6" fillId="0" borderId="0"/>
    <xf numFmtId="184" fontId="2" fillId="0" borderId="0"/>
    <xf numFmtId="39" fontId="2" fillId="0" borderId="0"/>
    <xf numFmtId="212" fontId="2" fillId="0" borderId="0"/>
    <xf numFmtId="213" fontId="2" fillId="0" borderId="0"/>
    <xf numFmtId="214" fontId="2" fillId="0" borderId="0"/>
    <xf numFmtId="215" fontId="5" fillId="0" borderId="0"/>
    <xf numFmtId="216" fontId="5" fillId="0" borderId="0"/>
    <xf numFmtId="0" fontId="2" fillId="0" borderId="0"/>
    <xf numFmtId="0" fontId="19" fillId="0" borderId="0">
      <alignment horizontal="right"/>
    </xf>
    <xf numFmtId="0" fontId="92" fillId="0" borderId="0"/>
    <xf numFmtId="0" fontId="93" fillId="20" borderId="0">
      <alignment horizontal="center" vertical="center" wrapText="1"/>
    </xf>
    <xf numFmtId="0" fontId="94" fillId="0" borderId="0">
      <protection locked="0"/>
    </xf>
    <xf numFmtId="0" fontId="79" fillId="0" borderId="0">
      <alignment horizontal="left"/>
    </xf>
    <xf numFmtId="0" fontId="95" fillId="0" borderId="0">
      <alignment horizontal="left"/>
    </xf>
    <xf numFmtId="0" fontId="32" fillId="0" borderId="26"/>
    <xf numFmtId="0" fontId="96" fillId="0" borderId="0">
      <alignment horizontal="left"/>
    </xf>
    <xf numFmtId="0" fontId="97" fillId="0" borderId="0"/>
    <xf numFmtId="0" fontId="98" fillId="0" borderId="0">
      <alignment horizontal="left"/>
    </xf>
    <xf numFmtId="0" fontId="47" fillId="21" borderId="0">
      <alignment horizontal="right"/>
    </xf>
    <xf numFmtId="0" fontId="32" fillId="0" borderId="3"/>
    <xf numFmtId="217" fontId="17" fillId="0" borderId="0"/>
    <xf numFmtId="0" fontId="19" fillId="0" borderId="0">
      <alignment horizontal="right"/>
      <protection locked="0"/>
    </xf>
    <xf numFmtId="0" fontId="27" fillId="0" borderId="0">
      <protection locked="0"/>
    </xf>
    <xf numFmtId="218" fontId="70" fillId="0" borderId="0"/>
    <xf numFmtId="0" fontId="27" fillId="0" borderId="0">
      <protection locked="0"/>
    </xf>
    <xf numFmtId="0" fontId="11" fillId="0" borderId="0"/>
    <xf numFmtId="0" fontId="32" fillId="0" borderId="0">
      <alignment horizontal="right"/>
    </xf>
    <xf numFmtId="0" fontId="18" fillId="0" borderId="16"/>
    <xf numFmtId="219" fontId="32" fillId="0" borderId="0"/>
    <xf numFmtId="0" fontId="32" fillId="0" borderId="0">
      <alignment horizontal="right"/>
    </xf>
    <xf numFmtId="198" fontId="76" fillId="0" borderId="10"/>
    <xf numFmtId="220" fontId="99" fillId="0" borderId="0"/>
    <xf numFmtId="221" fontId="32" fillId="0" borderId="0">
      <alignment horizontal="right"/>
    </xf>
    <xf numFmtId="0" fontId="99" fillId="0" borderId="0"/>
    <xf numFmtId="0" fontId="2" fillId="0" borderId="0"/>
    <xf numFmtId="0" fontId="76" fillId="0" borderId="10"/>
    <xf numFmtId="0" fontId="100" fillId="0" borderId="0"/>
    <xf numFmtId="0" fontId="76" fillId="0" borderId="10"/>
    <xf numFmtId="0" fontId="101" fillId="0" borderId="0"/>
    <xf numFmtId="168" fontId="102" fillId="0" borderId="27">
      <protection locked="0"/>
    </xf>
    <xf numFmtId="222" fontId="76" fillId="0" borderId="10"/>
    <xf numFmtId="168" fontId="102" fillId="0" borderId="27">
      <protection locked="0"/>
    </xf>
    <xf numFmtId="0" fontId="19" fillId="0" borderId="0"/>
    <xf numFmtId="198" fontId="2" fillId="0" borderId="0"/>
    <xf numFmtId="168" fontId="12" fillId="2" borderId="2">
      <alignment horizontal="right"/>
    </xf>
    <xf numFmtId="223" fontId="19" fillId="0" borderId="0">
      <alignment horizontal="right"/>
    </xf>
    <xf numFmtId="224" fontId="32" fillId="0" borderId="0"/>
    <xf numFmtId="0" fontId="27" fillId="0" borderId="0"/>
    <xf numFmtId="0" fontId="91" fillId="0" borderId="0"/>
    <xf numFmtId="0" fontId="6" fillId="0" borderId="0"/>
    <xf numFmtId="0" fontId="89" fillId="0" borderId="0"/>
    <xf numFmtId="225" fontId="20" fillId="0" borderId="0">
      <alignment horizontal="right"/>
    </xf>
    <xf numFmtId="0" fontId="6" fillId="0" borderId="0"/>
    <xf numFmtId="0" fontId="32" fillId="0" borderId="0"/>
    <xf numFmtId="198" fontId="18" fillId="0" borderId="0">
      <alignment horizontal="right"/>
    </xf>
    <xf numFmtId="0" fontId="32" fillId="3" borderId="0">
      <alignment vertical="center"/>
      <protection locked="0"/>
    </xf>
    <xf numFmtId="0" fontId="32" fillId="3" borderId="0">
      <alignment vertical="center"/>
      <protection locked="0"/>
    </xf>
    <xf numFmtId="0" fontId="103" fillId="3" borderId="0">
      <alignment vertical="center"/>
      <protection locked="0"/>
    </xf>
    <xf numFmtId="0" fontId="32" fillId="3" borderId="0">
      <alignment vertical="center"/>
      <protection locked="0"/>
    </xf>
    <xf numFmtId="0" fontId="32" fillId="3" borderId="0">
      <alignment vertical="center"/>
      <protection locked="0"/>
    </xf>
    <xf numFmtId="0" fontId="11" fillId="2" borderId="13">
      <alignment horizontal="right"/>
    </xf>
    <xf numFmtId="0" fontId="11" fillId="2" borderId="13">
      <alignment horizontal="right"/>
    </xf>
    <xf numFmtId="0" fontId="11" fillId="2" borderId="13">
      <alignment horizontal="right"/>
    </xf>
    <xf numFmtId="0" fontId="11" fillId="2" borderId="13">
      <alignment horizontal="right"/>
    </xf>
    <xf numFmtId="0" fontId="70" fillId="0" borderId="0"/>
    <xf numFmtId="0" fontId="104" fillId="0" borderId="0">
      <alignment horizontal="right"/>
    </xf>
    <xf numFmtId="168" fontId="105" fillId="0" borderId="0"/>
    <xf numFmtId="14" fontId="63" fillId="22" borderId="28"/>
    <xf numFmtId="14" fontId="106" fillId="0" borderId="0"/>
    <xf numFmtId="15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17" fontId="2" fillId="0" borderId="0">
      <alignment horizontal="right"/>
    </xf>
    <xf numFmtId="0" fontId="11" fillId="0" borderId="0"/>
    <xf numFmtId="0" fontId="11" fillId="0" borderId="0"/>
    <xf numFmtId="0" fontId="32" fillId="0" borderId="0"/>
    <xf numFmtId="0" fontId="32" fillId="0" borderId="0"/>
    <xf numFmtId="14" fontId="2" fillId="0" borderId="0">
      <alignment horizontal="center"/>
    </xf>
    <xf numFmtId="14" fontId="11" fillId="0" borderId="0"/>
    <xf numFmtId="14" fontId="78" fillId="0" borderId="0"/>
    <xf numFmtId="0" fontId="32" fillId="0" borderId="0">
      <alignment horizontal="center"/>
    </xf>
    <xf numFmtId="14" fontId="84" fillId="0" borderId="0">
      <alignment horizontal="right"/>
      <protection locked="0"/>
    </xf>
    <xf numFmtId="0" fontId="47" fillId="0" borderId="25">
      <alignment horizontal="right"/>
    </xf>
    <xf numFmtId="14" fontId="13" fillId="0" borderId="0"/>
    <xf numFmtId="15" fontId="18" fillId="0" borderId="0">
      <protection locked="0"/>
    </xf>
    <xf numFmtId="14" fontId="2" fillId="0" borderId="0">
      <alignment horizontal="center"/>
    </xf>
    <xf numFmtId="0" fontId="32" fillId="0" borderId="0">
      <alignment horizontal="center"/>
    </xf>
    <xf numFmtId="226" fontId="32" fillId="0" borderId="10">
      <alignment horizontal="center"/>
    </xf>
    <xf numFmtId="0" fontId="32" fillId="0" borderId="10">
      <alignment horizontal="center"/>
    </xf>
    <xf numFmtId="0" fontId="13" fillId="0" borderId="0"/>
    <xf numFmtId="0" fontId="13" fillId="0" borderId="0"/>
    <xf numFmtId="227" fontId="107" fillId="0" borderId="0"/>
    <xf numFmtId="0" fontId="107" fillId="0" borderId="0"/>
    <xf numFmtId="14" fontId="70" fillId="0" borderId="3">
      <alignment horizontal="center"/>
    </xf>
    <xf numFmtId="0" fontId="27" fillId="0" borderId="0"/>
    <xf numFmtId="0" fontId="9" fillId="0" borderId="0"/>
    <xf numFmtId="0" fontId="108" fillId="0" borderId="0">
      <alignment horizontal="left" vertical="center"/>
    </xf>
    <xf numFmtId="37" fontId="68" fillId="0" borderId="0"/>
    <xf numFmtId="0" fontId="11" fillId="0" borderId="0"/>
    <xf numFmtId="190" fontId="2" fillId="0" borderId="0"/>
    <xf numFmtId="0" fontId="109" fillId="0" borderId="0">
      <protection locked="0"/>
    </xf>
    <xf numFmtId="180" fontId="28" fillId="0" borderId="0"/>
    <xf numFmtId="0" fontId="27" fillId="0" borderId="0"/>
    <xf numFmtId="38" fontId="27" fillId="0" borderId="0"/>
    <xf numFmtId="0" fontId="27" fillId="0" borderId="0"/>
    <xf numFmtId="168" fontId="27" fillId="0" borderId="0"/>
    <xf numFmtId="0" fontId="110" fillId="0" borderId="0"/>
    <xf numFmtId="0" fontId="11" fillId="0" borderId="0"/>
    <xf numFmtId="0" fontId="211" fillId="0" borderId="0"/>
    <xf numFmtId="217" fontId="27" fillId="0" borderId="0"/>
    <xf numFmtId="228" fontId="27" fillId="0" borderId="0"/>
    <xf numFmtId="228" fontId="89" fillId="0" borderId="0">
      <protection locked="0"/>
    </xf>
    <xf numFmtId="198" fontId="27" fillId="0" borderId="0"/>
    <xf numFmtId="0" fontId="18" fillId="0" borderId="0"/>
    <xf numFmtId="227" fontId="19" fillId="0" borderId="0"/>
    <xf numFmtId="229" fontId="13" fillId="0" borderId="0"/>
    <xf numFmtId="217" fontId="27" fillId="0" borderId="0"/>
    <xf numFmtId="0" fontId="2" fillId="0" borderId="0"/>
    <xf numFmtId="0" fontId="32" fillId="0" borderId="18"/>
    <xf numFmtId="227" fontId="111" fillId="0" borderId="0"/>
    <xf numFmtId="0" fontId="11" fillId="0" borderId="1"/>
    <xf numFmtId="0" fontId="46" fillId="0" borderId="10"/>
    <xf numFmtId="0" fontId="33" fillId="3" borderId="0">
      <alignment horizontal="right" vertical="center"/>
    </xf>
    <xf numFmtId="0" fontId="112" fillId="0" borderId="29">
      <alignment vertical="top"/>
    </xf>
    <xf numFmtId="0" fontId="2" fillId="0" borderId="0">
      <protection locked="0"/>
    </xf>
    <xf numFmtId="0" fontId="2" fillId="0" borderId="0">
      <protection locked="0"/>
    </xf>
    <xf numFmtId="0" fontId="73" fillId="0" borderId="0"/>
    <xf numFmtId="0" fontId="2" fillId="0" borderId="0"/>
    <xf numFmtId="0" fontId="73" fillId="0" borderId="0"/>
    <xf numFmtId="0" fontId="73" fillId="0" borderId="0"/>
    <xf numFmtId="0" fontId="2" fillId="0" borderId="0"/>
    <xf numFmtId="0" fontId="113" fillId="0" borderId="0">
      <alignment horizontal="left"/>
    </xf>
    <xf numFmtId="9" fontId="114" fillId="0" borderId="25">
      <protection locked="0"/>
    </xf>
    <xf numFmtId="0" fontId="11" fillId="23" borderId="0"/>
    <xf numFmtId="0" fontId="11" fillId="23" borderId="0"/>
    <xf numFmtId="0" fontId="11" fillId="23" borderId="0"/>
    <xf numFmtId="0" fontId="11" fillId="0" borderId="0"/>
    <xf numFmtId="0" fontId="11" fillId="23" borderId="0"/>
    <xf numFmtId="0" fontId="11" fillId="0" borderId="0">
      <alignment horizontal="left"/>
      <protection locked="0"/>
    </xf>
    <xf numFmtId="0" fontId="11" fillId="0" borderId="0"/>
    <xf numFmtId="0" fontId="11" fillId="0" borderId="0">
      <alignment horizontal="left"/>
      <protection locked="0"/>
    </xf>
    <xf numFmtId="230" fontId="115" fillId="0" borderId="0"/>
    <xf numFmtId="168" fontId="116" fillId="0" borderId="0"/>
    <xf numFmtId="0" fontId="116" fillId="0" borderId="0"/>
    <xf numFmtId="0" fontId="116" fillId="0" borderId="0"/>
    <xf numFmtId="2" fontId="117" fillId="0" borderId="0"/>
    <xf numFmtId="231" fontId="5" fillId="0" borderId="0"/>
    <xf numFmtId="232" fontId="118" fillId="0" borderId="0"/>
    <xf numFmtId="0" fontId="11" fillId="20" borderId="10">
      <alignment horizontal="right"/>
    </xf>
    <xf numFmtId="0" fontId="41" fillId="0" borderId="0">
      <alignment horizontal="right" vertical="top"/>
    </xf>
    <xf numFmtId="0" fontId="109" fillId="0" borderId="0">
      <protection locked="0"/>
    </xf>
    <xf numFmtId="0" fontId="109" fillId="0" borderId="0">
      <protection locked="0"/>
    </xf>
    <xf numFmtId="0" fontId="109" fillId="0" borderId="0">
      <protection locked="0"/>
    </xf>
    <xf numFmtId="0" fontId="109" fillId="0" borderId="0">
      <protection locked="0"/>
    </xf>
    <xf numFmtId="0" fontId="109" fillId="0" borderId="0">
      <protection locked="0"/>
    </xf>
    <xf numFmtId="0" fontId="109" fillId="0" borderId="0">
      <protection locked="0"/>
    </xf>
    <xf numFmtId="0" fontId="109" fillId="0" borderId="0">
      <protection locked="0"/>
    </xf>
    <xf numFmtId="3" fontId="119" fillId="0" borderId="0">
      <alignment horizontal="left"/>
    </xf>
    <xf numFmtId="1" fontId="120" fillId="23" borderId="21">
      <alignment horizontal="center" vertical="center"/>
      <protection locked="0"/>
    </xf>
    <xf numFmtId="0" fontId="109" fillId="0" borderId="0">
      <protection locked="0"/>
    </xf>
    <xf numFmtId="3" fontId="2" fillId="0" borderId="0"/>
    <xf numFmtId="0" fontId="109" fillId="0" borderId="0">
      <protection locked="0"/>
    </xf>
    <xf numFmtId="2" fontId="91" fillId="0" borderId="0"/>
    <xf numFmtId="233" fontId="11" fillId="0" borderId="0"/>
    <xf numFmtId="1" fontId="6" fillId="0" borderId="0"/>
    <xf numFmtId="0" fontId="18" fillId="0" borderId="0">
      <alignment horizontal="right"/>
    </xf>
    <xf numFmtId="0" fontId="121" fillId="0" borderId="0">
      <alignment horizontal="right" vertical="center"/>
    </xf>
    <xf numFmtId="0" fontId="122" fillId="0" borderId="0">
      <alignment horizontal="right" vertical="center"/>
    </xf>
    <xf numFmtId="0" fontId="121" fillId="0" borderId="0">
      <alignment horizontal="left" vertical="center" indent="1"/>
    </xf>
    <xf numFmtId="0" fontId="122" fillId="0" borderId="0">
      <alignment horizontal="left" vertical="center" indent="1"/>
    </xf>
    <xf numFmtId="0" fontId="122" fillId="0" borderId="0">
      <alignment horizontal="right" vertical="top" wrapText="1"/>
    </xf>
    <xf numFmtId="0" fontId="123" fillId="0" borderId="0">
      <alignment horizontal="right" vertical="top" wrapText="1"/>
    </xf>
    <xf numFmtId="0" fontId="124" fillId="0" borderId="0">
      <alignment horizontal="left" vertical="center"/>
    </xf>
    <xf numFmtId="0" fontId="125" fillId="0" borderId="0">
      <alignment horizontal="left"/>
    </xf>
    <xf numFmtId="0" fontId="126" fillId="0" borderId="0">
      <alignment horizontal="left"/>
    </xf>
    <xf numFmtId="0" fontId="127" fillId="0" borderId="0">
      <alignment horizontal="left"/>
    </xf>
    <xf numFmtId="0" fontId="128" fillId="0" borderId="0">
      <alignment horizontal="left"/>
    </xf>
    <xf numFmtId="0" fontId="128" fillId="0" borderId="0">
      <alignment horizontal="left"/>
    </xf>
    <xf numFmtId="0" fontId="128" fillId="0" borderId="0">
      <alignment horizontal="left"/>
    </xf>
    <xf numFmtId="0" fontId="129" fillId="0" borderId="0"/>
    <xf numFmtId="1" fontId="11" fillId="0" borderId="0"/>
    <xf numFmtId="0" fontId="9" fillId="0" borderId="0"/>
    <xf numFmtId="0" fontId="11" fillId="0" borderId="0"/>
    <xf numFmtId="0" fontId="130" fillId="0" borderId="0"/>
    <xf numFmtId="234" fontId="9" fillId="0" borderId="0"/>
    <xf numFmtId="180" fontId="131" fillId="0" borderId="0"/>
    <xf numFmtId="0" fontId="11" fillId="3" borderId="25">
      <alignment vertical="top"/>
    </xf>
    <xf numFmtId="0" fontId="2" fillId="0" borderId="0"/>
    <xf numFmtId="0" fontId="19" fillId="0" borderId="0"/>
    <xf numFmtId="13" fontId="2" fillId="0" borderId="30">
      <alignment horizontal="left"/>
    </xf>
    <xf numFmtId="0" fontId="11" fillId="0" borderId="0"/>
    <xf numFmtId="0" fontId="19" fillId="0" borderId="0"/>
    <xf numFmtId="235" fontId="13" fillId="0" borderId="0">
      <protection locked="0"/>
    </xf>
    <xf numFmtId="0" fontId="11" fillId="0" borderId="31"/>
    <xf numFmtId="49" fontId="11" fillId="0" borderId="0"/>
    <xf numFmtId="49" fontId="2" fillId="0" borderId="0"/>
    <xf numFmtId="49" fontId="2" fillId="0" borderId="0">
      <alignment horizontal="right" vertical="center"/>
    </xf>
    <xf numFmtId="49" fontId="2" fillId="0" borderId="0">
      <alignment horizontal="right" vertical="center"/>
    </xf>
    <xf numFmtId="0" fontId="2" fillId="0" borderId="0">
      <alignment vertical="center"/>
    </xf>
    <xf numFmtId="0" fontId="11" fillId="2" borderId="13">
      <alignment horizontal="right"/>
    </xf>
    <xf numFmtId="0" fontId="11" fillId="2" borderId="13">
      <alignment horizontal="right"/>
    </xf>
    <xf numFmtId="0" fontId="11" fillId="2" borderId="13">
      <alignment horizontal="right"/>
    </xf>
    <xf numFmtId="0" fontId="27" fillId="0" borderId="0">
      <protection locked="0"/>
    </xf>
    <xf numFmtId="0" fontId="132" fillId="0" borderId="0">
      <alignment horizontal="center" wrapText="1"/>
    </xf>
    <xf numFmtId="0" fontId="11" fillId="0" borderId="0">
      <alignment horizontal="right"/>
    </xf>
    <xf numFmtId="0" fontId="133" fillId="0" borderId="0"/>
    <xf numFmtId="0" fontId="134" fillId="0" borderId="0"/>
    <xf numFmtId="0" fontId="135" fillId="0" borderId="0"/>
    <xf numFmtId="37" fontId="136" fillId="0" borderId="32">
      <alignment horizontal="right" vertical="center"/>
    </xf>
    <xf numFmtId="37" fontId="26" fillId="0" borderId="33"/>
    <xf numFmtId="0" fontId="137" fillId="0" borderId="0"/>
    <xf numFmtId="38" fontId="11" fillId="2" borderId="0"/>
    <xf numFmtId="0" fontId="11" fillId="21" borderId="0">
      <alignment horizontal="right"/>
    </xf>
    <xf numFmtId="0" fontId="19" fillId="0" borderId="19">
      <alignment horizontal="left"/>
    </xf>
    <xf numFmtId="0" fontId="32" fillId="0" borderId="0"/>
    <xf numFmtId="0" fontId="11" fillId="0" borderId="0"/>
    <xf numFmtId="10" fontId="27" fillId="3" borderId="0">
      <alignment horizontal="right"/>
    </xf>
    <xf numFmtId="0" fontId="32" fillId="0" borderId="0"/>
    <xf numFmtId="0" fontId="32" fillId="0" borderId="0">
      <alignment horizontal="left"/>
      <protection locked="0"/>
    </xf>
    <xf numFmtId="0" fontId="138" fillId="3" borderId="0">
      <alignment horizontal="right"/>
    </xf>
    <xf numFmtId="0" fontId="11" fillId="8" borderId="22"/>
    <xf numFmtId="0" fontId="26" fillId="0" borderId="0">
      <alignment horizontal="left"/>
    </xf>
    <xf numFmtId="0" fontId="2" fillId="0" borderId="0">
      <alignment vertical="center"/>
    </xf>
    <xf numFmtId="49" fontId="129" fillId="0" borderId="0">
      <alignment horizontal="right"/>
    </xf>
    <xf numFmtId="49" fontId="139" fillId="0" borderId="0">
      <alignment horizontal="right"/>
    </xf>
    <xf numFmtId="0" fontId="2" fillId="4" borderId="25"/>
    <xf numFmtId="0" fontId="2" fillId="24" borderId="25"/>
    <xf numFmtId="0" fontId="32" fillId="0" borderId="0">
      <alignment horizontal="right"/>
    </xf>
    <xf numFmtId="0" fontId="140" fillId="4" borderId="0"/>
    <xf numFmtId="230" fontId="94" fillId="25" borderId="34">
      <alignment horizontal="center"/>
    </xf>
    <xf numFmtId="0" fontId="141" fillId="26" borderId="0">
      <alignment horizontal="left" vertical="center"/>
    </xf>
    <xf numFmtId="0" fontId="142" fillId="0" borderId="0">
      <alignment horizontal="right"/>
    </xf>
    <xf numFmtId="0" fontId="143" fillId="21" borderId="0">
      <alignment horizontal="left" vertical="center"/>
    </xf>
    <xf numFmtId="0" fontId="2" fillId="0" borderId="0">
      <alignment horizontal="right"/>
    </xf>
    <xf numFmtId="0" fontId="144" fillId="0" borderId="0">
      <alignment horizontal="left"/>
    </xf>
    <xf numFmtId="0" fontId="76" fillId="0" borderId="35">
      <alignment horizontal="left" vertical="center"/>
    </xf>
    <xf numFmtId="0" fontId="76" fillId="0" borderId="7">
      <alignment horizontal="left" vertical="center"/>
    </xf>
    <xf numFmtId="0" fontId="144" fillId="0" borderId="0">
      <alignment horizontal="left"/>
    </xf>
    <xf numFmtId="0" fontId="145" fillId="0" borderId="0">
      <alignment horizontal="center"/>
    </xf>
    <xf numFmtId="0" fontId="146" fillId="0" borderId="0"/>
    <xf numFmtId="0" fontId="147" fillId="0" borderId="0">
      <alignment horizontal="left"/>
    </xf>
    <xf numFmtId="0" fontId="148" fillId="0" borderId="19">
      <alignment horizontal="left" vertical="top"/>
    </xf>
    <xf numFmtId="0" fontId="8" fillId="0" borderId="0">
      <alignment horizontal="left"/>
    </xf>
    <xf numFmtId="0" fontId="2" fillId="0" borderId="0">
      <alignment horizontal="center"/>
    </xf>
    <xf numFmtId="0" fontId="83" fillId="0" borderId="7">
      <alignment horizontal="center" vertical="center" wrapText="1"/>
    </xf>
    <xf numFmtId="0" fontId="2" fillId="0" borderId="0"/>
    <xf numFmtId="222" fontId="26" fillId="5" borderId="25"/>
    <xf numFmtId="236" fontId="149" fillId="0" borderId="0"/>
    <xf numFmtId="0" fontId="108" fillId="0" borderId="0">
      <alignment horizontal="right" vertical="center"/>
    </xf>
    <xf numFmtId="0" fontId="150" fillId="0" borderId="0">
      <alignment horizontal="right" vertical="center"/>
    </xf>
    <xf numFmtId="10" fontId="11" fillId="24" borderId="25"/>
    <xf numFmtId="37" fontId="149" fillId="0" borderId="0"/>
    <xf numFmtId="0" fontId="151" fillId="0" borderId="0"/>
    <xf numFmtId="0" fontId="11" fillId="0" borderId="0"/>
    <xf numFmtId="0" fontId="2" fillId="0" borderId="0"/>
    <xf numFmtId="237" fontId="27" fillId="0" borderId="0">
      <alignment horizontal="left"/>
    </xf>
    <xf numFmtId="0" fontId="2" fillId="0" borderId="0"/>
    <xf numFmtId="238" fontId="2" fillId="0" borderId="0"/>
    <xf numFmtId="0" fontId="152" fillId="0" borderId="16">
      <alignment horizontal="left"/>
      <protection locked="0"/>
    </xf>
    <xf numFmtId="239" fontId="2" fillId="24" borderId="3">
      <alignment horizontal="right"/>
    </xf>
    <xf numFmtId="0" fontId="153" fillId="0" borderId="0"/>
    <xf numFmtId="0" fontId="154" fillId="0" borderId="0"/>
    <xf numFmtId="0" fontId="155" fillId="0" borderId="0"/>
    <xf numFmtId="240" fontId="29" fillId="0" borderId="0">
      <alignment horizontal="right"/>
    </xf>
    <xf numFmtId="241" fontId="2" fillId="0" borderId="0"/>
    <xf numFmtId="242" fontId="2" fillId="0" borderId="0"/>
    <xf numFmtId="0" fontId="156" fillId="0" borderId="0"/>
    <xf numFmtId="243" fontId="2" fillId="0" borderId="0"/>
    <xf numFmtId="244" fontId="2" fillId="0" borderId="0"/>
    <xf numFmtId="245" fontId="5" fillId="0" borderId="0"/>
    <xf numFmtId="0" fontId="32" fillId="0" borderId="0">
      <alignment horizontal="right"/>
    </xf>
    <xf numFmtId="246" fontId="100" fillId="0" borderId="0"/>
    <xf numFmtId="247" fontId="100" fillId="0" borderId="0"/>
    <xf numFmtId="0" fontId="32" fillId="0" borderId="0">
      <alignment horizontal="right"/>
    </xf>
    <xf numFmtId="248" fontId="2" fillId="0" borderId="0"/>
    <xf numFmtId="181" fontId="29" fillId="0" borderId="0"/>
    <xf numFmtId="0" fontId="2" fillId="0" borderId="0">
      <alignment horizontal="right"/>
    </xf>
    <xf numFmtId="0" fontId="157" fillId="27" borderId="0"/>
    <xf numFmtId="0" fontId="61" fillId="22" borderId="0"/>
    <xf numFmtId="0" fontId="158" fillId="0" borderId="0"/>
    <xf numFmtId="237" fontId="159" fillId="0" borderId="0"/>
    <xf numFmtId="0" fontId="160" fillId="0" borderId="0"/>
    <xf numFmtId="0" fontId="2" fillId="0" borderId="0"/>
    <xf numFmtId="40" fontId="11" fillId="0" borderId="0"/>
    <xf numFmtId="0" fontId="162" fillId="0" borderId="16"/>
    <xf numFmtId="181" fontId="11" fillId="0" borderId="0"/>
    <xf numFmtId="181" fontId="16" fillId="0" borderId="0">
      <protection locked="0"/>
    </xf>
    <xf numFmtId="249" fontId="11" fillId="0" borderId="0">
      <alignment horizontal="right" wrapText="1"/>
    </xf>
    <xf numFmtId="237" fontId="27" fillId="0" borderId="0"/>
    <xf numFmtId="250" fontId="11" fillId="0" borderId="0">
      <alignment horizontal="right" wrapText="1"/>
    </xf>
    <xf numFmtId="0" fontId="11" fillId="0" borderId="0"/>
    <xf numFmtId="0" fontId="2" fillId="0" borderId="0"/>
    <xf numFmtId="0" fontId="80" fillId="0" borderId="0"/>
    <xf numFmtId="0" fontId="50" fillId="0" borderId="0"/>
    <xf numFmtId="0" fontId="2" fillId="0" borderId="0"/>
    <xf numFmtId="0" fontId="11" fillId="0" borderId="0"/>
    <xf numFmtId="0" fontId="26" fillId="0" borderId="0">
      <alignment horizontal="left" vertical="top"/>
      <protection locked="0"/>
    </xf>
    <xf numFmtId="236" fontId="163" fillId="0" borderId="0"/>
    <xf numFmtId="0" fontId="164" fillId="0" borderId="0">
      <alignment horizontal="left"/>
    </xf>
    <xf numFmtId="0" fontId="164" fillId="0" borderId="0">
      <alignment horizontal="left"/>
    </xf>
    <xf numFmtId="0" fontId="165" fillId="0" borderId="0">
      <alignment horizontal="left"/>
    </xf>
    <xf numFmtId="1" fontId="2" fillId="0" borderId="0">
      <alignment horizontal="right" vertical="center"/>
    </xf>
    <xf numFmtId="181" fontId="70" fillId="0" borderId="0"/>
    <xf numFmtId="49" fontId="166" fillId="0" borderId="3">
      <alignment vertical="center"/>
    </xf>
    <xf numFmtId="251" fontId="2" fillId="0" borderId="0"/>
    <xf numFmtId="252" fontId="41" fillId="0" borderId="0">
      <alignment horizontal="right"/>
    </xf>
    <xf numFmtId="9" fontId="70" fillId="0" borderId="0"/>
    <xf numFmtId="189" fontId="70" fillId="0" borderId="0"/>
    <xf numFmtId="10" fontId="2" fillId="0" borderId="0"/>
    <xf numFmtId="253" fontId="27" fillId="0" borderId="0">
      <alignment horizontal="right"/>
    </xf>
    <xf numFmtId="254" fontId="2" fillId="0" borderId="0"/>
    <xf numFmtId="189" fontId="27" fillId="0" borderId="0"/>
    <xf numFmtId="189" fontId="89" fillId="0" borderId="0"/>
    <xf numFmtId="10" fontId="27" fillId="0" borderId="0"/>
    <xf numFmtId="10" fontId="89" fillId="0" borderId="0">
      <protection locked="0"/>
    </xf>
    <xf numFmtId="255" fontId="2" fillId="0" borderId="0"/>
    <xf numFmtId="256" fontId="5" fillId="0" borderId="0"/>
    <xf numFmtId="0" fontId="167" fillId="0" borderId="0"/>
    <xf numFmtId="0" fontId="167" fillId="0" borderId="36">
      <alignment horizontal="right"/>
    </xf>
    <xf numFmtId="0" fontId="17" fillId="0" borderId="0">
      <alignment horizontal="left"/>
    </xf>
    <xf numFmtId="15" fontId="17" fillId="0" borderId="0"/>
    <xf numFmtId="4" fontId="17" fillId="0" borderId="0"/>
    <xf numFmtId="0" fontId="67" fillId="0" borderId="5">
      <alignment horizontal="center"/>
    </xf>
    <xf numFmtId="3" fontId="17" fillId="0" borderId="0"/>
    <xf numFmtId="0" fontId="17" fillId="21" borderId="0"/>
    <xf numFmtId="0" fontId="168" fillId="0" borderId="16">
      <protection hidden="1"/>
    </xf>
    <xf numFmtId="181" fontId="169" fillId="0" borderId="0">
      <alignment horizontal="right"/>
    </xf>
    <xf numFmtId="0" fontId="83" fillId="0" borderId="0">
      <alignment vertical="top"/>
    </xf>
    <xf numFmtId="0" fontId="35" fillId="0" borderId="0"/>
    <xf numFmtId="257" fontId="2" fillId="0" borderId="0">
      <alignment horizontal="right"/>
      <protection hidden="1"/>
    </xf>
    <xf numFmtId="0" fontId="170" fillId="28" borderId="0"/>
    <xf numFmtId="0" fontId="19" fillId="22" borderId="0"/>
    <xf numFmtId="246" fontId="19" fillId="0" borderId="0"/>
    <xf numFmtId="0" fontId="171" fillId="0" borderId="0"/>
    <xf numFmtId="0" fontId="172" fillId="0" borderId="0"/>
    <xf numFmtId="0" fontId="173" fillId="0" borderId="0"/>
    <xf numFmtId="0" fontId="174" fillId="0" borderId="0"/>
    <xf numFmtId="227" fontId="175" fillId="0" borderId="0"/>
    <xf numFmtId="0" fontId="176" fillId="0" borderId="0"/>
    <xf numFmtId="0" fontId="30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6" fillId="0" borderId="0"/>
    <xf numFmtId="0" fontId="177" fillId="0" borderId="0"/>
    <xf numFmtId="0" fontId="170" fillId="28" borderId="0"/>
    <xf numFmtId="0" fontId="178" fillId="22" borderId="0"/>
    <xf numFmtId="0" fontId="57" fillId="0" borderId="0"/>
    <xf numFmtId="0" fontId="178" fillId="0" borderId="0"/>
    <xf numFmtId="0" fontId="179" fillId="0" borderId="0"/>
    <xf numFmtId="0" fontId="178" fillId="0" borderId="0">
      <alignment wrapText="1"/>
    </xf>
    <xf numFmtId="0" fontId="180" fillId="0" borderId="0"/>
    <xf numFmtId="258" fontId="11" fillId="0" borderId="0">
      <alignment horizontal="right" wrapText="1"/>
    </xf>
    <xf numFmtId="180" fontId="2" fillId="0" borderId="0"/>
    <xf numFmtId="4" fontId="11" fillId="0" borderId="0">
      <alignment wrapText="1"/>
    </xf>
    <xf numFmtId="0" fontId="11" fillId="0" borderId="0">
      <alignment horizontal="left" vertical="top" wrapText="1"/>
    </xf>
    <xf numFmtId="0" fontId="50" fillId="0" borderId="0">
      <alignment horizontal="left" vertical="top" wrapText="1"/>
    </xf>
    <xf numFmtId="259" fontId="16" fillId="0" borderId="0">
      <alignment horizontal="center" wrapText="1"/>
    </xf>
    <xf numFmtId="260" fontId="16" fillId="0" borderId="0">
      <alignment horizontal="right" wrapText="1"/>
    </xf>
    <xf numFmtId="261" fontId="16" fillId="0" borderId="0">
      <alignment horizontal="right" wrapText="1"/>
    </xf>
    <xf numFmtId="262" fontId="16" fillId="0" borderId="0">
      <alignment horizontal="right" wrapText="1"/>
    </xf>
    <xf numFmtId="44" fontId="215" fillId="0" borderId="0" applyFont="0" applyFill="0" applyBorder="0" applyAlignment="0" applyProtection="0"/>
  </cellStyleXfs>
  <cellXfs count="437">
    <xf numFmtId="0" fontId="0" fillId="0" borderId="0" xfId="0">
      <protection locked="0"/>
    </xf>
    <xf numFmtId="0" fontId="190" fillId="0" borderId="0" xfId="1002" applyFont="1" applyBorder="1" applyAlignment="1" applyProtection="1">
      <alignment horizontal="right" vertical="distributed" textRotation="90" wrapText="1"/>
      <protection locked="0"/>
    </xf>
    <xf numFmtId="0" fontId="2" fillId="0" borderId="0" xfId="1465" applyFont="1"/>
    <xf numFmtId="0" fontId="181" fillId="0" borderId="0" xfId="0" applyFont="1" applyAlignment="1" applyProtection="1">
      <alignment horizontal="center"/>
    </xf>
    <xf numFmtId="0" fontId="149" fillId="0" borderId="0" xfId="1465" applyFont="1"/>
    <xf numFmtId="0" fontId="182" fillId="0" borderId="0" xfId="0" applyFont="1" applyAlignment="1" applyProtection="1">
      <alignment horizontal="center"/>
    </xf>
    <xf numFmtId="0" fontId="182" fillId="0" borderId="0" xfId="1465" applyFont="1" applyAlignment="1">
      <alignment horizontal="center"/>
    </xf>
    <xf numFmtId="0" fontId="183" fillId="0" borderId="0" xfId="1465" applyFont="1" applyAlignment="1">
      <alignment horizontal="center"/>
    </xf>
    <xf numFmtId="0" fontId="184" fillId="0" borderId="0" xfId="1465" applyFont="1"/>
    <xf numFmtId="0" fontId="161" fillId="0" borderId="0" xfId="1463" applyFont="1" applyAlignment="1"/>
    <xf numFmtId="0" fontId="78" fillId="0" borderId="0" xfId="1463" applyFont="1" applyAlignment="1"/>
    <xf numFmtId="0" fontId="33" fillId="0" borderId="0" xfId="1463" applyFont="1" applyAlignment="1"/>
    <xf numFmtId="0" fontId="185" fillId="8" borderId="0" xfId="46" applyNumberFormat="1" applyFont="1" applyFill="1"/>
    <xf numFmtId="0" fontId="186" fillId="8" borderId="0" xfId="1463" applyFont="1" applyFill="1" applyAlignment="1"/>
    <xf numFmtId="0" fontId="186" fillId="0" borderId="0" xfId="1463" applyFont="1" applyAlignment="1"/>
    <xf numFmtId="0" fontId="187" fillId="8" borderId="0" xfId="46" applyNumberFormat="1" applyFont="1" applyFill="1"/>
    <xf numFmtId="0" fontId="188" fillId="8" borderId="8" xfId="46" applyNumberFormat="1" applyFont="1" applyFill="1" applyBorder="1"/>
    <xf numFmtId="0" fontId="189" fillId="8" borderId="8" xfId="1463" applyFont="1" applyFill="1" applyBorder="1" applyAlignment="1"/>
    <xf numFmtId="0" fontId="61" fillId="8" borderId="8" xfId="46" applyNumberFormat="1" applyFont="1" applyFill="1" applyBorder="1"/>
    <xf numFmtId="0" fontId="61" fillId="8" borderId="8" xfId="46" applyNumberFormat="1" applyFont="1" applyFill="1" applyBorder="1" applyAlignment="1">
      <alignment horizontal="right"/>
    </xf>
    <xf numFmtId="0" fontId="189" fillId="0" borderId="0" xfId="1463" applyFont="1" applyAlignment="1"/>
    <xf numFmtId="0" fontId="26" fillId="0" borderId="0" xfId="1002" applyFont="1" applyBorder="1"/>
    <xf numFmtId="0" fontId="2" fillId="0" borderId="0" xfId="1002" applyFont="1" applyBorder="1"/>
    <xf numFmtId="0" fontId="49" fillId="5" borderId="0" xfId="1002" applyFont="1" applyFill="1" applyBorder="1" applyAlignment="1">
      <alignment horizontal="center"/>
    </xf>
    <xf numFmtId="0" fontId="190" fillId="0" borderId="0" xfId="1463" applyFont="1" applyAlignment="1"/>
    <xf numFmtId="0" fontId="190" fillId="0" borderId="0" xfId="1463" applyFont="1" applyAlignment="1">
      <alignment horizontal="center"/>
    </xf>
    <xf numFmtId="0" fontId="26" fillId="0" borderId="0" xfId="1463" applyFont="1" applyAlignment="1"/>
    <xf numFmtId="263" fontId="26" fillId="0" borderId="3" xfId="1463" applyNumberFormat="1" applyFont="1" applyBorder="1" applyAlignment="1">
      <alignment horizontal="center"/>
    </xf>
    <xf numFmtId="0" fontId="49" fillId="5" borderId="3" xfId="1463" applyFont="1" applyFill="1" applyBorder="1" applyAlignment="1">
      <alignment horizontal="center"/>
    </xf>
    <xf numFmtId="263" fontId="49" fillId="5" borderId="37" xfId="1463" applyNumberFormat="1" applyFont="1" applyFill="1" applyBorder="1" applyAlignment="1">
      <alignment horizontal="center"/>
    </xf>
    <xf numFmtId="0" fontId="26" fillId="0" borderId="3" xfId="1463" applyFont="1" applyBorder="1" applyAlignment="1">
      <alignment horizontal="center"/>
    </xf>
    <xf numFmtId="0" fontId="26" fillId="0" borderId="0" xfId="1463" applyFont="1" applyAlignment="1">
      <alignment horizontal="center"/>
    </xf>
    <xf numFmtId="264" fontId="49" fillId="5" borderId="0" xfId="46" applyNumberFormat="1" applyFont="1" applyFill="1"/>
    <xf numFmtId="189" fontId="176" fillId="0" borderId="0" xfId="45" applyNumberFormat="1" applyFont="1" applyAlignment="1">
      <alignment horizontal="center"/>
    </xf>
    <xf numFmtId="264" fontId="26" fillId="0" borderId="0" xfId="46" applyNumberFormat="1" applyFont="1"/>
    <xf numFmtId="0" fontId="191" fillId="0" borderId="0" xfId="0" applyFont="1" applyProtection="1"/>
    <xf numFmtId="9" fontId="190" fillId="0" borderId="0" xfId="1463" applyNumberFormat="1" applyFont="1" applyAlignment="1"/>
    <xf numFmtId="265" fontId="190" fillId="0" borderId="0" xfId="1316" applyNumberFormat="1" applyFont="1" applyFill="1" applyBorder="1" applyAlignment="1"/>
    <xf numFmtId="0" fontId="176" fillId="0" borderId="0" xfId="1463" applyFont="1" applyAlignment="1">
      <alignment horizontal="left"/>
    </xf>
    <xf numFmtId="266" fontId="176" fillId="0" borderId="0" xfId="46" applyNumberFormat="1" applyFont="1" applyAlignment="1">
      <alignment horizontal="right"/>
    </xf>
    <xf numFmtId="189" fontId="176" fillId="0" borderId="0" xfId="45" applyNumberFormat="1" applyFont="1" applyAlignment="1">
      <alignment horizontal="right"/>
    </xf>
    <xf numFmtId="266" fontId="176" fillId="0" borderId="38" xfId="46" applyNumberFormat="1" applyFont="1" applyBorder="1" applyAlignment="1">
      <alignment horizontal="right"/>
    </xf>
    <xf numFmtId="189" fontId="192" fillId="0" borderId="0" xfId="45" applyNumberFormat="1" applyFont="1"/>
    <xf numFmtId="9" fontId="33" fillId="0" borderId="0" xfId="1463" applyNumberFormat="1" applyFont="1" applyAlignment="1"/>
    <xf numFmtId="0" fontId="2" fillId="0" borderId="0" xfId="1463" applyAlignment="1">
      <alignment horizontal="left"/>
    </xf>
    <xf numFmtId="196" fontId="149" fillId="5" borderId="3" xfId="1002" applyNumberFormat="1" applyFont="1" applyFill="1" applyBorder="1"/>
    <xf numFmtId="196" fontId="2" fillId="0" borderId="3" xfId="1463" applyNumberFormat="1" applyBorder="1" applyAlignment="1"/>
    <xf numFmtId="0" fontId="191" fillId="0" borderId="0" xfId="1463" applyFont="1" applyAlignment="1"/>
    <xf numFmtId="267" fontId="33" fillId="0" borderId="0" xfId="1463" applyNumberFormat="1" applyFont="1" applyAlignment="1"/>
    <xf numFmtId="265" fontId="33" fillId="0" borderId="0" xfId="1316" applyNumberFormat="1" applyFont="1" applyFill="1" applyBorder="1" applyAlignment="1"/>
    <xf numFmtId="0" fontId="190" fillId="0" borderId="0" xfId="1463" applyFont="1" applyAlignment="1">
      <alignment horizontal="left"/>
    </xf>
    <xf numFmtId="264" fontId="26" fillId="0" borderId="38" xfId="46" applyNumberFormat="1" applyFont="1" applyBorder="1"/>
    <xf numFmtId="196" fontId="2" fillId="0" borderId="37" xfId="1463" applyNumberFormat="1" applyBorder="1" applyAlignment="1"/>
    <xf numFmtId="0" fontId="2" fillId="0" borderId="0" xfId="1463" applyAlignment="1"/>
    <xf numFmtId="0" fontId="2" fillId="0" borderId="38" xfId="1463" applyBorder="1" applyAlignment="1"/>
    <xf numFmtId="196" fontId="2" fillId="0" borderId="0" xfId="1463" applyNumberFormat="1" applyAlignment="1"/>
    <xf numFmtId="196" fontId="2" fillId="0" borderId="38" xfId="1463" applyNumberFormat="1" applyBorder="1" applyAlignment="1"/>
    <xf numFmtId="196" fontId="193" fillId="5" borderId="0" xfId="1463" applyNumberFormat="1" applyFont="1" applyFill="1" applyAlignment="1"/>
    <xf numFmtId="196" fontId="193" fillId="0" borderId="0" xfId="1463" applyNumberFormat="1" applyFont="1" applyAlignment="1"/>
    <xf numFmtId="189" fontId="2" fillId="0" borderId="0" xfId="1463" applyNumberFormat="1" applyAlignment="1"/>
    <xf numFmtId="0" fontId="2" fillId="0" borderId="0" xfId="1463" applyAlignment="1">
      <alignment horizontal="center"/>
    </xf>
    <xf numFmtId="196" fontId="193" fillId="0" borderId="3" xfId="1463" applyNumberFormat="1" applyFont="1" applyBorder="1" applyAlignment="1"/>
    <xf numFmtId="196" fontId="78" fillId="0" borderId="0" xfId="1463" applyNumberFormat="1" applyFont="1" applyAlignment="1"/>
    <xf numFmtId="0" fontId="78" fillId="0" borderId="0" xfId="1463" applyFont="1" applyAlignment="1">
      <alignment horizontal="left"/>
    </xf>
    <xf numFmtId="268" fontId="149" fillId="5" borderId="0" xfId="0" applyNumberFormat="1" applyFont="1" applyFill="1" applyAlignment="1">
      <alignment horizontal="right" vertical="distributed" wrapText="1"/>
      <protection locked="0"/>
    </xf>
    <xf numFmtId="228" fontId="2" fillId="0" borderId="0" xfId="1463" applyNumberFormat="1" applyAlignment="1"/>
    <xf numFmtId="196" fontId="78" fillId="0" borderId="0" xfId="1463" applyNumberFormat="1" applyFont="1" applyAlignment="1">
      <alignment horizontal="right"/>
    </xf>
    <xf numFmtId="189" fontId="2" fillId="0" borderId="0" xfId="45" applyNumberFormat="1" applyFont="1" applyAlignment="1">
      <alignment horizontal="right"/>
    </xf>
    <xf numFmtId="228" fontId="26" fillId="0" borderId="0" xfId="1463" applyNumberFormat="1" applyFont="1" applyAlignment="1"/>
    <xf numFmtId="0" fontId="78" fillId="0" borderId="0" xfId="1463" applyFont="1" applyAlignment="1">
      <alignment horizontal="center"/>
    </xf>
    <xf numFmtId="269" fontId="2" fillId="0" borderId="0" xfId="1463" applyNumberFormat="1" applyAlignment="1"/>
    <xf numFmtId="269" fontId="78" fillId="0" borderId="0" xfId="1463" applyNumberFormat="1" applyFont="1" applyAlignment="1"/>
    <xf numFmtId="0" fontId="26" fillId="11" borderId="0" xfId="1463" applyFont="1" applyFill="1" applyAlignment="1"/>
    <xf numFmtId="0" fontId="78" fillId="11" borderId="0" xfId="1463" applyFont="1" applyFill="1" applyAlignment="1"/>
    <xf numFmtId="267" fontId="194" fillId="11" borderId="0" xfId="1463" applyNumberFormat="1" applyFont="1" applyFill="1" applyAlignment="1"/>
    <xf numFmtId="228" fontId="78" fillId="11" borderId="0" xfId="1463" applyNumberFormat="1" applyFont="1" applyFill="1" applyAlignment="1"/>
    <xf numFmtId="0" fontId="78" fillId="11" borderId="0" xfId="1463" applyFont="1" applyFill="1" applyAlignment="1">
      <alignment horizontal="center"/>
    </xf>
    <xf numFmtId="264" fontId="26" fillId="11" borderId="0" xfId="46" applyNumberFormat="1" applyFont="1" applyFill="1"/>
    <xf numFmtId="267" fontId="176" fillId="0" borderId="0" xfId="1463" applyNumberFormat="1" applyFont="1" applyAlignment="1"/>
    <xf numFmtId="189" fontId="2" fillId="0" borderId="0" xfId="45" applyNumberFormat="1" applyFont="1"/>
    <xf numFmtId="0" fontId="195" fillId="0" borderId="0" xfId="1002" applyFont="1" applyBorder="1" applyAlignment="1">
      <alignment horizontal="center"/>
    </xf>
    <xf numFmtId="0" fontId="26" fillId="0" borderId="0" xfId="1002" applyFont="1" applyBorder="1" applyAlignment="1">
      <alignment horizontal="center"/>
    </xf>
    <xf numFmtId="0" fontId="190" fillId="0" borderId="0" xfId="1002" applyFont="1" applyBorder="1"/>
    <xf numFmtId="264" fontId="2" fillId="0" borderId="0" xfId="46" applyNumberFormat="1" applyFont="1"/>
    <xf numFmtId="270" fontId="26" fillId="0" borderId="0" xfId="1002" applyNumberFormat="1" applyFont="1" applyBorder="1" applyAlignment="1">
      <alignment horizontal="center"/>
    </xf>
    <xf numFmtId="0" fontId="196" fillId="0" borderId="0" xfId="1002" applyFont="1" applyBorder="1"/>
    <xf numFmtId="0" fontId="78" fillId="0" borderId="0" xfId="1002" applyFont="1" applyBorder="1"/>
    <xf numFmtId="189" fontId="196" fillId="0" borderId="0" xfId="45" applyNumberFormat="1" applyFont="1"/>
    <xf numFmtId="266" fontId="2" fillId="0" borderId="0" xfId="46" applyNumberFormat="1" applyFont="1"/>
    <xf numFmtId="38" fontId="78" fillId="0" borderId="0" xfId="1002" applyNumberFormat="1" applyFont="1" applyBorder="1" applyAlignment="1">
      <alignment horizontal="center"/>
    </xf>
    <xf numFmtId="0" fontId="26" fillId="0" borderId="3" xfId="1002" applyFont="1" applyBorder="1"/>
    <xf numFmtId="38" fontId="197" fillId="0" borderId="0" xfId="1002" applyNumberFormat="1" applyFont="1" applyBorder="1" applyAlignment="1">
      <alignment horizontal="center"/>
    </xf>
    <xf numFmtId="272" fontId="26" fillId="11" borderId="25" xfId="0" applyNumberFormat="1" applyFont="1" applyFill="1" applyBorder="1" applyAlignment="1">
      <alignment horizontal="right" vertical="distributed" wrapText="1"/>
      <protection locked="0"/>
    </xf>
    <xf numFmtId="269" fontId="2" fillId="0" borderId="3" xfId="1002" applyNumberFormat="1" applyFont="1" applyBorder="1"/>
    <xf numFmtId="264" fontId="26" fillId="11" borderId="25" xfId="46" applyNumberFormat="1" applyFont="1" applyFill="1" applyBorder="1"/>
    <xf numFmtId="267" fontId="2" fillId="0" borderId="0" xfId="1463" applyNumberFormat="1" applyAlignment="1"/>
    <xf numFmtId="196" fontId="149" fillId="5" borderId="0" xfId="1002" applyNumberFormat="1" applyFont="1" applyFill="1" applyBorder="1"/>
    <xf numFmtId="190" fontId="78" fillId="0" borderId="0" xfId="1002" applyNumberFormat="1" applyFont="1" applyBorder="1"/>
    <xf numFmtId="271" fontId="26" fillId="11" borderId="25" xfId="0" applyNumberFormat="1" applyFont="1" applyFill="1" applyBorder="1" applyAlignment="1">
      <alignment horizontal="right" vertical="distributed" wrapText="1"/>
      <protection locked="0"/>
    </xf>
    <xf numFmtId="204" fontId="198" fillId="11" borderId="0" xfId="1002" applyNumberFormat="1" applyFont="1" applyFill="1" applyBorder="1"/>
    <xf numFmtId="270" fontId="26" fillId="29" borderId="3" xfId="1002" applyNumberFormat="1" applyFont="1" applyFill="1" applyBorder="1" applyAlignment="1">
      <alignment horizontal="center"/>
    </xf>
    <xf numFmtId="270" fontId="49" fillId="29" borderId="3" xfId="1002" applyNumberFormat="1" applyFont="1" applyFill="1" applyBorder="1" applyAlignment="1">
      <alignment horizontal="center"/>
    </xf>
    <xf numFmtId="189" fontId="26" fillId="0" borderId="0" xfId="1463" applyNumberFormat="1" applyFont="1" applyAlignment="1">
      <alignment horizontal="center"/>
    </xf>
    <xf numFmtId="189" fontId="26" fillId="29" borderId="0" xfId="45" applyNumberFormat="1" applyFont="1" applyFill="1"/>
    <xf numFmtId="38" fontId="78" fillId="0" borderId="19" xfId="1002" applyNumberFormat="1" applyFont="1" applyBorder="1" applyAlignment="1">
      <alignment horizontal="center"/>
    </xf>
    <xf numFmtId="189" fontId="78" fillId="0" borderId="19" xfId="1002" applyNumberFormat="1" applyFont="1" applyBorder="1" applyAlignment="1">
      <alignment horizontal="center"/>
    </xf>
    <xf numFmtId="189" fontId="78" fillId="0" borderId="0" xfId="1002" applyNumberFormat="1" applyFont="1" applyBorder="1" applyAlignment="1">
      <alignment horizontal="center"/>
    </xf>
    <xf numFmtId="38" fontId="197" fillId="8" borderId="0" xfId="1002" applyNumberFormat="1" applyFont="1" applyFill="1" applyBorder="1" applyAlignment="1">
      <alignment horizontal="center"/>
    </xf>
    <xf numFmtId="189" fontId="197" fillId="8" borderId="0" xfId="1002" applyNumberFormat="1" applyFont="1" applyFill="1" applyBorder="1" applyAlignment="1">
      <alignment horizontal="center"/>
    </xf>
    <xf numFmtId="189" fontId="49" fillId="29" borderId="0" xfId="45" applyNumberFormat="1" applyFont="1" applyFill="1"/>
    <xf numFmtId="217" fontId="190" fillId="11" borderId="0" xfId="1002" applyNumberFormat="1" applyFont="1" applyFill="1" applyBorder="1" applyAlignment="1">
      <alignment horizontal="center"/>
    </xf>
    <xf numFmtId="189" fontId="190" fillId="11" borderId="0" xfId="1002" applyNumberFormat="1" applyFont="1" applyFill="1" applyBorder="1" applyAlignment="1">
      <alignment horizontal="center"/>
    </xf>
    <xf numFmtId="267" fontId="26" fillId="0" borderId="0" xfId="1002" applyNumberFormat="1" applyFont="1" applyBorder="1"/>
    <xf numFmtId="252" fontId="176" fillId="0" borderId="0" xfId="0" applyNumberFormat="1" applyFont="1" applyAlignment="1">
      <alignment horizontal="right"/>
      <protection locked="0"/>
    </xf>
    <xf numFmtId="189" fontId="2" fillId="0" borderId="18" xfId="45" applyNumberFormat="1" applyFont="1" applyBorder="1"/>
    <xf numFmtId="0" fontId="190" fillId="0" borderId="18" xfId="1002" applyFont="1" applyBorder="1"/>
    <xf numFmtId="267" fontId="26" fillId="0" borderId="18" xfId="1002" applyNumberFormat="1" applyFont="1" applyBorder="1"/>
    <xf numFmtId="189" fontId="2" fillId="0" borderId="18" xfId="45" applyNumberFormat="1" applyFont="1" applyBorder="1" applyAlignment="1">
      <alignment horizontal="right"/>
    </xf>
    <xf numFmtId="0" fontId="78" fillId="0" borderId="18" xfId="1463" applyFont="1" applyBorder="1" applyAlignment="1"/>
    <xf numFmtId="252" fontId="176" fillId="0" borderId="18" xfId="0" applyNumberFormat="1" applyFont="1" applyBorder="1" applyAlignment="1">
      <alignment horizontal="right"/>
      <protection locked="0"/>
    </xf>
    <xf numFmtId="189" fontId="176" fillId="0" borderId="0" xfId="45" applyNumberFormat="1" applyFont="1"/>
    <xf numFmtId="0" fontId="194" fillId="0" borderId="0" xfId="1002" applyFont="1" applyBorder="1"/>
    <xf numFmtId="189" fontId="2" fillId="11" borderId="21" xfId="45" applyNumberFormat="1" applyFont="1" applyFill="1" applyBorder="1"/>
    <xf numFmtId="0" fontId="190" fillId="11" borderId="10" xfId="1002" applyFont="1" applyFill="1"/>
    <xf numFmtId="272" fontId="2" fillId="11" borderId="10" xfId="0" applyNumberFormat="1" applyFont="1" applyFill="1" applyBorder="1" applyAlignment="1">
      <alignment horizontal="right" vertical="distributed" wrapText="1"/>
      <protection locked="0"/>
    </xf>
    <xf numFmtId="272" fontId="2" fillId="11" borderId="39" xfId="0" applyNumberFormat="1" applyFont="1" applyFill="1" applyBorder="1" applyAlignment="1">
      <alignment horizontal="right" vertical="distributed" wrapText="1"/>
      <protection locked="0"/>
    </xf>
    <xf numFmtId="272" fontId="2" fillId="11" borderId="27" xfId="0" applyNumberFormat="1" applyFont="1" applyFill="1" applyBorder="1" applyAlignment="1">
      <alignment horizontal="right" vertical="distributed" wrapText="1"/>
      <protection locked="0"/>
    </xf>
    <xf numFmtId="252" fontId="2" fillId="0" borderId="0" xfId="0" applyNumberFormat="1" applyFont="1" applyAlignment="1">
      <alignment horizontal="right"/>
      <protection locked="0"/>
    </xf>
    <xf numFmtId="189" fontId="2" fillId="11" borderId="19" xfId="45" applyNumberFormat="1" applyFont="1" applyFill="1" applyBorder="1"/>
    <xf numFmtId="0" fontId="190" fillId="11" borderId="0" xfId="1002" applyFont="1" applyFill="1" applyBorder="1"/>
    <xf numFmtId="272" fontId="2" fillId="11" borderId="0" xfId="0" applyNumberFormat="1" applyFont="1" applyFill="1" applyAlignment="1">
      <alignment horizontal="right" vertical="distributed" wrapText="1"/>
      <protection locked="0"/>
    </xf>
    <xf numFmtId="272" fontId="2" fillId="11" borderId="40" xfId="0" applyNumberFormat="1" applyFont="1" applyFill="1" applyBorder="1" applyAlignment="1">
      <alignment horizontal="right" vertical="distributed" wrapText="1"/>
      <protection locked="0"/>
    </xf>
    <xf numFmtId="272" fontId="2" fillId="11" borderId="13" xfId="0" applyNumberFormat="1" applyFont="1" applyFill="1" applyBorder="1" applyAlignment="1">
      <alignment horizontal="right" vertical="distributed" wrapText="1"/>
      <protection locked="0"/>
    </xf>
    <xf numFmtId="274" fontId="2" fillId="0" borderId="0" xfId="0" applyNumberFormat="1" applyFont="1" applyAlignment="1">
      <alignment horizontal="right"/>
      <protection locked="0"/>
    </xf>
    <xf numFmtId="272" fontId="149" fillId="5" borderId="0" xfId="0" applyNumberFormat="1" applyFont="1" applyFill="1" applyAlignment="1">
      <alignment horizontal="right" vertical="distributed" wrapText="1"/>
      <protection locked="0"/>
    </xf>
    <xf numFmtId="189" fontId="2" fillId="11" borderId="14" xfId="45" applyNumberFormat="1" applyFont="1" applyFill="1" applyBorder="1"/>
    <xf numFmtId="0" fontId="190" fillId="11" borderId="3" xfId="1002" applyFont="1" applyFill="1" applyBorder="1"/>
    <xf numFmtId="267" fontId="26" fillId="11" borderId="3" xfId="1002" applyNumberFormat="1" applyFont="1" applyFill="1" applyBorder="1"/>
    <xf numFmtId="189" fontId="2" fillId="11" borderId="3" xfId="45" applyNumberFormat="1" applyFont="1" applyFill="1" applyBorder="1" applyAlignment="1">
      <alignment horizontal="right"/>
    </xf>
    <xf numFmtId="189" fontId="2" fillId="11" borderId="3" xfId="45" applyNumberFormat="1" applyFont="1" applyFill="1" applyBorder="1"/>
    <xf numFmtId="272" fontId="2" fillId="11" borderId="41" xfId="0" applyNumberFormat="1" applyFont="1" applyFill="1" applyBorder="1" applyAlignment="1">
      <alignment horizontal="right" vertical="distributed" wrapText="1"/>
      <protection locked="0"/>
    </xf>
    <xf numFmtId="272" fontId="2" fillId="11" borderId="3" xfId="0" applyNumberFormat="1" applyFont="1" applyFill="1" applyBorder="1" applyAlignment="1">
      <alignment horizontal="right" vertical="distributed" wrapText="1"/>
      <protection locked="0"/>
    </xf>
    <xf numFmtId="272" fontId="2" fillId="11" borderId="28" xfId="0" applyNumberFormat="1" applyFont="1" applyFill="1" applyBorder="1" applyAlignment="1">
      <alignment horizontal="right" vertical="distributed" wrapText="1"/>
      <protection locked="0"/>
    </xf>
    <xf numFmtId="0" fontId="199" fillId="8" borderId="0" xfId="46" applyNumberFormat="1" applyFont="1" applyFill="1"/>
    <xf numFmtId="270" fontId="26" fillId="29" borderId="0" xfId="1002" applyNumberFormat="1" applyFont="1" applyFill="1" applyBorder="1" applyAlignment="1">
      <alignment horizontal="center"/>
    </xf>
    <xf numFmtId="270" fontId="49" fillId="29" borderId="0" xfId="1002" applyNumberFormat="1" applyFont="1" applyFill="1" applyBorder="1" applyAlignment="1">
      <alignment horizontal="center"/>
    </xf>
    <xf numFmtId="38" fontId="78" fillId="0" borderId="21" xfId="1002" applyNumberFormat="1" applyFont="1" applyBorder="1" applyAlignment="1">
      <alignment horizontal="center"/>
    </xf>
    <xf numFmtId="38" fontId="78" fillId="0" borderId="10" xfId="1002" applyNumberFormat="1" applyFont="1" applyAlignment="1">
      <alignment horizontal="center"/>
    </xf>
    <xf numFmtId="189" fontId="78" fillId="0" borderId="21" xfId="1002" applyNumberFormat="1" applyFont="1" applyBorder="1" applyAlignment="1">
      <alignment horizontal="center"/>
    </xf>
    <xf numFmtId="189" fontId="78" fillId="0" borderId="10" xfId="1002" applyNumberFormat="1" applyFont="1" applyAlignment="1">
      <alignment horizontal="center"/>
    </xf>
    <xf numFmtId="270" fontId="78" fillId="0" borderId="21" xfId="1002" applyNumberFormat="1" applyFont="1" applyBorder="1" applyAlignment="1">
      <alignment horizontal="center"/>
    </xf>
    <xf numFmtId="270" fontId="78" fillId="0" borderId="10" xfId="1002" applyNumberFormat="1" applyFont="1" applyAlignment="1">
      <alignment horizontal="center"/>
    </xf>
    <xf numFmtId="270" fontId="78" fillId="0" borderId="19" xfId="1002" applyNumberFormat="1" applyFont="1" applyBorder="1" applyAlignment="1">
      <alignment horizontal="center"/>
    </xf>
    <xf numFmtId="270" fontId="197" fillId="8" borderId="0" xfId="1002" applyNumberFormat="1" applyFont="1" applyFill="1" applyBorder="1" applyAlignment="1">
      <alignment horizontal="center"/>
    </xf>
    <xf numFmtId="270" fontId="78" fillId="0" borderId="0" xfId="1002" applyNumberFormat="1" applyFont="1" applyBorder="1" applyAlignment="1">
      <alignment horizontal="center"/>
    </xf>
    <xf numFmtId="270" fontId="190" fillId="11" borderId="0" xfId="1002" applyNumberFormat="1" applyFont="1" applyFill="1" applyBorder="1" applyAlignment="1">
      <alignment horizontal="center"/>
    </xf>
    <xf numFmtId="189" fontId="26" fillId="0" borderId="0" xfId="45" applyNumberFormat="1" applyFont="1"/>
    <xf numFmtId="189" fontId="61" fillId="0" borderId="0" xfId="45" applyNumberFormat="1" applyFont="1" applyAlignment="1">
      <alignment horizontal="center"/>
    </xf>
    <xf numFmtId="258" fontId="197" fillId="0" borderId="0" xfId="1002" applyNumberFormat="1" applyFont="1" applyBorder="1" applyAlignment="1">
      <alignment horizontal="center"/>
    </xf>
    <xf numFmtId="204" fontId="198" fillId="0" borderId="0" xfId="1002" applyNumberFormat="1" applyFont="1" applyBorder="1"/>
    <xf numFmtId="189" fontId="49" fillId="0" borderId="0" xfId="45" applyNumberFormat="1" applyFont="1"/>
    <xf numFmtId="0" fontId="61" fillId="8" borderId="0" xfId="1463" applyFont="1" applyFill="1" applyAlignment="1"/>
    <xf numFmtId="0" fontId="26" fillId="29" borderId="0" xfId="1468" applyFont="1" applyFill="1"/>
    <xf numFmtId="0" fontId="2" fillId="29" borderId="0" xfId="1468" applyFont="1" applyFill="1"/>
    <xf numFmtId="264" fontId="26" fillId="29" borderId="0" xfId="46" applyNumberFormat="1" applyFont="1" applyFill="1"/>
    <xf numFmtId="196" fontId="2" fillId="29" borderId="0" xfId="1463" applyNumberFormat="1" applyFill="1" applyAlignment="1"/>
    <xf numFmtId="196" fontId="2" fillId="29" borderId="3" xfId="1463" applyNumberFormat="1" applyFill="1" applyBorder="1" applyAlignment="1"/>
    <xf numFmtId="0" fontId="26" fillId="11" borderId="0" xfId="1468" applyFont="1" applyFill="1"/>
    <xf numFmtId="0" fontId="2" fillId="11" borderId="0" xfId="1468" applyFont="1" applyFill="1"/>
    <xf numFmtId="0" fontId="26" fillId="0" borderId="0" xfId="1468" applyFont="1" applyFill="1"/>
    <xf numFmtId="0" fontId="2" fillId="0" borderId="0" xfId="1468" applyFont="1" applyFill="1"/>
    <xf numFmtId="267" fontId="26" fillId="0" borderId="0" xfId="1468" applyNumberFormat="1" applyFont="1" applyFill="1"/>
    <xf numFmtId="0" fontId="26" fillId="29" borderId="0" xfId="1464" applyFont="1" applyFill="1" applyAlignment="1">
      <alignment horizontal="center"/>
    </xf>
    <xf numFmtId="14" fontId="26" fillId="29" borderId="3" xfId="1464" applyNumberFormat="1" applyFont="1" applyFill="1" applyBorder="1" applyAlignment="1">
      <alignment horizontal="center"/>
    </xf>
    <xf numFmtId="0" fontId="2" fillId="29" borderId="0" xfId="1464" applyFill="1"/>
    <xf numFmtId="275" fontId="149" fillId="5" borderId="0" xfId="46" applyNumberFormat="1" applyFont="1" applyFill="1"/>
    <xf numFmtId="276" fontId="149" fillId="5" borderId="0" xfId="46" applyNumberFormat="1" applyFont="1" applyFill="1"/>
    <xf numFmtId="277" fontId="2" fillId="29" borderId="0" xfId="1464" applyNumberFormat="1" applyFill="1" applyAlignment="1">
      <alignment horizontal="right"/>
    </xf>
    <xf numFmtId="196" fontId="2" fillId="29" borderId="0" xfId="1464" applyNumberFormat="1" applyFill="1" applyAlignment="1">
      <alignment horizontal="right"/>
    </xf>
    <xf numFmtId="278" fontId="149" fillId="5" borderId="0" xfId="46" applyNumberFormat="1" applyFont="1" applyFill="1"/>
    <xf numFmtId="275" fontId="149" fillId="5" borderId="3" xfId="46" applyNumberFormat="1" applyFont="1" applyFill="1" applyBorder="1"/>
    <xf numFmtId="278" fontId="149" fillId="5" borderId="3" xfId="46" applyNumberFormat="1" applyFont="1" applyFill="1" applyBorder="1"/>
    <xf numFmtId="277" fontId="2" fillId="29" borderId="3" xfId="1464" applyNumberFormat="1" applyFill="1" applyBorder="1" applyAlignment="1">
      <alignment horizontal="right"/>
    </xf>
    <xf numFmtId="196" fontId="2" fillId="29" borderId="3" xfId="1464" applyNumberFormat="1" applyFill="1" applyBorder="1" applyAlignment="1">
      <alignment horizontal="right"/>
    </xf>
    <xf numFmtId="0" fontId="26" fillId="29" borderId="0" xfId="1464" applyFont="1" applyFill="1"/>
    <xf numFmtId="277" fontId="26" fillId="29" borderId="0" xfId="1464" applyNumberFormat="1" applyFont="1" applyFill="1"/>
    <xf numFmtId="196" fontId="26" fillId="29" borderId="0" xfId="1464" applyNumberFormat="1" applyFont="1" applyFill="1"/>
    <xf numFmtId="0" fontId="2" fillId="29" borderId="0" xfId="1002" applyFont="1" applyFill="1" applyBorder="1"/>
    <xf numFmtId="0" fontId="26" fillId="29" borderId="0" xfId="1002" applyFont="1" applyFill="1" applyBorder="1"/>
    <xf numFmtId="0" fontId="200" fillId="0" borderId="0" xfId="1463" applyFont="1" applyAlignment="1"/>
    <xf numFmtId="0" fontId="2" fillId="29" borderId="0" xfId="1469" applyFont="1" applyFill="1"/>
    <xf numFmtId="277" fontId="2" fillId="0" borderId="0" xfId="1002" applyNumberFormat="1" applyFont="1" applyBorder="1"/>
    <xf numFmtId="0" fontId="201" fillId="0" borderId="0" xfId="0" applyFont="1" applyProtection="1"/>
    <xf numFmtId="0" fontId="202" fillId="0" borderId="0" xfId="0" applyFont="1" applyProtection="1"/>
    <xf numFmtId="0" fontId="203" fillId="0" borderId="0" xfId="0" applyFont="1" applyProtection="1"/>
    <xf numFmtId="273" fontId="203" fillId="0" borderId="0" xfId="0" applyNumberFormat="1" applyFont="1" applyProtection="1"/>
    <xf numFmtId="0" fontId="197" fillId="0" borderId="0" xfId="1463" applyFont="1" applyAlignment="1"/>
    <xf numFmtId="0" fontId="187" fillId="8" borderId="0" xfId="1002" applyFont="1" applyFill="1" applyBorder="1"/>
    <xf numFmtId="0" fontId="204" fillId="8" borderId="0" xfId="1002" applyFont="1" applyFill="1" applyBorder="1"/>
    <xf numFmtId="0" fontId="197" fillId="8" borderId="0" xfId="1002" applyFont="1" applyFill="1" applyBorder="1" applyAlignment="1">
      <alignment horizontal="center"/>
    </xf>
    <xf numFmtId="0" fontId="197" fillId="8" borderId="0" xfId="1002" applyFont="1" applyFill="1" applyBorder="1"/>
    <xf numFmtId="0" fontId="197" fillId="0" borderId="0" xfId="1002" applyFont="1" applyBorder="1"/>
    <xf numFmtId="0" fontId="205" fillId="8" borderId="0" xfId="1002" applyFont="1" applyFill="1" applyBorder="1"/>
    <xf numFmtId="0" fontId="188" fillId="8" borderId="0" xfId="1002" applyFont="1" applyFill="1" applyBorder="1"/>
    <xf numFmtId="0" fontId="2" fillId="0" borderId="0" xfId="1002" applyFont="1" applyBorder="1" applyAlignment="1">
      <alignment horizontal="center"/>
    </xf>
    <xf numFmtId="263" fontId="26" fillId="0" borderId="42" xfId="1463" applyNumberFormat="1" applyFont="1" applyBorder="1" applyAlignment="1">
      <alignment horizontal="center"/>
    </xf>
    <xf numFmtId="264" fontId="2" fillId="0" borderId="40" xfId="46" applyNumberFormat="1" applyFont="1" applyBorder="1"/>
    <xf numFmtId="279" fontId="2" fillId="0" borderId="0" xfId="46" applyNumberFormat="1" applyFont="1"/>
    <xf numFmtId="279" fontId="2" fillId="0" borderId="40" xfId="46" applyNumberFormat="1" applyFont="1" applyBorder="1"/>
    <xf numFmtId="196" fontId="149" fillId="0" borderId="0" xfId="1463" applyNumberFormat="1" applyFont="1" applyAlignment="1"/>
    <xf numFmtId="196" fontId="78" fillId="0" borderId="40" xfId="1463" applyNumberFormat="1" applyFont="1" applyBorder="1" applyAlignment="1"/>
    <xf numFmtId="0" fontId="194" fillId="0" borderId="3" xfId="1002" applyFont="1" applyBorder="1"/>
    <xf numFmtId="196" fontId="149" fillId="0" borderId="3" xfId="1463" applyNumberFormat="1" applyFont="1" applyBorder="1" applyAlignment="1"/>
    <xf numFmtId="196" fontId="78" fillId="0" borderId="41" xfId="1463" applyNumberFormat="1" applyFont="1" applyBorder="1" applyAlignment="1"/>
    <xf numFmtId="196" fontId="78" fillId="0" borderId="3" xfId="1463" applyNumberFormat="1" applyFont="1" applyBorder="1" applyAlignment="1"/>
    <xf numFmtId="0" fontId="78" fillId="0" borderId="0" xfId="1002" applyFont="1" applyBorder="1" applyAlignment="1">
      <alignment horizontal="left"/>
    </xf>
    <xf numFmtId="196" fontId="2" fillId="0" borderId="0" xfId="1002" applyNumberFormat="1" applyFont="1" applyBorder="1"/>
    <xf numFmtId="196" fontId="2" fillId="0" borderId="3" xfId="1002" applyNumberFormat="1" applyFont="1" applyBorder="1"/>
    <xf numFmtId="264" fontId="26" fillId="0" borderId="40" xfId="46" applyNumberFormat="1" applyFont="1" applyBorder="1"/>
    <xf numFmtId="267" fontId="196" fillId="0" borderId="0" xfId="1463" applyNumberFormat="1" applyFont="1" applyAlignment="1"/>
    <xf numFmtId="267" fontId="78" fillId="0" borderId="40" xfId="1463" applyNumberFormat="1" applyFont="1" applyBorder="1" applyAlignment="1"/>
    <xf numFmtId="267" fontId="78" fillId="0" borderId="0" xfId="1463" applyNumberFormat="1" applyFont="1" applyAlignment="1"/>
    <xf numFmtId="196" fontId="196" fillId="0" borderId="3" xfId="1463" applyNumberFormat="1" applyFont="1" applyBorder="1" applyAlignment="1"/>
    <xf numFmtId="267" fontId="196" fillId="0" borderId="3" xfId="1463" applyNumberFormat="1" applyFont="1" applyBorder="1" applyAlignment="1"/>
    <xf numFmtId="267" fontId="2" fillId="0" borderId="3" xfId="1463" applyNumberFormat="1" applyBorder="1" applyAlignment="1"/>
    <xf numFmtId="267" fontId="78" fillId="0" borderId="41" xfId="1463" applyNumberFormat="1" applyFont="1" applyBorder="1" applyAlignment="1"/>
    <xf numFmtId="267" fontId="78" fillId="0" borderId="3" xfId="1463" applyNumberFormat="1" applyFont="1" applyBorder="1" applyAlignment="1"/>
    <xf numFmtId="0" fontId="196" fillId="0" borderId="0" xfId="1002" applyFont="1" applyBorder="1" applyAlignment="1">
      <alignment horizontal="left"/>
    </xf>
    <xf numFmtId="266" fontId="176" fillId="0" borderId="40" xfId="46" applyNumberFormat="1" applyFont="1" applyBorder="1" applyAlignment="1">
      <alignment horizontal="right"/>
    </xf>
    <xf numFmtId="267" fontId="190" fillId="0" borderId="0" xfId="1463" applyNumberFormat="1" applyFont="1" applyAlignment="1"/>
    <xf numFmtId="267" fontId="190" fillId="11" borderId="0" xfId="1002" applyNumberFormat="1" applyFont="1" applyFill="1" applyBorder="1"/>
    <xf numFmtId="264" fontId="26" fillId="11" borderId="40" xfId="46" applyNumberFormat="1" applyFont="1" applyFill="1" applyBorder="1"/>
    <xf numFmtId="267" fontId="190" fillId="0" borderId="0" xfId="1002" applyNumberFormat="1" applyFont="1" applyBorder="1"/>
    <xf numFmtId="0" fontId="173" fillId="11" borderId="43" xfId="46" applyNumberFormat="1" applyFont="1" applyFill="1" applyBorder="1"/>
    <xf numFmtId="0" fontId="78" fillId="11" borderId="10" xfId="1463" applyFont="1" applyFill="1" applyBorder="1" applyAlignment="1"/>
    <xf numFmtId="0" fontId="78" fillId="11" borderId="44" xfId="1463" applyFont="1" applyFill="1" applyBorder="1" applyAlignment="1"/>
    <xf numFmtId="0" fontId="78" fillId="11" borderId="27" xfId="1463" applyFont="1" applyFill="1" applyBorder="1" applyAlignment="1"/>
    <xf numFmtId="0" fontId="78" fillId="11" borderId="19" xfId="1002" applyFont="1" applyFill="1" applyBorder="1" applyAlignment="1">
      <alignment horizontal="left"/>
    </xf>
    <xf numFmtId="279" fontId="2" fillId="11" borderId="0" xfId="46" applyNumberFormat="1" applyFont="1" applyFill="1"/>
    <xf numFmtId="279" fontId="2" fillId="11" borderId="38" xfId="46" applyNumberFormat="1" applyFont="1" applyFill="1" applyBorder="1"/>
    <xf numFmtId="279" fontId="2" fillId="11" borderId="13" xfId="46" applyNumberFormat="1" applyFont="1" applyFill="1" applyBorder="1"/>
    <xf numFmtId="272" fontId="2" fillId="11" borderId="38" xfId="0" applyNumberFormat="1" applyFont="1" applyFill="1" applyBorder="1" applyAlignment="1">
      <alignment horizontal="right" vertical="distributed" wrapText="1"/>
      <protection locked="0"/>
    </xf>
    <xf numFmtId="204" fontId="78" fillId="11" borderId="0" xfId="1463" applyNumberFormat="1" applyFont="1" applyFill="1" applyAlignment="1"/>
    <xf numFmtId="189" fontId="78" fillId="11" borderId="38" xfId="1463" applyNumberFormat="1" applyFont="1" applyFill="1" applyBorder="1" applyAlignment="1"/>
    <xf numFmtId="189" fontId="78" fillId="11" borderId="0" xfId="1463" applyNumberFormat="1" applyFont="1" applyFill="1" applyAlignment="1"/>
    <xf numFmtId="189" fontId="78" fillId="11" borderId="13" xfId="1463" applyNumberFormat="1" applyFont="1" applyFill="1" applyBorder="1" applyAlignment="1"/>
    <xf numFmtId="0" fontId="173" fillId="11" borderId="14" xfId="46" applyNumberFormat="1" applyFont="1" applyFill="1" applyBorder="1"/>
    <xf numFmtId="204" fontId="78" fillId="11" borderId="38" xfId="1463" applyNumberFormat="1" applyFont="1" applyFill="1" applyBorder="1" applyAlignment="1"/>
    <xf numFmtId="0" fontId="78" fillId="11" borderId="13" xfId="1463" applyFont="1" applyFill="1" applyBorder="1" applyAlignment="1"/>
    <xf numFmtId="0" fontId="78" fillId="11" borderId="14" xfId="1002" applyFont="1" applyFill="1" applyBorder="1" applyAlignment="1">
      <alignment horizontal="left"/>
    </xf>
    <xf numFmtId="272" fontId="2" fillId="11" borderId="37" xfId="0" applyNumberFormat="1" applyFont="1" applyFill="1" applyBorder="1" applyAlignment="1">
      <alignment horizontal="right" vertical="distributed" wrapText="1"/>
      <protection locked="0"/>
    </xf>
    <xf numFmtId="0" fontId="78" fillId="0" borderId="0" xfId="1463" applyFont="1" applyAlignment="1">
      <alignment horizontal="right"/>
    </xf>
    <xf numFmtId="0" fontId="187" fillId="8" borderId="0" xfId="1463" applyFont="1" applyFill="1" applyAlignment="1"/>
    <xf numFmtId="0" fontId="197" fillId="8" borderId="0" xfId="1463" applyFont="1" applyFill="1" applyAlignment="1"/>
    <xf numFmtId="0" fontId="204" fillId="8" borderId="0" xfId="1463" applyFont="1" applyFill="1" applyAlignment="1"/>
    <xf numFmtId="0" fontId="188" fillId="8" borderId="0" xfId="1463" applyFont="1" applyFill="1" applyAlignment="1"/>
    <xf numFmtId="0" fontId="206" fillId="0" borderId="0" xfId="1463" applyFont="1" applyAlignment="1"/>
    <xf numFmtId="0" fontId="61" fillId="8" borderId="0" xfId="1002" applyFont="1" applyFill="1" applyBorder="1"/>
    <xf numFmtId="0" fontId="26" fillId="8" borderId="0" xfId="1463" applyFont="1" applyFill="1" applyAlignment="1"/>
    <xf numFmtId="0" fontId="207" fillId="0" borderId="0" xfId="0" applyFont="1" applyProtection="1"/>
    <xf numFmtId="0" fontId="194" fillId="0" borderId="0" xfId="1463" applyFont="1" applyAlignment="1"/>
    <xf numFmtId="0" fontId="190" fillId="0" borderId="3" xfId="1463" applyFont="1" applyBorder="1" applyAlignment="1"/>
    <xf numFmtId="0" fontId="190" fillId="0" borderId="3" xfId="1463" applyFont="1" applyBorder="1" applyAlignment="1">
      <alignment horizontal="center"/>
    </xf>
    <xf numFmtId="0" fontId="26" fillId="0" borderId="0" xfId="0" applyFont="1" applyAlignment="1" applyProtection="1">
      <alignment horizontal="center" vertical="center" wrapText="1"/>
    </xf>
    <xf numFmtId="0" fontId="2" fillId="0" borderId="0" xfId="1002" applyFont="1" applyBorder="1" applyAlignment="1">
      <alignment vertical="top"/>
    </xf>
    <xf numFmtId="272" fontId="2" fillId="0" borderId="0" xfId="0" applyNumberFormat="1" applyFont="1" applyAlignment="1">
      <alignment horizontal="right" vertical="distributed" wrapText="1"/>
      <protection locked="0"/>
    </xf>
    <xf numFmtId="280" fontId="149" fillId="5" borderId="0" xfId="46" applyNumberFormat="1" applyFont="1" applyFill="1"/>
    <xf numFmtId="264" fontId="149" fillId="5" borderId="0" xfId="46" applyNumberFormat="1" applyFont="1" applyFill="1"/>
    <xf numFmtId="280" fontId="2" fillId="0" borderId="0" xfId="46" applyNumberFormat="1" applyFont="1"/>
    <xf numFmtId="0" fontId="26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10" fontId="2" fillId="0" borderId="0" xfId="0" applyNumberFormat="1" applyFont="1" applyAlignment="1" applyProtection="1">
      <alignment vertical="center" wrapText="1"/>
    </xf>
    <xf numFmtId="9" fontId="2" fillId="0" borderId="0" xfId="0" applyNumberFormat="1" applyFont="1" applyAlignment="1" applyProtection="1">
      <alignment vertical="center" wrapText="1"/>
    </xf>
    <xf numFmtId="189" fontId="2" fillId="0" borderId="0" xfId="1002" applyNumberFormat="1" applyFont="1" applyBorder="1"/>
    <xf numFmtId="279" fontId="149" fillId="5" borderId="0" xfId="46" applyNumberFormat="1" applyFont="1" applyFill="1"/>
    <xf numFmtId="281" fontId="191" fillId="0" borderId="0" xfId="47" applyNumberFormat="1" applyFont="1"/>
    <xf numFmtId="282" fontId="149" fillId="0" borderId="0" xfId="1466" applyNumberFormat="1" applyFont="1"/>
    <xf numFmtId="204" fontId="149" fillId="0" borderId="0" xfId="1466" applyNumberFormat="1" applyFont="1"/>
    <xf numFmtId="189" fontId="2" fillId="0" borderId="0" xfId="1466" applyNumberFormat="1" applyFont="1"/>
    <xf numFmtId="189" fontId="149" fillId="0" borderId="0" xfId="1466" applyNumberFormat="1" applyFont="1"/>
    <xf numFmtId="40" fontId="2" fillId="0" borderId="0" xfId="1466" applyNumberFormat="1" applyFont="1"/>
    <xf numFmtId="0" fontId="190" fillId="11" borderId="0" xfId="1463" applyFont="1" applyFill="1" applyAlignment="1"/>
    <xf numFmtId="280" fontId="26" fillId="11" borderId="0" xfId="46" applyNumberFormat="1" applyFont="1" applyFill="1"/>
    <xf numFmtId="272" fontId="26" fillId="11" borderId="0" xfId="0" applyNumberFormat="1" applyFont="1" applyFill="1" applyAlignment="1">
      <alignment horizontal="right" vertical="distributed" wrapText="1"/>
      <protection locked="0"/>
    </xf>
    <xf numFmtId="280" fontId="26" fillId="11" borderId="25" xfId="46" applyNumberFormat="1" applyFont="1" applyFill="1" applyBorder="1"/>
    <xf numFmtId="40" fontId="78" fillId="0" borderId="0" xfId="1463" applyNumberFormat="1" applyFont="1" applyAlignment="1"/>
    <xf numFmtId="189" fontId="78" fillId="0" borderId="0" xfId="1463" applyNumberFormat="1" applyFont="1" applyAlignment="1"/>
    <xf numFmtId="283" fontId="26" fillId="0" borderId="0" xfId="1463" applyNumberFormat="1" applyFont="1" applyAlignment="1"/>
    <xf numFmtId="0" fontId="208" fillId="8" borderId="0" xfId="1463" applyFont="1" applyFill="1" applyAlignment="1"/>
    <xf numFmtId="189" fontId="26" fillId="29" borderId="3" xfId="1002" applyNumberFormat="1" applyFont="1" applyFill="1" applyBorder="1" applyAlignment="1">
      <alignment horizontal="center"/>
    </xf>
    <xf numFmtId="189" fontId="49" fillId="29" borderId="3" xfId="1002" applyNumberFormat="1" applyFont="1" applyFill="1" applyBorder="1" applyAlignment="1">
      <alignment horizontal="center"/>
    </xf>
    <xf numFmtId="0" fontId="2" fillId="0" borderId="3" xfId="1002" applyFont="1" applyBorder="1"/>
    <xf numFmtId="0" fontId="209" fillId="0" borderId="0" xfId="0" applyFont="1" applyProtection="1"/>
    <xf numFmtId="0" fontId="0" fillId="0" borderId="0" xfId="1002" applyFont="1" applyBorder="1" applyAlignment="1">
      <alignment horizontal="center"/>
    </xf>
    <xf numFmtId="0" fontId="205" fillId="8" borderId="45" xfId="46" applyNumberFormat="1" applyFont="1" applyFill="1" applyBorder="1"/>
    <xf numFmtId="0" fontId="205" fillId="8" borderId="45" xfId="46" applyNumberFormat="1" applyFont="1" applyFill="1" applyBorder="1" applyAlignment="1">
      <alignment horizontal="center"/>
    </xf>
    <xf numFmtId="284" fontId="26" fillId="0" borderId="10" xfId="1002" applyNumberFormat="1" applyFont="1" applyAlignment="1">
      <alignment horizontal="center"/>
    </xf>
    <xf numFmtId="189" fontId="176" fillId="0" borderId="0" xfId="1002" applyNumberFormat="1" applyFont="1" applyBorder="1"/>
    <xf numFmtId="272" fontId="2" fillId="0" borderId="7" xfId="0" applyNumberFormat="1" applyFont="1" applyBorder="1" applyAlignment="1">
      <alignment horizontal="right" vertical="distributed" wrapText="1"/>
      <protection locked="0"/>
    </xf>
    <xf numFmtId="266" fontId="149" fillId="5" borderId="21" xfId="46" applyNumberFormat="1" applyFont="1" applyFill="1" applyBorder="1"/>
    <xf numFmtId="266" fontId="149" fillId="5" borderId="10" xfId="46" applyNumberFormat="1" applyFont="1" applyFill="1" applyBorder="1"/>
    <xf numFmtId="266" fontId="2" fillId="5" borderId="10" xfId="46" applyNumberFormat="1" applyFont="1" applyFill="1" applyBorder="1"/>
    <xf numFmtId="266" fontId="2" fillId="5" borderId="27" xfId="46" applyNumberFormat="1" applyFont="1" applyFill="1" applyBorder="1"/>
    <xf numFmtId="266" fontId="149" fillId="5" borderId="19" xfId="46" applyNumberFormat="1" applyFont="1" applyFill="1" applyBorder="1"/>
    <xf numFmtId="266" fontId="149" fillId="5" borderId="0" xfId="46" applyNumberFormat="1" applyFont="1" applyFill="1"/>
    <xf numFmtId="266" fontId="2" fillId="5" borderId="0" xfId="46" applyNumberFormat="1" applyFont="1" applyFill="1"/>
    <xf numFmtId="266" fontId="2" fillId="5" borderId="13" xfId="46" applyNumberFormat="1" applyFont="1" applyFill="1" applyBorder="1"/>
    <xf numFmtId="266" fontId="149" fillId="5" borderId="14" xfId="46" applyNumberFormat="1" applyFont="1" applyFill="1" applyBorder="1"/>
    <xf numFmtId="266" fontId="149" fillId="5" borderId="3" xfId="46" applyNumberFormat="1" applyFont="1" applyFill="1" applyBorder="1"/>
    <xf numFmtId="266" fontId="2" fillId="5" borderId="3" xfId="46" applyNumberFormat="1" applyFont="1" applyFill="1" applyBorder="1"/>
    <xf numFmtId="266" fontId="2" fillId="5" borderId="28" xfId="46" applyNumberFormat="1" applyFont="1" applyFill="1" applyBorder="1"/>
    <xf numFmtId="189" fontId="2" fillId="0" borderId="7" xfId="1002" applyNumberFormat="1" applyFont="1" applyBorder="1"/>
    <xf numFmtId="0" fontId="0" fillId="0" borderId="0" xfId="1002" applyFont="1" applyBorder="1"/>
    <xf numFmtId="189" fontId="2" fillId="0" borderId="10" xfId="1002" applyNumberFormat="1" applyFont="1"/>
    <xf numFmtId="0" fontId="2" fillId="0" borderId="0" xfId="1467" applyFont="1" applyFill="1"/>
    <xf numFmtId="0" fontId="2" fillId="0" borderId="13" xfId="1002" applyFont="1" applyBorder="1" applyAlignment="1">
      <alignment horizontal="center"/>
    </xf>
    <xf numFmtId="0" fontId="1" fillId="0" borderId="0" xfId="46" applyNumberFormat="1" applyFont="1"/>
    <xf numFmtId="0" fontId="1" fillId="0" borderId="0" xfId="46" applyNumberFormat="1" applyFont="1" applyAlignment="1">
      <alignment horizontal="center"/>
    </xf>
    <xf numFmtId="189" fontId="176" fillId="0" borderId="0" xfId="46" applyNumberFormat="1" applyFont="1"/>
    <xf numFmtId="0" fontId="173" fillId="0" borderId="0" xfId="46" applyNumberFormat="1" applyFont="1"/>
    <xf numFmtId="0" fontId="2" fillId="0" borderId="0" xfId="46" applyNumberFormat="1" applyFont="1"/>
    <xf numFmtId="279" fontId="2" fillId="0" borderId="7" xfId="46" applyNumberFormat="1" applyFont="1" applyBorder="1"/>
    <xf numFmtId="0" fontId="210" fillId="0" borderId="0" xfId="46" applyNumberFormat="1" applyFont="1" applyAlignment="1">
      <alignment horizontal="center"/>
    </xf>
    <xf numFmtId="279" fontId="149" fillId="5" borderId="21" xfId="46" applyNumberFormat="1" applyFont="1" applyFill="1" applyBorder="1"/>
    <xf numFmtId="279" fontId="149" fillId="5" borderId="10" xfId="46" applyNumberFormat="1" applyFont="1" applyFill="1" applyBorder="1"/>
    <xf numFmtId="279" fontId="2" fillId="5" borderId="10" xfId="46" applyNumberFormat="1" applyFont="1" applyFill="1" applyBorder="1"/>
    <xf numFmtId="279" fontId="2" fillId="5" borderId="27" xfId="46" applyNumberFormat="1" applyFont="1" applyFill="1" applyBorder="1"/>
    <xf numFmtId="279" fontId="149" fillId="5" borderId="19" xfId="46" applyNumberFormat="1" applyFont="1" applyFill="1" applyBorder="1"/>
    <xf numFmtId="279" fontId="2" fillId="5" borderId="0" xfId="46" applyNumberFormat="1" applyFont="1" applyFill="1"/>
    <xf numFmtId="279" fontId="2" fillId="5" borderId="13" xfId="46" applyNumberFormat="1" applyFont="1" applyFill="1" applyBorder="1"/>
    <xf numFmtId="279" fontId="149" fillId="5" borderId="14" xfId="46" applyNumberFormat="1" applyFont="1" applyFill="1" applyBorder="1"/>
    <xf numFmtId="279" fontId="149" fillId="5" borderId="3" xfId="46" applyNumberFormat="1" applyFont="1" applyFill="1" applyBorder="1"/>
    <xf numFmtId="279" fontId="2" fillId="5" borderId="3" xfId="46" applyNumberFormat="1" applyFont="1" applyFill="1" applyBorder="1"/>
    <xf numFmtId="279" fontId="2" fillId="5" borderId="28" xfId="46" applyNumberFormat="1" applyFont="1" applyFill="1" applyBorder="1"/>
    <xf numFmtId="279" fontId="176" fillId="0" borderId="0" xfId="46" applyNumberFormat="1" applyFont="1"/>
    <xf numFmtId="266" fontId="176" fillId="0" borderId="0" xfId="46" applyNumberFormat="1" applyFont="1"/>
    <xf numFmtId="0" fontId="0" fillId="30" borderId="0" xfId="0" applyFill="1" applyProtection="1"/>
    <xf numFmtId="0" fontId="0" fillId="0" borderId="0" xfId="0" applyProtection="1"/>
    <xf numFmtId="0" fontId="0" fillId="0" borderId="46" xfId="0" applyBorder="1" applyProtection="1"/>
    <xf numFmtId="0" fontId="0" fillId="0" borderId="47" xfId="0" applyBorder="1" applyProtection="1"/>
    <xf numFmtId="0" fontId="0" fillId="0" borderId="48" xfId="0" applyBorder="1" applyProtection="1"/>
    <xf numFmtId="0" fontId="0" fillId="0" borderId="49" xfId="0" applyBorder="1" applyProtection="1"/>
    <xf numFmtId="0" fontId="124" fillId="0" borderId="0" xfId="1288">
      <alignment horizontal="left" vertical="center"/>
    </xf>
    <xf numFmtId="0" fontId="0" fillId="0" borderId="50" xfId="0" applyBorder="1" applyProtection="1"/>
    <xf numFmtId="0" fontId="108" fillId="0" borderId="0" xfId="1212">
      <alignment horizontal="left" vertical="center"/>
    </xf>
    <xf numFmtId="0" fontId="125" fillId="31" borderId="0" xfId="1289" applyFill="1">
      <alignment horizontal="left"/>
    </xf>
    <xf numFmtId="0" fontId="0" fillId="31" borderId="0" xfId="0" applyFill="1" applyProtection="1"/>
    <xf numFmtId="0" fontId="212" fillId="0" borderId="0" xfId="1287" applyFont="1">
      <alignment horizontal="right" vertical="top" wrapText="1"/>
    </xf>
    <xf numFmtId="0" fontId="122" fillId="0" borderId="0" xfId="1286">
      <alignment horizontal="right" vertical="top" wrapText="1"/>
    </xf>
    <xf numFmtId="0" fontId="108" fillId="0" borderId="0" xfId="1364">
      <alignment horizontal="right" vertical="center"/>
    </xf>
    <xf numFmtId="0" fontId="150" fillId="0" borderId="0" xfId="1365">
      <alignment horizontal="right" vertical="center"/>
    </xf>
    <xf numFmtId="0" fontId="122" fillId="31" borderId="0" xfId="1285" applyFill="1">
      <alignment horizontal="left" vertical="center" indent="1"/>
    </xf>
    <xf numFmtId="285" fontId="122" fillId="31" borderId="0" xfId="1283" applyNumberFormat="1" applyFill="1">
      <alignment horizontal="right" vertical="center"/>
    </xf>
    <xf numFmtId="286" fontId="122" fillId="31" borderId="0" xfId="1283" applyNumberFormat="1" applyFill="1">
      <alignment horizontal="right" vertical="center"/>
    </xf>
    <xf numFmtId="0" fontId="121" fillId="0" borderId="0" xfId="1284">
      <alignment horizontal="left" vertical="center" indent="1"/>
    </xf>
    <xf numFmtId="285" fontId="121" fillId="31" borderId="0" xfId="1282" applyNumberFormat="1" applyFill="1">
      <alignment horizontal="right" vertical="center"/>
    </xf>
    <xf numFmtId="286" fontId="121" fillId="31" borderId="0" xfId="1282" applyNumberFormat="1" applyFill="1">
      <alignment horizontal="right" vertical="center"/>
    </xf>
    <xf numFmtId="285" fontId="121" fillId="0" borderId="0" xfId="1282" applyNumberFormat="1">
      <alignment horizontal="right" vertical="center"/>
    </xf>
    <xf numFmtId="0" fontId="122" fillId="0" borderId="0" xfId="1285">
      <alignment horizontal="left" vertical="center" indent="1"/>
    </xf>
    <xf numFmtId="285" fontId="122" fillId="31" borderId="47" xfId="1283" applyNumberFormat="1" applyFill="1" applyBorder="1">
      <alignment horizontal="right" vertical="center"/>
    </xf>
    <xf numFmtId="286" fontId="122" fillId="31" borderId="47" xfId="1283" applyNumberFormat="1" applyFill="1" applyBorder="1">
      <alignment horizontal="right" vertical="center"/>
    </xf>
    <xf numFmtId="285" fontId="122" fillId="0" borderId="47" xfId="1283" applyNumberFormat="1" applyBorder="1">
      <alignment horizontal="right" vertical="center"/>
    </xf>
    <xf numFmtId="0" fontId="0" fillId="31" borderId="47" xfId="0" applyFill="1" applyBorder="1" applyProtection="1"/>
    <xf numFmtId="286" fontId="121" fillId="0" borderId="0" xfId="1282" applyNumberFormat="1">
      <alignment horizontal="right" vertical="center"/>
    </xf>
    <xf numFmtId="0" fontId="122" fillId="31" borderId="0" xfId="1283" applyFill="1">
      <alignment horizontal="right" vertical="center"/>
    </xf>
    <xf numFmtId="0" fontId="121" fillId="31" borderId="0" xfId="1282" applyFill="1">
      <alignment horizontal="right" vertical="center"/>
    </xf>
    <xf numFmtId="0" fontId="121" fillId="0" borderId="0" xfId="1282">
      <alignment horizontal="right" vertical="center"/>
    </xf>
    <xf numFmtId="287" fontId="121" fillId="31" borderId="0" xfId="1282" applyNumberFormat="1" applyFill="1">
      <alignment horizontal="right" vertical="center"/>
    </xf>
    <xf numFmtId="287" fontId="121" fillId="0" borderId="0" xfId="1282" applyNumberFormat="1">
      <alignment horizontal="right" vertical="center"/>
    </xf>
    <xf numFmtId="0" fontId="0" fillId="0" borderId="51" xfId="0" applyBorder="1" applyProtection="1"/>
    <xf numFmtId="0" fontId="0" fillId="0" borderId="52" xfId="0" applyBorder="1" applyProtection="1"/>
    <xf numFmtId="0" fontId="0" fillId="0" borderId="53" xfId="0" applyBorder="1" applyProtection="1"/>
    <xf numFmtId="2" fontId="149" fillId="5" borderId="0" xfId="46" applyNumberFormat="1" applyFont="1" applyFill="1"/>
    <xf numFmtId="2" fontId="26" fillId="29" borderId="0" xfId="1002" applyNumberFormat="1" applyFont="1" applyFill="1" applyBorder="1"/>
    <xf numFmtId="2" fontId="2" fillId="29" borderId="3" xfId="1002" applyNumberFormat="1" applyFont="1" applyFill="1" applyBorder="1"/>
    <xf numFmtId="2" fontId="2" fillId="29" borderId="0" xfId="1002" applyNumberFormat="1" applyFont="1" applyFill="1" applyBorder="1"/>
    <xf numFmtId="288" fontId="26" fillId="11" borderId="0" xfId="46" applyNumberFormat="1" applyFont="1" applyFill="1"/>
    <xf numFmtId="10" fontId="149" fillId="5" borderId="0" xfId="0" applyNumberFormat="1" applyFont="1" applyFill="1" applyAlignment="1">
      <alignment horizontal="right" vertical="distributed" wrapText="1"/>
      <protection locked="0"/>
    </xf>
    <xf numFmtId="2" fontId="78" fillId="0" borderId="0" xfId="1463" applyNumberFormat="1" applyFont="1" applyAlignment="1"/>
    <xf numFmtId="2" fontId="193" fillId="5" borderId="0" xfId="1463" applyNumberFormat="1" applyFont="1" applyFill="1" applyAlignment="1"/>
    <xf numFmtId="2" fontId="2" fillId="0" borderId="0" xfId="46" applyNumberFormat="1" applyFont="1"/>
    <xf numFmtId="2" fontId="149" fillId="5" borderId="3" xfId="1463" applyNumberFormat="1" applyFont="1" applyFill="1" applyBorder="1" applyAlignment="1"/>
    <xf numFmtId="2" fontId="26" fillId="11" borderId="25" xfId="46" applyNumberFormat="1" applyFont="1" applyFill="1" applyBorder="1"/>
    <xf numFmtId="289" fontId="121" fillId="31" borderId="0" xfId="1282" applyNumberFormat="1" applyFill="1">
      <alignment horizontal="right" vertical="center"/>
    </xf>
    <xf numFmtId="289" fontId="121" fillId="0" borderId="0" xfId="1282" applyNumberFormat="1">
      <alignment horizontal="right" vertical="center"/>
    </xf>
    <xf numFmtId="164" fontId="149" fillId="5" borderId="3" xfId="0" applyNumberFormat="1" applyFont="1" applyFill="1" applyBorder="1" applyAlignment="1">
      <alignment horizontal="right" vertical="distributed" wrapText="1"/>
      <protection locked="0"/>
    </xf>
    <xf numFmtId="2" fontId="26" fillId="11" borderId="25" xfId="46" applyNumberFormat="1" applyFont="1" applyFill="1" applyBorder="1" applyAlignment="1">
      <alignment horizontal="right"/>
    </xf>
    <xf numFmtId="10" fontId="49" fillId="29" borderId="0" xfId="45" applyNumberFormat="1" applyFont="1" applyFill="1"/>
    <xf numFmtId="10" fontId="26" fillId="29" borderId="0" xfId="45" applyNumberFormat="1" applyFont="1" applyFill="1"/>
    <xf numFmtId="0" fontId="214" fillId="5" borderId="0" xfId="1002" applyFont="1" applyFill="1" applyBorder="1"/>
    <xf numFmtId="0" fontId="214" fillId="5" borderId="0" xfId="1002" applyFont="1" applyFill="1" applyBorder="1" applyAlignment="1">
      <alignment wrapText="1"/>
    </xf>
    <xf numFmtId="268" fontId="149" fillId="5" borderId="21" xfId="0" applyNumberFormat="1" applyFont="1" applyFill="1" applyBorder="1" applyAlignment="1">
      <alignment horizontal="right" vertical="distributed" wrapText="1"/>
      <protection locked="0"/>
    </xf>
    <xf numFmtId="268" fontId="149" fillId="5" borderId="10" xfId="0" applyNumberFormat="1" applyFont="1" applyFill="1" applyBorder="1" applyAlignment="1">
      <alignment horizontal="right" vertical="distributed" wrapText="1"/>
      <protection locked="0"/>
    </xf>
    <xf numFmtId="268" fontId="2" fillId="5" borderId="10" xfId="0" applyNumberFormat="1" applyFont="1" applyFill="1" applyBorder="1" applyAlignment="1">
      <alignment horizontal="right" vertical="distributed" wrapText="1"/>
      <protection locked="0"/>
    </xf>
    <xf numFmtId="268" fontId="2" fillId="5" borderId="27" xfId="0" applyNumberFormat="1" applyFont="1" applyFill="1" applyBorder="1" applyAlignment="1">
      <alignment horizontal="right" vertical="distributed" wrapText="1"/>
      <protection locked="0"/>
    </xf>
    <xf numFmtId="268" fontId="149" fillId="5" borderId="19" xfId="0" applyNumberFormat="1" applyFont="1" applyFill="1" applyBorder="1" applyAlignment="1">
      <alignment horizontal="right" vertical="distributed" wrapText="1"/>
      <protection locked="0"/>
    </xf>
    <xf numFmtId="268" fontId="2" fillId="5" borderId="0" xfId="0" applyNumberFormat="1" applyFont="1" applyFill="1" applyAlignment="1">
      <alignment horizontal="right" vertical="distributed" wrapText="1"/>
      <protection locked="0"/>
    </xf>
    <xf numFmtId="268" fontId="2" fillId="5" borderId="13" xfId="0" applyNumberFormat="1" applyFont="1" applyFill="1" applyBorder="1" applyAlignment="1">
      <alignment horizontal="right" vertical="distributed" wrapText="1"/>
      <protection locked="0"/>
    </xf>
    <xf numFmtId="268" fontId="149" fillId="5" borderId="14" xfId="0" applyNumberFormat="1" applyFont="1" applyFill="1" applyBorder="1" applyAlignment="1">
      <alignment horizontal="right" vertical="distributed" wrapText="1"/>
      <protection locked="0"/>
    </xf>
    <xf numFmtId="268" fontId="149" fillId="5" borderId="3" xfId="0" applyNumberFormat="1" applyFont="1" applyFill="1" applyBorder="1" applyAlignment="1">
      <alignment horizontal="right" vertical="distributed" wrapText="1"/>
      <protection locked="0"/>
    </xf>
    <xf numFmtId="268" fontId="2" fillId="5" borderId="3" xfId="0" applyNumberFormat="1" applyFont="1" applyFill="1" applyBorder="1" applyAlignment="1">
      <alignment horizontal="right" vertical="distributed" wrapText="1"/>
      <protection locked="0"/>
    </xf>
    <xf numFmtId="268" fontId="2" fillId="5" borderId="28" xfId="0" applyNumberFormat="1" applyFont="1" applyFill="1" applyBorder="1" applyAlignment="1">
      <alignment horizontal="right" vertical="distributed" wrapText="1"/>
      <protection locked="0"/>
    </xf>
    <xf numFmtId="268" fontId="2" fillId="0" borderId="7" xfId="0" applyNumberFormat="1" applyFont="1" applyBorder="1" applyAlignment="1">
      <alignment horizontal="right" vertical="distributed" wrapText="1"/>
      <protection locked="0"/>
    </xf>
    <xf numFmtId="10" fontId="1" fillId="0" borderId="0" xfId="46" applyNumberFormat="1" applyFont="1"/>
    <xf numFmtId="268" fontId="26" fillId="11" borderId="25" xfId="0" applyNumberFormat="1" applyFont="1" applyFill="1" applyBorder="1" applyAlignment="1">
      <alignment horizontal="right" vertical="distributed" wrapText="1"/>
      <protection locked="0"/>
    </xf>
    <xf numFmtId="280" fontId="2" fillId="0" borderId="0" xfId="1002" applyNumberFormat="1" applyFont="1" applyBorder="1"/>
    <xf numFmtId="43" fontId="33" fillId="0" borderId="0" xfId="1463" applyNumberFormat="1" applyFont="1" applyAlignment="1"/>
    <xf numFmtId="38" fontId="206" fillId="0" borderId="0" xfId="1463" applyNumberFormat="1" applyFont="1" applyAlignment="1">
      <alignment horizontal="center" vertical="center"/>
    </xf>
    <xf numFmtId="38" fontId="216" fillId="32" borderId="21" xfId="1463" applyNumberFormat="1" applyFont="1" applyFill="1" applyBorder="1" applyAlignment="1">
      <alignment horizontal="center" vertical="center"/>
    </xf>
    <xf numFmtId="38" fontId="216" fillId="32" borderId="10" xfId="1463" applyNumberFormat="1" applyFont="1" applyFill="1" applyBorder="1" applyAlignment="1">
      <alignment horizontal="center" vertical="center"/>
    </xf>
    <xf numFmtId="38" fontId="216" fillId="32" borderId="27" xfId="1463" applyNumberFormat="1" applyFont="1" applyFill="1" applyBorder="1" applyAlignment="1">
      <alignment horizontal="center" vertical="center"/>
    </xf>
    <xf numFmtId="38" fontId="216" fillId="32" borderId="19" xfId="1463" applyNumberFormat="1" applyFont="1" applyFill="1" applyBorder="1" applyAlignment="1">
      <alignment horizontal="center" vertical="center"/>
    </xf>
    <xf numFmtId="38" fontId="216" fillId="32" borderId="13" xfId="1463" applyNumberFormat="1" applyFont="1" applyFill="1" applyBorder="1" applyAlignment="1">
      <alignment horizontal="center" vertical="center"/>
    </xf>
    <xf numFmtId="38" fontId="216" fillId="32" borderId="14" xfId="1463" applyNumberFormat="1" applyFont="1" applyFill="1" applyBorder="1" applyAlignment="1">
      <alignment horizontal="center" vertical="center"/>
    </xf>
    <xf numFmtId="38" fontId="216" fillId="32" borderId="3" xfId="1463" applyNumberFormat="1" applyFont="1" applyFill="1" applyBorder="1" applyAlignment="1">
      <alignment horizontal="center" vertical="center"/>
    </xf>
    <xf numFmtId="38" fontId="216" fillId="32" borderId="28" xfId="1463" applyNumberFormat="1" applyFont="1" applyFill="1" applyBorder="1" applyAlignment="1">
      <alignment horizontal="center" vertical="center"/>
    </xf>
    <xf numFmtId="270" fontId="26" fillId="29" borderId="7" xfId="1002" applyNumberFormat="1" applyFont="1" applyFill="1" applyBorder="1" applyAlignment="1">
      <alignment horizontal="center"/>
    </xf>
    <xf numFmtId="270" fontId="49" fillId="29" borderId="7" xfId="1002" applyNumberFormat="1" applyFont="1" applyFill="1" applyBorder="1" applyAlignment="1">
      <alignment horizontal="center"/>
    </xf>
    <xf numFmtId="10" fontId="26" fillId="29" borderId="13" xfId="45" applyNumberFormat="1" applyFont="1" applyFill="1" applyBorder="1"/>
    <xf numFmtId="10" fontId="49" fillId="29" borderId="13" xfId="45" applyNumberFormat="1" applyFont="1" applyFill="1" applyBorder="1"/>
    <xf numFmtId="44" fontId="217" fillId="33" borderId="0" xfId="1483" applyFont="1" applyFill="1" applyBorder="1" applyAlignment="1">
      <alignment horizontal="center" vertical="center"/>
    </xf>
    <xf numFmtId="2" fontId="78" fillId="0" borderId="19" xfId="1002" applyNumberFormat="1" applyFont="1" applyBorder="1" applyAlignment="1">
      <alignment horizontal="center"/>
    </xf>
    <xf numFmtId="2" fontId="78" fillId="0" borderId="0" xfId="1002" applyNumberFormat="1" applyFont="1" applyBorder="1" applyAlignment="1">
      <alignment horizontal="center"/>
    </xf>
    <xf numFmtId="2" fontId="197" fillId="8" borderId="0" xfId="1002" applyNumberFormat="1" applyFont="1" applyFill="1" applyBorder="1" applyAlignment="1">
      <alignment horizontal="center"/>
    </xf>
    <xf numFmtId="2" fontId="190" fillId="11" borderId="0" xfId="1002" applyNumberFormat="1" applyFont="1" applyFill="1" applyBorder="1" applyAlignment="1">
      <alignment horizontal="center"/>
    </xf>
    <xf numFmtId="10" fontId="0" fillId="0" borderId="0" xfId="0" applyNumberFormat="1">
      <protection locked="0"/>
    </xf>
    <xf numFmtId="0" fontId="26" fillId="0" borderId="3" xfId="1002" applyFont="1" applyBorder="1" applyAlignment="1">
      <alignment horizontal="center"/>
    </xf>
    <xf numFmtId="0" fontId="190" fillId="0" borderId="0" xfId="1002" applyFont="1" applyBorder="1" applyAlignment="1" applyProtection="1">
      <alignment horizontal="right" vertical="distributed" textRotation="90" wrapText="1"/>
      <protection locked="0"/>
    </xf>
    <xf numFmtId="189" fontId="61" fillId="8" borderId="0" xfId="45" applyNumberFormat="1" applyFont="1" applyFill="1" applyAlignment="1">
      <alignment horizontal="center"/>
    </xf>
    <xf numFmtId="0" fontId="26" fillId="0" borderId="0" xfId="1002" applyFont="1" applyBorder="1" applyAlignment="1">
      <alignment horizontal="center"/>
    </xf>
    <xf numFmtId="0" fontId="26" fillId="11" borderId="3" xfId="1002" applyFont="1" applyFill="1" applyBorder="1" applyAlignment="1">
      <alignment horizontal="center"/>
    </xf>
    <xf numFmtId="0" fontId="61" fillId="8" borderId="0" xfId="1463" applyFont="1" applyFill="1" applyAlignment="1">
      <alignment horizontal="center"/>
    </xf>
    <xf numFmtId="0" fontId="26" fillId="29" borderId="3" xfId="1468" applyFont="1" applyFill="1" applyBorder="1" applyAlignment="1">
      <alignment horizontal="left"/>
    </xf>
    <xf numFmtId="0" fontId="37" fillId="11" borderId="3" xfId="1002" applyFont="1" applyFill="1" applyBorder="1" applyAlignment="1">
      <alignment horizontal="center"/>
    </xf>
    <xf numFmtId="0" fontId="211" fillId="0" borderId="19" xfId="0" applyFont="1" applyBorder="1" applyAlignment="1">
      <alignment horizontal="left" vertical="top" wrapText="1"/>
      <protection locked="0"/>
    </xf>
    <xf numFmtId="0" fontId="211" fillId="0" borderId="0" xfId="0" applyFont="1" applyAlignment="1">
      <alignment horizontal="left" vertical="top" wrapText="1"/>
      <protection locked="0"/>
    </xf>
    <xf numFmtId="0" fontId="122" fillId="31" borderId="0" xfId="1286" applyFill="1">
      <alignment horizontal="right" vertical="top" wrapText="1"/>
    </xf>
  </cellXfs>
  <cellStyles count="1484">
    <cellStyle name="_x000a_386grabber=M" xfId="1" xr:uid="{00000000-0005-0000-0000-000006000000}"/>
    <cellStyle name="_x000d__x000a_JournalTemplate=C:\COMFO\CTALK\JOURSTD.TPL_x000d__x000a_LbStateAddress=3 3 0 251 1 89 2 311_x000d__x000a_LbStateJou" xfId="2" xr:uid="{00000000-0005-0000-0000-000008000000}"/>
    <cellStyle name="_%(SignOnly)" xfId="106" xr:uid="{00000000-0005-0000-0000-000088000000}"/>
    <cellStyle name="_%(SignOnly)_01 model" xfId="107" xr:uid="{00000000-0005-0000-0000-000089000000}"/>
    <cellStyle name="_%(SignOnly)_02 Potential Partner Ability to Pay Analysis2" xfId="108" xr:uid="{00000000-0005-0000-0000-00008A000000}"/>
    <cellStyle name="_%(SignOnly)_12 Merger Plans" xfId="109" xr:uid="{00000000-0005-0000-0000-00008B000000}"/>
    <cellStyle name="_%(SignOnly)_AVP - prev. 06 financials" xfId="110" xr:uid="{00000000-0005-0000-0000-00008C000000}"/>
    <cellStyle name="_%(SignOnly)_AVP - prev. 06 financials_BCE Model 1-8-07" xfId="111" xr:uid="{00000000-0005-0000-0000-00008D000000}"/>
    <cellStyle name="_%(SignOnly)_bank_csc_Q2_2001_c1" xfId="112" xr:uid="{00000000-0005-0000-0000-00008E000000}"/>
    <cellStyle name="_%(SignOnly)_bank_csc_Q2_2001_c1_BCE Model 1-8-07" xfId="113" xr:uid="{00000000-0005-0000-0000-00008F000000}"/>
    <cellStyle name="_%(SignOnly)_FigTech Merger Model_02" xfId="114" xr:uid="{00000000-0005-0000-0000-000090000000}"/>
    <cellStyle name="_%(SignOnly)_Football Field" xfId="115" xr:uid="{00000000-0005-0000-0000-000091000000}"/>
    <cellStyle name="_%(SignOnly)_Football Field_BCE Model 1-8-07" xfId="116" xr:uid="{00000000-0005-0000-0000-000092000000}"/>
    <cellStyle name="_%(SignOnly)_PNC_merger_plan_divestitures_05" xfId="117" xr:uid="{00000000-0005-0000-0000-000093000000}"/>
    <cellStyle name="_%(SignOnly)_Summary Valuation Analysis" xfId="118" xr:uid="{00000000-0005-0000-0000-000094000000}"/>
    <cellStyle name="_%(SignOnly)_Synergies" xfId="119" xr:uid="{00000000-0005-0000-0000-000095000000}"/>
    <cellStyle name="_%(SignSpaceOnly)" xfId="120" xr:uid="{00000000-0005-0000-0000-000096000000}"/>
    <cellStyle name="_%(SignSpaceOnly)_01 model" xfId="121" xr:uid="{00000000-0005-0000-0000-000097000000}"/>
    <cellStyle name="_%(SignSpaceOnly)_02 Potential Partner Ability to Pay Analysis2" xfId="122" xr:uid="{00000000-0005-0000-0000-000098000000}"/>
    <cellStyle name="_%(SignSpaceOnly)_12 Merger Plans" xfId="123" xr:uid="{00000000-0005-0000-0000-000099000000}"/>
    <cellStyle name="_%(SignSpaceOnly)_AVP - prev. 06 financials" xfId="124" xr:uid="{00000000-0005-0000-0000-00009A000000}"/>
    <cellStyle name="_%(SignSpaceOnly)_AVP - prev. 06 financials_BCE Model 1-8-07" xfId="125" xr:uid="{00000000-0005-0000-0000-00009B000000}"/>
    <cellStyle name="_%(SignSpaceOnly)_bank_csc_Q2_2001_c1" xfId="126" xr:uid="{00000000-0005-0000-0000-00009C000000}"/>
    <cellStyle name="_%(SignSpaceOnly)_bank_csc_Q2_2001_c1_BCE Model 1-8-07" xfId="127" xr:uid="{00000000-0005-0000-0000-00009D000000}"/>
    <cellStyle name="_%(SignSpaceOnly)_FigTech Merger Model_02" xfId="128" xr:uid="{00000000-0005-0000-0000-00009E000000}"/>
    <cellStyle name="_%(SignSpaceOnly)_Football Field" xfId="129" xr:uid="{00000000-0005-0000-0000-00009F000000}"/>
    <cellStyle name="_%(SignSpaceOnly)_Football Field_BCE Model 1-8-07" xfId="130" xr:uid="{00000000-0005-0000-0000-0000A0000000}"/>
    <cellStyle name="_%(SignSpaceOnly)_PNC_merger_plan_divestitures_05" xfId="131" xr:uid="{00000000-0005-0000-0000-0000A1000000}"/>
    <cellStyle name="_%(SignSpaceOnly)_Summary Valuation Analysis" xfId="132" xr:uid="{00000000-0005-0000-0000-0000A2000000}"/>
    <cellStyle name="_%(SignSpaceOnly)_Synergies" xfId="133" xr:uid="{00000000-0005-0000-0000-0000A3000000}"/>
    <cellStyle name="_$accounting" xfId="102" xr:uid="{00000000-0005-0000-0000-000084000000}"/>
    <cellStyle name="_$accounting_BCE Model 1-8-07" xfId="103" xr:uid="{00000000-0005-0000-0000-000085000000}"/>
    <cellStyle name="_$accounting_PNC_merger_plan_divestitures_05" xfId="104" xr:uid="{00000000-0005-0000-0000-000086000000}"/>
    <cellStyle name="_$accounting_PNC_merger_plan_divestitures_05_BCE Model 1-8-07" xfId="105" xr:uid="{00000000-0005-0000-0000-000087000000}"/>
    <cellStyle name="_051129 DCF Summary" xfId="134" xr:uid="{00000000-0005-0000-0000-0000A4000000}"/>
    <cellStyle name="_101306 CanWest Excel BAck up v14" xfId="135" xr:uid="{00000000-0005-0000-0000-0000A5000000}"/>
    <cellStyle name="_3.33.Data" xfId="136" xr:uid="{00000000-0005-0000-0000-0000A6000000}"/>
    <cellStyle name="_3.40.NWC" xfId="137" xr:uid="{00000000-0005-0000-0000-0000A7000000}"/>
    <cellStyle name="_3.49.WACC" xfId="138" xr:uid="{00000000-0005-0000-0000-0000A8000000}"/>
    <cellStyle name="_accounting" xfId="139" xr:uid="{00000000-0005-0000-0000-0000A9000000}"/>
    <cellStyle name="_accounting_BCE Model 1-8-07" xfId="140" xr:uid="{00000000-0005-0000-0000-0000AA000000}"/>
    <cellStyle name="_accounting_monet_final_w_output" xfId="141" xr:uid="{00000000-0005-0000-0000-0000AB000000}"/>
    <cellStyle name="_accounting_monet_final_w_output_BCE Model 1-8-07" xfId="142" xr:uid="{00000000-0005-0000-0000-0000AC000000}"/>
    <cellStyle name="_Altman Model_6.18.07_DRIVERS" xfId="143" xr:uid="{00000000-0005-0000-0000-0000AD000000}"/>
    <cellStyle name="_Barnet_LBO_05.18.05" xfId="144" xr:uid="{00000000-0005-0000-0000-0000AE000000}"/>
    <cellStyle name="_Barnet_LBO_05.18.05_Bison LBO Analysis_Sponsor_02.07.07" xfId="145" xr:uid="{00000000-0005-0000-0000-0000AF000000}"/>
    <cellStyle name="_Barnet_LBO_05.18.05_Bison LBO Analysis_Sponsor_02.07.07_1" xfId="146" xr:uid="{00000000-0005-0000-0000-0000B0000000}"/>
    <cellStyle name="_BCE Model 1-8-07" xfId="147" xr:uid="{00000000-0005-0000-0000-0000B1000000}"/>
    <cellStyle name="_BU Rollup" xfId="148" xr:uid="{00000000-0005-0000-0000-0000B2000000}"/>
    <cellStyle name="_BUY" xfId="149" xr:uid="{00000000-0005-0000-0000-0000B3000000}"/>
    <cellStyle name="_Check of Synergy DCFs 11-01-04_v5" xfId="150" xr:uid="{00000000-0005-0000-0000-0000B4000000}"/>
    <cellStyle name="_CKFR Model 11-30-06" xfId="151" xr:uid="{00000000-0005-0000-0000-0000B5000000}"/>
    <cellStyle name="_COMBO PAGESv.5" xfId="152" xr:uid="{00000000-0005-0000-0000-0000B6000000}"/>
    <cellStyle name="_Comma" xfId="153" xr:uid="{00000000-0005-0000-0000-0000B7000000}"/>
    <cellStyle name="_Comma_01 Fig Tech CSC 1Q03" xfId="156" xr:uid="{00000000-0005-0000-0000-0000BA000000}"/>
    <cellStyle name="_Comma_01 Financial Model" xfId="157" xr:uid="{00000000-0005-0000-0000-0000BB000000}"/>
    <cellStyle name="_Comma_01 Template without numbers sent out" xfId="158" xr:uid="{00000000-0005-0000-0000-0000BC000000}"/>
    <cellStyle name="_Comma_02 Potential Partner Ability to Pay Analysis2" xfId="159" xr:uid="{00000000-0005-0000-0000-0000BD000000}"/>
    <cellStyle name="_Comma_02 Quick Model_PQ Corporation" xfId="160" xr:uid="{00000000-0005-0000-0000-0000BE000000}"/>
    <cellStyle name="_Comma_101306 CanWest Excel BAck up v14" xfId="161" xr:uid="{00000000-0005-0000-0000-0000BF000000}"/>
    <cellStyle name="_Comma_12 Merger Plans" xfId="162" xr:uid="{00000000-0005-0000-0000-0000C0000000}"/>
    <cellStyle name="_Comma_20020403 Regional Data 04" xfId="163" xr:uid="{00000000-0005-0000-0000-0000C1000000}"/>
    <cellStyle name="_Comma_20020403 Regional Data 04 Final" xfId="164" xr:uid="{00000000-0005-0000-0000-0000C2000000}"/>
    <cellStyle name="_Comma_20020403 Template for Exchange - Regional Data 01" xfId="165" xr:uid="{00000000-0005-0000-0000-0000C3000000}"/>
    <cellStyle name="_Comma_20020404 Capex 02 All" xfId="166" xr:uid="{00000000-0005-0000-0000-0000C4000000}"/>
    <cellStyle name="_Comma_3.33.Data" xfId="167" xr:uid="{00000000-0005-0000-0000-0000C5000000}"/>
    <cellStyle name="_Comma_3.40.NWC" xfId="168" xr:uid="{00000000-0005-0000-0000-0000C6000000}"/>
    <cellStyle name="_Comma_accretion dilution analysis" xfId="169" xr:uid="{00000000-0005-0000-0000-0000C7000000}"/>
    <cellStyle name="_Comma_Accretion-(Dilution) Pearl" xfId="170" xr:uid="{00000000-0005-0000-0000-0000C8000000}"/>
    <cellStyle name="_Comma_Acquisition Ops 3" xfId="171" xr:uid="{00000000-0005-0000-0000-0000C9000000}"/>
    <cellStyle name="_Comma_AVP" xfId="172" xr:uid="{00000000-0005-0000-0000-0000CA000000}"/>
    <cellStyle name="_Comma_BCE Model 1-8-07" xfId="173" xr:uid="{00000000-0005-0000-0000-0000CB000000}"/>
    <cellStyle name="_Comma_Book1" xfId="174" xr:uid="{00000000-0005-0000-0000-0000CC000000}"/>
    <cellStyle name="_Comma_Book2" xfId="175" xr:uid="{00000000-0005-0000-0000-0000CD000000}"/>
    <cellStyle name="_Comma_buyer_analysis" xfId="176" xr:uid="{00000000-0005-0000-0000-0000CE000000}"/>
    <cellStyle name="_Comma_Check of Synergy DCFs 11-01-04_v5" xfId="177" xr:uid="{00000000-0005-0000-0000-0000CF000000}"/>
    <cellStyle name="_Comma_CKFR Model 11-30-06" xfId="178" xr:uid="{00000000-0005-0000-0000-0000D0000000}"/>
    <cellStyle name="_Comma_Comparative Balance Sheets" xfId="179" xr:uid="{00000000-0005-0000-0000-0000D1000000}"/>
    <cellStyle name="_Comma_Copy of Leveraged Buyouts &amp; LBO Analysis (Ch. 4 &amp; 5) 11.3.08 (Submitted 2)" xfId="180" xr:uid="{00000000-0005-0000-0000-0000D2000000}"/>
    <cellStyle name="_Comma_Copy of Leveraged Buyouts &amp; LBO Analysis v12.8.08" xfId="181" xr:uid="{00000000-0005-0000-0000-0000D3000000}"/>
    <cellStyle name="_Comma_CSC with WACC" xfId="182" xr:uid="{00000000-0005-0000-0000-0000D4000000}"/>
    <cellStyle name="_Comma_Dave Model Final v 1" xfId="183" xr:uid="{00000000-0005-0000-0000-0000D5000000}"/>
    <cellStyle name="_Comma_DCF Analysis" xfId="184" xr:uid="{00000000-0005-0000-0000-0000D6000000}"/>
    <cellStyle name="_Comma_DIS Go Private Analysis v23" xfId="185" xr:uid="{00000000-0005-0000-0000-0000D7000000}"/>
    <cellStyle name="_Comma_Eagle Ridge Cash Flow 01-10-02_GS" xfId="186" xr:uid="{00000000-0005-0000-0000-0000D8000000}"/>
    <cellStyle name="_Comma_Excel Inserts_v4" xfId="187" xr:uid="{00000000-0005-0000-0000-0000D9000000}"/>
    <cellStyle name="_Comma_Final Canadian Bank Comp (sent to IBD)FORM" xfId="188" xr:uid="{00000000-0005-0000-0000-0000DA000000}"/>
    <cellStyle name="_Comma_Football Field" xfId="189" xr:uid="{00000000-0005-0000-0000-0000DB000000}"/>
    <cellStyle name="_Comma_I" xfId="190" xr:uid="{00000000-0005-0000-0000-0000DC000000}"/>
    <cellStyle name="_Comma_IBES_EPS_Estimates" xfId="191" xr:uid="{00000000-0005-0000-0000-0000DD000000}"/>
    <cellStyle name="_Comma_Leveraged Buyouts &amp; LBO Analysis v12.8.08" xfId="192" xr:uid="{00000000-0005-0000-0000-0000DE000000}"/>
    <cellStyle name="_Comma_Master_Telecom_Equipment_CSCb" xfId="193" xr:uid="{00000000-0005-0000-0000-0000DF000000}"/>
    <cellStyle name="_Comma_Merger Model - Exec" xfId="194" xr:uid="{00000000-0005-0000-0000-0000E0000000}"/>
    <cellStyle name="_Comma_merger plans" xfId="195" xr:uid="{00000000-0005-0000-0000-0000E1000000}"/>
    <cellStyle name="_Comma_MotLion Projections may" xfId="196" xr:uid="{00000000-0005-0000-0000-0000E2000000}"/>
    <cellStyle name="_Comma_Old Intro" xfId="197" xr:uid="{00000000-0005-0000-0000-0000E3000000}"/>
    <cellStyle name="_Comma_Old Life CSC" xfId="198" xr:uid="{00000000-0005-0000-0000-0000E4000000}"/>
    <cellStyle name="_Comma_pace_merger plans" xfId="199" xr:uid="{00000000-0005-0000-0000-0000E5000000}"/>
    <cellStyle name="_Comma_Palm Model 10_05" xfId="200" xr:uid="{00000000-0005-0000-0000-0000E6000000}"/>
    <cellStyle name="_Comma_PNC_PF_2Q_update" xfId="201" xr:uid="{00000000-0005-0000-0000-0000E7000000}"/>
    <cellStyle name="_Comma_Potential Strategic Partners" xfId="202" xr:uid="{00000000-0005-0000-0000-0000E8000000}"/>
    <cellStyle name="_Comma_QVC LBO Model 2-12-03 v3" xfId="203" xr:uid="{00000000-0005-0000-0000-0000E9000000}"/>
    <cellStyle name="_Comma_RJB Long LBO LTM" xfId="204" xr:uid="{00000000-0005-0000-0000-0000EA000000}"/>
    <cellStyle name="_Comma_Summary Valuation Analysis" xfId="205" xr:uid="{00000000-0005-0000-0000-0000EB000000}"/>
    <cellStyle name="_Comma_Synergies" xfId="206" xr:uid="{00000000-0005-0000-0000-0000EC000000}"/>
    <cellStyle name="_Comma_Troon Financials 8-1-02" xfId="207" xr:uid="{00000000-0005-0000-0000-0000ED000000}"/>
    <cellStyle name="_Comma_Troon_EBITDA" xfId="208" xr:uid="{00000000-0005-0000-0000-0000EE000000}"/>
    <cellStyle name="_Comma_Valuation Overview - June 2001" xfId="209" xr:uid="{00000000-0005-0000-0000-0000EF000000}"/>
    <cellStyle name="_Comma_Valuation_Troon dpak 8-5-02 v3" xfId="210" xr:uid="{00000000-0005-0000-0000-0000F0000000}"/>
    <cellStyle name="_Comma[0]" xfId="154" xr:uid="{00000000-0005-0000-0000-0000B8000000}"/>
    <cellStyle name="_Comma[0]_BCE Model 1-8-07" xfId="155" xr:uid="{00000000-0005-0000-0000-0000B9000000}"/>
    <cellStyle name="_Copy of Comparable Companies (Ch. 1) v11.3.08 (Submitted 2)" xfId="211" xr:uid="{00000000-0005-0000-0000-0000F1000000}"/>
    <cellStyle name="_Copy of Leveraged Buyouts &amp; LBO Analysis (Ch. 4 &amp; 5) 11.3.08 (Submitted 2)" xfId="212" xr:uid="{00000000-0005-0000-0000-0000F2000000}"/>
    <cellStyle name="_Copy of Leveraged Buyouts &amp; LBO Analysis v12.8.08" xfId="213" xr:uid="{00000000-0005-0000-0000-0000F3000000}"/>
    <cellStyle name="_Copy of Precedent Transactions (Ch. 2) 11.3.08 (Submitted 2)" xfId="214" xr:uid="{00000000-0005-0000-0000-0000F4000000}"/>
    <cellStyle name="_Currency" xfId="215" xr:uid="{00000000-0005-0000-0000-0000F5000000}"/>
    <cellStyle name="_Currency_01 Fig Tech CSC 1Q03" xfId="218" xr:uid="{00000000-0005-0000-0000-0000F8000000}"/>
    <cellStyle name="_Currency_01 Financial Model" xfId="219" xr:uid="{00000000-0005-0000-0000-0000F9000000}"/>
    <cellStyle name="_Currency_01 Template without numbers sent out" xfId="220" xr:uid="{00000000-0005-0000-0000-0000FA000000}"/>
    <cellStyle name="_Currency_02 Financials" xfId="221" xr:uid="{00000000-0005-0000-0000-0000FB000000}"/>
    <cellStyle name="_Currency_02 Financials_BCE Model 1-8-07" xfId="222" xr:uid="{00000000-0005-0000-0000-0000FC000000}"/>
    <cellStyle name="_Currency_02 Potential Partner Ability to Pay Analysis2" xfId="223" xr:uid="{00000000-0005-0000-0000-0000FD000000}"/>
    <cellStyle name="_Currency_02 Quick Model_PQ Corporation" xfId="224" xr:uid="{00000000-0005-0000-0000-0000FE000000}"/>
    <cellStyle name="_Currency_04 Financials" xfId="225" xr:uid="{00000000-0005-0000-0000-0000FF000000}"/>
    <cellStyle name="_Currency_04 Financials_BCE Model 1-8-07" xfId="226" xr:uid="{00000000-0005-0000-0000-000000010000}"/>
    <cellStyle name="_Currency_101306 CanWest Excel BAck up v14" xfId="227" xr:uid="{00000000-0005-0000-0000-000001010000}"/>
    <cellStyle name="_Currency_101306 CanWest Excel BAck up v14_BCE LBO Analysis (02_4_07) MASTER V6" xfId="228" xr:uid="{00000000-0005-0000-0000-000002010000}"/>
    <cellStyle name="_Currency_101306 CanWest Excel BAck up v14_Bison LBO Analysis_Sponsors_03.06.07_to Citi" xfId="229" xr:uid="{00000000-0005-0000-0000-000003010000}"/>
    <cellStyle name="_Currency_101306 CanWest Excel BAck up v14_Bison LBO Analysis_Sponsors_TO CITI FOR FORMAT (2)" xfId="230" xr:uid="{00000000-0005-0000-0000-000004010000}"/>
    <cellStyle name="_Currency_101306 CanWest Excel BAck up v14_Bison LBO Analysis_Sponsors_TO CITI FOR FORMAT (2)_1" xfId="231" xr:uid="{00000000-0005-0000-0000-000005010000}"/>
    <cellStyle name="_Currency_12 Merger Plans" xfId="232" xr:uid="{00000000-0005-0000-0000-000006010000}"/>
    <cellStyle name="_Currency_20020403 Regional Data 04" xfId="233" xr:uid="{00000000-0005-0000-0000-000007010000}"/>
    <cellStyle name="_Currency_20020403 Regional Data 04 Final" xfId="234" xr:uid="{00000000-0005-0000-0000-000008010000}"/>
    <cellStyle name="_Currency_20020403 Template for Exchange - Regional Data 01" xfId="235" xr:uid="{00000000-0005-0000-0000-000009010000}"/>
    <cellStyle name="_Currency_20020404 Capex 02 All" xfId="236" xr:uid="{00000000-0005-0000-0000-00000A010000}"/>
    <cellStyle name="_Currency_3.33.Data" xfId="237" xr:uid="{00000000-0005-0000-0000-00000B010000}"/>
    <cellStyle name="_Currency_3.40.NWC" xfId="238" xr:uid="{00000000-0005-0000-0000-00000C010000}"/>
    <cellStyle name="_Currency_accretion dilution analysis" xfId="239" xr:uid="{00000000-0005-0000-0000-00000D010000}"/>
    <cellStyle name="_Currency_Accretion-(Dilution) Pearl" xfId="240" xr:uid="{00000000-0005-0000-0000-00000E010000}"/>
    <cellStyle name="_Currency_Acquisition Ops 3" xfId="241" xr:uid="{00000000-0005-0000-0000-00000F010000}"/>
    <cellStyle name="_Currency_Alamosa Merger" xfId="242" xr:uid="{00000000-0005-0000-0000-000010010000}"/>
    <cellStyle name="_Currency_Alamosa Standalone6" xfId="243" xr:uid="{00000000-0005-0000-0000-000011010000}"/>
    <cellStyle name="_Currency_Alamosa Standalone8b" xfId="244" xr:uid="{00000000-0005-0000-0000-000012010000}"/>
    <cellStyle name="_Currency_AVP" xfId="245" xr:uid="{00000000-0005-0000-0000-000013010000}"/>
    <cellStyle name="_Currency_AVP - prev. 06 financials" xfId="246" xr:uid="{00000000-0005-0000-0000-000014010000}"/>
    <cellStyle name="_Currency_AVP - prev. 06 financials_BCE Model 1-8-07" xfId="247" xr:uid="{00000000-0005-0000-0000-000015010000}"/>
    <cellStyle name="_Currency_avp_Palm Model 10_05" xfId="248" xr:uid="{00000000-0005-0000-0000-000016010000}"/>
    <cellStyle name="_Currency_bank_csc_Q2_2001_c1" xfId="249" xr:uid="{00000000-0005-0000-0000-000017010000}"/>
    <cellStyle name="_Currency_BCE Model 1-8-07" xfId="250" xr:uid="{00000000-0005-0000-0000-000018010000}"/>
    <cellStyle name="_Currency_Book1" xfId="251" xr:uid="{00000000-0005-0000-0000-000019010000}"/>
    <cellStyle name="_Currency_Book2" xfId="252" xr:uid="{00000000-0005-0000-0000-00001A010000}"/>
    <cellStyle name="_Currency_Buyer List" xfId="253" xr:uid="{00000000-0005-0000-0000-00001B010000}"/>
    <cellStyle name="_Currency_Buyer List_BCE Model 1-8-07" xfId="254" xr:uid="{00000000-0005-0000-0000-00001C010000}"/>
    <cellStyle name="_Currency_buyer_analysis" xfId="255" xr:uid="{00000000-0005-0000-0000-00001D010000}"/>
    <cellStyle name="_Currency_Check of Synergy DCFs 11-01-04_v5" xfId="256" xr:uid="{00000000-0005-0000-0000-00001E010000}"/>
    <cellStyle name="_Currency_CKFR Model 11-30-06" xfId="257" xr:uid="{00000000-0005-0000-0000-00001F010000}"/>
    <cellStyle name="_Currency_com_ic_universe_6" xfId="258" xr:uid="{00000000-0005-0000-0000-000020010000}"/>
    <cellStyle name="_Currency_Combo RW 125" xfId="259" xr:uid="{00000000-0005-0000-0000-000021010000}"/>
    <cellStyle name="_Currency_Comparative Balance Sheets" xfId="260" xr:uid="{00000000-0005-0000-0000-000022010000}"/>
    <cellStyle name="_Currency_Copy of Leveraged Buyouts &amp; LBO Analysis (Ch. 4 &amp; 5) 11.3.08 (Submitted 2)" xfId="261" xr:uid="{00000000-0005-0000-0000-000023010000}"/>
    <cellStyle name="_Currency_Copy of Leveraged Buyouts &amp; LBO Analysis v12.8.08" xfId="262" xr:uid="{00000000-0005-0000-0000-000024010000}"/>
    <cellStyle name="_Currency_CSC Update_Status of Companies_11_19" xfId="263" xr:uid="{00000000-0005-0000-0000-000025010000}"/>
    <cellStyle name="_Currency_CSC with WACC" xfId="264" xr:uid="{00000000-0005-0000-0000-000026010000}"/>
    <cellStyle name="_Currency_CSC_Palm_Sum_of_Parts_4_20_01" xfId="265" xr:uid="{00000000-0005-0000-0000-000027010000}"/>
    <cellStyle name="_Currency_CSC_Palm_Sum_of_Parts_4_20_01_BCE Model 1-8-07" xfId="266" xr:uid="{00000000-0005-0000-0000-000028010000}"/>
    <cellStyle name="_Currency_CSC_Palm_Sum_of_Parts_5_23_01a" xfId="267" xr:uid="{00000000-0005-0000-0000-000029010000}"/>
    <cellStyle name="_Currency_CSC_Palm_Sum_of_Parts_5_23_01a_BCE Model 1-8-07" xfId="268" xr:uid="{00000000-0005-0000-0000-00002A010000}"/>
    <cellStyle name="_Currency_Dave Model Final v 1" xfId="269" xr:uid="{00000000-0005-0000-0000-00002B010000}"/>
    <cellStyle name="_Currency_DCF Analysis" xfId="270" xr:uid="{00000000-0005-0000-0000-00002C010000}"/>
    <cellStyle name="_Currency_DIS Go Private Analysis v23" xfId="271" xr:uid="{00000000-0005-0000-0000-00002D010000}"/>
    <cellStyle name="_Currency_Eagle Ridge Cash Flow 01-10-02_GS" xfId="272" xr:uid="{00000000-0005-0000-0000-00002E010000}"/>
    <cellStyle name="_Currency_Eutelsat and Capex Analysis" xfId="273" xr:uid="{00000000-0005-0000-0000-00002F010000}"/>
    <cellStyle name="_Currency_Excel Inserts_v4" xfId="274" xr:uid="{00000000-0005-0000-0000-000030010000}"/>
    <cellStyle name="_Currency_Final Canadian Bank Comp (sent to IBD)FORM" xfId="275" xr:uid="{00000000-0005-0000-0000-000031010000}"/>
    <cellStyle name="_Currency_Football Field" xfId="276" xr:uid="{00000000-0005-0000-0000-000032010000}"/>
    <cellStyle name="_Currency_GQ" xfId="277" xr:uid="{00000000-0005-0000-0000-000033010000}"/>
    <cellStyle name="_Currency_GS Model" xfId="278" xr:uid="{00000000-0005-0000-0000-000034010000}"/>
    <cellStyle name="_Currency_I" xfId="279" xr:uid="{00000000-0005-0000-0000-000035010000}"/>
    <cellStyle name="_Currency_IBES_EPS_Estimates" xfId="280" xr:uid="{00000000-0005-0000-0000-000036010000}"/>
    <cellStyle name="_Currency_Leveraged Buyouts &amp; LBO Analysis v12.8.08" xfId="281" xr:uid="{00000000-0005-0000-0000-000037010000}"/>
    <cellStyle name="_Currency_Master_Telecom_Equipment_CSCb" xfId="282" xr:uid="{00000000-0005-0000-0000-000038010000}"/>
    <cellStyle name="_Currency_Merger Model - Exec" xfId="283" xr:uid="{00000000-0005-0000-0000-000039010000}"/>
    <cellStyle name="_Currency_merger plans" xfId="284" xr:uid="{00000000-0005-0000-0000-00003A010000}"/>
    <cellStyle name="_Currency_monet2.4_temp" xfId="285" xr:uid="{00000000-0005-0000-0000-00003B010000}"/>
    <cellStyle name="_Currency_monet2.8" xfId="286" xr:uid="{00000000-0005-0000-0000-00003C010000}"/>
    <cellStyle name="_Currency_MotLion Projections may" xfId="287" xr:uid="{00000000-0005-0000-0000-00003D010000}"/>
    <cellStyle name="_Currency_Old Intro" xfId="288" xr:uid="{00000000-0005-0000-0000-00003E010000}"/>
    <cellStyle name="_Currency_Old Life CSC" xfId="289" xr:uid="{00000000-0005-0000-0000-00003F010000}"/>
    <cellStyle name="_Currency_pace_merger plans" xfId="290" xr:uid="{00000000-0005-0000-0000-000040010000}"/>
    <cellStyle name="_Currency_Palm Model 10_05" xfId="291" xr:uid="{00000000-0005-0000-0000-000041010000}"/>
    <cellStyle name="_Currency_pdf file" xfId="292" xr:uid="{00000000-0005-0000-0000-000042010000}"/>
    <cellStyle name="_Currency_PNC_PF_2Q_update" xfId="293" xr:uid="{00000000-0005-0000-0000-000043010000}"/>
    <cellStyle name="_Currency_Potential Strategic Partners" xfId="294" xr:uid="{00000000-0005-0000-0000-000044010000}"/>
    <cellStyle name="_Currency_QVC LBO Model 2-12-03 v3" xfId="295" xr:uid="{00000000-0005-0000-0000-000045010000}"/>
    <cellStyle name="_Currency_RJB Long LBO LTM" xfId="296" xr:uid="{00000000-0005-0000-0000-000046010000}"/>
    <cellStyle name="_Currency_Roberts Standalone14 Quarterly 2" xfId="297" xr:uid="{00000000-0005-0000-0000-000047010000}"/>
    <cellStyle name="_Currency_Sheet1" xfId="298" xr:uid="{00000000-0005-0000-0000-000048010000}"/>
    <cellStyle name="_Currency_Sheet1_BCE LBO Analysis (02_4_07) MASTER V6" xfId="299" xr:uid="{00000000-0005-0000-0000-000049010000}"/>
    <cellStyle name="_Currency_Sheet1_BCE Model 1-8-07" xfId="300" xr:uid="{00000000-0005-0000-0000-00004A010000}"/>
    <cellStyle name="_Currency_Sheet1_Bison LBO Analysis_Sponsors_03.06.07_to Citi" xfId="301" xr:uid="{00000000-0005-0000-0000-00004B010000}"/>
    <cellStyle name="_Currency_Sheet1_Bison LBO Analysis_Sponsors_TO CITI FOR FORMAT (2)" xfId="302" xr:uid="{00000000-0005-0000-0000-00004C010000}"/>
    <cellStyle name="_Currency_Sheet1_Bison LBO Analysis_Sponsors_TO CITI FOR FORMAT (2)_1" xfId="303" xr:uid="{00000000-0005-0000-0000-00004D010000}"/>
    <cellStyle name="_Currency_Summary Sheets2" xfId="304" xr:uid="{00000000-0005-0000-0000-00004E010000}"/>
    <cellStyle name="_Currency_Summary Valuation Analysis" xfId="305" xr:uid="{00000000-0005-0000-0000-00004F010000}"/>
    <cellStyle name="_Currency_Synergies" xfId="306" xr:uid="{00000000-0005-0000-0000-000050010000}"/>
    <cellStyle name="_Currency_Troon Financials 8-1-02" xfId="307" xr:uid="{00000000-0005-0000-0000-000051010000}"/>
    <cellStyle name="_Currency_Troon_EBITDA" xfId="308" xr:uid="{00000000-0005-0000-0000-000052010000}"/>
    <cellStyle name="_Currency_Valuation Overview - June 2001" xfId="309" xr:uid="{00000000-0005-0000-0000-000053010000}"/>
    <cellStyle name="_Currency_Valuation_Troon dpak 8-5-02 v3" xfId="310" xr:uid="{00000000-0005-0000-0000-000054010000}"/>
    <cellStyle name="_Currency_VIA_Evans NOL Analysis" xfId="311" xr:uid="{00000000-0005-0000-0000-000055010000}"/>
    <cellStyle name="_Currency_WOW Standalone Quarterly 2" xfId="312" xr:uid="{00000000-0005-0000-0000-000056010000}"/>
    <cellStyle name="_Currency_xratio - historical mkt val" xfId="313" xr:uid="{00000000-0005-0000-0000-000057010000}"/>
    <cellStyle name="_Currency(GBP)" xfId="216" xr:uid="{00000000-0005-0000-0000-0000F6000000}"/>
    <cellStyle name="_Currency(GBP)_BCE Model 1-8-07" xfId="217" xr:uid="{00000000-0005-0000-0000-0000F7000000}"/>
    <cellStyle name="_CurrencySpace" xfId="314" xr:uid="{00000000-0005-0000-0000-000058010000}"/>
    <cellStyle name="_CurrencySpace_01 Fig Tech CSC 1Q03" xfId="315" xr:uid="{00000000-0005-0000-0000-000059010000}"/>
    <cellStyle name="_CurrencySpace_01 Financial Model" xfId="316" xr:uid="{00000000-0005-0000-0000-00005A010000}"/>
    <cellStyle name="_CurrencySpace_01 Template without numbers sent out" xfId="317" xr:uid="{00000000-0005-0000-0000-00005B010000}"/>
    <cellStyle name="_CurrencySpace_02 Financials" xfId="318" xr:uid="{00000000-0005-0000-0000-00005C010000}"/>
    <cellStyle name="_CurrencySpace_02 Financials_BCE Model 1-8-07" xfId="319" xr:uid="{00000000-0005-0000-0000-00005D010000}"/>
    <cellStyle name="_CurrencySpace_02 Potential Partner Ability to Pay Analysis2" xfId="320" xr:uid="{00000000-0005-0000-0000-00005E010000}"/>
    <cellStyle name="_CurrencySpace_02 Quick Model_PQ Corporation" xfId="321" xr:uid="{00000000-0005-0000-0000-00005F010000}"/>
    <cellStyle name="_CurrencySpace_04 Financials" xfId="322" xr:uid="{00000000-0005-0000-0000-000060010000}"/>
    <cellStyle name="_CurrencySpace_04 Financials_BCE Model 1-8-07" xfId="323" xr:uid="{00000000-0005-0000-0000-000061010000}"/>
    <cellStyle name="_CurrencySpace_101306 CanWest Excel BAck up v14" xfId="324" xr:uid="{00000000-0005-0000-0000-000062010000}"/>
    <cellStyle name="_CurrencySpace_12 Merger Plans" xfId="325" xr:uid="{00000000-0005-0000-0000-000063010000}"/>
    <cellStyle name="_CurrencySpace_20020326Viper Numbers sent out" xfId="326" xr:uid="{00000000-0005-0000-0000-000064010000}"/>
    <cellStyle name="_CurrencySpace_20020403 Regional Data 04" xfId="327" xr:uid="{00000000-0005-0000-0000-000065010000}"/>
    <cellStyle name="_CurrencySpace_20020403 Regional Data 04 Final" xfId="328" xr:uid="{00000000-0005-0000-0000-000066010000}"/>
    <cellStyle name="_CurrencySpace_20020403 Template for Exchange - Regional Data 01" xfId="329" xr:uid="{00000000-0005-0000-0000-000067010000}"/>
    <cellStyle name="_CurrencySpace_20020404 Capex 02 All" xfId="330" xr:uid="{00000000-0005-0000-0000-000068010000}"/>
    <cellStyle name="_CurrencySpace_20020405 Final Company Model" xfId="331" xr:uid="{00000000-0005-0000-0000-000069010000}"/>
    <cellStyle name="_CurrencySpace_3.33.Data" xfId="332" xr:uid="{00000000-0005-0000-0000-00006A010000}"/>
    <cellStyle name="_CurrencySpace_3.40.NWC" xfId="333" xr:uid="{00000000-0005-0000-0000-00006B010000}"/>
    <cellStyle name="_CurrencySpace_accretion dilution analysis" xfId="334" xr:uid="{00000000-0005-0000-0000-00006C010000}"/>
    <cellStyle name="_CurrencySpace_Accretion-(Dilution) Pearl" xfId="335" xr:uid="{00000000-0005-0000-0000-00006D010000}"/>
    <cellStyle name="_CurrencySpace_Acquisition Ops 3" xfId="336" xr:uid="{00000000-0005-0000-0000-00006E010000}"/>
    <cellStyle name="_CurrencySpace_April 2002 combined model - key factors only" xfId="337" xr:uid="{00000000-0005-0000-0000-00006F010000}"/>
    <cellStyle name="_CurrencySpace_April 2002 combined model - key factors only (rec 5 apr)" xfId="338" xr:uid="{00000000-0005-0000-0000-000070010000}"/>
    <cellStyle name="_CurrencySpace_AVP" xfId="339" xr:uid="{00000000-0005-0000-0000-000071010000}"/>
    <cellStyle name="_CurrencySpace_avp_Palm Model 10_05" xfId="340" xr:uid="{00000000-0005-0000-0000-000072010000}"/>
    <cellStyle name="_CurrencySpace_BCE Model 1-8-07" xfId="341" xr:uid="{00000000-0005-0000-0000-000073010000}"/>
    <cellStyle name="_CurrencySpace_Book1" xfId="342" xr:uid="{00000000-0005-0000-0000-000074010000}"/>
    <cellStyle name="_CurrencySpace_Book1_Merger Plan 2-10-04 GSIBDv3" xfId="343" xr:uid="{00000000-0005-0000-0000-000075010000}"/>
    <cellStyle name="_CurrencySpace_Book2" xfId="344" xr:uid="{00000000-0005-0000-0000-000076010000}"/>
    <cellStyle name="_CurrencySpace_buyer_analysis" xfId="345" xr:uid="{00000000-0005-0000-0000-000077010000}"/>
    <cellStyle name="_CurrencySpace_Check of Synergy DCFs 11-01-04_v5" xfId="346" xr:uid="{00000000-0005-0000-0000-000078010000}"/>
    <cellStyle name="_CurrencySpace_CKFR Model 11-30-06" xfId="347" xr:uid="{00000000-0005-0000-0000-000079010000}"/>
    <cellStyle name="_CurrencySpace_com_ic_universe_6" xfId="348" xr:uid="{00000000-0005-0000-0000-00007A010000}"/>
    <cellStyle name="_CurrencySpace_Comparative Balance Sheets" xfId="349" xr:uid="{00000000-0005-0000-0000-00007B010000}"/>
    <cellStyle name="_CurrencySpace_Copy of Leveraged Buyouts &amp; LBO Analysis (Ch. 4 &amp; 5) 11.3.08 (Submitted 2)" xfId="350" xr:uid="{00000000-0005-0000-0000-00007C010000}"/>
    <cellStyle name="_CurrencySpace_Copy of Leveraged Buyouts &amp; LBO Analysis v12.8.08" xfId="351" xr:uid="{00000000-0005-0000-0000-00007D010000}"/>
    <cellStyle name="_CurrencySpace_CSC Update_Status of Companies_11_19" xfId="352" xr:uid="{00000000-0005-0000-0000-00007E010000}"/>
    <cellStyle name="_CurrencySpace_CSC with WACC" xfId="353" xr:uid="{00000000-0005-0000-0000-00007F010000}"/>
    <cellStyle name="_CurrencySpace_CSC_Palm_Sum_of_Parts_4_20_01" xfId="354" xr:uid="{00000000-0005-0000-0000-000080010000}"/>
    <cellStyle name="_CurrencySpace_CSC_Palm_Sum_of_Parts_5_23_01a" xfId="355" xr:uid="{00000000-0005-0000-0000-000081010000}"/>
    <cellStyle name="_CurrencySpace_Dave Model Final v 1" xfId="356" xr:uid="{00000000-0005-0000-0000-000082010000}"/>
    <cellStyle name="_CurrencySpace_DCF Analysis" xfId="357" xr:uid="{00000000-0005-0000-0000-000083010000}"/>
    <cellStyle name="_CurrencySpace_DIS Go Private Analysis v23" xfId="358" xr:uid="{00000000-0005-0000-0000-000084010000}"/>
    <cellStyle name="_CurrencySpace_Eagle Ridge Cash Flow 01-10-02_GS" xfId="359" xr:uid="{00000000-0005-0000-0000-000085010000}"/>
    <cellStyle name="_CurrencySpace_Excel Inserts_v4" xfId="360" xr:uid="{00000000-0005-0000-0000-000086010000}"/>
    <cellStyle name="_CurrencySpace_Final Canadian Bank Comp (sent to IBD)FORM" xfId="361" xr:uid="{00000000-0005-0000-0000-000087010000}"/>
    <cellStyle name="_CurrencySpace_Football Field" xfId="362" xr:uid="{00000000-0005-0000-0000-000088010000}"/>
    <cellStyle name="_CurrencySpace_I" xfId="363" xr:uid="{00000000-0005-0000-0000-000089010000}"/>
    <cellStyle name="_CurrencySpace_IBES_EPS_Estimates" xfId="364" xr:uid="{00000000-0005-0000-0000-00008A010000}"/>
    <cellStyle name="_CurrencySpace_Leveraged Buyouts &amp; LBO Analysis v12.8.08" xfId="365" xr:uid="{00000000-0005-0000-0000-00008B010000}"/>
    <cellStyle name="_CurrencySpace_Master_Telecom_Equipment_CSCb" xfId="366" xr:uid="{00000000-0005-0000-0000-00008C010000}"/>
    <cellStyle name="_CurrencySpace_Merger Model - Exec" xfId="367" xr:uid="{00000000-0005-0000-0000-00008D010000}"/>
    <cellStyle name="_CurrencySpace_merger plans" xfId="368" xr:uid="{00000000-0005-0000-0000-00008E010000}"/>
    <cellStyle name="_CurrencySpace_monet2.4" xfId="369" xr:uid="{00000000-0005-0000-0000-00008F010000}"/>
    <cellStyle name="_CurrencySpace_monet2.4_temp" xfId="370" xr:uid="{00000000-0005-0000-0000-000090010000}"/>
    <cellStyle name="_CurrencySpace_monet2.8" xfId="371" xr:uid="{00000000-0005-0000-0000-000091010000}"/>
    <cellStyle name="_CurrencySpace_MotLion Projections may" xfId="372" xr:uid="{00000000-0005-0000-0000-000092010000}"/>
    <cellStyle name="_CurrencySpace_Old Intro" xfId="373" xr:uid="{00000000-0005-0000-0000-000093010000}"/>
    <cellStyle name="_CurrencySpace_Old Life CSC" xfId="374" xr:uid="{00000000-0005-0000-0000-000094010000}"/>
    <cellStyle name="_CurrencySpace_pace_merger plans" xfId="375" xr:uid="{00000000-0005-0000-0000-000095010000}"/>
    <cellStyle name="_CurrencySpace_Palm Model 10_05" xfId="376" xr:uid="{00000000-0005-0000-0000-000096010000}"/>
    <cellStyle name="_CurrencySpace_pdf file" xfId="377" xr:uid="{00000000-0005-0000-0000-000097010000}"/>
    <cellStyle name="_CurrencySpace_PNC_PF_2Q_update" xfId="378" xr:uid="{00000000-0005-0000-0000-000098010000}"/>
    <cellStyle name="_CurrencySpace_Potential Strategic Partners" xfId="379" xr:uid="{00000000-0005-0000-0000-000099010000}"/>
    <cellStyle name="_CurrencySpace_QVC LBO Model 2-12-03 v3" xfId="380" xr:uid="{00000000-0005-0000-0000-00009A010000}"/>
    <cellStyle name="_CurrencySpace_RJB Long LBO LTM" xfId="381" xr:uid="{00000000-0005-0000-0000-00009B010000}"/>
    <cellStyle name="_CurrencySpace_Stallion Analysis_a" xfId="382" xr:uid="{00000000-0005-0000-0000-00009C010000}"/>
    <cellStyle name="_CurrencySpace_Summary Valuation Analysis" xfId="383" xr:uid="{00000000-0005-0000-0000-00009D010000}"/>
    <cellStyle name="_CurrencySpace_Synergies" xfId="384" xr:uid="{00000000-0005-0000-0000-00009E010000}"/>
    <cellStyle name="_CurrencySpace_Troon Financials 8-1-02" xfId="385" xr:uid="{00000000-0005-0000-0000-00009F010000}"/>
    <cellStyle name="_CurrencySpace_Troon_EBITDA" xfId="386" xr:uid="{00000000-0005-0000-0000-0000A0010000}"/>
    <cellStyle name="_CurrencySpace_Valuation Overview - June 2001" xfId="387" xr:uid="{00000000-0005-0000-0000-0000A1010000}"/>
    <cellStyle name="_CurrencySpace_Valuation_Troon dpak 8-5-02 v3" xfId="388" xr:uid="{00000000-0005-0000-0000-0000A2010000}"/>
    <cellStyle name="_date" xfId="389" xr:uid="{00000000-0005-0000-0000-0000A3010000}"/>
    <cellStyle name="_Dave Model Final v 1" xfId="390" xr:uid="{00000000-0005-0000-0000-0000A4010000}"/>
    <cellStyle name="_DIS Go Private Analysis v23" xfId="391" xr:uid="{00000000-0005-0000-0000-0000A5010000}"/>
    <cellStyle name="_Dollar" xfId="392" xr:uid="{00000000-0005-0000-0000-0000A6010000}"/>
    <cellStyle name="_Euro" xfId="393" xr:uid="{00000000-0005-0000-0000-0000A7010000}"/>
    <cellStyle name="_Euro_accretion dilution analysis" xfId="394" xr:uid="{00000000-0005-0000-0000-0000A8010000}"/>
    <cellStyle name="_Euro_CSC_Palm_Sum_of_Parts_5_23_01a" xfId="395" xr:uid="{00000000-0005-0000-0000-0000A9010000}"/>
    <cellStyle name="_Euro_Financials Layout dpak 9-26-01 v1" xfId="396" xr:uid="{00000000-0005-0000-0000-0000AA010000}"/>
    <cellStyle name="_Euro_IBES_EPS_Estimates" xfId="397" xr:uid="{00000000-0005-0000-0000-0000AB010000}"/>
    <cellStyle name="_Euro_Palm Model 10_05" xfId="398" xr:uid="{00000000-0005-0000-0000-0000AC010000}"/>
    <cellStyle name="_Euro_Potential Strategic Partners" xfId="399" xr:uid="{00000000-0005-0000-0000-0000AD010000}"/>
    <cellStyle name="_Euro_Simple Merger Plans" xfId="400" xr:uid="{00000000-0005-0000-0000-0000AE010000}"/>
    <cellStyle name="_Excel Inserts_v4" xfId="401" xr:uid="{00000000-0005-0000-0000-0000AF010000}"/>
    <cellStyle name="_GBP" xfId="402" xr:uid="{00000000-0005-0000-0000-0000B0010000}"/>
    <cellStyle name="_GBP_BCE Model 1-8-07" xfId="403" xr:uid="{00000000-0005-0000-0000-0000B1010000}"/>
    <cellStyle name="_GBP_BCE Model 1-8-07_Bison LBO Analysis_Sponsor_02.07.07" xfId="404" xr:uid="{00000000-0005-0000-0000-0000B2010000}"/>
    <cellStyle name="_GS Equity Research Driver Comparison" xfId="405" xr:uid="{00000000-0005-0000-0000-0000B3010000}"/>
    <cellStyle name="_GS Model" xfId="406" xr:uid="{00000000-0005-0000-0000-0000B4010000}"/>
    <cellStyle name="_GS Model of VSTR" xfId="407" xr:uid="{00000000-0005-0000-0000-0000B5010000}"/>
    <cellStyle name="_Heading" xfId="408" xr:uid="{00000000-0005-0000-0000-0000B6010000}"/>
    <cellStyle name="_Heading_01 Selected Financials_Salt Business" xfId="409" xr:uid="{00000000-0005-0000-0000-0000B7010000}"/>
    <cellStyle name="_Heading_02 Quick Model_PQ Corporation" xfId="410" xr:uid="{00000000-0005-0000-0000-0000B8010000}"/>
    <cellStyle name="_Heading_06 Analysis at Various Prices" xfId="411" xr:uid="{00000000-0005-0000-0000-0000B9010000}"/>
    <cellStyle name="_Heading_Dave Model Final v 1" xfId="412" xr:uid="{00000000-0005-0000-0000-0000BA010000}"/>
    <cellStyle name="_Heading_Final Canadian Bank Comp (sent to IBD)FORM" xfId="413" xr:uid="{00000000-0005-0000-0000-0000BB010000}"/>
    <cellStyle name="_Heading_lbo_long_model" xfId="414" xr:uid="{00000000-0005-0000-0000-0000BC010000}"/>
    <cellStyle name="_Heading_MAXF historical financials" xfId="415" xr:uid="{00000000-0005-0000-0000-0000BD010000}"/>
    <cellStyle name="_Heading_PL Consolidated (2003)" xfId="416" xr:uid="{00000000-0005-0000-0000-0000BE010000}"/>
    <cellStyle name="_Heading_prestemp" xfId="417" xr:uid="{00000000-0005-0000-0000-0000BF010000}"/>
    <cellStyle name="_Heading_Summary Financials 04" xfId="418" xr:uid="{00000000-0005-0000-0000-0000C0010000}"/>
    <cellStyle name="_Headline" xfId="419" xr:uid="{00000000-0005-0000-0000-0000C1010000}"/>
    <cellStyle name="_Highlight" xfId="420" xr:uid="{00000000-0005-0000-0000-0000C2010000}"/>
    <cellStyle name="_Highlight_accretion dilution analysis" xfId="421" xr:uid="{00000000-0005-0000-0000-0000C3010000}"/>
    <cellStyle name="_Highlight_Advance Summary 04" xfId="422" xr:uid="{00000000-0005-0000-0000-0000C4010000}"/>
    <cellStyle name="_Highlight_Assumptions" xfId="423" xr:uid="{00000000-0005-0000-0000-0000C5010000}"/>
    <cellStyle name="_Highlight_CSC_Palm_Sum_of_Parts_5_23_01a" xfId="424" xr:uid="{00000000-0005-0000-0000-0000C6010000}"/>
    <cellStyle name="_Highlight_Data Dailies Strategic Plan-CT" xfId="425" xr:uid="{00000000-0005-0000-0000-0000C7010000}"/>
    <cellStyle name="_Highlight_Dave Model Final v 1" xfId="426" xr:uid="{00000000-0005-0000-0000-0000C8010000}"/>
    <cellStyle name="_Highlight_Expenses_V6" xfId="427" xr:uid="{00000000-0005-0000-0000-0000C9010000}"/>
    <cellStyle name="_Highlight_Final-Consolidated-Dave-10" xfId="428" xr:uid="{00000000-0005-0000-0000-0000CA010000}"/>
    <cellStyle name="_Highlight_Financials Layout dpak 9-26-01 v1" xfId="429" xr:uid="{00000000-0005-0000-0000-0000CB010000}"/>
    <cellStyle name="_Highlight_GS Long Form Model3 7-23-02 TROON v34" xfId="430" xr:uid="{00000000-0005-0000-0000-0000CC010000}"/>
    <cellStyle name="_Highlight_Historical Financials" xfId="431" xr:uid="{00000000-0005-0000-0000-0000CD010000}"/>
    <cellStyle name="_Highlight_IBES_EPS_Estimates" xfId="432" xr:uid="{00000000-0005-0000-0000-0000CE010000}"/>
    <cellStyle name="_Highlight_Lease Expiration Model" xfId="433" xr:uid="{00000000-0005-0000-0000-0000CF010000}"/>
    <cellStyle name="_Highlight_ModelDrivers1" xfId="434" xr:uid="{00000000-0005-0000-0000-0000D0010000}"/>
    <cellStyle name="_Highlight_Original Masters2002 Base Case Model 2-12-03 v1" xfId="435" xr:uid="{00000000-0005-0000-0000-0000D1010000}"/>
    <cellStyle name="_Highlight_Palm Model 10_05" xfId="436" xr:uid="{00000000-0005-0000-0000-0000D2010000}"/>
    <cellStyle name="_Highlight_PFOwnership" xfId="437" xr:uid="{00000000-0005-0000-0000-0000D3010000}"/>
    <cellStyle name="_Highlight_Potential Strategic Partners" xfId="438" xr:uid="{00000000-0005-0000-0000-0000D4010000}"/>
    <cellStyle name="_Highlight_Prospective Asset Sales v42" xfId="439" xr:uid="{00000000-0005-0000-0000-0000D5010000}"/>
    <cellStyle name="_Highlight_Simple Merger Plans" xfId="440" xr:uid="{00000000-0005-0000-0000-0000D6010000}"/>
    <cellStyle name="_Highlight_Sony TR" xfId="441" xr:uid="{00000000-0005-0000-0000-0000D7010000}"/>
    <cellStyle name="_Highlight_Troon DCF Model 8-13-02 v1" xfId="442" xr:uid="{00000000-0005-0000-0000-0000D8010000}"/>
    <cellStyle name="_Highlight_Updated LIBOR Curve from Marius Jungerhans 8-16-02" xfId="443" xr:uid="{00000000-0005-0000-0000-0000D9010000}"/>
    <cellStyle name="_I" xfId="444" xr:uid="{00000000-0005-0000-0000-0000DA010000}"/>
    <cellStyle name="_Inputs" xfId="445" xr:uid="{00000000-0005-0000-0000-0000DB010000}"/>
    <cellStyle name="_Leveraged Buyouts &amp; LBO Analysis v12.8.08" xfId="446" xr:uid="{00000000-0005-0000-0000-0000DC010000}"/>
    <cellStyle name="_Luxury Goods Comps latest" xfId="447" xr:uid="{00000000-0005-0000-0000-0000DD010000}"/>
    <cellStyle name="_Merger Plan 2-10-04 GSIBDv3" xfId="448" xr:uid="{00000000-0005-0000-0000-0000DE010000}"/>
    <cellStyle name="_Month" xfId="449" xr:uid="{00000000-0005-0000-0000-0000DF010000}"/>
    <cellStyle name="_Month_BCE Model 1-8-07" xfId="450" xr:uid="{00000000-0005-0000-0000-0000E0010000}"/>
    <cellStyle name="_MS BCE Model" xfId="451" xr:uid="{00000000-0005-0000-0000-0000E1010000}"/>
    <cellStyle name="_Multiple" xfId="452" xr:uid="{00000000-0005-0000-0000-0000E2010000}"/>
    <cellStyle name="_Multiple_01 Fig Tech CSC 1Q03" xfId="453" xr:uid="{00000000-0005-0000-0000-0000E3010000}"/>
    <cellStyle name="_Multiple_01 Financial Model" xfId="454" xr:uid="{00000000-0005-0000-0000-0000E4010000}"/>
    <cellStyle name="_Multiple_01 Selected Financials_Salt Business" xfId="455" xr:uid="{00000000-0005-0000-0000-0000E5010000}"/>
    <cellStyle name="_Multiple_01 Template without numbers sent out" xfId="456" xr:uid="{00000000-0005-0000-0000-0000E6010000}"/>
    <cellStyle name="_Multiple_02 Potential Partner Ability to Pay Analysis2" xfId="457" xr:uid="{00000000-0005-0000-0000-0000E7010000}"/>
    <cellStyle name="_Multiple_02 Quick Model_PQ Corporation" xfId="458" xr:uid="{00000000-0005-0000-0000-0000E8010000}"/>
    <cellStyle name="_Multiple_06 Analysis at Various Prices" xfId="459" xr:uid="{00000000-0005-0000-0000-0000E9010000}"/>
    <cellStyle name="_Multiple_101306 CanWest Excel BAck up v14" xfId="460" xr:uid="{00000000-0005-0000-0000-0000EA010000}"/>
    <cellStyle name="_Multiple_12 Merger Plans" xfId="461" xr:uid="{00000000-0005-0000-0000-0000EB010000}"/>
    <cellStyle name="_Multiple_20020403 Regional Data 04" xfId="462" xr:uid="{00000000-0005-0000-0000-0000EC010000}"/>
    <cellStyle name="_Multiple_20020403 Regional Data 04 Final" xfId="463" xr:uid="{00000000-0005-0000-0000-0000ED010000}"/>
    <cellStyle name="_Multiple_20020403 Template for Exchange - Regional Data 01" xfId="464" xr:uid="{00000000-0005-0000-0000-0000EE010000}"/>
    <cellStyle name="_Multiple_20020404 Capex 02 All" xfId="465" xr:uid="{00000000-0005-0000-0000-0000EF010000}"/>
    <cellStyle name="_Multiple_3.33.Data" xfId="466" xr:uid="{00000000-0005-0000-0000-0000F0010000}"/>
    <cellStyle name="_Multiple_3.40.NWC" xfId="467" xr:uid="{00000000-0005-0000-0000-0000F1010000}"/>
    <cellStyle name="_Multiple_accretion dilution analysis" xfId="468" xr:uid="{00000000-0005-0000-0000-0000F2010000}"/>
    <cellStyle name="_Multiple_Accretion-(Dilution) Pearl" xfId="469" xr:uid="{00000000-0005-0000-0000-0000F3010000}"/>
    <cellStyle name="_Multiple_Acquisition Ops 3" xfId="470" xr:uid="{00000000-0005-0000-0000-0000F4010000}"/>
    <cellStyle name="_Multiple_Appliances Metrics for Leverage Finance" xfId="471" xr:uid="{00000000-0005-0000-0000-0000F5010000}"/>
    <cellStyle name="_Multiple_Asset_Management_CSC_Updated_06_26_2002" xfId="472" xr:uid="{00000000-0005-0000-0000-0000F6010000}"/>
    <cellStyle name="_Multiple_Asset_Management_CSC_Updated_06_26_2002_BCE Model 1-8-07" xfId="473" xr:uid="{00000000-0005-0000-0000-0000F7010000}"/>
    <cellStyle name="_Multiple_AVP" xfId="474" xr:uid="{00000000-0005-0000-0000-0000F8010000}"/>
    <cellStyle name="_Multiple_AVP - prev. 06 financials" xfId="475" xr:uid="{00000000-0005-0000-0000-0000F9010000}"/>
    <cellStyle name="_Multiple_AVP - prev. 06 financials_BCE Model 1-8-07" xfId="476" xr:uid="{00000000-0005-0000-0000-0000FA010000}"/>
    <cellStyle name="_Multiple_AVP_BCE Model 1-8-07" xfId="477" xr:uid="{00000000-0005-0000-0000-0000FB010000}"/>
    <cellStyle name="_Multiple_avp_Merger Plan 2-10-04 GSIBDv3" xfId="478" xr:uid="{00000000-0005-0000-0000-0000FC010000}"/>
    <cellStyle name="_Multiple_avp_Palm Model 10_05" xfId="479" xr:uid="{00000000-0005-0000-0000-0000FD010000}"/>
    <cellStyle name="_Multiple_Bank &amp; Thrift Buyer Merger Plan(AutoPrice2000)" xfId="480" xr:uid="{00000000-0005-0000-0000-0000FE010000}"/>
    <cellStyle name="_Multiple_bank_csc_Q1_2001" xfId="481" xr:uid="{00000000-0005-0000-0000-0000FF010000}"/>
    <cellStyle name="_Multiple_bank_csc_Q1_2001_BCE Model 1-8-07" xfId="482" xr:uid="{00000000-0005-0000-0000-000000020000}"/>
    <cellStyle name="_Multiple_bank_csc_Q2_2001" xfId="483" xr:uid="{00000000-0005-0000-0000-000001020000}"/>
    <cellStyle name="_Multiple_bank_csc_Q2_2001_c1" xfId="484" xr:uid="{00000000-0005-0000-0000-000002020000}"/>
    <cellStyle name="_Multiple_BCE Model 1-8-07" xfId="485" xr:uid="{00000000-0005-0000-0000-000003020000}"/>
    <cellStyle name="_Multiple_Book1" xfId="486" xr:uid="{00000000-0005-0000-0000-000004020000}"/>
    <cellStyle name="_Multiple_Book1_1" xfId="487" xr:uid="{00000000-0005-0000-0000-000005020000}"/>
    <cellStyle name="_Multiple_Book1_Merger Plan 2-10-04 GSIBDv3" xfId="488" xr:uid="{00000000-0005-0000-0000-000006020000}"/>
    <cellStyle name="_Multiple_Book1_Merger Plan 2-10-04 GSIBDv3_BCE Model 1-8-07" xfId="489" xr:uid="{00000000-0005-0000-0000-000007020000}"/>
    <cellStyle name="_Multiple_Book2" xfId="490" xr:uid="{00000000-0005-0000-0000-000008020000}"/>
    <cellStyle name="_Multiple_Borders Model 11-11-03 mezz v6" xfId="491" xr:uid="{00000000-0005-0000-0000-000009020000}"/>
    <cellStyle name="_Multiple_buyer_analysis" xfId="492" xr:uid="{00000000-0005-0000-0000-00000A020000}"/>
    <cellStyle name="_Multiple_Check of Synergy DCFs 11-01-04_v5" xfId="493" xr:uid="{00000000-0005-0000-0000-00000B020000}"/>
    <cellStyle name="_Multiple_CKFR Model 11-30-06" xfId="494" xr:uid="{00000000-0005-0000-0000-00000C020000}"/>
    <cellStyle name="_Multiple_CKFR Model 11-30-06_BCE Model 1-8-07" xfId="495" xr:uid="{00000000-0005-0000-0000-00000D020000}"/>
    <cellStyle name="_Multiple_com_ic_universe_6" xfId="496" xr:uid="{00000000-0005-0000-0000-00000E020000}"/>
    <cellStyle name="_Multiple_Comparative Balance Sheets" xfId="497" xr:uid="{00000000-0005-0000-0000-00000F020000}"/>
    <cellStyle name="_Multiple_Comparative Balance Sheets_BCE Model 1-8-07" xfId="498" xr:uid="{00000000-0005-0000-0000-000010020000}"/>
    <cellStyle name="_Multiple_Copy of Leveraged Buyouts &amp; LBO Analysis (Ch. 4 &amp; 5) 11.3.08 (Submitted 2)" xfId="499" xr:uid="{00000000-0005-0000-0000-000011020000}"/>
    <cellStyle name="_Multiple_Copy of Leveraged Buyouts &amp; LBO Analysis v12.8.08" xfId="500" xr:uid="{00000000-0005-0000-0000-000012020000}"/>
    <cellStyle name="_Multiple_Cross Dock Projections v3" xfId="501" xr:uid="{00000000-0005-0000-0000-000013020000}"/>
    <cellStyle name="_Multiple_csc" xfId="502" xr:uid="{00000000-0005-0000-0000-000014020000}"/>
    <cellStyle name="_Multiple_CSC Update_Status of Companies_11_19" xfId="503" xr:uid="{00000000-0005-0000-0000-000015020000}"/>
    <cellStyle name="_Multiple_CSC with WACC" xfId="504" xr:uid="{00000000-0005-0000-0000-000016020000}"/>
    <cellStyle name="_Multiple_csc_BCE Model 1-8-07" xfId="505" xr:uid="{00000000-0005-0000-0000-000017020000}"/>
    <cellStyle name="_Multiple_CSC_Palm_Sum_of_Parts_4_20_01" xfId="506" xr:uid="{00000000-0005-0000-0000-000018020000}"/>
    <cellStyle name="_Multiple_CSC_Palm_Sum_of_Parts_5_23_01a" xfId="507" xr:uid="{00000000-0005-0000-0000-000019020000}"/>
    <cellStyle name="_Multiple_Dave Model Final v 1" xfId="508" xr:uid="{00000000-0005-0000-0000-00001A020000}"/>
    <cellStyle name="_Multiple_DCF Analysis" xfId="509" xr:uid="{00000000-0005-0000-0000-00001B020000}"/>
    <cellStyle name="_Multiple_DIS Go Private Analysis v23" xfId="510" xr:uid="{00000000-0005-0000-0000-00001C020000}"/>
    <cellStyle name="_Multiple_discussion" xfId="511" xr:uid="{00000000-0005-0000-0000-00001D020000}"/>
    <cellStyle name="_Multiple_Eagle Ridge Cash Flow 01-10-02_GS" xfId="512" xr:uid="{00000000-0005-0000-0000-00001E020000}"/>
    <cellStyle name="_Multiple_Eutelsat and Capex Analysis" xfId="513" xr:uid="{00000000-0005-0000-0000-00001F020000}"/>
    <cellStyle name="_Multiple_Excel Inserts_v4" xfId="514" xr:uid="{00000000-0005-0000-0000-000020020000}"/>
    <cellStyle name="_Multiple_Final Canadian Bank Comp (sent to IBD)FORM" xfId="515" xr:uid="{00000000-0005-0000-0000-000021020000}"/>
    <cellStyle name="_Multiple_Financial Buildup 6-18-03 v7" xfId="516" xr:uid="{00000000-0005-0000-0000-000022020000}"/>
    <cellStyle name="_Multiple_Financials" xfId="517" xr:uid="{00000000-0005-0000-0000-000023020000}"/>
    <cellStyle name="_Multiple_Financials_3" xfId="518" xr:uid="{00000000-0005-0000-0000-000024020000}"/>
    <cellStyle name="_Multiple_Football Field" xfId="519" xr:uid="{00000000-0005-0000-0000-000025020000}"/>
    <cellStyle name="_Multiple_GS Model" xfId="520" xr:uid="{00000000-0005-0000-0000-000026020000}"/>
    <cellStyle name="_Multiple_I" xfId="521" xr:uid="{00000000-0005-0000-0000-000027020000}"/>
    <cellStyle name="_Multiple_IBES_EPS_Estimates" xfId="522" xr:uid="{00000000-0005-0000-0000-000028020000}"/>
    <cellStyle name="_Multiple_Leveraged Buyouts &amp; LBO Analysis v12.8.08" xfId="523" xr:uid="{00000000-0005-0000-0000-000029020000}"/>
    <cellStyle name="_Multiple_march_21_meeting" xfId="524" xr:uid="{00000000-0005-0000-0000-00002A020000}"/>
    <cellStyle name="_Multiple_Master_Telecom_Equipment_CSCb" xfId="525" xr:uid="{00000000-0005-0000-0000-00002B020000}"/>
    <cellStyle name="_Multiple_Merger Model - Exec" xfId="526" xr:uid="{00000000-0005-0000-0000-00002C020000}"/>
    <cellStyle name="_Multiple_Merger model_new" xfId="527" xr:uid="{00000000-0005-0000-0000-00002D020000}"/>
    <cellStyle name="_Multiple_Merger model_new_ability to pay" xfId="528" xr:uid="{00000000-0005-0000-0000-00002E020000}"/>
    <cellStyle name="_Multiple_Merger Plan 2-10-04 GSIBDv3" xfId="529" xr:uid="{00000000-0005-0000-0000-00002F020000}"/>
    <cellStyle name="_Multiple_merger plans" xfId="530" xr:uid="{00000000-0005-0000-0000-000030020000}"/>
    <cellStyle name="_Multiple_model_bk" xfId="531" xr:uid="{00000000-0005-0000-0000-000031020000}"/>
    <cellStyle name="_Multiple_model_bk_BCE Model 1-8-07" xfId="532" xr:uid="{00000000-0005-0000-0000-000032020000}"/>
    <cellStyle name="_Multiple_monet_final_w_output" xfId="539" xr:uid="{00000000-0005-0000-0000-000039020000}"/>
    <cellStyle name="_Multiple_monet2.4" xfId="533" xr:uid="{00000000-0005-0000-0000-000033020000}"/>
    <cellStyle name="_Multiple_monet2.4_BCE Model 1-8-07" xfId="534" xr:uid="{00000000-0005-0000-0000-000034020000}"/>
    <cellStyle name="_Multiple_monet2.4_temp" xfId="535" xr:uid="{00000000-0005-0000-0000-000035020000}"/>
    <cellStyle name="_Multiple_monet2.4_temp_BCE Model 1-8-07" xfId="536" xr:uid="{00000000-0005-0000-0000-000036020000}"/>
    <cellStyle name="_Multiple_monet2.8" xfId="537" xr:uid="{00000000-0005-0000-0000-000037020000}"/>
    <cellStyle name="_Multiple_monet2.8_BCE Model 1-8-07" xfId="538" xr:uid="{00000000-0005-0000-0000-000038020000}"/>
    <cellStyle name="_Multiple_MotLion Projections may" xfId="540" xr:uid="{00000000-0005-0000-0000-00003A020000}"/>
    <cellStyle name="_Multiple_Neptune Ammortization Analysis 8-6-03" xfId="541" xr:uid="{00000000-0005-0000-0000-00003B020000}"/>
    <cellStyle name="_Multiple_Old Intro" xfId="542" xr:uid="{00000000-0005-0000-0000-00003C020000}"/>
    <cellStyle name="_Multiple_Old Life CSC" xfId="543" xr:uid="{00000000-0005-0000-0000-00003D020000}"/>
    <cellStyle name="_Multiple_Other Category Breaidown 7-26-03 v1" xfId="544" xr:uid="{00000000-0005-0000-0000-00003E020000}"/>
    <cellStyle name="_Multiple_pace_merger plans" xfId="545" xr:uid="{00000000-0005-0000-0000-00003F020000}"/>
    <cellStyle name="_Multiple_Palm Model 10_05" xfId="546" xr:uid="{00000000-0005-0000-0000-000040020000}"/>
    <cellStyle name="_Multiple_pdf file" xfId="547" xr:uid="{00000000-0005-0000-0000-000041020000}"/>
    <cellStyle name="_Multiple_PNC_PF_2Q_update" xfId="548" xr:uid="{00000000-0005-0000-0000-000042020000}"/>
    <cellStyle name="_Multiple_Potential Strategic Partners" xfId="549" xr:uid="{00000000-0005-0000-0000-000043020000}"/>
    <cellStyle name="_Multiple_Projections--Management (Data Room)v6" xfId="550" xr:uid="{00000000-0005-0000-0000-000044020000}"/>
    <cellStyle name="_Multiple_QVC LBO Model 2-12-03 v3" xfId="551" xr:uid="{00000000-0005-0000-0000-000045020000}"/>
    <cellStyle name="_Multiple_RJB Long LBO LTM" xfId="552" xr:uid="{00000000-0005-0000-0000-000046020000}"/>
    <cellStyle name="_Multiple_Sources and Uses FINAL dpakedit v2" xfId="553" xr:uid="{00000000-0005-0000-0000-000047020000}"/>
    <cellStyle name="_Multiple_Summary Valuation Analysis" xfId="554" xr:uid="{00000000-0005-0000-0000-000048020000}"/>
    <cellStyle name="_Multiple_Synergies" xfId="555" xr:uid="{00000000-0005-0000-0000-000049020000}"/>
    <cellStyle name="_Multiple_Troon DCF Model 8-13-02 v1" xfId="556" xr:uid="{00000000-0005-0000-0000-00004A020000}"/>
    <cellStyle name="_Multiple_Troon DCF Model 8-13-02 v1_BCE Model 1-8-07" xfId="557" xr:uid="{00000000-0005-0000-0000-00004B020000}"/>
    <cellStyle name="_Multiple_Troon Financials 8-1-02" xfId="558" xr:uid="{00000000-0005-0000-0000-00004C020000}"/>
    <cellStyle name="_Multiple_Troon LLC FS dpakedit 8-7-02" xfId="559" xr:uid="{00000000-0005-0000-0000-00004D020000}"/>
    <cellStyle name="_Multiple_Troon LLC FS dpakedit 8-7-02 v3" xfId="560" xr:uid="{00000000-0005-0000-0000-00004E020000}"/>
    <cellStyle name="_Multiple_Troon LLC FS dpakedit 8-7-02 v4" xfId="561" xr:uid="{00000000-0005-0000-0000-00004F020000}"/>
    <cellStyle name="_Multiple_Troon_EBITDA" xfId="562" xr:uid="{00000000-0005-0000-0000-000050020000}"/>
    <cellStyle name="_Multiple_Valuation Overview - June 2001" xfId="563" xr:uid="{00000000-0005-0000-0000-000051020000}"/>
    <cellStyle name="_Multiple_Valuation Overview - June 2001_BCE Model 1-8-07" xfId="564" xr:uid="{00000000-0005-0000-0000-000052020000}"/>
    <cellStyle name="_Multiple_Valuation_Troon dpak 8-5-02 v3" xfId="565" xr:uid="{00000000-0005-0000-0000-000053020000}"/>
    <cellStyle name="_MultipleSpace" xfId="566" xr:uid="{00000000-0005-0000-0000-000054020000}"/>
    <cellStyle name="_MultipleSpace_01 Fig Tech CSC 1Q03" xfId="567" xr:uid="{00000000-0005-0000-0000-000055020000}"/>
    <cellStyle name="_MultipleSpace_01 Financial Model" xfId="568" xr:uid="{00000000-0005-0000-0000-000056020000}"/>
    <cellStyle name="_MultipleSpace_01 Template without numbers sent out" xfId="569" xr:uid="{00000000-0005-0000-0000-000057020000}"/>
    <cellStyle name="_MultipleSpace_02 Potential Partner Ability to Pay Analysis2" xfId="570" xr:uid="{00000000-0005-0000-0000-000058020000}"/>
    <cellStyle name="_MultipleSpace_02 Quick Model_PQ Corporation" xfId="571" xr:uid="{00000000-0005-0000-0000-000059020000}"/>
    <cellStyle name="_MultipleSpace_101306 CanWest Excel BAck up v14" xfId="572" xr:uid="{00000000-0005-0000-0000-00005A020000}"/>
    <cellStyle name="_MultipleSpace_12 Merger Plans" xfId="573" xr:uid="{00000000-0005-0000-0000-00005B020000}"/>
    <cellStyle name="_MultipleSpace_20020403 Regional Data 04" xfId="574" xr:uid="{00000000-0005-0000-0000-00005C020000}"/>
    <cellStyle name="_MultipleSpace_20020403 Regional Data 04 Final" xfId="575" xr:uid="{00000000-0005-0000-0000-00005D020000}"/>
    <cellStyle name="_MultipleSpace_20020403 Template for Exchange - Regional Data 01" xfId="576" xr:uid="{00000000-0005-0000-0000-00005E020000}"/>
    <cellStyle name="_MultipleSpace_20020404 Capex 02 All" xfId="577" xr:uid="{00000000-0005-0000-0000-00005F020000}"/>
    <cellStyle name="_MultipleSpace_3.33.Data" xfId="578" xr:uid="{00000000-0005-0000-0000-000060020000}"/>
    <cellStyle name="_MultipleSpace_3.40.NWC" xfId="579" xr:uid="{00000000-0005-0000-0000-000061020000}"/>
    <cellStyle name="_MultipleSpace_accretion dilution analysis" xfId="580" xr:uid="{00000000-0005-0000-0000-000062020000}"/>
    <cellStyle name="_MultipleSpace_Accretion-(Dilution) Pearl" xfId="581" xr:uid="{00000000-0005-0000-0000-000063020000}"/>
    <cellStyle name="_MultipleSpace_Acquisition Ops 3" xfId="582" xr:uid="{00000000-0005-0000-0000-000064020000}"/>
    <cellStyle name="_MultipleSpace_Alamosa Merger" xfId="583" xr:uid="{00000000-0005-0000-0000-000065020000}"/>
    <cellStyle name="_MultipleSpace_Alamosa Standalone8b" xfId="584" xr:uid="{00000000-0005-0000-0000-000066020000}"/>
    <cellStyle name="_MultipleSpace_AVP" xfId="585" xr:uid="{00000000-0005-0000-0000-000067020000}"/>
    <cellStyle name="_MultipleSpace_AVP - prev. 06 financials" xfId="586" xr:uid="{00000000-0005-0000-0000-000068020000}"/>
    <cellStyle name="_MultipleSpace_AVP - prev. 06 financials_BCE Model 1-8-07" xfId="587" xr:uid="{00000000-0005-0000-0000-000069020000}"/>
    <cellStyle name="_MultipleSpace_AVP_BCE Model 1-8-07" xfId="588" xr:uid="{00000000-0005-0000-0000-00006A020000}"/>
    <cellStyle name="_MultipleSpace_avp_Merger Plan 2-10-04 GSIBDv3" xfId="589" xr:uid="{00000000-0005-0000-0000-00006B020000}"/>
    <cellStyle name="_MultipleSpace_avp_Palm Model 10_05" xfId="590" xr:uid="{00000000-0005-0000-0000-00006C020000}"/>
    <cellStyle name="_MultipleSpace_bank_csc_Q1_2001" xfId="591" xr:uid="{00000000-0005-0000-0000-00006D020000}"/>
    <cellStyle name="_MultipleSpace_bank_csc_Q1_2001_BCE Model 1-8-07" xfId="592" xr:uid="{00000000-0005-0000-0000-00006E020000}"/>
    <cellStyle name="_MultipleSpace_bank_csc_Q2_2001_c1" xfId="593" xr:uid="{00000000-0005-0000-0000-00006F020000}"/>
    <cellStyle name="_MultipleSpace_bank_csc_Q2_2001_c1_BCE Model 1-8-07" xfId="594" xr:uid="{00000000-0005-0000-0000-000070020000}"/>
    <cellStyle name="_MultipleSpace_BCE Model 1-8-07" xfId="595" xr:uid="{00000000-0005-0000-0000-000071020000}"/>
    <cellStyle name="_MultipleSpace_Book1" xfId="596" xr:uid="{00000000-0005-0000-0000-000072020000}"/>
    <cellStyle name="_MultipleSpace_Book1_Merger Plan 2-10-04 GSIBDv3" xfId="597" xr:uid="{00000000-0005-0000-0000-000073020000}"/>
    <cellStyle name="_MultipleSpace_Book1_Merger Plan 2-10-04 GSIBDv3_BCE Model 1-8-07" xfId="598" xr:uid="{00000000-0005-0000-0000-000074020000}"/>
    <cellStyle name="_MultipleSpace_Book2" xfId="599" xr:uid="{00000000-0005-0000-0000-000075020000}"/>
    <cellStyle name="_MultipleSpace_buyer_analysis" xfId="600" xr:uid="{00000000-0005-0000-0000-000076020000}"/>
    <cellStyle name="_MultipleSpace_Check of Synergy DCFs 11-01-04_v5" xfId="601" xr:uid="{00000000-0005-0000-0000-000077020000}"/>
    <cellStyle name="_MultipleSpace_CKFR Model 11-30-06" xfId="602" xr:uid="{00000000-0005-0000-0000-000078020000}"/>
    <cellStyle name="_MultipleSpace_com_ic_universe_6" xfId="603" xr:uid="{00000000-0005-0000-0000-000079020000}"/>
    <cellStyle name="_MultipleSpace_COMBO Final DCF_2" xfId="604" xr:uid="{00000000-0005-0000-0000-00007A020000}"/>
    <cellStyle name="_MultipleSpace_Comparative Balance Sheets" xfId="605" xr:uid="{00000000-0005-0000-0000-00007B020000}"/>
    <cellStyle name="_MultipleSpace_Comparative Balance Sheets_BCE Model 1-8-07" xfId="606" xr:uid="{00000000-0005-0000-0000-00007C020000}"/>
    <cellStyle name="_MultipleSpace_Copy of Leveraged Buyouts &amp; LBO Analysis (Ch. 4 &amp; 5) 11.3.08 (Submitted 2)" xfId="607" xr:uid="{00000000-0005-0000-0000-00007D020000}"/>
    <cellStyle name="_MultipleSpace_Copy of Leveraged Buyouts &amp; LBO Analysis v12.8.08" xfId="608" xr:uid="{00000000-0005-0000-0000-00007E020000}"/>
    <cellStyle name="_MultipleSpace_csc" xfId="609" xr:uid="{00000000-0005-0000-0000-00007F020000}"/>
    <cellStyle name="_MultipleSpace_CSC Update_Status of Companies_11_19" xfId="610" xr:uid="{00000000-0005-0000-0000-000080020000}"/>
    <cellStyle name="_MultipleSpace_CSC with WACC" xfId="611" xr:uid="{00000000-0005-0000-0000-000081020000}"/>
    <cellStyle name="_MultipleSpace_csc_BCE Model 1-8-07" xfId="612" xr:uid="{00000000-0005-0000-0000-000082020000}"/>
    <cellStyle name="_MultipleSpace_CSC_Palm_Sum_of_Parts_4_20_01" xfId="613" xr:uid="{00000000-0005-0000-0000-000083020000}"/>
    <cellStyle name="_MultipleSpace_CSC_Palm_Sum_of_Parts_5_23_01a" xfId="614" xr:uid="{00000000-0005-0000-0000-000084020000}"/>
    <cellStyle name="_MultipleSpace_Dave Model Final v 1" xfId="615" xr:uid="{00000000-0005-0000-0000-000085020000}"/>
    <cellStyle name="_MultipleSpace_DCF Analysis" xfId="616" xr:uid="{00000000-0005-0000-0000-000086020000}"/>
    <cellStyle name="_MultipleSpace_DIS Go Private Analysis v23" xfId="617" xr:uid="{00000000-0005-0000-0000-000087020000}"/>
    <cellStyle name="_MultipleSpace_Eagle Ridge Cash Flow 01-10-02_GS" xfId="618" xr:uid="{00000000-0005-0000-0000-000088020000}"/>
    <cellStyle name="_MultipleSpace_Eutelsat and Capex Analysis" xfId="619" xr:uid="{00000000-0005-0000-0000-000089020000}"/>
    <cellStyle name="_MultipleSpace_Excel Inserts_v4" xfId="620" xr:uid="{00000000-0005-0000-0000-00008A020000}"/>
    <cellStyle name="_MultipleSpace_Final Canadian Bank Comp (sent to IBD)FORM" xfId="621" xr:uid="{00000000-0005-0000-0000-00008B020000}"/>
    <cellStyle name="_MultipleSpace_Football Field" xfId="622" xr:uid="{00000000-0005-0000-0000-00008C020000}"/>
    <cellStyle name="_MultipleSpace_I" xfId="623" xr:uid="{00000000-0005-0000-0000-00008D020000}"/>
    <cellStyle name="_MultipleSpace_IBES_EPS_Estimates" xfId="624" xr:uid="{00000000-0005-0000-0000-00008E020000}"/>
    <cellStyle name="_MultipleSpace_Leveraged Buyouts &amp; LBO Analysis v12.8.08" xfId="625" xr:uid="{00000000-0005-0000-0000-00008F020000}"/>
    <cellStyle name="_MultipleSpace_Master_Telecom_Equipment_CSCb" xfId="626" xr:uid="{00000000-0005-0000-0000-000090020000}"/>
    <cellStyle name="_MultipleSpace_Merger Model - Exec" xfId="627" xr:uid="{00000000-0005-0000-0000-000091020000}"/>
    <cellStyle name="_MultipleSpace_merger plans" xfId="628" xr:uid="{00000000-0005-0000-0000-000092020000}"/>
    <cellStyle name="_MultipleSpace_model_bk" xfId="629" xr:uid="{00000000-0005-0000-0000-000093020000}"/>
    <cellStyle name="_MultipleSpace_model_bk_BCE Model 1-8-07" xfId="630" xr:uid="{00000000-0005-0000-0000-000094020000}"/>
    <cellStyle name="_MultipleSpace_monet_final_w_output" xfId="637" xr:uid="{00000000-0005-0000-0000-00009B020000}"/>
    <cellStyle name="_MultipleSpace_monet2.4" xfId="631" xr:uid="{00000000-0005-0000-0000-000095020000}"/>
    <cellStyle name="_MultipleSpace_monet2.4_BCE Model 1-8-07" xfId="632" xr:uid="{00000000-0005-0000-0000-000096020000}"/>
    <cellStyle name="_MultipleSpace_monet2.4_temp" xfId="633" xr:uid="{00000000-0005-0000-0000-000097020000}"/>
    <cellStyle name="_MultipleSpace_monet2.4_temp_BCE Model 1-8-07" xfId="634" xr:uid="{00000000-0005-0000-0000-000098020000}"/>
    <cellStyle name="_MultipleSpace_monet2.8" xfId="635" xr:uid="{00000000-0005-0000-0000-000099020000}"/>
    <cellStyle name="_MultipleSpace_monet2.8_BCE Model 1-8-07" xfId="636" xr:uid="{00000000-0005-0000-0000-00009A020000}"/>
    <cellStyle name="_MultipleSpace_MotLion Projections may" xfId="638" xr:uid="{00000000-0005-0000-0000-00009C020000}"/>
    <cellStyle name="_MultipleSpace_Old Intro" xfId="639" xr:uid="{00000000-0005-0000-0000-00009D020000}"/>
    <cellStyle name="_MultipleSpace_Old Life CSC" xfId="640" xr:uid="{00000000-0005-0000-0000-00009E020000}"/>
    <cellStyle name="_MultipleSpace_pace_merger plans" xfId="641" xr:uid="{00000000-0005-0000-0000-00009F020000}"/>
    <cellStyle name="_MultipleSpace_Palm Model 10_05" xfId="642" xr:uid="{00000000-0005-0000-0000-0000A0020000}"/>
    <cellStyle name="_MultipleSpace_pdf file" xfId="643" xr:uid="{00000000-0005-0000-0000-0000A1020000}"/>
    <cellStyle name="_MultipleSpace_PNC_PF_2Q_update" xfId="644" xr:uid="{00000000-0005-0000-0000-0000A2020000}"/>
    <cellStyle name="_MultipleSpace_Potential Strategic Partners" xfId="645" xr:uid="{00000000-0005-0000-0000-0000A3020000}"/>
    <cellStyle name="_MultipleSpace_QVC LBO Model 2-12-03 v3" xfId="646" xr:uid="{00000000-0005-0000-0000-0000A4020000}"/>
    <cellStyle name="_MultipleSpace_RJB Long LBO LTM" xfId="647" xr:uid="{00000000-0005-0000-0000-0000A5020000}"/>
    <cellStyle name="_MultipleSpace_Summary Valuation Analysis" xfId="648" xr:uid="{00000000-0005-0000-0000-0000A6020000}"/>
    <cellStyle name="_MultipleSpace_Synergies" xfId="649" xr:uid="{00000000-0005-0000-0000-0000A7020000}"/>
    <cellStyle name="_MultipleSpace_Troon DCF Model 8-13-02 v1" xfId="650" xr:uid="{00000000-0005-0000-0000-0000A8020000}"/>
    <cellStyle name="_MultipleSpace_Troon DCF Model 8-13-02 v1_BCE Model 1-8-07" xfId="651" xr:uid="{00000000-0005-0000-0000-0000A9020000}"/>
    <cellStyle name="_MultipleSpace_Troon Financials 8-1-02" xfId="652" xr:uid="{00000000-0005-0000-0000-0000AA020000}"/>
    <cellStyle name="_MultipleSpace_Troon LLC FS dpakedit 8-7-02" xfId="653" xr:uid="{00000000-0005-0000-0000-0000AB020000}"/>
    <cellStyle name="_MultipleSpace_Troon LLC FS dpakedit 8-7-02 v3" xfId="654" xr:uid="{00000000-0005-0000-0000-0000AC020000}"/>
    <cellStyle name="_MultipleSpace_Troon LLC FS dpakedit 8-7-02 v4" xfId="655" xr:uid="{00000000-0005-0000-0000-0000AD020000}"/>
    <cellStyle name="_MultipleSpace_Troon_EBITDA" xfId="656" xr:uid="{00000000-0005-0000-0000-0000AE020000}"/>
    <cellStyle name="_MultipleSpace_Valuation Overview - June 2001" xfId="657" xr:uid="{00000000-0005-0000-0000-0000AF020000}"/>
    <cellStyle name="_MultipleSpace_Valuation Overview - June 2001_BCE Model 1-8-07" xfId="658" xr:uid="{00000000-0005-0000-0000-0000B0020000}"/>
    <cellStyle name="_MultipleSpace_Valuation_Troon dpak 8-5-02 v3" xfId="659" xr:uid="{00000000-0005-0000-0000-0000B1020000}"/>
    <cellStyle name="_Old Intro" xfId="660" xr:uid="{00000000-0005-0000-0000-0000B2020000}"/>
    <cellStyle name="_Output" xfId="661" xr:uid="{00000000-0005-0000-0000-0000B3020000}"/>
    <cellStyle name="_Percent" xfId="662" xr:uid="{00000000-0005-0000-0000-0000B4020000}"/>
    <cellStyle name="_Percent_101306 CanWest Excel BAck up v14" xfId="663" xr:uid="{00000000-0005-0000-0000-0000B5020000}"/>
    <cellStyle name="_Percent_3.33.Data" xfId="664" xr:uid="{00000000-0005-0000-0000-0000B6020000}"/>
    <cellStyle name="_Percent_3.40.NWC" xfId="665" xr:uid="{00000000-0005-0000-0000-0000B7020000}"/>
    <cellStyle name="_Percent_Accretion-(Dilution) Pearl" xfId="666" xr:uid="{00000000-0005-0000-0000-0000B8020000}"/>
    <cellStyle name="_Percent_Acquisition Ops 3" xfId="667" xr:uid="{00000000-0005-0000-0000-0000B9020000}"/>
    <cellStyle name="_Percent_Alamosa Merger" xfId="668" xr:uid="{00000000-0005-0000-0000-0000BA020000}"/>
    <cellStyle name="_Percent_Alamosa Standalone8b" xfId="669" xr:uid="{00000000-0005-0000-0000-0000BB020000}"/>
    <cellStyle name="_Percent_AVP" xfId="670" xr:uid="{00000000-0005-0000-0000-0000BC020000}"/>
    <cellStyle name="_Percent_Book1" xfId="671" xr:uid="{00000000-0005-0000-0000-0000BD020000}"/>
    <cellStyle name="_Percent_COMBO Final DCF_2" xfId="672" xr:uid="{00000000-0005-0000-0000-0000BE020000}"/>
    <cellStyle name="_Percent_Comparative Balance Sheets" xfId="673" xr:uid="{00000000-0005-0000-0000-0000BF020000}"/>
    <cellStyle name="_Percent_Copy of Leveraged Buyouts &amp; LBO Analysis (Ch. 4 &amp; 5) 11.3.08 (Submitted 2)" xfId="674" xr:uid="{00000000-0005-0000-0000-0000C0020000}"/>
    <cellStyle name="_Percent_Copy of Leveraged Buyouts &amp; LBO Analysis v12.8.08" xfId="675" xr:uid="{00000000-0005-0000-0000-0000C1020000}"/>
    <cellStyle name="_Percent_CSC with WACC" xfId="676" xr:uid="{00000000-0005-0000-0000-0000C2020000}"/>
    <cellStyle name="_Percent_Eutelsat and Capex Analysis" xfId="677" xr:uid="{00000000-0005-0000-0000-0000C3020000}"/>
    <cellStyle name="_Percent_I" xfId="678" xr:uid="{00000000-0005-0000-0000-0000C4020000}"/>
    <cellStyle name="_Percent_Leveraged Buyouts &amp; LBO Analysis v12.8.08" xfId="679" xr:uid="{00000000-0005-0000-0000-0000C5020000}"/>
    <cellStyle name="_Percent_Master_Telecom_Equipment_CSCb" xfId="680" xr:uid="{00000000-0005-0000-0000-0000C6020000}"/>
    <cellStyle name="_Percent_Merger Model - Exec" xfId="681" xr:uid="{00000000-0005-0000-0000-0000C7020000}"/>
    <cellStyle name="_Percent_merger plans" xfId="682" xr:uid="{00000000-0005-0000-0000-0000C8020000}"/>
    <cellStyle name="_Percent_monet2.4" xfId="683" xr:uid="{00000000-0005-0000-0000-0000C9020000}"/>
    <cellStyle name="_Percent_monet2.4_temp" xfId="684" xr:uid="{00000000-0005-0000-0000-0000CA020000}"/>
    <cellStyle name="_Percent_monet2.8" xfId="685" xr:uid="{00000000-0005-0000-0000-0000CB020000}"/>
    <cellStyle name="_Percent_MotLion Projections may" xfId="686" xr:uid="{00000000-0005-0000-0000-0000CC020000}"/>
    <cellStyle name="_Percent_Old Intro" xfId="687" xr:uid="{00000000-0005-0000-0000-0000CD020000}"/>
    <cellStyle name="_Percent_pace_merger plans" xfId="688" xr:uid="{00000000-0005-0000-0000-0000CE020000}"/>
    <cellStyle name="_Percent_Palm Model 10_05" xfId="689" xr:uid="{00000000-0005-0000-0000-0000CF020000}"/>
    <cellStyle name="_Percent_pdf file" xfId="690" xr:uid="{00000000-0005-0000-0000-0000D0020000}"/>
    <cellStyle name="_Percent_Sources and Uses FINAL dpakedit v2" xfId="691" xr:uid="{00000000-0005-0000-0000-0000D1020000}"/>
    <cellStyle name="_Percent_Valuation Overview - June 2001" xfId="692" xr:uid="{00000000-0005-0000-0000-0000D2020000}"/>
    <cellStyle name="_Percent_Valuation_Troon dpak 8-5-02 v3" xfId="693" xr:uid="{00000000-0005-0000-0000-0000D3020000}"/>
    <cellStyle name="_PercentReal" xfId="694" xr:uid="{00000000-0005-0000-0000-0000D4020000}"/>
    <cellStyle name="_PercentReal_BCE Model 1-8-07" xfId="695" xr:uid="{00000000-0005-0000-0000-0000D5020000}"/>
    <cellStyle name="_PercentReal_bs_avp" xfId="696" xr:uid="{00000000-0005-0000-0000-0000D6020000}"/>
    <cellStyle name="_PercentReal_bs_avp_BCE Model 1-8-07" xfId="697" xr:uid="{00000000-0005-0000-0000-0000D7020000}"/>
    <cellStyle name="_percentReal_monet_final_w_output" xfId="698" xr:uid="{00000000-0005-0000-0000-0000D8020000}"/>
    <cellStyle name="_percentReal_monet_final_w_output_BCE Model 1-8-07" xfId="699" xr:uid="{00000000-0005-0000-0000-0000D9020000}"/>
    <cellStyle name="_PercentSpace" xfId="700" xr:uid="{00000000-0005-0000-0000-0000DA020000}"/>
    <cellStyle name="_PercentSpace_101306 CanWest Excel BAck up v14" xfId="701" xr:uid="{00000000-0005-0000-0000-0000DB020000}"/>
    <cellStyle name="_PercentSpace_101306 CanWest Excel BAck up v14_BCE LBO Analysis (02_4_07) MASTER V6" xfId="702" xr:uid="{00000000-0005-0000-0000-0000DC020000}"/>
    <cellStyle name="_PercentSpace_3.33.Data" xfId="703" xr:uid="{00000000-0005-0000-0000-0000DD020000}"/>
    <cellStyle name="_PercentSpace_3.40.NWC" xfId="704" xr:uid="{00000000-0005-0000-0000-0000DE020000}"/>
    <cellStyle name="_PercentSpace_Accretion-(Dilution) Pearl" xfId="705" xr:uid="{00000000-0005-0000-0000-0000DF020000}"/>
    <cellStyle name="_PercentSpace_Acquisition Ops 3" xfId="706" xr:uid="{00000000-0005-0000-0000-0000E0020000}"/>
    <cellStyle name="_PercentSpace_Alamosa Merger" xfId="707" xr:uid="{00000000-0005-0000-0000-0000E1020000}"/>
    <cellStyle name="_PercentSpace_Alamosa Merger_BCE LBO Analysis (02_4_07) MASTER V6" xfId="708" xr:uid="{00000000-0005-0000-0000-0000E2020000}"/>
    <cellStyle name="_PercentSpace_Alamosa Standalone8b" xfId="709" xr:uid="{00000000-0005-0000-0000-0000E3020000}"/>
    <cellStyle name="_PercentSpace_Alamosa Standalone8b_BCE LBO Analysis (02_4_07) MASTER V6" xfId="710" xr:uid="{00000000-0005-0000-0000-0000E4020000}"/>
    <cellStyle name="_PercentSpace_AVP" xfId="711" xr:uid="{00000000-0005-0000-0000-0000E5020000}"/>
    <cellStyle name="_PercentSpace_Book1" xfId="712" xr:uid="{00000000-0005-0000-0000-0000E6020000}"/>
    <cellStyle name="_PercentSpace_Book1_Merger Plan 2-10-04 GSIBDv3" xfId="713" xr:uid="{00000000-0005-0000-0000-0000E7020000}"/>
    <cellStyle name="_PercentSpace_COMBO Final DCF_2" xfId="714" xr:uid="{00000000-0005-0000-0000-0000E8020000}"/>
    <cellStyle name="_PercentSpace_Comparative Balance Sheets" xfId="715" xr:uid="{00000000-0005-0000-0000-0000E9020000}"/>
    <cellStyle name="_PercentSpace_Copy of Leveraged Buyouts &amp; LBO Analysis (Ch. 4 &amp; 5) 11.3.08 (Submitted 2)" xfId="716" xr:uid="{00000000-0005-0000-0000-0000EA020000}"/>
    <cellStyle name="_PercentSpace_Copy of Leveraged Buyouts &amp; LBO Analysis v12.8.08" xfId="717" xr:uid="{00000000-0005-0000-0000-0000EB020000}"/>
    <cellStyle name="_PercentSpace_CSC with WACC" xfId="718" xr:uid="{00000000-0005-0000-0000-0000EC020000}"/>
    <cellStyle name="_PercentSpace_Eutelsat and Capex Analysis" xfId="719" xr:uid="{00000000-0005-0000-0000-0000ED020000}"/>
    <cellStyle name="_PercentSpace_I" xfId="720" xr:uid="{00000000-0005-0000-0000-0000EE020000}"/>
    <cellStyle name="_PercentSpace_Leveraged Buyouts &amp; LBO Analysis v12.8.08" xfId="721" xr:uid="{00000000-0005-0000-0000-0000EF020000}"/>
    <cellStyle name="_PercentSpace_Master_Telecom_Equipment_CSCb" xfId="722" xr:uid="{00000000-0005-0000-0000-0000F0020000}"/>
    <cellStyle name="_PercentSpace_Merger Model - Exec" xfId="723" xr:uid="{00000000-0005-0000-0000-0000F1020000}"/>
    <cellStyle name="_PercentSpace_merger plans" xfId="724" xr:uid="{00000000-0005-0000-0000-0000F2020000}"/>
    <cellStyle name="_PercentSpace_monet2.4" xfId="725" xr:uid="{00000000-0005-0000-0000-0000F3020000}"/>
    <cellStyle name="_PercentSpace_monet2.4_temp" xfId="726" xr:uid="{00000000-0005-0000-0000-0000F4020000}"/>
    <cellStyle name="_PercentSpace_monet2.8" xfId="727" xr:uid="{00000000-0005-0000-0000-0000F5020000}"/>
    <cellStyle name="_PercentSpace_MotLion Projections may" xfId="728" xr:uid="{00000000-0005-0000-0000-0000F6020000}"/>
    <cellStyle name="_PercentSpace_Old Intro" xfId="729" xr:uid="{00000000-0005-0000-0000-0000F7020000}"/>
    <cellStyle name="_PercentSpace_pace_merger plans" xfId="730" xr:uid="{00000000-0005-0000-0000-0000F8020000}"/>
    <cellStyle name="_PercentSpace_Palm Model 10_05" xfId="731" xr:uid="{00000000-0005-0000-0000-0000F9020000}"/>
    <cellStyle name="_PercentSpace_pdf file" xfId="732" xr:uid="{00000000-0005-0000-0000-0000FA020000}"/>
    <cellStyle name="_PercentSpace_Projections--Management (Data Room)v6" xfId="733" xr:uid="{00000000-0005-0000-0000-0000FB020000}"/>
    <cellStyle name="_PercentSpace_RJB Long LBO LTM" xfId="734" xr:uid="{00000000-0005-0000-0000-0000FC020000}"/>
    <cellStyle name="_PercentSpace_Sources and Uses FINAL dpakedit v2" xfId="735" xr:uid="{00000000-0005-0000-0000-0000FD020000}"/>
    <cellStyle name="_PercentSpace_Valuation Overview - June 2001" xfId="736" xr:uid="{00000000-0005-0000-0000-0000FE020000}"/>
    <cellStyle name="_PercentSpace_Valuation_Troon dpak 8-5-02 v3" xfId="737" xr:uid="{00000000-0005-0000-0000-0000FF020000}"/>
    <cellStyle name="_Preliminary LBO model 012305" xfId="738" xr:uid="{00000000-0005-0000-0000-000000030000}"/>
    <cellStyle name="_Sources and Uses FINAL dpakedit v2" xfId="739" xr:uid="{00000000-0005-0000-0000-000001030000}"/>
    <cellStyle name="_SubHeading" xfId="740" xr:uid="{00000000-0005-0000-0000-000002030000}"/>
    <cellStyle name="_SubHeading_01 model" xfId="741" xr:uid="{00000000-0005-0000-0000-000003030000}"/>
    <cellStyle name="_SubHeading_01 Selected Financials_Salt Business" xfId="742" xr:uid="{00000000-0005-0000-0000-000004030000}"/>
    <cellStyle name="_SubHeading_02 Potential Partner Ability to Pay Analysis2" xfId="743" xr:uid="{00000000-0005-0000-0000-000005030000}"/>
    <cellStyle name="_SubHeading_02 Quick Model_PQ Corporation" xfId="744" xr:uid="{00000000-0005-0000-0000-000006030000}"/>
    <cellStyle name="_SubHeading_06 Analysis at Various Prices" xfId="745" xr:uid="{00000000-0005-0000-0000-000007030000}"/>
    <cellStyle name="_SubHeading_12 Merger Plans" xfId="746" xr:uid="{00000000-0005-0000-0000-000008030000}"/>
    <cellStyle name="_SubHeading_accretion dilution analysis" xfId="747" xr:uid="{00000000-0005-0000-0000-000009030000}"/>
    <cellStyle name="_SubHeading_bank_csc_and merger plan4" xfId="748" xr:uid="{00000000-0005-0000-0000-00000A030000}"/>
    <cellStyle name="_SubHeading_bank_csc_Q1_2001" xfId="749" xr:uid="{00000000-0005-0000-0000-00000B030000}"/>
    <cellStyle name="_SubHeading_bank_csc_Q2_2001" xfId="750" xr:uid="{00000000-0005-0000-0000-00000C030000}"/>
    <cellStyle name="_SubHeading_bank_csc_Q2_2001_c1" xfId="751" xr:uid="{00000000-0005-0000-0000-00000D030000}"/>
    <cellStyle name="_SubHeading_Book1" xfId="752" xr:uid="{00000000-0005-0000-0000-00000E030000}"/>
    <cellStyle name="_SubHeading_CSC with WACC" xfId="753" xr:uid="{00000000-0005-0000-0000-00000F030000}"/>
    <cellStyle name="_SubHeading_CSC_Palm_Sum_of_Parts_5_23_01a" xfId="754" xr:uid="{00000000-0005-0000-0000-000010030000}"/>
    <cellStyle name="_SubHeading_Dave Model Final v 1" xfId="755" xr:uid="{00000000-0005-0000-0000-000011030000}"/>
    <cellStyle name="_SubHeading_er" xfId="756" xr:uid="{00000000-0005-0000-0000-000012030000}"/>
    <cellStyle name="_SubHeading_FigTech Merger Model_02" xfId="757" xr:uid="{00000000-0005-0000-0000-000013030000}"/>
    <cellStyle name="_SubHeading_Final Canadian Bank Comp (sent to IBD)FORM" xfId="758" xr:uid="{00000000-0005-0000-0000-000014030000}"/>
    <cellStyle name="_SubHeading_Financials Layout dpak 9-26-01 v1" xfId="759" xr:uid="{00000000-0005-0000-0000-000015030000}"/>
    <cellStyle name="_SubHeading_Football Field" xfId="760" xr:uid="{00000000-0005-0000-0000-000016030000}"/>
    <cellStyle name="_SubHeading_IBES_EPS_Estimates" xfId="761" xr:uid="{00000000-0005-0000-0000-000017030000}"/>
    <cellStyle name="_SubHeading_lbo_long_model" xfId="762" xr:uid="{00000000-0005-0000-0000-000018030000}"/>
    <cellStyle name="_SubHeading_Master_Telecom_Equipment_CSC_5_9_01_v02" xfId="763" xr:uid="{00000000-0005-0000-0000-000019030000}"/>
    <cellStyle name="_SubHeading_Master_Telecom_Equipment_CSCb" xfId="764" xr:uid="{00000000-0005-0000-0000-00001A030000}"/>
    <cellStyle name="_SubHeading_MAXF historical financials" xfId="765" xr:uid="{00000000-0005-0000-0000-00001B030000}"/>
    <cellStyle name="_SubHeading_Merger model_new_ability to pay" xfId="766" xr:uid="{00000000-0005-0000-0000-00001C030000}"/>
    <cellStyle name="_SubHeading_Merger Plan 31-Scenario 12" xfId="767" xr:uid="{00000000-0005-0000-0000-00001D030000}"/>
    <cellStyle name="_SubHeading_merger plans_June 1" xfId="768" xr:uid="{00000000-0005-0000-0000-00001E030000}"/>
    <cellStyle name="_SubHeading_model_bk" xfId="769" xr:uid="{00000000-0005-0000-0000-00001F030000}"/>
    <cellStyle name="_SubHeading_monet2.4" xfId="770" xr:uid="{00000000-0005-0000-0000-000020030000}"/>
    <cellStyle name="_SubHeading_MotLion Projections may" xfId="771" xr:uid="{00000000-0005-0000-0000-000021030000}"/>
    <cellStyle name="_SubHeading_PL Consolidated (2003)" xfId="772" xr:uid="{00000000-0005-0000-0000-000022030000}"/>
    <cellStyle name="_SubHeading_PNC_merger_plan_divestitures_05" xfId="773" xr:uid="{00000000-0005-0000-0000-000023030000}"/>
    <cellStyle name="_SubHeading_Potential Strategic Partners" xfId="774" xr:uid="{00000000-0005-0000-0000-000024030000}"/>
    <cellStyle name="_SubHeading_prestemp" xfId="775" xr:uid="{00000000-0005-0000-0000-000025030000}"/>
    <cellStyle name="_SubHeading_prestemp_1" xfId="776" xr:uid="{00000000-0005-0000-0000-000026030000}"/>
    <cellStyle name="_SubHeading_prestemp_AVP - prev. 06 financials" xfId="777" xr:uid="{00000000-0005-0000-0000-000027030000}"/>
    <cellStyle name="_SubHeading_prestemp_Palm Model 10_05" xfId="778" xr:uid="{00000000-0005-0000-0000-000028030000}"/>
    <cellStyle name="_SubHeading_prestemp_PNC_merger_plan_divestitures_05" xfId="779" xr:uid="{00000000-0005-0000-0000-000029030000}"/>
    <cellStyle name="_SubHeading_prestemp_PNC_PF_2Q_update" xfId="780" xr:uid="{00000000-0005-0000-0000-00002A030000}"/>
    <cellStyle name="_SubHeading_prestemp_Simple Merger Plans" xfId="781" xr:uid="{00000000-0005-0000-0000-00002B030000}"/>
    <cellStyle name="_SubHeading_prestemp_Troon DCF Model 8-13-02 v1" xfId="782" xr:uid="{00000000-0005-0000-0000-00002C030000}"/>
    <cellStyle name="_SubHeading_prestemp_Valuation_Troon dpak 8-5-02 v3" xfId="783" xr:uid="{00000000-0005-0000-0000-00002D030000}"/>
    <cellStyle name="_SubHeading_Simple Merger Plans" xfId="784" xr:uid="{00000000-0005-0000-0000-00002E030000}"/>
    <cellStyle name="_SubHeading_Stallion Analysis_a" xfId="785" xr:uid="{00000000-0005-0000-0000-00002F030000}"/>
    <cellStyle name="_SubHeading_stand_alone_dcf" xfId="786" xr:uid="{00000000-0005-0000-0000-000030030000}"/>
    <cellStyle name="_SubHeading_Summary Financials 04" xfId="787" xr:uid="{00000000-0005-0000-0000-000031030000}"/>
    <cellStyle name="_SubHeading_Summary Valuation Analysis" xfId="788" xr:uid="{00000000-0005-0000-0000-000032030000}"/>
    <cellStyle name="_SubHeading_Synergies" xfId="789" xr:uid="{00000000-0005-0000-0000-000033030000}"/>
    <cellStyle name="_SubHeading_Troon DCF Model 8-13-02 v1" xfId="790" xr:uid="{00000000-0005-0000-0000-000034030000}"/>
    <cellStyle name="_SubHeading_Troon LLC FS dpakedit 8-7-02" xfId="791" xr:uid="{00000000-0005-0000-0000-000035030000}"/>
    <cellStyle name="_SubHeading_Troon LLC FS dpakedit 8-7-02 v3" xfId="792" xr:uid="{00000000-0005-0000-0000-000036030000}"/>
    <cellStyle name="_SubHeading_Troon LLC FS dpakedit 8-7-02 v4" xfId="793" xr:uid="{00000000-0005-0000-0000-000037030000}"/>
    <cellStyle name="_SubHeading_Valuation_Troon dpak 8-5-02 v3" xfId="794" xr:uid="{00000000-0005-0000-0000-000038030000}"/>
    <cellStyle name="_Table" xfId="795" xr:uid="{00000000-0005-0000-0000-000039030000}"/>
    <cellStyle name="_Table_01 model" xfId="796" xr:uid="{00000000-0005-0000-0000-00003A030000}"/>
    <cellStyle name="_Table_01 Selected Financials_Salt Business" xfId="797" xr:uid="{00000000-0005-0000-0000-00003B030000}"/>
    <cellStyle name="_Table_02 Potential Partner Ability to Pay Analysis2" xfId="798" xr:uid="{00000000-0005-0000-0000-00003C030000}"/>
    <cellStyle name="_Table_02 Quick Model_PQ Corporation" xfId="799" xr:uid="{00000000-0005-0000-0000-00003D030000}"/>
    <cellStyle name="_Table_06 Analysis at Various Prices" xfId="800" xr:uid="{00000000-0005-0000-0000-00003E030000}"/>
    <cellStyle name="_Table_12 Merger Plans" xfId="801" xr:uid="{00000000-0005-0000-0000-00003F030000}"/>
    <cellStyle name="_Table_accretion dilution analysis" xfId="802" xr:uid="{00000000-0005-0000-0000-000040030000}"/>
    <cellStyle name="_Table_bank_csc_and merger plan4" xfId="803" xr:uid="{00000000-0005-0000-0000-000041030000}"/>
    <cellStyle name="_Table_bank_csc_Q1_2001" xfId="804" xr:uid="{00000000-0005-0000-0000-000042030000}"/>
    <cellStyle name="_Table_bank_csc_Q2_2001" xfId="805" xr:uid="{00000000-0005-0000-0000-000043030000}"/>
    <cellStyle name="_Table_bank_csc_Q2_2001_c1" xfId="806" xr:uid="{00000000-0005-0000-0000-000044030000}"/>
    <cellStyle name="_Table_CSC_Palm_Sum_of_Parts_5_23_01a" xfId="807" xr:uid="{00000000-0005-0000-0000-000045030000}"/>
    <cellStyle name="_Table_Dave Model Final v 1" xfId="808" xr:uid="{00000000-0005-0000-0000-000046030000}"/>
    <cellStyle name="_Table_FigTech Merger Model_02" xfId="809" xr:uid="{00000000-0005-0000-0000-000047030000}"/>
    <cellStyle name="_Table_Financials Layout dpak 9-26-01 v1" xfId="810" xr:uid="{00000000-0005-0000-0000-000048030000}"/>
    <cellStyle name="_Table_Football Field" xfId="811" xr:uid="{00000000-0005-0000-0000-000049030000}"/>
    <cellStyle name="_Table_IBES_EPS_Estimates" xfId="812" xr:uid="{00000000-0005-0000-0000-00004A030000}"/>
    <cellStyle name="_Table_Merger model_new_ability to pay" xfId="813" xr:uid="{00000000-0005-0000-0000-00004B030000}"/>
    <cellStyle name="_Table_model_bk" xfId="814" xr:uid="{00000000-0005-0000-0000-00004C030000}"/>
    <cellStyle name="_Table_monet_final_w_output" xfId="815" xr:uid="{00000000-0005-0000-0000-00004D030000}"/>
    <cellStyle name="_Table_Palm Model 10_05" xfId="816" xr:uid="{00000000-0005-0000-0000-00004E030000}"/>
    <cellStyle name="_Table_PNC_merger_plan_divestitures_05" xfId="817" xr:uid="{00000000-0005-0000-0000-00004F030000}"/>
    <cellStyle name="_Table_Potential Strategic Partners" xfId="818" xr:uid="{00000000-0005-0000-0000-000050030000}"/>
    <cellStyle name="_Table_Simple Merger Plans" xfId="819" xr:uid="{00000000-0005-0000-0000-000051030000}"/>
    <cellStyle name="_Table_Stallion Analysis_a" xfId="820" xr:uid="{00000000-0005-0000-0000-000052030000}"/>
    <cellStyle name="_Table_stand_alone_dcf" xfId="821" xr:uid="{00000000-0005-0000-0000-000053030000}"/>
    <cellStyle name="_Table_Summary Valuation Analysis" xfId="822" xr:uid="{00000000-0005-0000-0000-000054030000}"/>
    <cellStyle name="_Table_Synergies" xfId="823" xr:uid="{00000000-0005-0000-0000-000055030000}"/>
    <cellStyle name="_Table_Troon DCF Model 8-13-02 v1" xfId="824" xr:uid="{00000000-0005-0000-0000-000056030000}"/>
    <cellStyle name="_Table_Troon LLC FS dpakedit 8-7-02" xfId="825" xr:uid="{00000000-0005-0000-0000-000057030000}"/>
    <cellStyle name="_Table_Troon LLC FS dpakedit 8-7-02 v3" xfId="826" xr:uid="{00000000-0005-0000-0000-000058030000}"/>
    <cellStyle name="_Table_Troon LLC FS dpakedit 8-7-02 v4" xfId="827" xr:uid="{00000000-0005-0000-0000-000059030000}"/>
    <cellStyle name="_Table_Valuation_Troon dpak 8-5-02 v3" xfId="828" xr:uid="{00000000-0005-0000-0000-00005A030000}"/>
    <cellStyle name="_TableHead" xfId="829" xr:uid="{00000000-0005-0000-0000-00005B030000}"/>
    <cellStyle name="_TableHead_01 Selected Financials_Salt Business" xfId="830" xr:uid="{00000000-0005-0000-0000-00005C030000}"/>
    <cellStyle name="_TableHead_02 Quick Model_PQ Corporation" xfId="831" xr:uid="{00000000-0005-0000-0000-00005D030000}"/>
    <cellStyle name="_TableHead_06 Analysis at Various Prices" xfId="832" xr:uid="{00000000-0005-0000-0000-00005E030000}"/>
    <cellStyle name="_TableHead_accretion dilution analysis" xfId="833" xr:uid="{00000000-0005-0000-0000-00005F030000}"/>
    <cellStyle name="_TableHead_AVP - prev. 06 financials" xfId="834" xr:uid="{00000000-0005-0000-0000-000060030000}"/>
    <cellStyle name="_TableHead_bank_csc_Q1_2001" xfId="835" xr:uid="{00000000-0005-0000-0000-000061030000}"/>
    <cellStyle name="_TableHead_bank_csc_Q2_2001_c1" xfId="836" xr:uid="{00000000-0005-0000-0000-000062030000}"/>
    <cellStyle name="_TableHead_CSC_Palm_Sum_of_Parts_5_23_01a" xfId="837" xr:uid="{00000000-0005-0000-0000-000063030000}"/>
    <cellStyle name="_TableHead_Dave Model Final v 1" xfId="838" xr:uid="{00000000-0005-0000-0000-000064030000}"/>
    <cellStyle name="_TableHead_Financials Layout dpak 9-26-01 v1" xfId="839" xr:uid="{00000000-0005-0000-0000-000065030000}"/>
    <cellStyle name="_TableHead_IBES_EPS_Estimates" xfId="840" xr:uid="{00000000-0005-0000-0000-000066030000}"/>
    <cellStyle name="_TableHead_model_bk" xfId="841" xr:uid="{00000000-0005-0000-0000-000067030000}"/>
    <cellStyle name="_TableHead_monet_final_w_output" xfId="842" xr:uid="{00000000-0005-0000-0000-000068030000}"/>
    <cellStyle name="_TableHead_Palm Model 10_05" xfId="843" xr:uid="{00000000-0005-0000-0000-000069030000}"/>
    <cellStyle name="_TableHead_Potential Strategic Partners" xfId="844" xr:uid="{00000000-0005-0000-0000-00006A030000}"/>
    <cellStyle name="_TableHead_Simple Merger Plans" xfId="845" xr:uid="{00000000-0005-0000-0000-00006B030000}"/>
    <cellStyle name="_TableHeading" xfId="846" xr:uid="{00000000-0005-0000-0000-00006C030000}"/>
    <cellStyle name="_TableRowBorder" xfId="847" xr:uid="{00000000-0005-0000-0000-00006D030000}"/>
    <cellStyle name="_TableRowHead" xfId="848" xr:uid="{00000000-0005-0000-0000-00006E030000}"/>
    <cellStyle name="_TableRowHead_01 Selected Financials_Salt Business" xfId="849" xr:uid="{00000000-0005-0000-0000-00006F030000}"/>
    <cellStyle name="_TableRowHead_02 Quick Model_PQ Corporation" xfId="850" xr:uid="{00000000-0005-0000-0000-000070030000}"/>
    <cellStyle name="_TableRowHead_06 Analysis at Various Prices" xfId="851" xr:uid="{00000000-0005-0000-0000-000071030000}"/>
    <cellStyle name="_TableRowHead_accretion dilution analysis" xfId="852" xr:uid="{00000000-0005-0000-0000-000072030000}"/>
    <cellStyle name="_TableRowHead_CSC_Palm_Sum_of_Parts_5_23_01a" xfId="853" xr:uid="{00000000-0005-0000-0000-000073030000}"/>
    <cellStyle name="_TableRowHead_Dave Model Final v 1" xfId="854" xr:uid="{00000000-0005-0000-0000-000074030000}"/>
    <cellStyle name="_TableRowHead_Financials Layout dpak 9-26-01 v1" xfId="855" xr:uid="{00000000-0005-0000-0000-000075030000}"/>
    <cellStyle name="_TableRowHead_IBES_EPS_Estimates" xfId="856" xr:uid="{00000000-0005-0000-0000-000076030000}"/>
    <cellStyle name="_TableRowHead_Palm Model 10_05" xfId="857" xr:uid="{00000000-0005-0000-0000-000077030000}"/>
    <cellStyle name="_TableRowHead_Potential Strategic Partners" xfId="858" xr:uid="{00000000-0005-0000-0000-000078030000}"/>
    <cellStyle name="_TableRowHead_Simple Merger Plans" xfId="859" xr:uid="{00000000-0005-0000-0000-000079030000}"/>
    <cellStyle name="_TableRowHeading" xfId="860" xr:uid="{00000000-0005-0000-0000-00007A030000}"/>
    <cellStyle name="_TableSuperHead" xfId="861" xr:uid="{00000000-0005-0000-0000-00007B030000}"/>
    <cellStyle name="_TableSuperHead_01 model" xfId="862" xr:uid="{00000000-0005-0000-0000-00007C030000}"/>
    <cellStyle name="_TableSuperHead_01 Selected Financials_Salt Business" xfId="863" xr:uid="{00000000-0005-0000-0000-00007D030000}"/>
    <cellStyle name="_TableSuperHead_02 Potential Partner Ability to Pay Analysis2" xfId="864" xr:uid="{00000000-0005-0000-0000-00007E030000}"/>
    <cellStyle name="_TableSuperHead_02 Quick Model_PQ Corporation" xfId="865" xr:uid="{00000000-0005-0000-0000-00007F030000}"/>
    <cellStyle name="_TableSuperHead_06 Analysis at Various Prices" xfId="866" xr:uid="{00000000-0005-0000-0000-000080030000}"/>
    <cellStyle name="_TableSuperHead_12 Merger Plans" xfId="867" xr:uid="{00000000-0005-0000-0000-000081030000}"/>
    <cellStyle name="_TableSuperHead_accretion dilution analysis" xfId="868" xr:uid="{00000000-0005-0000-0000-000082030000}"/>
    <cellStyle name="_TableSuperHead_AVP - prev. 06 financials" xfId="869" xr:uid="{00000000-0005-0000-0000-000083030000}"/>
    <cellStyle name="_TableSuperHead_bank_csc_and merger plan4" xfId="870" xr:uid="{00000000-0005-0000-0000-000084030000}"/>
    <cellStyle name="_TableSuperHead_bank_csc_Q1_2001" xfId="871" xr:uid="{00000000-0005-0000-0000-000085030000}"/>
    <cellStyle name="_TableSuperHead_bank_csc_Q2_2001" xfId="872" xr:uid="{00000000-0005-0000-0000-000086030000}"/>
    <cellStyle name="_TableSuperHead_bank_csc_Q2_2001_c1" xfId="873" xr:uid="{00000000-0005-0000-0000-000087030000}"/>
    <cellStyle name="_TableSuperHead_CSC_Palm_Sum_of_Parts_5_23_01a" xfId="874" xr:uid="{00000000-0005-0000-0000-000088030000}"/>
    <cellStyle name="_TableSuperHead_Dave Model Final v 1" xfId="875" xr:uid="{00000000-0005-0000-0000-000089030000}"/>
    <cellStyle name="_TableSuperHead_FigTech Merger Model_02" xfId="876" xr:uid="{00000000-0005-0000-0000-00008A030000}"/>
    <cellStyle name="_TableSuperHead_Financials Layout dpak 9-26-01 v1" xfId="877" xr:uid="{00000000-0005-0000-0000-00008B030000}"/>
    <cellStyle name="_TableSuperHead_Football Field" xfId="878" xr:uid="{00000000-0005-0000-0000-00008C030000}"/>
    <cellStyle name="_TableSuperHead_IBES_EPS_Estimates" xfId="879" xr:uid="{00000000-0005-0000-0000-00008D030000}"/>
    <cellStyle name="_TableSuperHead_Merger model_new_ability to pay" xfId="880" xr:uid="{00000000-0005-0000-0000-00008E030000}"/>
    <cellStyle name="_TableSuperHead_model_bk" xfId="881" xr:uid="{00000000-0005-0000-0000-00008F030000}"/>
    <cellStyle name="_TableSuperHead_monet_final_w_output" xfId="882" xr:uid="{00000000-0005-0000-0000-000090030000}"/>
    <cellStyle name="_TableSuperHead_Palm Model 10_05" xfId="883" xr:uid="{00000000-0005-0000-0000-000091030000}"/>
    <cellStyle name="_TableSuperHead_PNC_merger_plan_divestitures_05" xfId="884" xr:uid="{00000000-0005-0000-0000-000092030000}"/>
    <cellStyle name="_TableSuperHead_Potential Strategic Partners" xfId="885" xr:uid="{00000000-0005-0000-0000-000093030000}"/>
    <cellStyle name="_TableSuperHead_Simple Merger Plans" xfId="886" xr:uid="{00000000-0005-0000-0000-000094030000}"/>
    <cellStyle name="_TableSuperHead_Stallion Analysis_a" xfId="887" xr:uid="{00000000-0005-0000-0000-000095030000}"/>
    <cellStyle name="_TableSuperHead_stand_alone_dcf" xfId="888" xr:uid="{00000000-0005-0000-0000-000096030000}"/>
    <cellStyle name="_TableSuperHead_Summary Valuation Analysis" xfId="889" xr:uid="{00000000-0005-0000-0000-000097030000}"/>
    <cellStyle name="_TableSuperHead_Synergies" xfId="890" xr:uid="{00000000-0005-0000-0000-000098030000}"/>
    <cellStyle name="_TableSuperHead_Troon DCF Model 8-13-02 v1" xfId="891" xr:uid="{00000000-0005-0000-0000-000099030000}"/>
    <cellStyle name="_TableSuperHead_Troon LLC FS dpakedit 8-7-02" xfId="892" xr:uid="{00000000-0005-0000-0000-00009A030000}"/>
    <cellStyle name="_TableSuperHead_Troon LLC FS dpakedit 8-7-02 v3" xfId="893" xr:uid="{00000000-0005-0000-0000-00009B030000}"/>
    <cellStyle name="_TableSuperHead_Troon LLC FS dpakedit 8-7-02 v4" xfId="894" xr:uid="{00000000-0005-0000-0000-00009C030000}"/>
    <cellStyle name="_TableSuperHead_Valuation_Troon dpak 8-5-02 v3" xfId="895" xr:uid="{00000000-0005-0000-0000-00009D030000}"/>
    <cellStyle name="_TableSuperHeading" xfId="896" xr:uid="{00000000-0005-0000-0000-00009E030000}"/>
    <cellStyle name="_TableText" xfId="897" xr:uid="{00000000-0005-0000-0000-00009F030000}"/>
    <cellStyle name="_TDN1110 HF Comps 070108" xfId="898" xr:uid="{00000000-0005-0000-0000-0000A0030000}"/>
    <cellStyle name="_Titan Standalone" xfId="899" xr:uid="{00000000-0005-0000-0000-0000A1030000}"/>
    <cellStyle name="_VLCO" xfId="900" xr:uid="{00000000-0005-0000-0000-0000A2030000}"/>
    <cellStyle name="_WACC Analysis" xfId="901" xr:uid="{00000000-0005-0000-0000-0000A3030000}"/>
    <cellStyle name="_Year" xfId="902" xr:uid="{00000000-0005-0000-0000-0000A4030000}"/>
    <cellStyle name="_Year_BCE Model 1-8-07" xfId="903" xr:uid="{00000000-0005-0000-0000-0000A5030000}"/>
    <cellStyle name="-" xfId="57" xr:uid="{00000000-0005-0000-0000-000057000000}"/>
    <cellStyle name=";;;" xfId="77" xr:uid="{00000000-0005-0000-0000-00006B000000}"/>
    <cellStyle name="??" xfId="81" xr:uid="{00000000-0005-0000-0000-00006F000000}"/>
    <cellStyle name="?? [0.00]_??????cula" xfId="82" xr:uid="{00000000-0005-0000-0000-000070000000}"/>
    <cellStyle name="?? [0]_??" xfId="83" xr:uid="{00000000-0005-0000-0000-000071000000}"/>
    <cellStyle name="??_?.????" xfId="87" xr:uid="{00000000-0005-0000-0000-000075000000}"/>
    <cellStyle name="???_~ME0858" xfId="86" xr:uid="{00000000-0005-0000-0000-000074000000}"/>
    <cellStyle name="?????_VERA" xfId="84" xr:uid="{00000000-0005-0000-0000-000072000000}"/>
    <cellStyle name="???[0]_~ME0858" xfId="85" xr:uid="{00000000-0005-0000-0000-000073000000}"/>
    <cellStyle name="&quot;X&quot; Men" xfId="3" xr:uid="{00000000-0005-0000-0000-000009000000}"/>
    <cellStyle name="]_EUARNEW5_EMF Reports - Shipments" xfId="100" xr:uid="{00000000-0005-0000-0000-000082000000}"/>
    <cellStyle name="]_Labour Efficiency" xfId="101" xr:uid="{00000000-0005-0000-0000-000083000000}"/>
    <cellStyle name="******************************************" xfId="55" xr:uid="{00000000-0005-0000-0000-000055000000}"/>
    <cellStyle name="*MILLS" xfId="56" xr:uid="{00000000-0005-0000-0000-000056000000}"/>
    <cellStyle name="\" xfId="88" xr:uid="{00000000-0005-0000-0000-000076000000}"/>
    <cellStyle name="\_BLS_Directories_v6" xfId="89" xr:uid="{00000000-0005-0000-0000-000077000000}"/>
    <cellStyle name="\_bluebirdacdil13" xfId="90" xr:uid="{00000000-0005-0000-0000-000078000000}"/>
    <cellStyle name="\_ecomps7w" xfId="91" xr:uid="{00000000-0005-0000-0000-000079000000}"/>
    <cellStyle name="\_equitycomps8" xfId="92" xr:uid="{00000000-0005-0000-0000-00007A000000}"/>
    <cellStyle name="\_equitycomps9" xfId="93" xr:uid="{00000000-0005-0000-0000-00007B000000}"/>
    <cellStyle name="\_houston Isabel" xfId="94" xr:uid="{00000000-0005-0000-0000-00007C000000}"/>
    <cellStyle name="\_hybrid2" xfId="95" xr:uid="{00000000-0005-0000-0000-00007D000000}"/>
    <cellStyle name="\_ITXCcomps" xfId="96" xr:uid="{00000000-0005-0000-0000-00007E000000}"/>
    <cellStyle name="\_newcomps16" xfId="97" xr:uid="{00000000-0005-0000-0000-00007F000000}"/>
    <cellStyle name="\_ravenpitch3" xfId="98" xr:uid="{00000000-0005-0000-0000-000080000000}"/>
    <cellStyle name="\_ravenpitch32" xfId="99" xr:uid="{00000000-0005-0000-0000-000081000000}"/>
    <cellStyle name="#" xfId="4" xr:uid="{00000000-0005-0000-0000-00000A000000}"/>
    <cellStyle name="#_Contribution analysis" xfId="6" xr:uid="{00000000-0005-0000-0000-000014000000}"/>
    <cellStyle name="#_DCF" xfId="7" xr:uid="{00000000-0005-0000-0000-000015000000}"/>
    <cellStyle name="#_LBO - 5dny0912" xfId="8" xr:uid="{00000000-0005-0000-0000-000016000000}"/>
    <cellStyle name="#_Model output pages" xfId="9" xr:uid="{00000000-0005-0000-0000-000017000000}"/>
    <cellStyle name="#_Project Horseshoe - Merger Model (May 2006) v.33 (DRAFT)" xfId="10" xr:uid="{00000000-0005-0000-0000-000018000000}"/>
    <cellStyle name="#_Spider LBO" xfId="11" xr:uid="{00000000-0005-0000-0000-000019000000}"/>
    <cellStyle name="#_Valuation Template Summary (v.5)" xfId="12" xr:uid="{00000000-0005-0000-0000-00001A000000}"/>
    <cellStyle name="#_WACC - 5dny0907" xfId="13" xr:uid="{00000000-0005-0000-0000-00001B000000}"/>
    <cellStyle name="#-" xfId="5" xr:uid="{00000000-0005-0000-0000-00000B000000}"/>
    <cellStyle name="%" xfId="34" xr:uid="{00000000-0005-0000-0000-000038000000}"/>
    <cellStyle name="% Growth" xfId="35" xr:uid="{00000000-0005-0000-0000-000039000000}"/>
    <cellStyle name="% Input" xfId="36" xr:uid="{00000000-0005-0000-0000-00003A000000}"/>
    <cellStyle name="% of Revenues" xfId="37" xr:uid="{00000000-0005-0000-0000-00003B000000}"/>
    <cellStyle name="% Presentation" xfId="38" xr:uid="{00000000-0005-0000-0000-00003C000000}"/>
    <cellStyle name="%_Contribution analysis" xfId="45" xr:uid="{00000000-0005-0000-0000-00004B000000}"/>
    <cellStyle name="%_DCF" xfId="46" xr:uid="{00000000-0005-0000-0000-00004C000000}"/>
    <cellStyle name="%_FS" xfId="47" xr:uid="{00000000-0005-0000-0000-00004D000000}"/>
    <cellStyle name="%_GS Model" xfId="48" xr:uid="{00000000-0005-0000-0000-00004E000000}"/>
    <cellStyle name="%_LBO - 5dny0912" xfId="49" xr:uid="{00000000-0005-0000-0000-00004F000000}"/>
    <cellStyle name="%_Model output pages" xfId="50" xr:uid="{00000000-0005-0000-0000-000050000000}"/>
    <cellStyle name="%_Project Horseshoe - Merger Model (May 2006) v.33 (DRAFT)" xfId="51" xr:uid="{00000000-0005-0000-0000-000051000000}"/>
    <cellStyle name="%_Spider LBO" xfId="52" xr:uid="{00000000-0005-0000-0000-000052000000}"/>
    <cellStyle name="%_Valuation Template Summary (v.5)" xfId="53" xr:uid="{00000000-0005-0000-0000-000053000000}"/>
    <cellStyle name="%_WACC - 5dny0907" xfId="54" xr:uid="{00000000-0005-0000-0000-000054000000}"/>
    <cellStyle name="%-" xfId="39" xr:uid="{00000000-0005-0000-0000-00003D000000}"/>
    <cellStyle name="%.0" xfId="40" xr:uid="{00000000-0005-0000-0000-000046000000}"/>
    <cellStyle name="%.00" xfId="41" xr:uid="{00000000-0005-0000-0000-000047000000}"/>
    <cellStyle name="%.1" xfId="42" xr:uid="{00000000-0005-0000-0000-000048000000}"/>
    <cellStyle name="%.2" xfId="43" xr:uid="{00000000-0005-0000-0000-000049000000}"/>
    <cellStyle name="%.3" xfId="44" xr:uid="{00000000-0005-0000-0000-00004A000000}"/>
    <cellStyle name="=C:\WINDOWS\SYSTEM32\COMMAND.COM" xfId="78" xr:uid="{00000000-0005-0000-0000-00006C000000}"/>
    <cellStyle name="=C:\WINNT\SYSTEM32\COMMAND.COM" xfId="80" xr:uid="{00000000-0005-0000-0000-00006E000000}"/>
    <cellStyle name="=C:\WINNT35\SYSTEM32\COMMAND.COM" xfId="79" xr:uid="{00000000-0005-0000-0000-00006D000000}"/>
    <cellStyle name="$" xfId="14" xr:uid="{00000000-0005-0000-0000-00001C000000}"/>
    <cellStyle name="$ &amp; ¢" xfId="15" xr:uid="{00000000-0005-0000-0000-00001D000000}"/>
    <cellStyle name="$_101306 CanWest Excel BAck up v14" xfId="18" xr:uid="{00000000-0005-0000-0000-000028000000}"/>
    <cellStyle name="$_BCE Model 1-8-07" xfId="19" xr:uid="{00000000-0005-0000-0000-000029000000}"/>
    <cellStyle name="$_Contribution analysis" xfId="20" xr:uid="{00000000-0005-0000-0000-00002A000000}"/>
    <cellStyle name="$_DCF" xfId="21" xr:uid="{00000000-0005-0000-0000-00002B000000}"/>
    <cellStyle name="$_FS" xfId="22" xr:uid="{00000000-0005-0000-0000-00002C000000}"/>
    <cellStyle name="$_ILEC LBO" xfId="23" xr:uid="{00000000-0005-0000-0000-00002D000000}"/>
    <cellStyle name="$_LBO - 5dny0912" xfId="24" xr:uid="{00000000-0005-0000-0000-00002E000000}"/>
    <cellStyle name="$_Model output pages" xfId="25" xr:uid="{00000000-0005-0000-0000-00002F000000}"/>
    <cellStyle name="$_NeptunePIA LBO Model 9-2-03 Final Deepak Final" xfId="26" xr:uid="{00000000-0005-0000-0000-000030000000}"/>
    <cellStyle name="$_Pro forma ownership analysis_06.12.02_v9" xfId="27" xr:uid="{00000000-0005-0000-0000-000031000000}"/>
    <cellStyle name="$_Project Horseshoe - Merger Model (May 2006) v.33 (DRAFT)" xfId="28" xr:uid="{00000000-0005-0000-0000-000032000000}"/>
    <cellStyle name="$_Spider LBO" xfId="29" xr:uid="{00000000-0005-0000-0000-000033000000}"/>
    <cellStyle name="$_Valuation Template Summary (v.5)" xfId="30" xr:uid="{00000000-0005-0000-0000-000034000000}"/>
    <cellStyle name="$_WACC - 5dny0907" xfId="31" xr:uid="{00000000-0005-0000-0000-000035000000}"/>
    <cellStyle name="$-" xfId="16" xr:uid="{00000000-0005-0000-0000-00001E000000}"/>
    <cellStyle name="$0.00" xfId="17" xr:uid="{00000000-0005-0000-0000-000027000000}"/>
    <cellStyle name="$m" xfId="32" xr:uid="{00000000-0005-0000-0000-000036000000}"/>
    <cellStyle name="$MILLS" xfId="33" xr:uid="{00000000-0005-0000-0000-000037000000}"/>
    <cellStyle name="0" xfId="58" xr:uid="{00000000-0005-0000-0000-000058000000}"/>
    <cellStyle name="0_CKFR Model 11-30-06" xfId="71" xr:uid="{00000000-0005-0000-0000-000065000000}"/>
    <cellStyle name="0_CKFR Model 11-30-06_BCE Model 1-8-07" xfId="72" xr:uid="{00000000-0005-0000-0000-000066000000}"/>
    <cellStyle name="0.0" xfId="60" xr:uid="{00000000-0005-0000-0000-00005A000000}"/>
    <cellStyle name="0.0 aligned" xfId="61" xr:uid="{00000000-0005-0000-0000-00005B000000}"/>
    <cellStyle name="0.0 NORMAL" xfId="62" xr:uid="{00000000-0005-0000-0000-00005C000000}"/>
    <cellStyle name="0.0 PERCENT" xfId="63" xr:uid="{00000000-0005-0000-0000-00005D000000}"/>
    <cellStyle name="0.0%" xfId="64" xr:uid="{00000000-0005-0000-0000-00005E000000}"/>
    <cellStyle name="0.00" xfId="65" xr:uid="{00000000-0005-0000-0000-00005F000000}"/>
    <cellStyle name="0.00 aligned" xfId="66" xr:uid="{00000000-0005-0000-0000-000060000000}"/>
    <cellStyle name="0.00%" xfId="67" xr:uid="{00000000-0005-0000-0000-000061000000}"/>
    <cellStyle name="0%" xfId="59" xr:uid="{00000000-0005-0000-0000-000059000000}"/>
    <cellStyle name="000" xfId="68" xr:uid="{00000000-0005-0000-0000-000062000000}"/>
    <cellStyle name="0000" xfId="69" xr:uid="{00000000-0005-0000-0000-000063000000}"/>
    <cellStyle name="000000" xfId="70" xr:uid="{00000000-0005-0000-0000-000064000000}"/>
    <cellStyle name="1,comma" xfId="73" xr:uid="{00000000-0005-0000-0000-000067000000}"/>
    <cellStyle name="2 Decimal Places" xfId="74" xr:uid="{00000000-0005-0000-0000-000068000000}"/>
    <cellStyle name="752131" xfId="75" xr:uid="{00000000-0005-0000-0000-000069000000}"/>
    <cellStyle name="8" xfId="76" xr:uid="{00000000-0005-0000-0000-00006A000000}"/>
    <cellStyle name="a - Comma" xfId="904" xr:uid="{00000000-0005-0000-0000-0000A6030000}"/>
    <cellStyle name="A_Block Space" xfId="905" xr:uid="{00000000-0005-0000-0000-0000A7030000}"/>
    <cellStyle name="A_BlueLine" xfId="906" xr:uid="{00000000-0005-0000-0000-0000A8030000}"/>
    <cellStyle name="A_Do not Change" xfId="907" xr:uid="{00000000-0005-0000-0000-0000A9030000}"/>
    <cellStyle name="A_Estimate" xfId="908" xr:uid="{00000000-0005-0000-0000-0000AA030000}"/>
    <cellStyle name="A_Memo" xfId="909" xr:uid="{00000000-0005-0000-0000-0000AB030000}"/>
    <cellStyle name="A_Normal" xfId="910" xr:uid="{00000000-0005-0000-0000-0000AC030000}"/>
    <cellStyle name="A_Normal Forecast" xfId="911" xr:uid="{00000000-0005-0000-0000-0000AD030000}"/>
    <cellStyle name="A_Normal Historical" xfId="912" xr:uid="{00000000-0005-0000-0000-0000AE030000}"/>
    <cellStyle name="A_Rate_Data" xfId="913" xr:uid="{00000000-0005-0000-0000-0000AF030000}"/>
    <cellStyle name="A_Rate_Data Historical" xfId="914" xr:uid="{00000000-0005-0000-0000-0000B0030000}"/>
    <cellStyle name="A_Rate_Title" xfId="915" xr:uid="{00000000-0005-0000-0000-0000B1030000}"/>
    <cellStyle name="A_Simple Title" xfId="916" xr:uid="{00000000-0005-0000-0000-0000B2030000}"/>
    <cellStyle name="A_Sum" xfId="917" xr:uid="{00000000-0005-0000-0000-0000B3030000}"/>
    <cellStyle name="A_SUM_Row Major" xfId="918" xr:uid="{00000000-0005-0000-0000-0000B4030000}"/>
    <cellStyle name="A_SUM_Row Minor" xfId="919" xr:uid="{00000000-0005-0000-0000-0000B5030000}"/>
    <cellStyle name="A_Title" xfId="920" xr:uid="{00000000-0005-0000-0000-0000B6030000}"/>
    <cellStyle name="A_YearHeadings" xfId="921" xr:uid="{00000000-0005-0000-0000-0000B7030000}"/>
    <cellStyle name="Absolute Change" xfId="922" xr:uid="{00000000-0005-0000-0000-0000B8030000}"/>
    <cellStyle name="Accounting" xfId="923" xr:uid="{00000000-0005-0000-0000-0000B9030000}"/>
    <cellStyle name="Accounting[0]" xfId="924" xr:uid="{00000000-0005-0000-0000-0000BA030000}"/>
    <cellStyle name="Acctg" xfId="925" xr:uid="{00000000-0005-0000-0000-0000BB030000}"/>
    <cellStyle name="Acctg$" xfId="926" xr:uid="{00000000-0005-0000-0000-0000BC030000}"/>
    <cellStyle name="Actual data" xfId="927" xr:uid="{00000000-0005-0000-0000-0000BE030000}"/>
    <cellStyle name="Actual Date" xfId="928" xr:uid="{00000000-0005-0000-0000-0000BF030000}"/>
    <cellStyle name="Actual year" xfId="929" xr:uid="{00000000-0005-0000-0000-0000C0030000}"/>
    <cellStyle name="Actuals Cells" xfId="930" xr:uid="{00000000-0005-0000-0000-0000C1030000}"/>
    <cellStyle name="adj_share" xfId="931" xr:uid="{00000000-0005-0000-0000-0000C2030000}"/>
    <cellStyle name="AFE" xfId="932" xr:uid="{00000000-0005-0000-0000-0000C3030000}"/>
    <cellStyle name="Afjusted" xfId="933" xr:uid="{00000000-0005-0000-0000-0000C4030000}"/>
    <cellStyle name="Agara" xfId="934" xr:uid="{00000000-0005-0000-0000-0000C5030000}"/>
    <cellStyle name="Alert" xfId="935" xr:uid="{00000000-0005-0000-0000-0000C6030000}"/>
    <cellStyle name="args.style" xfId="936" xr:uid="{00000000-0005-0000-0000-0000C7030000}"/>
    <cellStyle name="Arial 10" xfId="937" xr:uid="{00000000-0005-0000-0000-0000C8030000}"/>
    <cellStyle name="Arial 12" xfId="938" xr:uid="{00000000-0005-0000-0000-0000C9030000}"/>
    <cellStyle name="Arial6Bold" xfId="939" xr:uid="{00000000-0005-0000-0000-0000CA030000}"/>
    <cellStyle name="Arial8Bold" xfId="940" xr:uid="{00000000-0005-0000-0000-0000CB030000}"/>
    <cellStyle name="Arial8Italic" xfId="941" xr:uid="{00000000-0005-0000-0000-0000CC030000}"/>
    <cellStyle name="ArialNormal" xfId="942" xr:uid="{00000000-0005-0000-0000-0000CD030000}"/>
    <cellStyle name="Ariel 7 pt. plain" xfId="943" xr:uid="{00000000-0005-0000-0000-0000CE030000}"/>
    <cellStyle name="Array" xfId="944" xr:uid="{00000000-0005-0000-0000-0000CF030000}"/>
    <cellStyle name="Array Enter" xfId="945" xr:uid="{00000000-0005-0000-0000-0000D0030000}"/>
    <cellStyle name="Assumption" xfId="946" xr:uid="{00000000-0005-0000-0000-0000D1030000}"/>
    <cellStyle name="Availability" xfId="947" xr:uid="{00000000-0005-0000-0000-0000D2030000}"/>
    <cellStyle name="b" xfId="948" xr:uid="{00000000-0005-0000-0000-0000D3030000}"/>
    <cellStyle name="b - Line" xfId="949" xr:uid="{00000000-0005-0000-0000-0000D4030000}"/>
    <cellStyle name="b - Line - Dotted" xfId="950" xr:uid="{00000000-0005-0000-0000-0000D5030000}"/>
    <cellStyle name="Balance" xfId="951" xr:uid="{00000000-0005-0000-0000-0000D6030000}"/>
    <cellStyle name="Balance Sheet" xfId="952" xr:uid="{00000000-0005-0000-0000-0000D7030000}"/>
    <cellStyle name="BalanceSheet" xfId="953" xr:uid="{00000000-0005-0000-0000-0000D8030000}"/>
    <cellStyle name="Band 2" xfId="954" xr:uid="{00000000-0005-0000-0000-0000D9030000}"/>
    <cellStyle name="Bank1" xfId="955" xr:uid="{00000000-0005-0000-0000-0000DA030000}"/>
    <cellStyle name="BAS Comma [0]" xfId="956" xr:uid="{00000000-0005-0000-0000-0000DB030000}"/>
    <cellStyle name="BAS Comma [1]" xfId="957" xr:uid="{00000000-0005-0000-0000-0000DC030000}"/>
    <cellStyle name="BAS Currency [0]" xfId="958" xr:uid="{00000000-0005-0000-0000-0000DD030000}"/>
    <cellStyle name="BAS Currency [1]" xfId="959" xr:uid="{00000000-0005-0000-0000-0000DE030000}"/>
    <cellStyle name="BAS Currency [2]" xfId="960" xr:uid="{00000000-0005-0000-0000-0000DF030000}"/>
    <cellStyle name="BAS Multiple [1]" xfId="961" xr:uid="{00000000-0005-0000-0000-0000E0030000}"/>
    <cellStyle name="BAS Percent Actual [1]" xfId="962" xr:uid="{00000000-0005-0000-0000-0000E1030000}"/>
    <cellStyle name="Basic" xfId="963" xr:uid="{00000000-0005-0000-0000-0000E2030000}"/>
    <cellStyle name="BB_Date_mmm" xfId="964" xr:uid="{00000000-0005-0000-0000-0000E3030000}"/>
    <cellStyle name="BLACK" xfId="965" xr:uid="{00000000-0005-0000-0000-0000E4030000}"/>
    <cellStyle name="BlackStrike" xfId="966" xr:uid="{00000000-0005-0000-0000-0000E5030000}"/>
    <cellStyle name="BlackText" xfId="967" xr:uid="{00000000-0005-0000-0000-0000E6030000}"/>
    <cellStyle name="blank" xfId="968" xr:uid="{00000000-0005-0000-0000-0000E7030000}"/>
    <cellStyle name="Blank [,]" xfId="971" xr:uid="{00000000-0005-0000-0000-0000EA030000}"/>
    <cellStyle name="Blank [%]" xfId="970" xr:uid="{00000000-0005-0000-0000-0000E9030000}"/>
    <cellStyle name="Blank [$]" xfId="969" xr:uid="{00000000-0005-0000-0000-0000E8030000}"/>
    <cellStyle name="Blank [1,]" xfId="974" xr:uid="{00000000-0005-0000-0000-0000ED030000}"/>
    <cellStyle name="Blank [1%]" xfId="973" xr:uid="{00000000-0005-0000-0000-0000EC030000}"/>
    <cellStyle name="Blank [1$]" xfId="972" xr:uid="{00000000-0005-0000-0000-0000EB030000}"/>
    <cellStyle name="Blank [2,]" xfId="977" xr:uid="{00000000-0005-0000-0000-0000F0030000}"/>
    <cellStyle name="Blank [2%]" xfId="976" xr:uid="{00000000-0005-0000-0000-0000EF030000}"/>
    <cellStyle name="Blank [2$]" xfId="975" xr:uid="{00000000-0005-0000-0000-0000EE030000}"/>
    <cellStyle name="Blank [3,]" xfId="980" xr:uid="{00000000-0005-0000-0000-0000F3030000}"/>
    <cellStyle name="Blank [3%]" xfId="979" xr:uid="{00000000-0005-0000-0000-0000F2030000}"/>
    <cellStyle name="Blank [3$]" xfId="978" xr:uid="{00000000-0005-0000-0000-0000F1030000}"/>
    <cellStyle name="Blank Out" xfId="981" xr:uid="{00000000-0005-0000-0000-0000F4030000}"/>
    <cellStyle name="Blank_BCE Model 1-8-07" xfId="982" xr:uid="{00000000-0005-0000-0000-0000F5030000}"/>
    <cellStyle name="Block Titles" xfId="983" xr:uid="{00000000-0005-0000-0000-0000F6030000}"/>
    <cellStyle name="Blue" xfId="984" xr:uid="{00000000-0005-0000-0000-0000F7030000}"/>
    <cellStyle name="blue shading" xfId="985" xr:uid="{00000000-0005-0000-0000-0000F8030000}"/>
    <cellStyle name="Blue Table Text" xfId="986" xr:uid="{00000000-0005-0000-0000-0000F9030000}"/>
    <cellStyle name="Blue Title" xfId="987" xr:uid="{00000000-0005-0000-0000-0000FA030000}"/>
    <cellStyle name="Blue_060114 BMarkingSummary_aj v3" xfId="989" xr:uid="{00000000-0005-0000-0000-0000FC030000}"/>
    <cellStyle name="blue$00" xfId="988" xr:uid="{00000000-0005-0000-0000-0000FB030000}"/>
    <cellStyle name="bluenodec" xfId="990" xr:uid="{00000000-0005-0000-0000-0000FD030000}"/>
    <cellStyle name="bluepercent" xfId="991" xr:uid="{00000000-0005-0000-0000-0000FE030000}"/>
    <cellStyle name="Body" xfId="992" xr:uid="{00000000-0005-0000-0000-0000FF030000}"/>
    <cellStyle name="Bold" xfId="993" xr:uid="{00000000-0005-0000-0000-000000040000}"/>
    <cellStyle name="Bold/Border" xfId="994" xr:uid="{00000000-0005-0000-0000-000001040000}"/>
    <cellStyle name="BoldText" xfId="995" xr:uid="{00000000-0005-0000-0000-000002040000}"/>
    <cellStyle name="Border" xfId="996" xr:uid="{00000000-0005-0000-0000-000003040000}"/>
    <cellStyle name="Border Heavy" xfId="997" xr:uid="{00000000-0005-0000-0000-000004040000}"/>
    <cellStyle name="Border Thin" xfId="998" xr:uid="{00000000-0005-0000-0000-000005040000}"/>
    <cellStyle name="border_BCE Model 1-8-07" xfId="1003" xr:uid="{00000000-0005-0000-0000-00000A040000}"/>
    <cellStyle name="Border, Bottom" xfId="999" xr:uid="{00000000-0005-0000-0000-000006040000}"/>
    <cellStyle name="Border, Left" xfId="1000" xr:uid="{00000000-0005-0000-0000-000007040000}"/>
    <cellStyle name="Border, Right" xfId="1001" xr:uid="{00000000-0005-0000-0000-000008040000}"/>
    <cellStyle name="Border, Top" xfId="1002" xr:uid="{00000000-0005-0000-0000-000009040000}"/>
    <cellStyle name="BorderBold" xfId="1004" xr:uid="{00000000-0005-0000-0000-00000B040000}"/>
    <cellStyle name="Bottom bold border" xfId="1005" xr:uid="{00000000-0005-0000-0000-00000C040000}"/>
    <cellStyle name="Bottom Edge" xfId="1006" xr:uid="{00000000-0005-0000-0000-00000D040000}"/>
    <cellStyle name="Bottom single border" xfId="1007" xr:uid="{00000000-0005-0000-0000-00000E040000}"/>
    <cellStyle name="British Pound" xfId="1008" xr:uid="{00000000-0005-0000-0000-00000F040000}"/>
    <cellStyle name="bullet" xfId="1009" xr:uid="{00000000-0005-0000-0000-000010040000}"/>
    <cellStyle name="Bullet [0]" xfId="1010" xr:uid="{00000000-0005-0000-0000-000011040000}"/>
    <cellStyle name="Bullet [2]" xfId="1011" xr:uid="{00000000-0005-0000-0000-000012040000}"/>
    <cellStyle name="Bullet [4]" xfId="1012" xr:uid="{00000000-0005-0000-0000-000013040000}"/>
    <cellStyle name="Bullet_FS" xfId="1013" xr:uid="{00000000-0005-0000-0000-000014040000}"/>
    <cellStyle name="Business Description" xfId="1014" xr:uid="{00000000-0005-0000-0000-000015040000}"/>
    <cellStyle name="BvDAddIn_Currency" xfId="1015" xr:uid="{00000000-0005-0000-0000-000016040000}"/>
    <cellStyle name="c" xfId="1016" xr:uid="{00000000-0005-0000-0000-000017040000}"/>
    <cellStyle name="c_BCE Model 1-8-07" xfId="1019" xr:uid="{00000000-0005-0000-0000-00001A040000}"/>
    <cellStyle name="c_comps_1" xfId="1020" xr:uid="{00000000-0005-0000-0000-00001B040000}"/>
    <cellStyle name="C05_Style E Text" xfId="1017" xr:uid="{00000000-0005-0000-0000-000018040000}"/>
    <cellStyle name="c3" xfId="1018" xr:uid="{00000000-0005-0000-0000-000019040000}"/>
    <cellStyle name="Calc" xfId="1021" xr:uid="{00000000-0005-0000-0000-00001C040000}"/>
    <cellStyle name="Calc Cells" xfId="1022" xr:uid="{00000000-0005-0000-0000-00001D040000}"/>
    <cellStyle name="Calc Currency (0)" xfId="1023" xr:uid="{00000000-0005-0000-0000-00001E040000}"/>
    <cellStyle name="Calc Currency (2)" xfId="1024" xr:uid="{00000000-0005-0000-0000-00001F040000}"/>
    <cellStyle name="Calc Percent (0)" xfId="1025" xr:uid="{00000000-0005-0000-0000-000020040000}"/>
    <cellStyle name="Calc Percent (1)" xfId="1026" xr:uid="{00000000-0005-0000-0000-000021040000}"/>
    <cellStyle name="Calc Percent (2)" xfId="1027" xr:uid="{00000000-0005-0000-0000-000022040000}"/>
    <cellStyle name="Calc Units (0)" xfId="1028" xr:uid="{00000000-0005-0000-0000-000023040000}"/>
    <cellStyle name="Calc Units (1)" xfId="1029" xr:uid="{00000000-0005-0000-0000-000024040000}"/>
    <cellStyle name="Calc Units (2)" xfId="1030" xr:uid="{00000000-0005-0000-0000-000025040000}"/>
    <cellStyle name="Calc_BCE Model 1-8-07" xfId="1032" xr:uid="{00000000-0005-0000-0000-000027040000}"/>
    <cellStyle name="Calc$" xfId="1031" xr:uid="{00000000-0005-0000-0000-000026040000}"/>
    <cellStyle name="Caption" xfId="1033" xr:uid="{00000000-0005-0000-0000-000028040000}"/>
    <cellStyle name="Case" xfId="1034" xr:uid="{00000000-0005-0000-0000-000029040000}"/>
    <cellStyle name="Cash Flow Statement" xfId="1035" xr:uid="{00000000-0005-0000-0000-00002A040000}"/>
    <cellStyle name="CashFlow" xfId="1036" xr:uid="{00000000-0005-0000-0000-00002B040000}"/>
    <cellStyle name="category" xfId="1037" xr:uid="{00000000-0005-0000-0000-00002C040000}"/>
    <cellStyle name="Category Name" xfId="1038" xr:uid="{00000000-0005-0000-0000-00002D040000}"/>
    <cellStyle name="center" xfId="1039" xr:uid="{00000000-0005-0000-0000-00002E040000}"/>
    <cellStyle name="Center Across" xfId="1040" xr:uid="{00000000-0005-0000-0000-00002F040000}"/>
    <cellStyle name="Centered Heading" xfId="1041" xr:uid="{00000000-0005-0000-0000-000030040000}"/>
    <cellStyle name="Cents" xfId="1042" xr:uid="{00000000-0005-0000-0000-000031040000}"/>
    <cellStyle name="Ch, Column Header" xfId="1043" xr:uid="{00000000-0005-0000-0000-000032040000}"/>
    <cellStyle name="Changeable" xfId="1044" xr:uid="{00000000-0005-0000-0000-000033040000}"/>
    <cellStyle name="ChartingText" xfId="1045" xr:uid="{00000000-0005-0000-0000-000034040000}"/>
    <cellStyle name="Check" xfId="1046" xr:uid="{00000000-0005-0000-0000-000035040000}"/>
    <cellStyle name="Clean" xfId="1047" xr:uid="{00000000-0005-0000-0000-000036040000}"/>
    <cellStyle name="Client Name" xfId="1048" xr:uid="{00000000-0005-0000-0000-000037040000}"/>
    <cellStyle name="Co. Names" xfId="1049" xr:uid="{00000000-0005-0000-0000-000038040000}"/>
    <cellStyle name="Co. Names - Bold" xfId="1050" xr:uid="{00000000-0005-0000-0000-000039040000}"/>
    <cellStyle name="Co. Names_FS" xfId="1051" xr:uid="{00000000-0005-0000-0000-00003A040000}"/>
    <cellStyle name="COL HEADINGS" xfId="1052" xr:uid="{00000000-0005-0000-0000-00003B040000}"/>
    <cellStyle name="Colhead_left" xfId="1053" xr:uid="{00000000-0005-0000-0000-00003C040000}"/>
    <cellStyle name="ColHeader" xfId="1054" xr:uid="{00000000-0005-0000-0000-00003D040000}"/>
    <cellStyle name="ColHeading" xfId="1055" xr:uid="{00000000-0005-0000-0000-00003E040000}"/>
    <cellStyle name="colheadleft" xfId="1056" xr:uid="{00000000-0005-0000-0000-00003F040000}"/>
    <cellStyle name="colheadright" xfId="1057" xr:uid="{00000000-0005-0000-0000-000040040000}"/>
    <cellStyle name="Collegamento ipertestuale_PLDT" xfId="1058" xr:uid="{00000000-0005-0000-0000-000041040000}"/>
    <cellStyle name="Column Heading" xfId="1059" xr:uid="{00000000-0005-0000-0000-000042040000}"/>
    <cellStyle name="Column Headings" xfId="1060" xr:uid="{00000000-0005-0000-0000-000043040000}"/>
    <cellStyle name="column1" xfId="1061" xr:uid="{00000000-0005-0000-0000-000044040000}"/>
    <cellStyle name="column1Big" xfId="1062" xr:uid="{00000000-0005-0000-0000-000045040000}"/>
    <cellStyle name="ColumnHeaderNormal" xfId="1063" xr:uid="{00000000-0005-0000-0000-000046040000}"/>
    <cellStyle name="ColumnHeadings" xfId="1064" xr:uid="{00000000-0005-0000-0000-000047040000}"/>
    <cellStyle name="ColumnHeadings2" xfId="1065" xr:uid="{00000000-0005-0000-0000-000048040000}"/>
    <cellStyle name="coma" xfId="1066" xr:uid="{00000000-0005-0000-0000-000049040000}"/>
    <cellStyle name="comm" xfId="1067" xr:uid="{00000000-0005-0000-0000-00004A040000}"/>
    <cellStyle name="Comma  - Style1" xfId="1068" xr:uid="{00000000-0005-0000-0000-00004B040000}"/>
    <cellStyle name="Comma  - Style2" xfId="1069" xr:uid="{00000000-0005-0000-0000-00004C040000}"/>
    <cellStyle name="Comma  - Style3" xfId="1070" xr:uid="{00000000-0005-0000-0000-00004D040000}"/>
    <cellStyle name="Comma  - Style4" xfId="1071" xr:uid="{00000000-0005-0000-0000-00004E040000}"/>
    <cellStyle name="Comma  - Style5" xfId="1072" xr:uid="{00000000-0005-0000-0000-00004F040000}"/>
    <cellStyle name="Comma  - Style6" xfId="1073" xr:uid="{00000000-0005-0000-0000-000050040000}"/>
    <cellStyle name="Comma  - Style7" xfId="1074" xr:uid="{00000000-0005-0000-0000-000051040000}"/>
    <cellStyle name="Comma  - Style8" xfId="1075" xr:uid="{00000000-0005-0000-0000-000052040000}"/>
    <cellStyle name="Comma ," xfId="1078" xr:uid="{00000000-0005-0000-0000-000055040000}"/>
    <cellStyle name="Comma (0)" xfId="1076" xr:uid="{00000000-0005-0000-0000-000053040000}"/>
    <cellStyle name="Comma (1)" xfId="1077" xr:uid="{00000000-0005-0000-0000-000054040000}"/>
    <cellStyle name="Comma [0] Total" xfId="1086" xr:uid="{00000000-0005-0000-0000-00005F040000}"/>
    <cellStyle name="Comma [00]" xfId="1085" xr:uid="{00000000-0005-0000-0000-00005E040000}"/>
    <cellStyle name="Comma [1]" xfId="1087" xr:uid="{00000000-0005-0000-0000-000060040000}"/>
    <cellStyle name="Comma [1] Total" xfId="1088" xr:uid="{00000000-0005-0000-0000-000061040000}"/>
    <cellStyle name="Comma [1]_060114 BMarkingSummary_aj v3" xfId="1089" xr:uid="{00000000-0005-0000-0000-000062040000}"/>
    <cellStyle name="Comma [2]" xfId="1090" xr:uid="{00000000-0005-0000-0000-000063040000}"/>
    <cellStyle name="Comma [2] Total" xfId="1091" xr:uid="{00000000-0005-0000-0000-000064040000}"/>
    <cellStyle name="Comma [2]_3.33.Data" xfId="1092" xr:uid="{00000000-0005-0000-0000-000065040000}"/>
    <cellStyle name="Comma [3]" xfId="1093" xr:uid="{00000000-0005-0000-0000-000066040000}"/>
    <cellStyle name="Comma 0" xfId="1079" xr:uid="{00000000-0005-0000-0000-000056040000}"/>
    <cellStyle name="Comma 0*" xfId="1080" xr:uid="{00000000-0005-0000-0000-000057040000}"/>
    <cellStyle name="Comma 2" xfId="1081" xr:uid="{00000000-0005-0000-0000-000059040000}"/>
    <cellStyle name="Comma 2*" xfId="1082" xr:uid="{00000000-0005-0000-0000-00005A040000}"/>
    <cellStyle name="comma 3" xfId="1083" xr:uid="{00000000-0005-0000-0000-00005C040000}"/>
    <cellStyle name="Comma 3*" xfId="1084" xr:uid="{00000000-0005-0000-0000-00005D040000}"/>
    <cellStyle name="Comma Cents" xfId="1094" xr:uid="{00000000-0005-0000-0000-000067040000}"/>
    <cellStyle name="comma zerodec" xfId="1095" xr:uid="{00000000-0005-0000-0000-000068040000}"/>
    <cellStyle name="Comma-Rounded" xfId="1099" xr:uid="{00000000-0005-0000-0000-00006C040000}"/>
    <cellStyle name="Comma, 0 Dec, Parens, Zero -" xfId="1097" xr:uid="{00000000-0005-0000-0000-00006A040000}"/>
    <cellStyle name="Comma, 1 dec" xfId="1098" xr:uid="{00000000-0005-0000-0000-00006B040000}"/>
    <cellStyle name="Comma*" xfId="1096" xr:uid="{00000000-0005-0000-0000-000069040000}"/>
    <cellStyle name="Comma0" xfId="1100" xr:uid="{00000000-0005-0000-0000-00006D040000}"/>
    <cellStyle name="Comma0 - Modelo1" xfId="1101" xr:uid="{00000000-0005-0000-0000-00006E040000}"/>
    <cellStyle name="Comma0 - Style1" xfId="1102" xr:uid="{00000000-0005-0000-0000-00006F040000}"/>
    <cellStyle name="Comma0_3.33.Data" xfId="1103" xr:uid="{00000000-0005-0000-0000-000070040000}"/>
    <cellStyle name="Comma0x" xfId="1104" xr:uid="{00000000-0005-0000-0000-000071040000}"/>
    <cellStyle name="Comma1" xfId="1105" xr:uid="{00000000-0005-0000-0000-000072040000}"/>
    <cellStyle name="Comma1 - Modelo2" xfId="1106" xr:uid="{00000000-0005-0000-0000-000073040000}"/>
    <cellStyle name="Comma1 - Style2" xfId="1107" xr:uid="{00000000-0005-0000-0000-000074040000}"/>
    <cellStyle name="Comma1_3.33.Data" xfId="1108" xr:uid="{00000000-0005-0000-0000-000075040000}"/>
    <cellStyle name="Comma1x" xfId="1109" xr:uid="{00000000-0005-0000-0000-000076040000}"/>
    <cellStyle name="Comma2" xfId="1110" xr:uid="{00000000-0005-0000-0000-000077040000}"/>
    <cellStyle name="Comma2x" xfId="1111" xr:uid="{00000000-0005-0000-0000-000078040000}"/>
    <cellStyle name="Comma3" xfId="1112" xr:uid="{00000000-0005-0000-0000-000079040000}"/>
    <cellStyle name="Comma3x" xfId="1113" xr:uid="{00000000-0005-0000-0000-00007A040000}"/>
    <cellStyle name="Comma4" xfId="1114" xr:uid="{00000000-0005-0000-0000-00007B040000}"/>
    <cellStyle name="Comma4x" xfId="1115" xr:uid="{00000000-0005-0000-0000-00007C040000}"/>
    <cellStyle name="CommaKM" xfId="1116" xr:uid="{00000000-0005-0000-0000-00007D040000}"/>
    <cellStyle name="commas" xfId="1117" xr:uid="{00000000-0005-0000-0000-00007E040000}"/>
    <cellStyle name="Comment" xfId="1118" xr:uid="{00000000-0005-0000-0000-00007F040000}"/>
    <cellStyle name="Company" xfId="1119" xr:uid="{00000000-0005-0000-0000-000080040000}"/>
    <cellStyle name="Company Name" xfId="1120" xr:uid="{00000000-0005-0000-0000-000081040000}"/>
    <cellStyle name="CompanyName" xfId="1121" xr:uid="{00000000-0005-0000-0000-000082040000}"/>
    <cellStyle name="Copied" xfId="1122" xr:uid="{00000000-0005-0000-0000-000083040000}"/>
    <cellStyle name="Cost" xfId="1123" xr:uid="{00000000-0005-0000-0000-000084040000}"/>
    <cellStyle name="Cover Date" xfId="1124" xr:uid="{00000000-0005-0000-0000-000085040000}"/>
    <cellStyle name="Cover Subtitle" xfId="1125" xr:uid="{00000000-0005-0000-0000-000086040000}"/>
    <cellStyle name="Cover Title" xfId="1126" xr:uid="{00000000-0005-0000-0000-000087040000}"/>
    <cellStyle name="COVERAGE" xfId="1127" xr:uid="{00000000-0005-0000-0000-000088040000}"/>
    <cellStyle name="cpmma" xfId="1128" xr:uid="{00000000-0005-0000-0000-000089040000}"/>
    <cellStyle name="Cur" xfId="1129" xr:uid="{00000000-0005-0000-0000-00008A040000}"/>
    <cellStyle name="CurRatio" xfId="1130" xr:uid="{00000000-0005-0000-0000-00008B040000}"/>
    <cellStyle name="Currency" xfId="1483" builtinId="4"/>
    <cellStyle name="Currency ($)" xfId="1131" xr:uid="{00000000-0005-0000-0000-00008C040000}"/>
    <cellStyle name="Currency (£)" xfId="1133" xr:uid="{00000000-0005-0000-0000-00008E040000}"/>
    <cellStyle name="Currency (€)" xfId="1134" xr:uid="{00000000-0005-0000-0000-00008F040000}"/>
    <cellStyle name="Currency (3)" xfId="1132" xr:uid="{00000000-0005-0000-0000-00008D040000}"/>
    <cellStyle name="Currency [0] Total" xfId="1144" xr:uid="{00000000-0005-0000-0000-00009A040000}"/>
    <cellStyle name="Currency [00]" xfId="1143" xr:uid="{00000000-0005-0000-0000-000099040000}"/>
    <cellStyle name="Currency [1]" xfId="1145" xr:uid="{00000000-0005-0000-0000-00009B040000}"/>
    <cellStyle name="Currency [1] Total" xfId="1146" xr:uid="{00000000-0005-0000-0000-00009C040000}"/>
    <cellStyle name="Currency [1]_BCE Model 1-8-07" xfId="1147" xr:uid="{00000000-0005-0000-0000-00009D040000}"/>
    <cellStyle name="Currency [2]" xfId="1148" xr:uid="{00000000-0005-0000-0000-00009E040000}"/>
    <cellStyle name="Currency [2] Total" xfId="1149" xr:uid="{00000000-0005-0000-0000-00009F040000}"/>
    <cellStyle name="Currency [2]_BCE Model 1-8-07" xfId="1150" xr:uid="{00000000-0005-0000-0000-0000A0040000}"/>
    <cellStyle name="Currency [3]" xfId="1151" xr:uid="{00000000-0005-0000-0000-0000A1040000}"/>
    <cellStyle name="Currency [per_share]" xfId="1152" xr:uid="{00000000-0005-0000-0000-0000A2040000}"/>
    <cellStyle name="Currency 0" xfId="1135" xr:uid="{00000000-0005-0000-0000-000090040000}"/>
    <cellStyle name="Currency 0.0" xfId="1136" xr:uid="{00000000-0005-0000-0000-000091040000}"/>
    <cellStyle name="currency 1" xfId="1137" xr:uid="{00000000-0005-0000-0000-000093040000}"/>
    <cellStyle name="Currency 2" xfId="1138" xr:uid="{00000000-0005-0000-0000-000094040000}"/>
    <cellStyle name="Currency 2 Total" xfId="1139" xr:uid="{00000000-0005-0000-0000-000095040000}"/>
    <cellStyle name="Currency 2_!MiniCombo_v081(vclk)" xfId="1141" xr:uid="{00000000-0005-0000-0000-000097040000}"/>
    <cellStyle name="Currency 2*" xfId="1140" xr:uid="{00000000-0005-0000-0000-000096040000}"/>
    <cellStyle name="Currency 3*" xfId="1142" xr:uid="{00000000-0005-0000-0000-000098040000}"/>
    <cellStyle name="Currency Input" xfId="1153" xr:uid="{00000000-0005-0000-0000-0000A3040000}"/>
    <cellStyle name="Currency Per Share" xfId="1154" xr:uid="{00000000-0005-0000-0000-0000A4040000}"/>
    <cellStyle name="Currency-Rounded" xfId="1156" xr:uid="{00000000-0005-0000-0000-0000A6040000}"/>
    <cellStyle name="Currency*" xfId="1155" xr:uid="{00000000-0005-0000-0000-0000A5040000}"/>
    <cellStyle name="Currency0" xfId="1157" xr:uid="{00000000-0005-0000-0000-0000A7040000}"/>
    <cellStyle name="Currency1" xfId="1158" xr:uid="{00000000-0005-0000-0000-0000A8040000}"/>
    <cellStyle name="Currency1Blue" xfId="1159" xr:uid="{00000000-0005-0000-0000-0000A9040000}"/>
    <cellStyle name="Currency2" xfId="1160" xr:uid="{00000000-0005-0000-0000-0000AA040000}"/>
    <cellStyle name="Currency3" xfId="1161" xr:uid="{00000000-0005-0000-0000-0000AB040000}"/>
    <cellStyle name="currencyt 0" xfId="1162" xr:uid="{00000000-0005-0000-0000-0000AC040000}"/>
    <cellStyle name="Currsmall" xfId="1163" xr:uid="{00000000-0005-0000-0000-0000AD040000}"/>
    <cellStyle name="d" xfId="1164" xr:uid="{00000000-0005-0000-0000-0000AE040000}"/>
    <cellStyle name="d_101306 CanWest Excel BAck up v14" xfId="1165" xr:uid="{00000000-0005-0000-0000-0000AF040000}"/>
    <cellStyle name="d_BCE Model 1-8-07" xfId="1166" xr:uid="{00000000-0005-0000-0000-0000B0040000}"/>
    <cellStyle name="d_Eutelsat and Capex Analysis" xfId="1167" xr:uid="{00000000-0005-0000-0000-0000B1040000}"/>
    <cellStyle name="d_Ford DCF 072101" xfId="1168" xr:uid="{00000000-0005-0000-0000-0000B2040000}"/>
    <cellStyle name="d_yield" xfId="1169" xr:uid="{00000000-0005-0000-0000-0000B3040000}"/>
    <cellStyle name="d_yield_101306 CanWest Excel BAck up v14" xfId="1170" xr:uid="{00000000-0005-0000-0000-0000B4040000}"/>
    <cellStyle name="d_yield_ILEC LBO" xfId="1171" xr:uid="{00000000-0005-0000-0000-0000B5040000}"/>
    <cellStyle name="d_yield_Sheet1" xfId="1172" xr:uid="{00000000-0005-0000-0000-0000B6040000}"/>
    <cellStyle name="Dash" xfId="1173" xr:uid="{00000000-0005-0000-0000-0000B7040000}"/>
    <cellStyle name="data" xfId="1174" xr:uid="{00000000-0005-0000-0000-0000B8040000}"/>
    <cellStyle name="Data Link" xfId="1175" xr:uid="{00000000-0005-0000-0000-0000B9040000}"/>
    <cellStyle name="data_FS" xfId="1176" xr:uid="{00000000-0005-0000-0000-0000BA040000}"/>
    <cellStyle name="Date" xfId="1177" xr:uid="{00000000-0005-0000-0000-0000BB040000}"/>
    <cellStyle name="Date (d-mm-yy)" xfId="1178" xr:uid="{00000000-0005-0000-0000-0000BC040000}"/>
    <cellStyle name="Date (d/mm/yy)" xfId="1179" xr:uid="{00000000-0005-0000-0000-0000BD040000}"/>
    <cellStyle name="Date (Full)" xfId="1180" xr:uid="{00000000-0005-0000-0000-0000BE040000}"/>
    <cellStyle name="Date [Abbreviated]" xfId="1181" xr:uid="{00000000-0005-0000-0000-0000BF040000}"/>
    <cellStyle name="Date [D-M-Y]" xfId="1182" xr:uid="{00000000-0005-0000-0000-0000C0040000}"/>
    <cellStyle name="Date [Long Europe]" xfId="1183" xr:uid="{00000000-0005-0000-0000-0000C1040000}"/>
    <cellStyle name="Date [Long U.S.]" xfId="1184" xr:uid="{00000000-0005-0000-0000-0000C2040000}"/>
    <cellStyle name="Date [M-Y]" xfId="1185" xr:uid="{00000000-0005-0000-0000-0000C3040000}"/>
    <cellStyle name="Date [M/D/Y]" xfId="1186" xr:uid="{00000000-0005-0000-0000-0000C4040000}"/>
    <cellStyle name="Date [M/Y]" xfId="1187" xr:uid="{00000000-0005-0000-0000-0000C5040000}"/>
    <cellStyle name="Date [mmm-yy]" xfId="1188" xr:uid="{00000000-0005-0000-0000-0000C6040000}"/>
    <cellStyle name="Date [Short Europe]" xfId="1189" xr:uid="{00000000-0005-0000-0000-0000C7040000}"/>
    <cellStyle name="Date [Short U.S.]" xfId="1190" xr:uid="{00000000-0005-0000-0000-0000C8040000}"/>
    <cellStyle name="Date Aligned" xfId="1191" xr:uid="{00000000-0005-0000-0000-0000C9040000}"/>
    <cellStyle name="Date Aligned*" xfId="1192" xr:uid="{00000000-0005-0000-0000-0000CA040000}"/>
    <cellStyle name="Date Day" xfId="1193" xr:uid="{00000000-0005-0000-0000-0000CC040000}"/>
    <cellStyle name="Date m/d/yy" xfId="1194" xr:uid="{00000000-0005-0000-0000-0000CD040000}"/>
    <cellStyle name="Date Short" xfId="1195" xr:uid="{00000000-0005-0000-0000-0000CE040000}"/>
    <cellStyle name="Date Year" xfId="1196" xr:uid="{00000000-0005-0000-0000-0000CF040000}"/>
    <cellStyle name="Date_060114 BMarkingSummary_aj v3" xfId="1200" xr:uid="{00000000-0005-0000-0000-0000D3040000}"/>
    <cellStyle name="Date1" xfId="1197" xr:uid="{00000000-0005-0000-0000-0000D0040000}"/>
    <cellStyle name="date2" xfId="1198" xr:uid="{00000000-0005-0000-0000-0000D1040000}"/>
    <cellStyle name="date3" xfId="1199" xr:uid="{00000000-0005-0000-0000-0000D2040000}"/>
    <cellStyle name="Dates" xfId="1201" xr:uid="{00000000-0005-0000-0000-0000D4040000}"/>
    <cellStyle name="DateYear" xfId="1202" xr:uid="{00000000-0005-0000-0000-0000D5040000}"/>
    <cellStyle name="DateYearEstimate" xfId="1203" xr:uid="{00000000-0005-0000-0000-0000D6040000}"/>
    <cellStyle name="DateYearWholeEstimate" xfId="1204" xr:uid="{00000000-0005-0000-0000-0000D7040000}"/>
    <cellStyle name="Days.0" xfId="1205" xr:uid="{00000000-0005-0000-0000-0000D8040000}"/>
    <cellStyle name="Days.1" xfId="1206" xr:uid="{00000000-0005-0000-0000-0000D9040000}"/>
    <cellStyle name="DblLineDollarAcct" xfId="1207" xr:uid="{00000000-0005-0000-0000-0000DA040000}"/>
    <cellStyle name="DblLinePercent" xfId="1208" xr:uid="{00000000-0005-0000-0000-0000DB040000}"/>
    <cellStyle name="ddate" xfId="1209" xr:uid="{00000000-0005-0000-0000-0000DC040000}"/>
    <cellStyle name="Decimal" xfId="1210" xr:uid="{00000000-0005-0000-0000-0000DD040000}"/>
    <cellStyle name="default 1" xfId="1211" xr:uid="{00000000-0005-0000-0000-0000DE040000}"/>
    <cellStyle name="defaultStyle" xfId="1212" xr:uid="{00000000-0005-0000-0000-0000DF040000}"/>
    <cellStyle name="Detail" xfId="1213" xr:uid="{00000000-0005-0000-0000-0000E0040000}"/>
    <cellStyle name="Deutschmark" xfId="1214" xr:uid="{00000000-0005-0000-0000-0000E1040000}"/>
    <cellStyle name="Dezimal__Utopia Index Index und Guidance (Deutsch)" xfId="1215" xr:uid="{00000000-0005-0000-0000-0000E2040000}"/>
    <cellStyle name="Dia" xfId="1216" xr:uid="{00000000-0005-0000-0000-0000E3040000}"/>
    <cellStyle name="DIANE" xfId="1217" xr:uid="{00000000-0005-0000-0000-0000E4040000}"/>
    <cellStyle name="dolar" xfId="1218" xr:uid="{00000000-0005-0000-0000-0000E5040000}"/>
    <cellStyle name="dolar whole" xfId="1219" xr:uid="{00000000-0005-0000-0000-0000E6040000}"/>
    <cellStyle name="dolar_ATT LBO Model 07-02-04v1" xfId="1220" xr:uid="{00000000-0005-0000-0000-0000E7040000}"/>
    <cellStyle name="Dollar" xfId="1221" xr:uid="{00000000-0005-0000-0000-0000E8040000}"/>
    <cellStyle name="Dollar - Style5" xfId="1224" xr:uid="{00000000-0005-0000-0000-0000EB040000}"/>
    <cellStyle name="Dollar (Canadian)" xfId="1222" xr:uid="{00000000-0005-0000-0000-0000E9040000}"/>
    <cellStyle name="Dollar (zero dec)" xfId="1223" xr:uid="{00000000-0005-0000-0000-0000EA040000}"/>
    <cellStyle name="Dollar Whole" xfId="1225" xr:uid="{00000000-0005-0000-0000-0000EC040000}"/>
    <cellStyle name="dollar_051129 DCF Summary" xfId="1229" xr:uid="{00000000-0005-0000-0000-0000F0040000}"/>
    <cellStyle name="Dollar1" xfId="1226" xr:uid="{00000000-0005-0000-0000-0000ED040000}"/>
    <cellStyle name="Dollar1Blue" xfId="1227" xr:uid="{00000000-0005-0000-0000-0000EE040000}"/>
    <cellStyle name="Dollar2" xfId="1228" xr:uid="{00000000-0005-0000-0000-0000EF040000}"/>
    <cellStyle name="DollarAccounting" xfId="1230" xr:uid="{00000000-0005-0000-0000-0000F1040000}"/>
    <cellStyle name="Dollars" xfId="1231" xr:uid="{00000000-0005-0000-0000-0000F2040000}"/>
    <cellStyle name="DollarWhole" xfId="1232" xr:uid="{00000000-0005-0000-0000-0000F3040000}"/>
    <cellStyle name="Doller" xfId="1233" xr:uid="{00000000-0005-0000-0000-0000F4040000}"/>
    <cellStyle name="Dotted Line" xfId="1234" xr:uid="{00000000-0005-0000-0000-0000F5040000}"/>
    <cellStyle name="Double Accounting" xfId="1235" xr:uid="{00000000-0005-0000-0000-0000F6040000}"/>
    <cellStyle name="Double Underline" xfId="1236" xr:uid="{00000000-0005-0000-0000-0000F7040000}"/>
    <cellStyle name="Download" xfId="1237" xr:uid="{00000000-0005-0000-0000-0000F8040000}"/>
    <cellStyle name="dp*NumberGeneral" xfId="1238" xr:uid="{00000000-0005-0000-0000-0000F9040000}"/>
    <cellStyle name="Driver" xfId="1239" xr:uid="{00000000-0005-0000-0000-0000FA040000}"/>
    <cellStyle name="Encabez1" xfId="1240" xr:uid="{00000000-0005-0000-0000-0000FB040000}"/>
    <cellStyle name="Encabez2" xfId="1241" xr:uid="{00000000-0005-0000-0000-0000FC040000}"/>
    <cellStyle name="Enter Currency (0)" xfId="1242" xr:uid="{00000000-0005-0000-0000-0000FD040000}"/>
    <cellStyle name="Enter Currency (2)" xfId="1243" xr:uid="{00000000-0005-0000-0000-0000FE040000}"/>
    <cellStyle name="Enter Units (0)" xfId="1244" xr:uid="{00000000-0005-0000-0000-0000FF040000}"/>
    <cellStyle name="Enter Units (1)" xfId="1245" xr:uid="{00000000-0005-0000-0000-000000050000}"/>
    <cellStyle name="Enter Units (2)" xfId="1246" xr:uid="{00000000-0005-0000-0000-000001050000}"/>
    <cellStyle name="Entered" xfId="1247" xr:uid="{00000000-0005-0000-0000-000002050000}"/>
    <cellStyle name="Entries" xfId="1248" xr:uid="{00000000-0005-0000-0000-000003050000}"/>
    <cellStyle name="eps" xfId="1249" xr:uid="{00000000-0005-0000-0000-000004050000}"/>
    <cellStyle name="eps$" xfId="1250" xr:uid="{00000000-0005-0000-0000-000005050000}"/>
    <cellStyle name="eps$A" xfId="1251" xr:uid="{00000000-0005-0000-0000-000006050000}"/>
    <cellStyle name="eps$E" xfId="1252" xr:uid="{00000000-0005-0000-0000-000007050000}"/>
    <cellStyle name="epsA" xfId="1253" xr:uid="{00000000-0005-0000-0000-000009050000}"/>
    <cellStyle name="EPSActual" xfId="1254" xr:uid="{00000000-0005-0000-0000-00000A050000}"/>
    <cellStyle name="epsE" xfId="1255" xr:uid="{00000000-0005-0000-0000-00000B050000}"/>
    <cellStyle name="EPSEstimate" xfId="1256" xr:uid="{00000000-0005-0000-0000-00000C050000}"/>
    <cellStyle name="Equity research inputs" xfId="1257" xr:uid="{00000000-0005-0000-0000-00000D050000}"/>
    <cellStyle name="Est - %" xfId="1259" xr:uid="{00000000-0005-0000-0000-00000F050000}"/>
    <cellStyle name="Est - $" xfId="1258" xr:uid="{00000000-0005-0000-0000-00000E050000}"/>
    <cellStyle name="Est 0,000.0" xfId="1260" xr:uid="{00000000-0005-0000-0000-000010050000}"/>
    <cellStyle name="Estimate" xfId="1261" xr:uid="{00000000-0005-0000-0000-000011050000}"/>
    <cellStyle name="Euro" xfId="1262" xr:uid="{00000000-0005-0000-0000-000012050000}"/>
    <cellStyle name="Euro-" xfId="1263" xr:uid="{00000000-0005-0000-0000-000013050000}"/>
    <cellStyle name="External File Cells" xfId="1264" xr:uid="{00000000-0005-0000-0000-000024050000}"/>
    <cellStyle name="EY0dp" xfId="1265" xr:uid="{00000000-0005-0000-0000-000025050000}"/>
    <cellStyle name="F2" xfId="1266" xr:uid="{00000000-0005-0000-0000-000026050000}"/>
    <cellStyle name="F3" xfId="1267" xr:uid="{00000000-0005-0000-0000-000027050000}"/>
    <cellStyle name="F4" xfId="1268" xr:uid="{00000000-0005-0000-0000-000028050000}"/>
    <cellStyle name="F5" xfId="1269" xr:uid="{00000000-0005-0000-0000-000029050000}"/>
    <cellStyle name="F6" xfId="1270" xr:uid="{00000000-0005-0000-0000-00002A050000}"/>
    <cellStyle name="F7" xfId="1271" xr:uid="{00000000-0005-0000-0000-00002B050000}"/>
    <cellStyle name="F8" xfId="1272" xr:uid="{00000000-0005-0000-0000-00002C050000}"/>
    <cellStyle name="FF_EURO" xfId="1273" xr:uid="{00000000-0005-0000-0000-00002D050000}"/>
    <cellStyle name="FieldName" xfId="1274" xr:uid="{00000000-0005-0000-0000-00002E050000}"/>
    <cellStyle name="Fijo" xfId="1275" xr:uid="{00000000-0005-0000-0000-00002F050000}"/>
    <cellStyle name="Finan?ní0" xfId="1276" xr:uid="{00000000-0005-0000-0000-000030050000}"/>
    <cellStyle name="Financiero" xfId="1277" xr:uid="{00000000-0005-0000-0000-000031050000}"/>
    <cellStyle name="Fixed" xfId="1278" xr:uid="{00000000-0005-0000-0000-000032050000}"/>
    <cellStyle name="Fixed [0]" xfId="1279" xr:uid="{00000000-0005-0000-0000-000033050000}"/>
    <cellStyle name="Fixed0" xfId="1280" xr:uid="{00000000-0005-0000-0000-000034050000}"/>
    <cellStyle name="Fixlong" xfId="1281" xr:uid="{00000000-0005-0000-0000-000035050000}"/>
    <cellStyle name="fontSize10HorizontalRight" xfId="1282" xr:uid="{00000000-0005-0000-0000-000036050000}"/>
    <cellStyle name="fontSize10HorizontalRightBold" xfId="1283" xr:uid="{00000000-0005-0000-0000-000037050000}"/>
    <cellStyle name="fontSize10Indent" xfId="1284" xr:uid="{00000000-0005-0000-0000-000038050000}"/>
    <cellStyle name="fontSize10IndentBold" xfId="1285" xr:uid="{00000000-0005-0000-0000-000039050000}"/>
    <cellStyle name="fontSize10VerticalTopHorizontalRightWrapBold" xfId="1286" xr:uid="{00000000-0005-0000-0000-00003A050000}"/>
    <cellStyle name="fontSize10VerticalTopHorizontalRightWrapHyperlinkBoldUnderlineSingle" xfId="1287" xr:uid="{00000000-0005-0000-0000-00003B050000}"/>
    <cellStyle name="fontSize14BoldItalic" xfId="1288" xr:uid="{00000000-0005-0000-0000-00003C050000}"/>
    <cellStyle name="fontSize16BoldVerticalBottom" xfId="1289" xr:uid="{00000000-0005-0000-0000-00003D050000}"/>
    <cellStyle name="Footer SBILogo1" xfId="1290" xr:uid="{00000000-0005-0000-0000-00003E050000}"/>
    <cellStyle name="Footer SBILogo2" xfId="1291" xr:uid="{00000000-0005-0000-0000-00003F050000}"/>
    <cellStyle name="Footnote 2" xfId="1292" xr:uid="{00000000-0005-0000-0000-000040050000}"/>
    <cellStyle name="Footnote Reference" xfId="1293" xr:uid="{00000000-0005-0000-0000-000041050000}"/>
    <cellStyle name="Footnote_% Change" xfId="1294" xr:uid="{00000000-0005-0000-0000-000042050000}"/>
    <cellStyle name="Footnotes" xfId="1295" xr:uid="{00000000-0005-0000-0000-000043050000}"/>
    <cellStyle name="Forecast Cells" xfId="1296" xr:uid="{00000000-0005-0000-0000-000044050000}"/>
    <cellStyle name="Format ($)" xfId="1297" xr:uid="{00000000-0005-0000-0000-000045050000}"/>
    <cellStyle name="Format (no $ no underline)" xfId="1298" xr:uid="{00000000-0005-0000-0000-000046050000}"/>
    <cellStyle name="Format (no $ underline)" xfId="1299" xr:uid="{00000000-0005-0000-0000-000047050000}"/>
    <cellStyle name="Format (no $)" xfId="1300" xr:uid="{00000000-0005-0000-0000-000048050000}"/>
    <cellStyle name="Format underline (no $)" xfId="1301" xr:uid="{00000000-0005-0000-0000-000049050000}"/>
    <cellStyle name="Formula" xfId="1302" xr:uid="{00000000-0005-0000-0000-00004A050000}"/>
    <cellStyle name="fourdecplace" xfId="1303" xr:uid="{00000000-0005-0000-0000-00004B050000}"/>
    <cellStyle name="Fraction" xfId="1304" xr:uid="{00000000-0005-0000-0000-00004C050000}"/>
    <cellStyle name="Fraction ($)" xfId="1305" xr:uid="{00000000-0005-0000-0000-00004D050000}"/>
    <cellStyle name="Fraction [8]" xfId="1306" xr:uid="{00000000-0005-0000-0000-00004E050000}"/>
    <cellStyle name="Fraction [Bl]" xfId="1307" xr:uid="{00000000-0005-0000-0000-00004F050000}"/>
    <cellStyle name="French Francs" xfId="1308" xr:uid="{00000000-0005-0000-0000-000050050000}"/>
    <cellStyle name="fy_eps$" xfId="1309" xr:uid="{00000000-0005-0000-0000-000051050000}"/>
    <cellStyle name="g_rate" xfId="1315" xr:uid="{00000000-0005-0000-0000-000057050000}"/>
    <cellStyle name="g_rate_101306 CanWest Excel BAck up v14" xfId="1316" xr:uid="{00000000-0005-0000-0000-000058050000}"/>
    <cellStyle name="g_rate_ILEC LBO" xfId="1317" xr:uid="{00000000-0005-0000-0000-000059050000}"/>
    <cellStyle name="G02 Table Text" xfId="1310" xr:uid="{00000000-0005-0000-0000-000052050000}"/>
    <cellStyle name="G04_Main head" xfId="1311" xr:uid="{00000000-0005-0000-0000-000053050000}"/>
    <cellStyle name="G05 Tab Head Bold" xfId="1312" xr:uid="{00000000-0005-0000-0000-000054050000}"/>
    <cellStyle name="G05 Tab Head Light" xfId="1313" xr:uid="{00000000-0005-0000-0000-000055050000}"/>
    <cellStyle name="G1_1999 figures" xfId="1314" xr:uid="{00000000-0005-0000-0000-000056050000}"/>
    <cellStyle name="General" xfId="1318" xr:uid="{00000000-0005-0000-0000-00005A050000}"/>
    <cellStyle name="General [C]" xfId="1319" xr:uid="{00000000-0005-0000-0000-00005B050000}"/>
    <cellStyle name="General [R]" xfId="1320" xr:uid="{00000000-0005-0000-0000-00005C050000}"/>
    <cellStyle name="General_060114 BMarkingSummary_aj v3" xfId="1321" xr:uid="{00000000-0005-0000-0000-00005D050000}"/>
    <cellStyle name="Gilsans" xfId="1322" xr:uid="{00000000-0005-0000-0000-00005E050000}"/>
    <cellStyle name="Gilsansl" xfId="1323" xr:uid="{00000000-0005-0000-0000-00005F050000}"/>
    <cellStyle name="Grand" xfId="1324" xr:uid="{00000000-0005-0000-0000-000060050000}"/>
    <cellStyle name="Grand Total" xfId="1325" xr:uid="{00000000-0005-0000-0000-000061050000}"/>
    <cellStyle name="Green" xfId="1326" xr:uid="{00000000-0005-0000-0000-000062050000}"/>
    <cellStyle name="Grey" xfId="1327" xr:uid="{00000000-0005-0000-0000-000063050000}"/>
    <cellStyle name="GROSS" xfId="1328" xr:uid="{00000000-0005-0000-0000-000064050000}"/>
    <cellStyle name="Group Headings" xfId="1329" xr:uid="{00000000-0005-0000-0000-000065050000}"/>
    <cellStyle name="growth" xfId="1330" xr:uid="{00000000-0005-0000-0000-000066050000}"/>
    <cellStyle name="Growth%" xfId="1331" xr:uid="{00000000-0005-0000-0000-000067050000}"/>
    <cellStyle name="GrowthLarge" xfId="1332" xr:uid="{00000000-0005-0000-0000-000068050000}"/>
    <cellStyle name="GrowthRate" xfId="1333" xr:uid="{00000000-0005-0000-0000-000069050000}"/>
    <cellStyle name="GrowthSeq" xfId="1334" xr:uid="{00000000-0005-0000-0000-00006A050000}"/>
    <cellStyle name="GrowthSmall" xfId="1335" xr:uid="{00000000-0005-0000-0000-00006B050000}"/>
    <cellStyle name="GS Table Header" xfId="1336" xr:uid="{00000000-0005-0000-0000-00006C050000}"/>
    <cellStyle name="H 2" xfId="1337" xr:uid="{00000000-0005-0000-0000-00006D050000}"/>
    <cellStyle name="H_1998_col_head" xfId="1339" xr:uid="{00000000-0005-0000-0000-00006F050000}"/>
    <cellStyle name="H_1999_col_head" xfId="1340" xr:uid="{00000000-0005-0000-0000-000070050000}"/>
    <cellStyle name="H1_1998 figures" xfId="1338" xr:uid="{00000000-0005-0000-0000-00006E050000}"/>
    <cellStyle name="hard no" xfId="1341" xr:uid="{00000000-0005-0000-0000-000071050000}"/>
    <cellStyle name="hard no." xfId="1342" xr:uid="{00000000-0005-0000-0000-000072050000}"/>
    <cellStyle name="Hard Percent" xfId="1343" xr:uid="{00000000-0005-0000-0000-000073050000}"/>
    <cellStyle name="hardno" xfId="1344" xr:uid="{00000000-0005-0000-0000-000074050000}"/>
    <cellStyle name="Head" xfId="1345" xr:uid="{00000000-0005-0000-0000-000075050000}"/>
    <cellStyle name="head1" xfId="1346" xr:uid="{00000000-0005-0000-0000-000076050000}"/>
    <cellStyle name="Head12" xfId="1347" xr:uid="{00000000-0005-0000-0000-000077050000}"/>
    <cellStyle name="head2" xfId="1348" xr:uid="{00000000-0005-0000-0000-000078050000}"/>
    <cellStyle name="Header" xfId="1349" xr:uid="{00000000-0005-0000-0000-000079050000}"/>
    <cellStyle name="Header Draft Stamp" xfId="1350" xr:uid="{00000000-0005-0000-0000-00007A050000}"/>
    <cellStyle name="Header_% Change" xfId="1353" xr:uid="{00000000-0005-0000-0000-00007D050000}"/>
    <cellStyle name="Header1" xfId="1351" xr:uid="{00000000-0005-0000-0000-00007B050000}"/>
    <cellStyle name="Header2" xfId="1352" xr:uid="{00000000-0005-0000-0000-00007C050000}"/>
    <cellStyle name="headers" xfId="1354" xr:uid="{00000000-0005-0000-0000-00007E050000}"/>
    <cellStyle name="Headin - Style6" xfId="1355" xr:uid="{00000000-0005-0000-0000-00007F050000}"/>
    <cellStyle name="Heading 1 Above" xfId="1356" xr:uid="{00000000-0005-0000-0000-000080050000}"/>
    <cellStyle name="Heading 1+" xfId="1357" xr:uid="{00000000-0005-0000-0000-000081050000}"/>
    <cellStyle name="Heading 2 Below" xfId="1358" xr:uid="{00000000-0005-0000-0000-000082050000}"/>
    <cellStyle name="heading 3" xfId="1359" xr:uid="{00000000-0005-0000-0000-000083050000}"/>
    <cellStyle name="Headings" xfId="1360" xr:uid="{00000000-0005-0000-0000-000084050000}"/>
    <cellStyle name="Hidden" xfId="1361" xr:uid="{00000000-0005-0000-0000-000085050000}"/>
    <cellStyle name="Highlight" xfId="1362" xr:uid="{00000000-0005-0000-0000-000086050000}"/>
    <cellStyle name="Historic" xfId="1363" xr:uid="{00000000-0005-0000-0000-000087050000}"/>
    <cellStyle name="horizontalRight" xfId="1364" xr:uid="{00000000-0005-0000-0000-000088050000}"/>
    <cellStyle name="horizontalRightHyperlink" xfId="1365" xr:uid="{00000000-0005-0000-0000-000089050000}"/>
    <cellStyle name="Input [yellow]" xfId="1366" xr:uid="{00000000-0005-0000-0000-00008A050000}"/>
    <cellStyle name="inputs" xfId="1367" xr:uid="{00000000-0005-0000-0000-00008B050000}"/>
    <cellStyle name="Invisible" xfId="1368" xr:uid="{00000000-0005-0000-0000-00008C050000}"/>
    <cellStyle name="Item Descriptions" xfId="1369" xr:uid="{00000000-0005-0000-0000-00008D050000}"/>
    <cellStyle name="Item Descriptions - Bold" xfId="1370" xr:uid="{00000000-0005-0000-0000-00008E050000}"/>
    <cellStyle name="Lable8Left" xfId="1371" xr:uid="{00000000-0005-0000-0000-00008F050000}"/>
    <cellStyle name="Line" xfId="1372" xr:uid="{00000000-0005-0000-0000-000090050000}"/>
    <cellStyle name="m" xfId="1373" xr:uid="{00000000-0005-0000-0000-000091050000}"/>
    <cellStyle name="MacroCode" xfId="1374" xr:uid="{00000000-0005-0000-0000-000092050000}"/>
    <cellStyle name="Magic" xfId="1375" xr:uid="{00000000-0005-0000-0000-000093050000}"/>
    <cellStyle name="Map Labels" xfId="1376" xr:uid="{00000000-0005-0000-0000-000094050000}"/>
    <cellStyle name="Map Legend" xfId="1377" xr:uid="{00000000-0005-0000-0000-000095050000}"/>
    <cellStyle name="Map Title" xfId="1378" xr:uid="{00000000-0005-0000-0000-000096050000}"/>
    <cellStyle name="Margin without x [1]" xfId="1379" xr:uid="{00000000-0005-0000-0000-000097050000}"/>
    <cellStyle name="Milliers [0]_UPDATE" xfId="1380" xr:uid="{00000000-0005-0000-0000-000098050000}"/>
    <cellStyle name="Milliers_UPDATE" xfId="1381" xr:uid="{00000000-0005-0000-0000-000099050000}"/>
    <cellStyle name="Mine" xfId="1382" xr:uid="{00000000-0005-0000-0000-00009A050000}"/>
    <cellStyle name="Monétaire [0]_UPDATE" xfId="1383" xr:uid="{00000000-0005-0000-0000-00009B050000}"/>
    <cellStyle name="Monétaire_UPDATE" xfId="1384" xr:uid="{00000000-0005-0000-0000-00009C050000}"/>
    <cellStyle name="mult" xfId="1385" xr:uid="{00000000-0005-0000-0000-00009D050000}"/>
    <cellStyle name="Multiple" xfId="1386" xr:uid="{00000000-0005-0000-0000-00009E050000}"/>
    <cellStyle name="Multiple [0]" xfId="1387" xr:uid="{00000000-0005-0000-0000-00009F050000}"/>
    <cellStyle name="Multiple [1]" xfId="1388" xr:uid="{00000000-0005-0000-0000-0000A0050000}"/>
    <cellStyle name="Multiple_2 PICS v4.3 (Comps, PT)" xfId="1389" xr:uid="{00000000-0005-0000-0000-0000A1050000}"/>
    <cellStyle name="Multiples" xfId="1390" xr:uid="{00000000-0005-0000-0000-0000A2050000}"/>
    <cellStyle name="n" xfId="1391" xr:uid="{00000000-0005-0000-0000-0000A3050000}"/>
    <cellStyle name="N/A" xfId="1392" xr:uid="{00000000-0005-0000-0000-0000A4050000}"/>
    <cellStyle name="NewColumnHeaderNormal" xfId="1393" xr:uid="{00000000-0005-0000-0000-0000A5050000}"/>
    <cellStyle name="NewSectionHeaderNormal" xfId="1394" xr:uid="{00000000-0005-0000-0000-0000A6050000}"/>
    <cellStyle name="NewTitleNormal" xfId="1395" xr:uid="{00000000-0005-0000-0000-0000A7050000}"/>
    <cellStyle name="Normal" xfId="0" builtinId="0"/>
    <cellStyle name="Normal - Style1" xfId="1396" xr:uid="{00000000-0005-0000-0000-0000A8050000}"/>
    <cellStyle name="Normal [2]" xfId="1399" xr:uid="{00000000-0005-0000-0000-0000AB050000}"/>
    <cellStyle name="Normal 2" xfId="1397" xr:uid="{00000000-0005-0000-0000-0000A9050000}"/>
    <cellStyle name="Normal 2 2" xfId="1398" xr:uid="{00000000-0005-0000-0000-0000AA050000}"/>
    <cellStyle name="Notes" xfId="1400" xr:uid="{00000000-0005-0000-0000-0000B3050000}"/>
    <cellStyle name="Num1" xfId="1401" xr:uid="{00000000-0005-0000-0000-0000B4050000}"/>
    <cellStyle name="Num1Blue" xfId="1402" xr:uid="{00000000-0005-0000-0000-0000B5050000}"/>
    <cellStyle name="num1Style" xfId="1403" xr:uid="{00000000-0005-0000-0000-0000B6050000}"/>
    <cellStyle name="Num2" xfId="1404" xr:uid="{00000000-0005-0000-0000-0000B7050000}"/>
    <cellStyle name="num4Style" xfId="1405" xr:uid="{00000000-0005-0000-0000-0000B8050000}"/>
    <cellStyle name="Numbers" xfId="1406" xr:uid="{00000000-0005-0000-0000-0000B9050000}"/>
    <cellStyle name="Numbers - Bold" xfId="1407" xr:uid="{00000000-0005-0000-0000-0000BA050000}"/>
    <cellStyle name="Numbers - Bold - Italic" xfId="1408" xr:uid="{00000000-0005-0000-0000-0000BB050000}"/>
    <cellStyle name="Numbers - Bold_WACC2" xfId="1409" xr:uid="{00000000-0005-0000-0000-0000BC050000}"/>
    <cellStyle name="Numbers - Large" xfId="1410" xr:uid="{00000000-0005-0000-0000-0000BD050000}"/>
    <cellStyle name="Numbers_Comps" xfId="1411" xr:uid="{00000000-0005-0000-0000-0000BE050000}"/>
    <cellStyle name="OSW_ColumnLabels" xfId="1412" xr:uid="{00000000-0005-0000-0000-0000BF050000}"/>
    <cellStyle name="p" xfId="1413" xr:uid="{00000000-0005-0000-0000-0000C0050000}"/>
    <cellStyle name="Page Heading" xfId="1414" xr:uid="{00000000-0005-0000-0000-0000C1050000}"/>
    <cellStyle name="Page Heading Large" xfId="1415" xr:uid="{00000000-0005-0000-0000-0000C2050000}"/>
    <cellStyle name="Page Heading Small" xfId="1416" xr:uid="{00000000-0005-0000-0000-0000C3050000}"/>
    <cellStyle name="Page Number" xfId="1417" xr:uid="{00000000-0005-0000-0000-0000C4050000}"/>
    <cellStyle name="Parens (1)" xfId="1418" xr:uid="{00000000-0005-0000-0000-0000C5050000}"/>
    <cellStyle name="pb_page_heading_LS" xfId="1419" xr:uid="{00000000-0005-0000-0000-0000C6050000}"/>
    <cellStyle name="pct_sub" xfId="1420" xr:uid="{00000000-0005-0000-0000-0000C7050000}"/>
    <cellStyle name="Pctg" xfId="1421" xr:uid="{00000000-0005-0000-0000-0000C8050000}"/>
    <cellStyle name="Percent [0]" xfId="1422" xr:uid="{00000000-0005-0000-0000-0000C9050000}"/>
    <cellStyle name="Percent [1]" xfId="1423" xr:uid="{00000000-0005-0000-0000-0000CA050000}"/>
    <cellStyle name="Percent [2]" xfId="1424" xr:uid="{00000000-0005-0000-0000-0000CB050000}"/>
    <cellStyle name="Percent Hard" xfId="1425" xr:uid="{00000000-0005-0000-0000-0000CC050000}"/>
    <cellStyle name="Percent0" xfId="1426" xr:uid="{00000000-0005-0000-0000-0000CD050000}"/>
    <cellStyle name="Percent1" xfId="1427" xr:uid="{00000000-0005-0000-0000-0000CE050000}"/>
    <cellStyle name="Percent1Blue" xfId="1428" xr:uid="{00000000-0005-0000-0000-0000CF050000}"/>
    <cellStyle name="Percent2" xfId="1429" xr:uid="{00000000-0005-0000-0000-0000D0050000}"/>
    <cellStyle name="Percent2Blue" xfId="1430" xr:uid="{00000000-0005-0000-0000-0000D1050000}"/>
    <cellStyle name="Percent3" xfId="1431" xr:uid="{00000000-0005-0000-0000-0000D2050000}"/>
    <cellStyle name="Percent4" xfId="1432" xr:uid="{00000000-0005-0000-0000-0000D3050000}"/>
    <cellStyle name="PROJECT" xfId="1433" xr:uid="{00000000-0005-0000-0000-0000D4050000}"/>
    <cellStyle name="PROJECT R" xfId="1434" xr:uid="{00000000-0005-0000-0000-0000D5050000}"/>
    <cellStyle name="PSChar" xfId="1435" xr:uid="{00000000-0005-0000-0000-0000D6050000}"/>
    <cellStyle name="PSDate" xfId="1436" xr:uid="{00000000-0005-0000-0000-0000D7050000}"/>
    <cellStyle name="PSDec" xfId="1437" xr:uid="{00000000-0005-0000-0000-0000D8050000}"/>
    <cellStyle name="PSHeading" xfId="1438" xr:uid="{00000000-0005-0000-0000-0000D9050000}"/>
    <cellStyle name="PSInt" xfId="1439" xr:uid="{00000000-0005-0000-0000-0000DA050000}"/>
    <cellStyle name="PSSpacer" xfId="1440" xr:uid="{00000000-0005-0000-0000-0000DB050000}"/>
    <cellStyle name="Red Text" xfId="1441" xr:uid="{00000000-0005-0000-0000-0000DC050000}"/>
    <cellStyle name="rod" xfId="1442" xr:uid="{00000000-0005-0000-0000-0000DD050000}"/>
    <cellStyle name="RowHeader" xfId="1443" xr:uid="{00000000-0005-0000-0000-0000DE050000}"/>
    <cellStyle name="s" xfId="1444" xr:uid="{00000000-0005-0000-0000-0000DF050000}"/>
    <cellStyle name="ScripFactor" xfId="1445" xr:uid="{00000000-0005-0000-0000-0000E0050000}"/>
    <cellStyle name="SectionHeaderNormal" xfId="1446" xr:uid="{00000000-0005-0000-0000-0000E1050000}"/>
    <cellStyle name="Shaded" xfId="1447" xr:uid="{00000000-0005-0000-0000-0000E2050000}"/>
    <cellStyle name="Shares" xfId="1448" xr:uid="{00000000-0005-0000-0000-0000E3050000}"/>
    <cellStyle name="SheetSubtitle1" xfId="1449" xr:uid="{00000000-0005-0000-0000-0000E4050000}"/>
    <cellStyle name="SheetSubtitle2" xfId="1450" xr:uid="{00000000-0005-0000-0000-0000E5050000}"/>
    <cellStyle name="SheetSubtitle3" xfId="1451" xr:uid="{00000000-0005-0000-0000-0000E6050000}"/>
    <cellStyle name="SheetTitle" xfId="1452" xr:uid="{00000000-0005-0000-0000-0000E7050000}"/>
    <cellStyle name="Single Accounting" xfId="1453" xr:uid="{00000000-0005-0000-0000-0000E8050000}"/>
    <cellStyle name="Source" xfId="1454" xr:uid="{00000000-0005-0000-0000-0000E9050000}"/>
    <cellStyle name="Style 1" xfId="1455" xr:uid="{00000000-0005-0000-0000-0000EA050000}"/>
    <cellStyle name="Style 10" xfId="1456" xr:uid="{00000000-0005-0000-0000-0000EB050000}"/>
    <cellStyle name="Style 11" xfId="1457" xr:uid="{00000000-0005-0000-0000-0000EC050000}"/>
    <cellStyle name="Style 12" xfId="1458" xr:uid="{00000000-0005-0000-0000-0000ED050000}"/>
    <cellStyle name="Style 13" xfId="1459" xr:uid="{00000000-0005-0000-0000-0000EE050000}"/>
    <cellStyle name="Style 14" xfId="1460" xr:uid="{00000000-0005-0000-0000-0000EF050000}"/>
    <cellStyle name="Style 15" xfId="1461" xr:uid="{00000000-0005-0000-0000-0000F0050000}"/>
    <cellStyle name="Style 16" xfId="1462" xr:uid="{00000000-0005-0000-0000-0000F1050000}"/>
    <cellStyle name="Style 17" xfId="1463" xr:uid="{00000000-0005-0000-0000-0000F2050000}"/>
    <cellStyle name="Style 18" xfId="1464" xr:uid="{00000000-0005-0000-0000-0000F3050000}"/>
    <cellStyle name="Style 2" xfId="1465" xr:uid="{00000000-0005-0000-0000-0000F4050000}"/>
    <cellStyle name="Style 21" xfId="1466" xr:uid="{00000000-0005-0000-0000-0000F5050000}"/>
    <cellStyle name="Style 22" xfId="1467" xr:uid="{00000000-0005-0000-0000-0000F6050000}"/>
    <cellStyle name="Style 23" xfId="1468" xr:uid="{00000000-0005-0000-0000-0000F7050000}"/>
    <cellStyle name="Style 24" xfId="1469" xr:uid="{00000000-0005-0000-0000-0000F8050000}"/>
    <cellStyle name="Style 25" xfId="1470" xr:uid="{00000000-0005-0000-0000-0000F9050000}"/>
    <cellStyle name="Style 26" xfId="1471" xr:uid="{00000000-0005-0000-0000-0000FA050000}"/>
    <cellStyle name="Style 27" xfId="1472" xr:uid="{00000000-0005-0000-0000-0000FB050000}"/>
    <cellStyle name="Style 28" xfId="1473" xr:uid="{00000000-0005-0000-0000-0000FC050000}"/>
    <cellStyle name="Style 29" xfId="1474" xr:uid="{00000000-0005-0000-0000-0000FD050000}"/>
    <cellStyle name="Style 3" xfId="1475" xr:uid="{00000000-0005-0000-0000-0000FE050000}"/>
    <cellStyle name="Style 30" xfId="1476" xr:uid="{00000000-0005-0000-0000-0000FF050000}"/>
    <cellStyle name="Style 31" xfId="1477" xr:uid="{00000000-0005-0000-0000-000000060000}"/>
    <cellStyle name="Style 32" xfId="1478" xr:uid="{00000000-0005-0000-0000-000001060000}"/>
    <cellStyle name="Style 33" xfId="1479" xr:uid="{00000000-0005-0000-0000-000002060000}"/>
    <cellStyle name="Style 34" xfId="1480" xr:uid="{00000000-0005-0000-0000-000003060000}"/>
    <cellStyle name="Style 35" xfId="1481" xr:uid="{00000000-0005-0000-0000-000004060000}"/>
    <cellStyle name="Style 36" xfId="1482" xr:uid="{00000000-0005-0000-0000-00000506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6649E"/>
      <rgbColor rgb="FFCCCCFF"/>
      <rgbColor rgb="FF000080"/>
      <rgbColor rgb="FFFF00FF"/>
      <rgbColor rgb="FFFFF0F0"/>
      <rgbColor rgb="FF00FFFF"/>
      <rgbColor rgb="FF800080"/>
      <rgbColor rgb="FF800000"/>
      <rgbColor rgb="FF008080"/>
      <rgbColor rgb="FF0000CC"/>
      <rgbColor rgb="FF00CCFF"/>
      <rgbColor rgb="FFC0FFFF"/>
      <rgbColor rgb="FFCCFFCC"/>
      <rgbColor rgb="FFFFFF99"/>
      <rgbColor rgb="FF99CCFF"/>
      <rgbColor rgb="FFFFC0FF"/>
      <rgbColor rgb="FFC0C0FF"/>
      <rgbColor rgb="FFFFCC99"/>
      <rgbColor rgb="FF3366FF"/>
      <rgbColor rgb="FF33CCCC"/>
      <rgbColor rgb="FFF0F0F0"/>
      <rgbColor rgb="FFFFCC00"/>
      <rgbColor rgb="FFF0FFFF"/>
      <rgbColor rgb="FFFF6600"/>
      <rgbColor rgb="FF666699"/>
      <rgbColor rgb="FFE0E0E0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01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ultstudents-my.sharepoint.com/c7e20f599cdc922c/Desktop/MBA/Spring%201/Industrials/Calvin%20Chan/panaria/Backup%20and%20other%20files/Indexed%20price%20performan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ultstudents-my.sharepoint.com/c7e20f599cdc922c/Desktop/MBA/Spring%201/Documents%20and%20Settings/cbryant2/Local%20Settings/Temp/TREAS/GABE/chase%20model%20templates/Cashflo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ultstudents-my.sharepoint.com/c7e20f599cdc922c/Desktop/MBA/Spring%201/Industrials/Landerfelt/ABC%20Supply/September%202007/ABC%20Supply%209-2007%20V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ultstudents-my.sharepoint.com/c7e20f599cdc922c/Desktop/MBA/Spring%201/B-BP/Clients/Light-End%20BP/Headwaters/Board%20presentations/2007-11-2/Book/Excel/HW%202%202007-11-2%20V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ultstudents-my.sharepoint.com/Wdd00ta573/lavori%20cipi/Lavori%20CIPI/ROMAGEST/File%20vuot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ultstudents-my.sharepoint.com/c7e20f599cdc922c/Desktop/MBA/Spring%201/Park,%20Dan/Project%20Orchard%20(Pharmerica)%20(Jan%2005)/Board%20Presentation%20(May%2011)/(DAN%20Solution%20file)%20LANCE.LBO_Model_SOLUTION_v0.4%20-%20NO%20RECA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ultstudents-my.sharepoint.com/c7e20f599cdc922c/Desktop/MBA/Spring%201/H:/My%20Documents/Magn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ultstudents-my.sharepoint.com/c7e20f599cdc922c/Desktop/MBA/Spring%201/Park,%20Dan/Project%20Orchard%20(Pharmerica)%20(Jan%2005)/Financial%20analysis/Pharmerica%20Model%20v.9.%20(Jan%2005)%20S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ultstudents-my.sharepoint.com/c7e20f599cdc922c/Desktop/MBA/Spring%201/Consumer%20Products/Company/Reckitt%20Benckiser/Project%20Bush%202002/lbocases/model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ultstudents-my.sharepoint.com/c7e20f599cdc922c/Desktop/MBA/Spring%201/M&amp;A/Dan%20Park/Model%20Templates/Lance%20Model/Lance%20Operating%20Mod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BP equity performance"/>
      <sheetName val="Distributor equity performance"/>
      <sheetName val="HVAC"/>
      <sheetName val="Electrical"/>
      <sheetName val="Cement and aggregates"/>
      <sheetName val="Lumber"/>
      <sheetName val="Analyst sentiment"/>
      <sheetName val="Housing forecasts"/>
      <sheetName val="Metal Prices"/>
      <sheetName val="12"/>
      <sheetName val="13"/>
      <sheetName val="14"/>
      <sheetName val="15"/>
      <sheetName val="16"/>
      <sheetName val="17"/>
      <sheetName val="18"/>
      <sheetName val="19"/>
      <sheetName val="20"/>
      <sheetName val="TASSI2"/>
      <sheetName val="Tav.22 Rischio di Credi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IV INC"/>
      <sheetName val="DCF"/>
      <sheetName val="EQ. IRR"/>
      <sheetName val="S&amp;P"/>
      <sheetName val="COVEN."/>
      <sheetName val="SUMMARY"/>
      <sheetName val="INSTRUCTIONS"/>
      <sheetName val="Print"/>
      <sheetName val="TrueFalse"/>
      <sheetName val="Macro1"/>
      <sheetName val="Module1"/>
      <sheetName val="Module2"/>
      <sheetName val="model"/>
      <sheetName val="sensetiv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4"/>
      <sheetName val="23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WY"/>
      <sheetName val="IFP.A"/>
      <sheetName val="MLM"/>
      <sheetName val="EXP"/>
      <sheetName val="__FDSCACHE__"/>
      <sheetName val="TXI"/>
      <sheetName val="Analyst sentiment"/>
      <sheetName val="Cement and aggregates"/>
      <sheetName val="Lumber"/>
      <sheetName val="HVAC"/>
      <sheetName val="Electrical"/>
      <sheetName val="Metal Prices"/>
      <sheetName val="Housing forecasts"/>
      <sheetName val="Distributor equity perform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C Prices"/>
      <sheetName val="CC Graph"/>
      <sheetName val="CC Graph 2"/>
      <sheetName val="CC Graph 3"/>
      <sheetName val="EBITDA"/>
      <sheetName val="EBITDA Graph"/>
      <sheetName val="PE"/>
      <sheetName val="PE Graph"/>
      <sheetName val="Large Cap 2007E"/>
      <sheetName val="Large Cap 2008E"/>
      <sheetName val="Small Cap 2007E"/>
      <sheetName val="Small Cap 2008E"/>
      <sheetName val="Heavy End 2007E"/>
      <sheetName val="Heavy End 2008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Foglio2"/>
      <sheetName val="Foglio3"/>
      <sheetName val="Tav.22 Rischio di Credito"/>
      <sheetName val="SP puntuale"/>
      <sheetName val="TASSI1"/>
      <sheetName val="TASSI2"/>
      <sheetName val="Totale"/>
      <sheetName val="MacroA"/>
      <sheetName val="MensiCosti"/>
      <sheetName val="Settore composizione"/>
      <sheetName val="Tav.23 Sofferenze dettaglio"/>
      <sheetName val="Oneri di Gestione"/>
      <sheetName val="Volumi"/>
      <sheetName val="Serie2 (last but not least)"/>
      <sheetName val="Luciolli"/>
      <sheetName val="semaforo"/>
      <sheetName val="ALESSANDRI"/>
      <sheetName val="SP medio"/>
      <sheetName val="ProfittiOperFinanziarie"/>
      <sheetName val="#RIF"/>
      <sheetName val="Patrimonio netto"/>
      <sheetName val="File vuoto"/>
      <sheetName val="Intermediazione"/>
      <sheetName val="totale patr."/>
      <sheetName val="R&amp;R_Il Sole 24 Ore"/>
      <sheetName val="6_GPF &amp; GPM"/>
      <sheetName val="8_Titoli"/>
      <sheetName val="9_Costo personale"/>
      <sheetName val="10_Spese Amm. &amp; Rett.Acc "/>
      <sheetName val="11_Fiscalità"/>
      <sheetName val="21"/>
      <sheetName val="27"/>
      <sheetName val="34"/>
      <sheetName val="13"/>
      <sheetName val="33"/>
      <sheetName val="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iningTheStreet"/>
      <sheetName val="Inputs"/>
      <sheetName val="S&amp;U and Opening BS"/>
      <sheetName val="IS"/>
      <sheetName val="BS and Cash Flow"/>
      <sheetName val="Ratios"/>
      <sheetName val="Returns"/>
      <sheetName val="BP equity performance"/>
      <sheetName val="Family Housing Starts Breakdown"/>
      <sheetName val="Charts"/>
      <sheetName val="Housing foreca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SUMMARY 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GL"/>
      <sheetName val="Estimate"/>
      <sheetName val="LTC 5YR"/>
      <sheetName val="WC 5YR"/>
      <sheetName val="Cover"/>
      <sheetName val="Comparison"/>
      <sheetName val="IS"/>
      <sheetName val="BS"/>
      <sheetName val="FCF"/>
      <sheetName val="SOTP"/>
      <sheetName val="Consolidated Val"/>
      <sheetName val="AVP"/>
      <sheetName val="Acc-Dil"/>
      <sheetName val="Acc-Dil (2)"/>
      <sheetName val="ABC valuation"/>
      <sheetName val="LBO"/>
      <sheetName val="LBO (2)"/>
      <sheetName val="LBO output"/>
      <sheetName val="LBO output (debt)"/>
      <sheetName val="DCF output"/>
      <sheetName val="Op metrics"/>
      <sheetName val="PF financials"/>
      <sheetName val="PF metrics"/>
      <sheetName val="IS output"/>
      <sheetName val="BS output"/>
      <sheetName val="Betas"/>
      <sheetName val="WACC analysis"/>
      <sheetName val="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nsitivities"/>
      <sheetName val="COMMENTS"/>
      <sheetName val="CALCS"/>
      <sheetName val="options"/>
      <sheetName val="New Acquis"/>
      <sheetName val="Model"/>
      <sheetName val="Schick"/>
      <sheetName val="SHiCKCURRCONV"/>
      <sheetName val="SCHICKDCFonlyreckitt"/>
      <sheetName val="SCHICKDCF"/>
      <sheetName val="purchasepricematrix"/>
      <sheetName val="DCFscenarios"/>
      <sheetName val="pagesforbook"/>
      <sheetName val="Module1"/>
      <sheetName val="Module2"/>
      <sheetName val="Module3"/>
      <sheetName val="Module4"/>
      <sheetName val="Module5"/>
      <sheetName val="inputs"/>
      <sheetName val="Transaction Overview"/>
      <sheetName val="income statement"/>
      <sheetName val="balance sheet &amp; cash flo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is"/>
      <sheetName val="bs"/>
      <sheetName val="cf"/>
      <sheetName val="WC"/>
      <sheetName val="deprec"/>
      <sheetName val="amort"/>
      <sheetName val="other"/>
      <sheetName val="equity"/>
      <sheetName val="shares"/>
      <sheetName val="debt_interest"/>
      <sheetName val="DCF_Multiple"/>
      <sheetName val="reconciliations"/>
      <sheetName val="ratios"/>
      <sheetName val="Cons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my.pitchbook.com/?c=55520-74" TargetMode="External"/><Relationship Id="rId18" Type="http://schemas.openxmlformats.org/officeDocument/2006/relationships/hyperlink" Target="https://my.pitchbook.com/?c=55520-74" TargetMode="External"/><Relationship Id="rId26" Type="http://schemas.openxmlformats.org/officeDocument/2006/relationships/hyperlink" Target="https:/my.pitchbook.com?sec_f=30360313378&amp;financialGroup=INCOME_STATEMENT&amp;period=ANN&amp;exchangeId=NYS&amp;exchangeSymbol=PLNT" TargetMode="External"/><Relationship Id="rId3" Type="http://schemas.openxmlformats.org/officeDocument/2006/relationships/hyperlink" Target="https://my.pitchbook.com/?c=55520-74" TargetMode="External"/><Relationship Id="rId21" Type="http://schemas.openxmlformats.org/officeDocument/2006/relationships/hyperlink" Target="https://my.pitchbook.com/?c=55520-74" TargetMode="External"/><Relationship Id="rId7" Type="http://schemas.openxmlformats.org/officeDocument/2006/relationships/hyperlink" Target="https://my.pitchbook.com/?c=55520-74" TargetMode="External"/><Relationship Id="rId12" Type="http://schemas.openxmlformats.org/officeDocument/2006/relationships/hyperlink" Target="https://my.pitchbook.com/?c=55520-74" TargetMode="External"/><Relationship Id="rId17" Type="http://schemas.openxmlformats.org/officeDocument/2006/relationships/hyperlink" Target="https://my.pitchbook.com/?c=55520-74" TargetMode="External"/><Relationship Id="rId25" Type="http://schemas.openxmlformats.org/officeDocument/2006/relationships/hyperlink" Target="https:/my.pitchbook.com?sec_f=30360313442&amp;financialGroup=INCOME_STATEMENT&amp;period=ANN&amp;exchangeId=NYS&amp;exchangeSymbol=PLNT" TargetMode="External"/><Relationship Id="rId33" Type="http://schemas.openxmlformats.org/officeDocument/2006/relationships/hyperlink" Target="https:/my.pitchbook.com?sec_f=30360312930&amp;financialGroup=INCOME_STATEMENT&amp;period=ANN&amp;exchangeId=NYS&amp;exchangeSymbol=PLNT" TargetMode="External"/><Relationship Id="rId2" Type="http://schemas.openxmlformats.org/officeDocument/2006/relationships/hyperlink" Target="https://my.pitchbook.com/?c=55520-74" TargetMode="External"/><Relationship Id="rId16" Type="http://schemas.openxmlformats.org/officeDocument/2006/relationships/hyperlink" Target="https://my.pitchbook.com/?c=55520-74" TargetMode="External"/><Relationship Id="rId20" Type="http://schemas.openxmlformats.org/officeDocument/2006/relationships/hyperlink" Target="https://my.pitchbook.com/?c=55520-74" TargetMode="External"/><Relationship Id="rId29" Type="http://schemas.openxmlformats.org/officeDocument/2006/relationships/hyperlink" Target="https:/my.pitchbook.com?sec_f=30360313186&amp;financialGroup=INCOME_STATEMENT&amp;period=ANN&amp;exchangeId=NYS&amp;exchangeSymbol=PLNT" TargetMode="External"/><Relationship Id="rId1" Type="http://schemas.openxmlformats.org/officeDocument/2006/relationships/hyperlink" Target="https://my.pitchbook.com/?c=55520-74" TargetMode="External"/><Relationship Id="rId6" Type="http://schemas.openxmlformats.org/officeDocument/2006/relationships/hyperlink" Target="https://my.pitchbook.com/?c=55520-74" TargetMode="External"/><Relationship Id="rId11" Type="http://schemas.openxmlformats.org/officeDocument/2006/relationships/hyperlink" Target="https://my.pitchbook.com/?c=55520-74" TargetMode="External"/><Relationship Id="rId24" Type="http://schemas.openxmlformats.org/officeDocument/2006/relationships/hyperlink" Target="https:/my.pitchbook.com?sec_f=30360313506&amp;financialGroup=INCOME_STATEMENT&amp;period=ANN&amp;exchangeId=NYS&amp;exchangeSymbol=PLNT" TargetMode="External"/><Relationship Id="rId32" Type="http://schemas.openxmlformats.org/officeDocument/2006/relationships/hyperlink" Target="https:/my.pitchbook.com?sec_f=30360312994&amp;financialGroup=INCOME_STATEMENT&amp;period=ANN&amp;exchangeId=NYS&amp;exchangeSymbol=PLNT" TargetMode="External"/><Relationship Id="rId5" Type="http://schemas.openxmlformats.org/officeDocument/2006/relationships/hyperlink" Target="https://my.pitchbook.com/?c=55520-74" TargetMode="External"/><Relationship Id="rId15" Type="http://schemas.openxmlformats.org/officeDocument/2006/relationships/hyperlink" Target="https://my.pitchbook.com/?c=55520-74" TargetMode="External"/><Relationship Id="rId23" Type="http://schemas.openxmlformats.org/officeDocument/2006/relationships/hyperlink" Target="https:/my.pitchbook.com?sec_f=30360313570&amp;financialGroup=INCOME_STATEMENT&amp;period=ANN&amp;exchangeId=NYS&amp;exchangeSymbol=PLNT" TargetMode="External"/><Relationship Id="rId28" Type="http://schemas.openxmlformats.org/officeDocument/2006/relationships/hyperlink" Target="https:/my.pitchbook.com?sec_f=30360313250&amp;financialGroup=INCOME_STATEMENT&amp;period=ANN&amp;exchangeId=NYS&amp;exchangeSymbol=PLNT" TargetMode="External"/><Relationship Id="rId10" Type="http://schemas.openxmlformats.org/officeDocument/2006/relationships/hyperlink" Target="https://my.pitchbook.com/?c=55520-74" TargetMode="External"/><Relationship Id="rId19" Type="http://schemas.openxmlformats.org/officeDocument/2006/relationships/hyperlink" Target="https://my.pitchbook.com/?c=55520-74" TargetMode="External"/><Relationship Id="rId31" Type="http://schemas.openxmlformats.org/officeDocument/2006/relationships/hyperlink" Target="https:/my.pitchbook.com?sec_f=30360313058&amp;financialGroup=INCOME_STATEMENT&amp;period=ANN&amp;exchangeId=NYS&amp;exchangeSymbol=PLNT" TargetMode="External"/><Relationship Id="rId4" Type="http://schemas.openxmlformats.org/officeDocument/2006/relationships/hyperlink" Target="https://my.pitchbook.com/?c=55520-74" TargetMode="External"/><Relationship Id="rId9" Type="http://schemas.openxmlformats.org/officeDocument/2006/relationships/hyperlink" Target="https://my.pitchbook.com/?c=55520-74" TargetMode="External"/><Relationship Id="rId14" Type="http://schemas.openxmlformats.org/officeDocument/2006/relationships/hyperlink" Target="https://my.pitchbook.com/?c=55520-74" TargetMode="External"/><Relationship Id="rId22" Type="http://schemas.openxmlformats.org/officeDocument/2006/relationships/hyperlink" Target="https:/my.pitchbook.com?sec_f=30360313634&amp;financialGroup=INCOME_STATEMENT&amp;period=ANN&amp;exchangeId=NYS&amp;exchangeSymbol=PLNT" TargetMode="External"/><Relationship Id="rId27" Type="http://schemas.openxmlformats.org/officeDocument/2006/relationships/hyperlink" Target="https:/my.pitchbook.com?sec_f=30360313314&amp;financialGroup=INCOME_STATEMENT&amp;period=ANN&amp;exchangeId=NYS&amp;exchangeSymbol=PLNT" TargetMode="External"/><Relationship Id="rId30" Type="http://schemas.openxmlformats.org/officeDocument/2006/relationships/hyperlink" Target="https:/my.pitchbook.com?sec_f=30360313122&amp;financialGroup=INCOME_STATEMENT&amp;period=ANN&amp;exchangeId=NYS&amp;exchangeSymbol=PLNT" TargetMode="External"/><Relationship Id="rId8" Type="http://schemas.openxmlformats.org/officeDocument/2006/relationships/hyperlink" Target="https://my.pitchbook.com/?c=55520-74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my.pitchbook.com/?c=55520-74" TargetMode="External"/><Relationship Id="rId13" Type="http://schemas.openxmlformats.org/officeDocument/2006/relationships/hyperlink" Target="https:/my.pitchbook.com?sec_f=30360313634&amp;financialGroup=BALANCE_SHEET&amp;period=ANN&amp;exchangeId=NYS&amp;exchangeSymbol=PLNT" TargetMode="External"/><Relationship Id="rId18" Type="http://schemas.openxmlformats.org/officeDocument/2006/relationships/hyperlink" Target="https:/my.pitchbook.com?sec_f=30360313314&amp;financialGroup=BALANCE_SHEET&amp;period=ANN&amp;exchangeId=NYS&amp;exchangeSymbol=PLNT" TargetMode="External"/><Relationship Id="rId3" Type="http://schemas.openxmlformats.org/officeDocument/2006/relationships/hyperlink" Target="https://my.pitchbook.com/?c=55520-74" TargetMode="External"/><Relationship Id="rId21" Type="http://schemas.openxmlformats.org/officeDocument/2006/relationships/hyperlink" Target="https:/my.pitchbook.com?sec_f=30360313122&amp;financialGroup=BALANCE_SHEET&amp;period=ANN&amp;exchangeId=NYS&amp;exchangeSymbol=PLNT" TargetMode="External"/><Relationship Id="rId7" Type="http://schemas.openxmlformats.org/officeDocument/2006/relationships/hyperlink" Target="https://my.pitchbook.com/?c=55520-74" TargetMode="External"/><Relationship Id="rId12" Type="http://schemas.openxmlformats.org/officeDocument/2006/relationships/hyperlink" Target="https://my.pitchbook.com/?c=55520-74" TargetMode="External"/><Relationship Id="rId17" Type="http://schemas.openxmlformats.org/officeDocument/2006/relationships/hyperlink" Target="https:/my.pitchbook.com?sec_f=30360313378&amp;financialGroup=BALANCE_SHEET&amp;period=ANN&amp;exchangeId=NYS&amp;exchangeSymbol=PLNT" TargetMode="External"/><Relationship Id="rId2" Type="http://schemas.openxmlformats.org/officeDocument/2006/relationships/hyperlink" Target="https://my.pitchbook.com/?c=55520-74" TargetMode="External"/><Relationship Id="rId16" Type="http://schemas.openxmlformats.org/officeDocument/2006/relationships/hyperlink" Target="https:/my.pitchbook.com?sec_f=30360313442&amp;financialGroup=BALANCE_SHEET&amp;period=ANN&amp;exchangeId=NYS&amp;exchangeSymbol=PLNT" TargetMode="External"/><Relationship Id="rId20" Type="http://schemas.openxmlformats.org/officeDocument/2006/relationships/hyperlink" Target="https:/my.pitchbook.com?sec_f=30360313186&amp;financialGroup=BALANCE_SHEET&amp;period=ANN&amp;exchangeId=NYS&amp;exchangeSymbol=PLNT" TargetMode="External"/><Relationship Id="rId1" Type="http://schemas.openxmlformats.org/officeDocument/2006/relationships/hyperlink" Target="https://my.pitchbook.com/?c=55520-74" TargetMode="External"/><Relationship Id="rId6" Type="http://schemas.openxmlformats.org/officeDocument/2006/relationships/hyperlink" Target="https://my.pitchbook.com/?c=55520-74" TargetMode="External"/><Relationship Id="rId11" Type="http://schemas.openxmlformats.org/officeDocument/2006/relationships/hyperlink" Target="https://my.pitchbook.com/?c=55520-74" TargetMode="External"/><Relationship Id="rId24" Type="http://schemas.openxmlformats.org/officeDocument/2006/relationships/hyperlink" Target="https:/my.pitchbook.com?sec_f=30360312930&amp;financialGroup=BALANCE_SHEET&amp;period=ANN&amp;exchangeId=NYS&amp;exchangeSymbol=PLNT" TargetMode="External"/><Relationship Id="rId5" Type="http://schemas.openxmlformats.org/officeDocument/2006/relationships/hyperlink" Target="https://my.pitchbook.com/?c=55520-74" TargetMode="External"/><Relationship Id="rId15" Type="http://schemas.openxmlformats.org/officeDocument/2006/relationships/hyperlink" Target="https:/my.pitchbook.com?sec_f=30360313506&amp;financialGroup=BALANCE_SHEET&amp;period=ANN&amp;exchangeId=NYS&amp;exchangeSymbol=PLNT" TargetMode="External"/><Relationship Id="rId23" Type="http://schemas.openxmlformats.org/officeDocument/2006/relationships/hyperlink" Target="https:/my.pitchbook.com?sec_f=30360312994&amp;financialGroup=BALANCE_SHEET&amp;period=ANN&amp;exchangeId=NYS&amp;exchangeSymbol=PLNT" TargetMode="External"/><Relationship Id="rId10" Type="http://schemas.openxmlformats.org/officeDocument/2006/relationships/hyperlink" Target="https://my.pitchbook.com/?c=55520-74" TargetMode="External"/><Relationship Id="rId19" Type="http://schemas.openxmlformats.org/officeDocument/2006/relationships/hyperlink" Target="https:/my.pitchbook.com?sec_f=30360313250&amp;financialGroup=BALANCE_SHEET&amp;period=ANN&amp;exchangeId=NYS&amp;exchangeSymbol=PLNT" TargetMode="External"/><Relationship Id="rId4" Type="http://schemas.openxmlformats.org/officeDocument/2006/relationships/hyperlink" Target="https://my.pitchbook.com/?c=55520-74" TargetMode="External"/><Relationship Id="rId9" Type="http://schemas.openxmlformats.org/officeDocument/2006/relationships/hyperlink" Target="https://my.pitchbook.com/?c=55520-74" TargetMode="External"/><Relationship Id="rId14" Type="http://schemas.openxmlformats.org/officeDocument/2006/relationships/hyperlink" Target="https:/my.pitchbook.com?sec_f=30360313570&amp;financialGroup=BALANCE_SHEET&amp;period=ANN&amp;exchangeId=NYS&amp;exchangeSymbol=PLNT" TargetMode="External"/><Relationship Id="rId22" Type="http://schemas.openxmlformats.org/officeDocument/2006/relationships/hyperlink" Target="https:/my.pitchbook.com?sec_f=30360313058&amp;financialGroup=BALANCE_SHEET&amp;period=ANN&amp;exchangeId=NYS&amp;exchangeSymbol=PLNT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my.pitchbook.com/?c=55520-74" TargetMode="External"/><Relationship Id="rId13" Type="http://schemas.openxmlformats.org/officeDocument/2006/relationships/hyperlink" Target="https:/my.pitchbook.com?sec_f=30360313634&amp;financialGroup=CASH_FLOW&amp;period=ANN&amp;exchangeId=NYS&amp;exchangeSymbol=PLNT" TargetMode="External"/><Relationship Id="rId18" Type="http://schemas.openxmlformats.org/officeDocument/2006/relationships/hyperlink" Target="https:/my.pitchbook.com?sec_f=30360313314&amp;financialGroup=CASH_FLOW&amp;period=ANN&amp;exchangeId=NYS&amp;exchangeSymbol=PLNT" TargetMode="External"/><Relationship Id="rId3" Type="http://schemas.openxmlformats.org/officeDocument/2006/relationships/hyperlink" Target="https://my.pitchbook.com/?c=55520-74" TargetMode="External"/><Relationship Id="rId21" Type="http://schemas.openxmlformats.org/officeDocument/2006/relationships/hyperlink" Target="https:/my.pitchbook.com?sec_f=30360313122&amp;financialGroup=CASH_FLOW&amp;period=ANN&amp;exchangeId=NYS&amp;exchangeSymbol=PLNT" TargetMode="External"/><Relationship Id="rId7" Type="http://schemas.openxmlformats.org/officeDocument/2006/relationships/hyperlink" Target="https://my.pitchbook.com/?c=55520-74" TargetMode="External"/><Relationship Id="rId12" Type="http://schemas.openxmlformats.org/officeDocument/2006/relationships/hyperlink" Target="https://my.pitchbook.com/?c=55520-74" TargetMode="External"/><Relationship Id="rId17" Type="http://schemas.openxmlformats.org/officeDocument/2006/relationships/hyperlink" Target="https:/my.pitchbook.com?sec_f=30360313378&amp;financialGroup=CASH_FLOW&amp;period=ANN&amp;exchangeId=NYS&amp;exchangeSymbol=PLNT" TargetMode="External"/><Relationship Id="rId2" Type="http://schemas.openxmlformats.org/officeDocument/2006/relationships/hyperlink" Target="https://my.pitchbook.com/?c=55520-74" TargetMode="External"/><Relationship Id="rId16" Type="http://schemas.openxmlformats.org/officeDocument/2006/relationships/hyperlink" Target="https:/my.pitchbook.com?sec_f=30360313442&amp;financialGroup=CASH_FLOW&amp;period=ANN&amp;exchangeId=NYS&amp;exchangeSymbol=PLNT" TargetMode="External"/><Relationship Id="rId20" Type="http://schemas.openxmlformats.org/officeDocument/2006/relationships/hyperlink" Target="https:/my.pitchbook.com?sec_f=30360313186&amp;financialGroup=CASH_FLOW&amp;period=ANN&amp;exchangeId=NYS&amp;exchangeSymbol=PLNT" TargetMode="External"/><Relationship Id="rId1" Type="http://schemas.openxmlformats.org/officeDocument/2006/relationships/hyperlink" Target="https://my.pitchbook.com/?c=55520-74" TargetMode="External"/><Relationship Id="rId6" Type="http://schemas.openxmlformats.org/officeDocument/2006/relationships/hyperlink" Target="https://my.pitchbook.com/?c=55520-74" TargetMode="External"/><Relationship Id="rId11" Type="http://schemas.openxmlformats.org/officeDocument/2006/relationships/hyperlink" Target="https://my.pitchbook.com/?c=55520-74" TargetMode="External"/><Relationship Id="rId24" Type="http://schemas.openxmlformats.org/officeDocument/2006/relationships/hyperlink" Target="https:/my.pitchbook.com?sec_f=30360312930&amp;financialGroup=CASH_FLOW&amp;period=ANN&amp;exchangeId=NYS&amp;exchangeSymbol=PLNT" TargetMode="External"/><Relationship Id="rId5" Type="http://schemas.openxmlformats.org/officeDocument/2006/relationships/hyperlink" Target="https://my.pitchbook.com/?c=55520-74" TargetMode="External"/><Relationship Id="rId15" Type="http://schemas.openxmlformats.org/officeDocument/2006/relationships/hyperlink" Target="https:/my.pitchbook.com?sec_f=30360313506&amp;financialGroup=CASH_FLOW&amp;period=ANN&amp;exchangeId=NYS&amp;exchangeSymbol=PLNT" TargetMode="External"/><Relationship Id="rId23" Type="http://schemas.openxmlformats.org/officeDocument/2006/relationships/hyperlink" Target="https:/my.pitchbook.com?sec_f=30360312994&amp;financialGroup=CASH_FLOW&amp;period=ANN&amp;exchangeId=NYS&amp;exchangeSymbol=PLNT" TargetMode="External"/><Relationship Id="rId10" Type="http://schemas.openxmlformats.org/officeDocument/2006/relationships/hyperlink" Target="https://my.pitchbook.com/?c=55520-74" TargetMode="External"/><Relationship Id="rId19" Type="http://schemas.openxmlformats.org/officeDocument/2006/relationships/hyperlink" Target="https:/my.pitchbook.com?sec_f=30360313250&amp;financialGroup=CASH_FLOW&amp;period=ANN&amp;exchangeId=NYS&amp;exchangeSymbol=PLNT" TargetMode="External"/><Relationship Id="rId4" Type="http://schemas.openxmlformats.org/officeDocument/2006/relationships/hyperlink" Target="https://my.pitchbook.com/?c=55520-74" TargetMode="External"/><Relationship Id="rId9" Type="http://schemas.openxmlformats.org/officeDocument/2006/relationships/hyperlink" Target="https://my.pitchbook.com/?c=55520-74" TargetMode="External"/><Relationship Id="rId14" Type="http://schemas.openxmlformats.org/officeDocument/2006/relationships/hyperlink" Target="https:/my.pitchbook.com?sec_f=30360313570&amp;financialGroup=CASH_FLOW&amp;period=ANN&amp;exchangeId=NYS&amp;exchangeSymbol=PLNT" TargetMode="External"/><Relationship Id="rId22" Type="http://schemas.openxmlformats.org/officeDocument/2006/relationships/hyperlink" Target="https:/my.pitchbook.com?sec_f=30360313058&amp;financialGroup=CASH_FLOW&amp;period=ANN&amp;exchangeId=NYS&amp;exchangeSymbol=PL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6:O21"/>
  <sheetViews>
    <sheetView showGridLines="0" zoomScale="85" zoomScaleNormal="85" workbookViewId="0">
      <selection activeCell="G8" sqref="G8"/>
    </sheetView>
  </sheetViews>
  <sheetFormatPr baseColWidth="10" defaultColWidth="9.1640625" defaultRowHeight="13"/>
  <cols>
    <col min="1" max="16384" width="9.1640625" style="2"/>
  </cols>
  <sheetData>
    <row r="6" spans="7:15" ht="63" customHeight="1">
      <c r="G6" s="3" t="s">
        <v>0</v>
      </c>
      <c r="H6" s="4"/>
      <c r="O6" s="4"/>
    </row>
    <row r="7" spans="7:15" ht="33" customHeight="1">
      <c r="G7" s="5" t="s">
        <v>1</v>
      </c>
    </row>
    <row r="8" spans="7:15" ht="33" customHeight="1">
      <c r="G8" s="6"/>
    </row>
    <row r="12" spans="7:15" ht="31.5" customHeight="1">
      <c r="G12" s="7" t="s">
        <v>2</v>
      </c>
    </row>
    <row r="20" spans="3:3" ht="22.5" customHeight="1">
      <c r="C20" s="8" t="s">
        <v>3</v>
      </c>
    </row>
    <row r="21" spans="3:3" ht="22.5" customHeight="1">
      <c r="C21" s="8" t="s">
        <v>4</v>
      </c>
    </row>
  </sheetData>
  <phoneticPr fontId="213" type="noConversion"/>
  <pageMargins left="0.75" right="0.75" top="1" bottom="1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Z162"/>
  <sheetViews>
    <sheetView showGridLines="0" tabSelected="1" topLeftCell="A110" zoomScaleNormal="100" workbookViewId="0">
      <selection activeCell="G125" sqref="G125"/>
    </sheetView>
  </sheetViews>
  <sheetFormatPr baseColWidth="10" defaultColWidth="9.1640625" defaultRowHeight="13"/>
  <cols>
    <col min="1" max="1" width="0.83203125" style="9" customWidth="1"/>
    <col min="2" max="4" width="13.6640625" style="9" customWidth="1"/>
    <col min="5" max="5" width="14.1640625" style="9" bestFit="1" customWidth="1"/>
    <col min="6" max="15" width="13.6640625" style="9" customWidth="1"/>
    <col min="16" max="16" width="3.83203125" style="10" customWidth="1"/>
    <col min="17" max="18" width="9.1640625" style="11"/>
    <col min="19" max="19" width="11.83203125" style="11" customWidth="1"/>
    <col min="20" max="21" width="9.1640625" style="11"/>
    <col min="22" max="16384" width="9.1640625" style="9"/>
  </cols>
  <sheetData>
    <row r="1" spans="1:24" ht="24.75" customHeight="1">
      <c r="A1" s="10"/>
      <c r="B1" s="12" t="s">
        <v>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1"/>
    </row>
    <row r="2" spans="1:24" ht="19.5" customHeight="1">
      <c r="A2" s="10"/>
      <c r="B2" s="15" t="s">
        <v>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</row>
    <row r="3" spans="1:24" ht="13.5" customHeight="1">
      <c r="A3" s="10"/>
      <c r="B3" s="16" t="s">
        <v>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 t="str">
        <f>B4</f>
        <v xml:space="preserve">Operating Scenario </v>
      </c>
      <c r="N3" s="17"/>
      <c r="O3" s="19" t="str">
        <f>+CHOOSE(D4,'AS1'!B8,'AS1'!B9,'AS1'!B10,'AS1'!B11,'AS1'!B12)</f>
        <v xml:space="preserve">   Base</v>
      </c>
      <c r="P3" s="20"/>
    </row>
    <row r="4" spans="1:24" ht="12.75" customHeight="1">
      <c r="A4" s="10"/>
      <c r="B4" s="21" t="s">
        <v>8</v>
      </c>
      <c r="C4" s="22"/>
      <c r="D4" s="23">
        <v>1</v>
      </c>
      <c r="E4" s="10"/>
    </row>
    <row r="5" spans="1:24" s="24" customFormat="1" ht="12.75" customHeight="1">
      <c r="B5" s="21" t="s">
        <v>9</v>
      </c>
      <c r="C5" s="22"/>
      <c r="D5" s="23" t="s">
        <v>10</v>
      </c>
      <c r="E5" s="430" t="s">
        <v>11</v>
      </c>
      <c r="F5" s="430"/>
      <c r="G5" s="430"/>
      <c r="H5" s="25" t="s">
        <v>12</v>
      </c>
      <c r="J5" s="430" t="s">
        <v>13</v>
      </c>
      <c r="K5" s="430"/>
      <c r="L5" s="430"/>
      <c r="M5" s="430"/>
      <c r="N5" s="430"/>
      <c r="O5" s="25" t="s">
        <v>12</v>
      </c>
      <c r="P5" s="25"/>
    </row>
    <row r="6" spans="1:24" s="24" customFormat="1" ht="12.75" customHeight="1">
      <c r="B6" s="26"/>
      <c r="E6" s="27">
        <f>+F6-1</f>
        <v>2021</v>
      </c>
      <c r="F6" s="27">
        <f>+G6-1</f>
        <v>2022</v>
      </c>
      <c r="G6" s="27">
        <f>I6-1</f>
        <v>2023</v>
      </c>
      <c r="H6" s="28" t="s">
        <v>14</v>
      </c>
      <c r="I6" s="29">
        <v>2024</v>
      </c>
      <c r="J6" s="27">
        <f>+I6+1</f>
        <v>2025</v>
      </c>
      <c r="K6" s="30">
        <f>+J6+1</f>
        <v>2026</v>
      </c>
      <c r="L6" s="30">
        <f>+K6+1</f>
        <v>2027</v>
      </c>
      <c r="M6" s="30">
        <f>+L6+1</f>
        <v>2028</v>
      </c>
      <c r="N6" s="30">
        <f>+M6+1</f>
        <v>2029</v>
      </c>
      <c r="O6" s="28" t="s">
        <v>15</v>
      </c>
      <c r="P6" s="31"/>
    </row>
    <row r="7" spans="1:24" s="24" customFormat="1" ht="12.75" customHeight="1">
      <c r="B7" s="24" t="s">
        <v>16</v>
      </c>
      <c r="E7" s="32">
        <f>IS!P13</f>
        <v>587023</v>
      </c>
      <c r="F7" s="32">
        <f>IS!O13</f>
        <v>936772</v>
      </c>
      <c r="G7" s="32">
        <f>IS!N13</f>
        <v>1071326</v>
      </c>
      <c r="H7" s="33">
        <f>+IF(ISERROR((G7/E7)^(1/($G$6-$E$6))-1),"-",(G7/E7)^(1/($G$6-$E$6))-1)</f>
        <v>0.35093129883967711</v>
      </c>
      <c r="I7" s="32">
        <f>IS!M13</f>
        <v>1181654</v>
      </c>
      <c r="J7" s="34">
        <f>I7*(1+J59)</f>
        <v>1288002.8600000001</v>
      </c>
      <c r="K7" s="34">
        <f>J7*(1+K59)</f>
        <v>1391043.0888000003</v>
      </c>
      <c r="L7" s="34">
        <f>K7*(1+L59)</f>
        <v>1488416.1050160003</v>
      </c>
      <c r="M7" s="34">
        <f>L7*(1+M59)</f>
        <v>1577721.0713169605</v>
      </c>
      <c r="N7" s="34">
        <f>M7*(1+N59)</f>
        <v>1664495.7302393932</v>
      </c>
      <c r="O7" s="33">
        <f>+IF(ISERROR((N7/I7)^(1/($N$6-$I$6))-1),"-",(N7/I7)^(1/($N$6-$I$6))-1)</f>
        <v>7.0923555514061487E-2</v>
      </c>
      <c r="P7" s="35" t="s">
        <v>17</v>
      </c>
      <c r="Q7" s="36"/>
      <c r="S7" s="37"/>
    </row>
    <row r="8" spans="1:24" s="11" customFormat="1" ht="12.75" customHeight="1">
      <c r="A8" s="10"/>
      <c r="B8" s="38" t="s">
        <v>18</v>
      </c>
      <c r="C8" s="10"/>
      <c r="D8" s="10"/>
      <c r="E8" s="39" t="s">
        <v>19</v>
      </c>
      <c r="F8" s="39">
        <f>+IF(ISERROR(F7/E7-1),0,F7/E7-1)</f>
        <v>0.59580118666559923</v>
      </c>
      <c r="G8" s="39">
        <f>+IF(ISERROR(G7/F7-1),0,G7/F7-1)</f>
        <v>0.14363580465684289</v>
      </c>
      <c r="H8" s="40"/>
      <c r="I8" s="41">
        <f>+IF(ISERROR(I7/G7-1),0,I7/G7-1)</f>
        <v>0.10298265887320945</v>
      </c>
      <c r="J8" s="39">
        <f>+IF(ISERROR(J7/I7-1),0,J7/I7-1)</f>
        <v>9.000000000000008E-2</v>
      </c>
      <c r="K8" s="39">
        <f>+IF(ISERROR(K7/J7-1),0,K7/J7-1)</f>
        <v>8.0000000000000071E-2</v>
      </c>
      <c r="L8" s="39">
        <f>+IF(ISERROR(L7/K7-1),0,L7/K7-1)</f>
        <v>7.0000000000000062E-2</v>
      </c>
      <c r="M8" s="39">
        <f>+IF(ISERROR(M7/L7-1),0,M7/L7-1)</f>
        <v>6.0000000000000053E-2</v>
      </c>
      <c r="N8" s="39">
        <f>+IF(ISERROR(N7/M7-1),0,N7/M7-1)</f>
        <v>5.4999999999999938E-2</v>
      </c>
      <c r="O8" s="40"/>
      <c r="P8" s="42"/>
      <c r="Q8" s="10"/>
      <c r="R8" s="10"/>
      <c r="X8" s="43"/>
    </row>
    <row r="9" spans="1:24" ht="12.75" customHeight="1">
      <c r="A9" s="10"/>
      <c r="B9" s="44" t="s">
        <v>20</v>
      </c>
      <c r="C9" s="10"/>
      <c r="D9" s="10"/>
      <c r="E9" s="45">
        <f>IS!P18</f>
        <v>271151</v>
      </c>
      <c r="F9" s="45">
        <f>IS!O18</f>
        <v>462738</v>
      </c>
      <c r="G9" s="45">
        <f>IS!N18</f>
        <v>513740</v>
      </c>
      <c r="H9" s="33"/>
      <c r="I9" s="45">
        <f>IS!M18</f>
        <v>566638</v>
      </c>
      <c r="J9" s="46">
        <f>J7*J60</f>
        <v>615665.36708</v>
      </c>
      <c r="K9" s="46">
        <f>K7*K60</f>
        <v>662136.51026880008</v>
      </c>
      <c r="L9" s="46">
        <f>L7*L60</f>
        <v>705509.23377758416</v>
      </c>
      <c r="M9" s="46">
        <f>M7*M60</f>
        <v>744684.34566160536</v>
      </c>
      <c r="N9" s="46">
        <f>N7*N60</f>
        <v>782312.99321251479</v>
      </c>
      <c r="O9" s="33"/>
      <c r="P9" s="47" t="s">
        <v>21</v>
      </c>
      <c r="Q9" s="48"/>
      <c r="S9" s="49"/>
    </row>
    <row r="10" spans="1:24" ht="12.75" customHeight="1">
      <c r="A10" s="10"/>
      <c r="B10" s="50" t="s">
        <v>22</v>
      </c>
      <c r="E10" s="34">
        <f>+E7-E9</f>
        <v>315872</v>
      </c>
      <c r="F10" s="34">
        <f>+F7-F9</f>
        <v>474034</v>
      </c>
      <c r="G10" s="34">
        <f>+G7-G9</f>
        <v>557586</v>
      </c>
      <c r="H10" s="33">
        <f>+IF(ISERROR((G10/E10)^(1/($G$6-$E$6))-1),"-",(G10/E10)^(1/($G$6-$E$6))-1)</f>
        <v>0.32861871398999232</v>
      </c>
      <c r="I10" s="51">
        <f t="shared" ref="I10:N10" si="0">+I7-I9</f>
        <v>615016</v>
      </c>
      <c r="J10" s="34">
        <f t="shared" si="0"/>
        <v>672337.49292000011</v>
      </c>
      <c r="K10" s="34">
        <f t="shared" si="0"/>
        <v>728906.57853120018</v>
      </c>
      <c r="L10" s="34">
        <f t="shared" si="0"/>
        <v>782906.87123841618</v>
      </c>
      <c r="M10" s="34">
        <f t="shared" si="0"/>
        <v>833036.72565535514</v>
      </c>
      <c r="N10" s="34">
        <f t="shared" si="0"/>
        <v>882182.7370268784</v>
      </c>
      <c r="O10" s="33">
        <f>+IF(ISERROR((N10/I10)^(1/($N$6-$I$6))-1),"-",(N10/I10)^(1/($N$6-$I$6))-1)</f>
        <v>7.4816755587726158E-2</v>
      </c>
    </row>
    <row r="11" spans="1:24" s="11" customFormat="1" ht="12.75" customHeight="1">
      <c r="A11" s="10"/>
      <c r="B11" s="38" t="s">
        <v>23</v>
      </c>
      <c r="C11" s="10"/>
      <c r="D11" s="10"/>
      <c r="E11" s="39">
        <f>+IF(ISERROR(E10/E7),0,E10/E7)</f>
        <v>0.53809135246830198</v>
      </c>
      <c r="F11" s="39">
        <f>+IF(ISERROR(F10/F7),0,F10/F7)</f>
        <v>0.5060292152199255</v>
      </c>
      <c r="G11" s="39">
        <f>+IF(ISERROR(G10/G7),0,G10/G7)</f>
        <v>0.52046342569862025</v>
      </c>
      <c r="H11" s="40"/>
      <c r="I11" s="41">
        <f t="shared" ref="I11:N11" si="1">+IF(ISERROR(I10/I7),0,I10/I7)</f>
        <v>0.52047045920379398</v>
      </c>
      <c r="J11" s="39">
        <f t="shared" si="1"/>
        <v>0.52200000000000002</v>
      </c>
      <c r="K11" s="39">
        <f t="shared" si="1"/>
        <v>0.52400000000000002</v>
      </c>
      <c r="L11" s="39">
        <f t="shared" si="1"/>
        <v>0.52600000000000002</v>
      </c>
      <c r="M11" s="39">
        <f t="shared" si="1"/>
        <v>0.52800000000000002</v>
      </c>
      <c r="N11" s="39">
        <f t="shared" si="1"/>
        <v>0.53</v>
      </c>
      <c r="O11" s="40"/>
      <c r="P11" s="42"/>
      <c r="Q11" s="10"/>
      <c r="R11" s="10"/>
      <c r="X11" s="43"/>
    </row>
    <row r="12" spans="1:24" ht="12.75" customHeight="1">
      <c r="A12" s="10"/>
      <c r="B12" s="44" t="s">
        <v>24</v>
      </c>
      <c r="C12" s="10"/>
      <c r="D12" s="10"/>
      <c r="E12" s="45">
        <f>IS!P21</f>
        <v>94540</v>
      </c>
      <c r="F12" s="45">
        <f>IS!O21</f>
        <v>114853</v>
      </c>
      <c r="G12" s="45">
        <f>IS!N21</f>
        <v>124930</v>
      </c>
      <c r="H12" s="33"/>
      <c r="I12" s="45">
        <f>IS!M21</f>
        <v>129146</v>
      </c>
      <c r="J12" s="46">
        <f>J7*J61</f>
        <v>139104.30888</v>
      </c>
      <c r="K12" s="46">
        <f>K7*K61</f>
        <v>147450.56741280001</v>
      </c>
      <c r="L12" s="46">
        <f>L7*L61</f>
        <v>154795.27492166404</v>
      </c>
      <c r="M12" s="46">
        <f>M7*M61</f>
        <v>160927.54927432997</v>
      </c>
      <c r="N12" s="46">
        <f>N7*N61</f>
        <v>166449.57302393933</v>
      </c>
      <c r="O12" s="33"/>
      <c r="P12" s="47" t="s">
        <v>25</v>
      </c>
      <c r="Q12" s="48"/>
      <c r="S12" s="49"/>
    </row>
    <row r="13" spans="1:24" ht="12.75" customHeight="1">
      <c r="A13" s="10"/>
      <c r="B13" s="50" t="s">
        <v>26</v>
      </c>
      <c r="E13" s="34">
        <f>E10-E12</f>
        <v>221332</v>
      </c>
      <c r="F13" s="34">
        <f>F10-F12</f>
        <v>359181</v>
      </c>
      <c r="G13" s="34">
        <f>G10-G12</f>
        <v>432656</v>
      </c>
      <c r="H13" s="33">
        <f>+IF(ISERROR((G13/E13)^(1/($G$6-$E$6))-1),"-",(G13/E13)^(1/($G$6-$E$6))-1)</f>
        <v>0.39813549419851002</v>
      </c>
      <c r="I13" s="51">
        <f t="shared" ref="I13:N13" si="2">I10-I12</f>
        <v>485870</v>
      </c>
      <c r="J13" s="34">
        <f t="shared" si="2"/>
        <v>533233.18404000008</v>
      </c>
      <c r="K13" s="34">
        <f t="shared" si="2"/>
        <v>581456.01111840014</v>
      </c>
      <c r="L13" s="34">
        <f t="shared" si="2"/>
        <v>628111.59631675214</v>
      </c>
      <c r="M13" s="34">
        <f t="shared" si="2"/>
        <v>672109.17638102523</v>
      </c>
      <c r="N13" s="34">
        <f t="shared" si="2"/>
        <v>715733.16400293913</v>
      </c>
      <c r="O13" s="33">
        <f>+IF(ISERROR((N13/I13)^(1/($N$6-$I$6))-1),"-",(N13/I13)^(1/($N$6-$I$6))-1)</f>
        <v>8.0553343072319983E-2</v>
      </c>
    </row>
    <row r="14" spans="1:24" s="11" customFormat="1" ht="12.75" customHeight="1">
      <c r="A14" s="10"/>
      <c r="B14" s="38" t="s">
        <v>23</v>
      </c>
      <c r="C14" s="10"/>
      <c r="D14" s="10"/>
      <c r="E14" s="39">
        <f>+IF(ISERROR(E13/E7),0,E13/E7)</f>
        <v>0.37704144471340989</v>
      </c>
      <c r="F14" s="39">
        <f>+IF(ISERROR(F13/F7),0,F13/F7)</f>
        <v>0.3834241416267779</v>
      </c>
      <c r="G14" s="39">
        <f>+IF(ISERROR(G13/G7),0,G13/G7)</f>
        <v>0.40385092866223726</v>
      </c>
      <c r="H14" s="40"/>
      <c r="I14" s="41">
        <f t="shared" ref="I14:N14" si="3">+IF(ISERROR(I13/I7),0,I13/I7)</f>
        <v>0.41117789132859534</v>
      </c>
      <c r="J14" s="39">
        <f t="shared" si="3"/>
        <v>0.41400000000000003</v>
      </c>
      <c r="K14" s="39">
        <f t="shared" si="3"/>
        <v>0.41800000000000004</v>
      </c>
      <c r="L14" s="39">
        <f t="shared" si="3"/>
        <v>0.42199999999999999</v>
      </c>
      <c r="M14" s="39">
        <f t="shared" si="3"/>
        <v>0.42600000000000005</v>
      </c>
      <c r="N14" s="39">
        <f t="shared" si="3"/>
        <v>0.43000000000000005</v>
      </c>
      <c r="O14" s="40"/>
      <c r="P14" s="42"/>
      <c r="Q14" s="10"/>
      <c r="R14" s="10"/>
      <c r="X14" s="43"/>
    </row>
    <row r="15" spans="1:24" ht="12.75" customHeight="1">
      <c r="A15" s="10"/>
      <c r="B15" s="44" t="s">
        <v>27</v>
      </c>
      <c r="C15" s="10"/>
      <c r="D15" s="10"/>
      <c r="E15" s="45">
        <f>IS!P23</f>
        <v>62800</v>
      </c>
      <c r="F15" s="45">
        <f>IS!O23</f>
        <v>124022</v>
      </c>
      <c r="G15" s="45">
        <f>IS!N23</f>
        <v>149413</v>
      </c>
      <c r="H15" s="33"/>
      <c r="I15" s="45">
        <f>IS!M23</f>
        <v>160346</v>
      </c>
      <c r="J15" s="46">
        <f>J7*J62</f>
        <v>173880.38610000003</v>
      </c>
      <c r="K15" s="46">
        <f>K7*K62</f>
        <v>185008.73081040004</v>
      </c>
      <c r="L15" s="46">
        <f>L7*L62</f>
        <v>194982.50975709606</v>
      </c>
      <c r="M15" s="46">
        <f>M7*M62</f>
        <v>203526.01819988791</v>
      </c>
      <c r="N15" s="46">
        <f>N7*N62</f>
        <v>211390.95774040293</v>
      </c>
      <c r="O15" s="33"/>
      <c r="P15" s="47" t="s">
        <v>28</v>
      </c>
      <c r="Q15" s="48"/>
      <c r="S15" s="49"/>
    </row>
    <row r="16" spans="1:24" ht="12.75" customHeight="1">
      <c r="A16" s="10"/>
      <c r="B16" s="50" t="s">
        <v>29</v>
      </c>
      <c r="E16" s="34">
        <f>+E13-E15</f>
        <v>158532</v>
      </c>
      <c r="F16" s="34">
        <f>+F13-F15</f>
        <v>235159</v>
      </c>
      <c r="G16" s="34">
        <f>+G13-G15</f>
        <v>283243</v>
      </c>
      <c r="H16" s="33">
        <f>+IF(ISERROR((G16/E16)^(1/($G$6-$E$6))-1),"-",(G16/E16)^(1/($G$6-$E$6))-1)</f>
        <v>0.33666052835111282</v>
      </c>
      <c r="I16" s="51">
        <f t="shared" ref="I16:N16" si="4">+I13-I15</f>
        <v>325524</v>
      </c>
      <c r="J16" s="34">
        <f t="shared" si="4"/>
        <v>359352.79794000008</v>
      </c>
      <c r="K16" s="34">
        <f t="shared" si="4"/>
        <v>396447.2803080001</v>
      </c>
      <c r="L16" s="34">
        <f t="shared" si="4"/>
        <v>433129.08655965608</v>
      </c>
      <c r="M16" s="34">
        <f t="shared" si="4"/>
        <v>468583.15818113729</v>
      </c>
      <c r="N16" s="34">
        <f t="shared" si="4"/>
        <v>504342.20626253623</v>
      </c>
      <c r="O16" s="33">
        <f>+IF(ISERROR((N16/I16)^(1/($N$6-$I$6))-1),"-",(N16/I16)^(1/($N$6-$I$6))-1)</f>
        <v>9.1511862848669523E-2</v>
      </c>
    </row>
    <row r="17" spans="1:228" s="11" customFormat="1" ht="12.75" customHeight="1">
      <c r="A17" s="10"/>
      <c r="B17" s="38" t="s">
        <v>23</v>
      </c>
      <c r="C17" s="10"/>
      <c r="D17" s="10"/>
      <c r="E17" s="39">
        <f>+IF(ISERROR(E16/E7),0,E16/E7)</f>
        <v>0.27006096865029139</v>
      </c>
      <c r="F17" s="39">
        <f>+IF(ISERROR(F16/F7),0,F16/F7)</f>
        <v>0.25103120076176488</v>
      </c>
      <c r="G17" s="39">
        <f>+IF(ISERROR(G16/G7),0,G16/G7)</f>
        <v>0.26438544383315632</v>
      </c>
      <c r="H17" s="40"/>
      <c r="I17" s="41">
        <f t="shared" ref="I17:N17" si="5">+IF(ISERROR(I16/I7),0,I16/I7)</f>
        <v>0.27548165537458513</v>
      </c>
      <c r="J17" s="39">
        <f t="shared" si="5"/>
        <v>0.27900000000000003</v>
      </c>
      <c r="K17" s="39">
        <f t="shared" si="5"/>
        <v>0.28500000000000003</v>
      </c>
      <c r="L17" s="39">
        <f t="shared" si="5"/>
        <v>0.29099999999999998</v>
      </c>
      <c r="M17" s="39">
        <f t="shared" si="5"/>
        <v>0.29699999999999999</v>
      </c>
      <c r="N17" s="39">
        <f t="shared" si="5"/>
        <v>0.30300000000000005</v>
      </c>
      <c r="O17" s="40"/>
      <c r="P17" s="42"/>
      <c r="Q17" s="10"/>
      <c r="R17" s="10"/>
      <c r="X17" s="43"/>
    </row>
    <row r="18" spans="1:228" ht="12.75" customHeight="1">
      <c r="A18" s="10"/>
      <c r="B18" s="10" t="s">
        <v>30</v>
      </c>
      <c r="C18" s="10"/>
      <c r="D18" s="10"/>
      <c r="E18" s="46">
        <f>+E16*E64</f>
        <v>49620.516000000003</v>
      </c>
      <c r="F18" s="46">
        <f>+F16*F64</f>
        <v>66314.837999999989</v>
      </c>
      <c r="G18" s="46">
        <f>+G16*G64</f>
        <v>78458.311000000002</v>
      </c>
      <c r="H18" s="33"/>
      <c r="I18" s="52">
        <f t="shared" ref="I18:N18" si="6">+I16*I64</f>
        <v>89519.1</v>
      </c>
      <c r="J18" s="46">
        <f t="shared" si="6"/>
        <v>98822.019433500027</v>
      </c>
      <c r="K18" s="46">
        <f t="shared" si="6"/>
        <v>109023.00208470004</v>
      </c>
      <c r="L18" s="46">
        <f t="shared" si="6"/>
        <v>119110.49880390543</v>
      </c>
      <c r="M18" s="46">
        <f t="shared" si="6"/>
        <v>128860.36849981277</v>
      </c>
      <c r="N18" s="46">
        <f t="shared" si="6"/>
        <v>138694.10672219747</v>
      </c>
      <c r="O18" s="33"/>
      <c r="Q18" s="10"/>
      <c r="R18" s="10"/>
    </row>
    <row r="19" spans="1:228" ht="12.75" customHeight="1">
      <c r="A19" s="10"/>
      <c r="B19" s="50" t="s">
        <v>31</v>
      </c>
      <c r="E19" s="34">
        <f>+E16-E18</f>
        <v>108911.484</v>
      </c>
      <c r="F19" s="34">
        <f>+F16-F18</f>
        <v>168844.16200000001</v>
      </c>
      <c r="G19" s="34">
        <f>+G16-G18</f>
        <v>204784.68900000001</v>
      </c>
      <c r="H19" s="33">
        <f>+IF(ISERROR((G19/E19)^(1/($G$6-$E$6))-1),"-",(G19/E19)^(1/($G$6-$E$6))-1)</f>
        <v>0.37123504350774139</v>
      </c>
      <c r="I19" s="51">
        <f t="shared" ref="I19:N19" si="7">+I16-I18</f>
        <v>236004.9</v>
      </c>
      <c r="J19" s="34">
        <f t="shared" si="7"/>
        <v>260530.77850650006</v>
      </c>
      <c r="K19" s="34">
        <f t="shared" si="7"/>
        <v>287424.27822330006</v>
      </c>
      <c r="L19" s="34">
        <f t="shared" si="7"/>
        <v>314018.58775575063</v>
      </c>
      <c r="M19" s="34">
        <f t="shared" si="7"/>
        <v>339722.7896813245</v>
      </c>
      <c r="N19" s="34">
        <f t="shared" si="7"/>
        <v>365648.09954033874</v>
      </c>
      <c r="O19" s="33">
        <f>+IF(ISERROR((N19/I19)^(1/($N$6-$I$6))-1),"-",(N19/I19)^(1/($N$6-$I$6))-1)</f>
        <v>9.1511862848669523E-2</v>
      </c>
    </row>
    <row r="20" spans="1:228" ht="3.75" customHeight="1">
      <c r="A20" s="10"/>
      <c r="B20" s="10"/>
      <c r="C20" s="10"/>
      <c r="D20" s="10"/>
      <c r="E20" s="53"/>
      <c r="F20" s="53"/>
      <c r="G20" s="53"/>
      <c r="I20" s="54"/>
      <c r="J20" s="53"/>
      <c r="K20" s="53"/>
      <c r="L20" s="53"/>
      <c r="M20" s="53"/>
      <c r="N20" s="53"/>
      <c r="O20" s="33"/>
    </row>
    <row r="21" spans="1:228" ht="12.75" customHeight="1">
      <c r="A21" s="10"/>
      <c r="B21" s="10" t="s">
        <v>32</v>
      </c>
      <c r="C21" s="10"/>
      <c r="D21" s="10"/>
      <c r="E21" s="55">
        <f>E15</f>
        <v>62800</v>
      </c>
      <c r="F21" s="55">
        <f>F15</f>
        <v>124022</v>
      </c>
      <c r="G21" s="55">
        <f>G15</f>
        <v>149413</v>
      </c>
      <c r="I21" s="56">
        <f t="shared" ref="I21:N21" si="8">I15</f>
        <v>160346</v>
      </c>
      <c r="J21" s="55">
        <f t="shared" si="8"/>
        <v>173880.38610000003</v>
      </c>
      <c r="K21" s="55">
        <f t="shared" si="8"/>
        <v>185008.73081040004</v>
      </c>
      <c r="L21" s="55">
        <f t="shared" si="8"/>
        <v>194982.50975709606</v>
      </c>
      <c r="M21" s="55">
        <f t="shared" si="8"/>
        <v>203526.01819988791</v>
      </c>
      <c r="N21" s="55">
        <f t="shared" si="8"/>
        <v>211390.95774040293</v>
      </c>
      <c r="O21" s="33"/>
    </row>
    <row r="22" spans="1:228" ht="12.75" customHeight="1">
      <c r="A22" s="10"/>
      <c r="B22" s="10" t="s">
        <v>33</v>
      </c>
      <c r="C22" s="10"/>
      <c r="D22" s="10"/>
      <c r="E22" s="57">
        <f>-0.044*E7</f>
        <v>-25829.011999999999</v>
      </c>
      <c r="F22" s="57">
        <f>-F7*0.04</f>
        <v>-37470.879999999997</v>
      </c>
      <c r="G22" s="57">
        <f>-G7*0.04</f>
        <v>-42853.04</v>
      </c>
      <c r="I22" s="57">
        <f>-I7*0.04</f>
        <v>-47266.16</v>
      </c>
      <c r="J22" s="58">
        <f>-(J7*J63)</f>
        <v>-161000.35750000001</v>
      </c>
      <c r="K22" s="58">
        <f>-(K7*K63)</f>
        <v>-169707.25683360003</v>
      </c>
      <c r="L22" s="58">
        <f>-(L7*L63)</f>
        <v>-178609.93260192004</v>
      </c>
      <c r="M22" s="58">
        <f>-(M7*M63)</f>
        <v>-186171.08641540134</v>
      </c>
      <c r="N22" s="58">
        <f>-(N7*N63)</f>
        <v>-191417.00897753023</v>
      </c>
      <c r="O22" s="33"/>
      <c r="P22" s="35" t="s">
        <v>34</v>
      </c>
    </row>
    <row r="23" spans="1:228" ht="12.75" customHeight="1">
      <c r="A23" s="10"/>
      <c r="B23" s="10" t="s">
        <v>35</v>
      </c>
      <c r="C23" s="10"/>
      <c r="D23" s="10"/>
      <c r="E23" s="59"/>
      <c r="F23" s="59"/>
      <c r="G23" s="55"/>
      <c r="H23" s="55"/>
      <c r="I23" s="60"/>
      <c r="J23" s="61">
        <f>NWC!G25</f>
        <v>37690.348204248308</v>
      </c>
      <c r="K23" s="61">
        <f>NWC!H25</f>
        <v>3147.5825727434421</v>
      </c>
      <c r="L23" s="61">
        <f>NWC!I25</f>
        <v>2948.9008270243212</v>
      </c>
      <c r="M23" s="61">
        <f>NWC!J25</f>
        <v>2676.1069111812976</v>
      </c>
      <c r="N23" s="61">
        <f>NWC!K25</f>
        <v>2579.7144336164347</v>
      </c>
      <c r="O23" s="33"/>
    </row>
    <row r="24" spans="1:228" ht="3.75" customHeight="1">
      <c r="A24" s="10"/>
      <c r="B24" s="10"/>
      <c r="C24" s="10"/>
      <c r="D24" s="10"/>
      <c r="E24" s="55"/>
      <c r="F24" s="55"/>
      <c r="G24" s="55"/>
      <c r="H24" s="55"/>
      <c r="I24" s="60"/>
      <c r="J24" s="55"/>
      <c r="K24" s="55"/>
      <c r="L24" s="62"/>
      <c r="M24" s="62"/>
      <c r="N24" s="62"/>
      <c r="O24" s="33"/>
    </row>
    <row r="25" spans="1:228" ht="12.75" customHeight="1">
      <c r="A25" s="10"/>
      <c r="B25" s="50" t="s">
        <v>36</v>
      </c>
      <c r="E25" s="34"/>
      <c r="F25" s="34"/>
      <c r="G25" s="34"/>
      <c r="H25" s="33"/>
      <c r="I25" s="33"/>
      <c r="J25" s="34">
        <f>+J19+SUM(J21:J23)</f>
        <v>311101.15531074838</v>
      </c>
      <c r="K25" s="34">
        <f>+K19+SUM(K21:K23)</f>
        <v>305873.33477284352</v>
      </c>
      <c r="L25" s="34">
        <f>+L19+SUM(L21:L23)</f>
        <v>333340.06573795096</v>
      </c>
      <c r="M25" s="34">
        <f>+M19+SUM(M21:M23)</f>
        <v>359753.82837699237</v>
      </c>
      <c r="N25" s="34">
        <f>+N19+SUM(N21:N23)</f>
        <v>388201.76273682783</v>
      </c>
      <c r="O25" s="33"/>
    </row>
    <row r="26" spans="1:228" s="26" customFormat="1" ht="12.75" customHeight="1">
      <c r="B26" s="63" t="s">
        <v>37</v>
      </c>
      <c r="E26" s="64">
        <f>WACC!D26</f>
        <v>0.10278351016421793</v>
      </c>
      <c r="G26" s="65"/>
      <c r="H26" s="65"/>
      <c r="I26" s="33"/>
      <c r="J26" s="66"/>
      <c r="K26" s="66"/>
      <c r="L26" s="66"/>
      <c r="M26" s="66"/>
      <c r="N26" s="66"/>
      <c r="O26" s="33"/>
    </row>
    <row r="27" spans="1:228" s="26" customFormat="1" ht="12.75" customHeight="1">
      <c r="B27" s="63" t="s">
        <v>38</v>
      </c>
      <c r="E27" s="67"/>
      <c r="F27" s="68"/>
      <c r="G27" s="68"/>
      <c r="H27" s="68"/>
      <c r="I27" s="33"/>
      <c r="J27" s="66">
        <f>IF($D$5="Y",J6-$I$6-0.5,J6-$I$6)</f>
        <v>0.5</v>
      </c>
      <c r="K27" s="66">
        <f>IF($D$5="Y",K6-$I$6-0.5,K6-$I$6)</f>
        <v>1.5</v>
      </c>
      <c r="L27" s="66">
        <f>IF($D$5="Y",L6-$I$6-0.5,L6-$I$6)</f>
        <v>2.5</v>
      </c>
      <c r="M27" s="66">
        <f>IF($D$5="Y",M6-$I$6-0.5,M6-$I$6)</f>
        <v>3.5</v>
      </c>
      <c r="N27" s="66">
        <f>IF($D$5="Y",N6-$I$6-0.5,N6-$I$6)</f>
        <v>4.5</v>
      </c>
      <c r="O27" s="33"/>
      <c r="P27" s="66"/>
    </row>
    <row r="28" spans="1:228" s="10" customFormat="1" ht="12" customHeight="1">
      <c r="B28" s="63" t="s">
        <v>39</v>
      </c>
      <c r="I28" s="69"/>
      <c r="J28" s="70">
        <f>1/((1+$E$26)^(J27))</f>
        <v>0.95225852262303778</v>
      </c>
      <c r="K28" s="70">
        <f>1/((1+$E$26)^(K27))</f>
        <v>0.86350449915707828</v>
      </c>
      <c r="L28" s="70">
        <f>1/((1+$E$26)^(L27))</f>
        <v>0.78302267960870398</v>
      </c>
      <c r="M28" s="70">
        <f>1/((1+$E$26)^(M27))</f>
        <v>0.71004206391524882</v>
      </c>
      <c r="N28" s="70">
        <f>1/((1+$E$26)^(N27))</f>
        <v>0.64386351207728432</v>
      </c>
      <c r="O28" s="71"/>
      <c r="P28" s="70"/>
      <c r="Q28" s="11"/>
      <c r="R28" s="11"/>
      <c r="S28" s="11"/>
      <c r="T28" s="11"/>
      <c r="U28" s="11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</row>
    <row r="29" spans="1:228" s="10" customFormat="1" ht="12.75" customHeight="1">
      <c r="B29" s="72" t="s">
        <v>40</v>
      </c>
      <c r="C29" s="73"/>
      <c r="D29" s="73"/>
      <c r="E29" s="74"/>
      <c r="F29" s="73"/>
      <c r="G29" s="73"/>
      <c r="H29" s="75"/>
      <c r="I29" s="76"/>
      <c r="J29" s="77">
        <f>+J25*J28</f>
        <v>296248.72654253349</v>
      </c>
      <c r="K29" s="77">
        <f>+K25*K28</f>
        <v>264123.00074852956</v>
      </c>
      <c r="L29" s="77">
        <f>+L25*L28</f>
        <v>261012.83149507191</v>
      </c>
      <c r="M29" s="77">
        <f>+M25*M28</f>
        <v>255440.35080221188</v>
      </c>
      <c r="N29" s="77">
        <f>+N25*N28</f>
        <v>249948.9503503266</v>
      </c>
      <c r="O29" s="68"/>
      <c r="P29" s="68"/>
    </row>
    <row r="30" spans="1:228" s="10" customFormat="1" ht="12.75" customHeight="1">
      <c r="B30" s="53"/>
      <c r="C30" s="53"/>
      <c r="D30" s="53"/>
      <c r="E30" s="78"/>
      <c r="F30" s="53"/>
      <c r="G30" s="53"/>
      <c r="H30" s="65"/>
      <c r="I30" s="60"/>
      <c r="J30" s="65"/>
      <c r="K30" s="65"/>
      <c r="L30" s="65"/>
      <c r="M30" s="65"/>
      <c r="N30" s="65"/>
      <c r="O30" s="65"/>
      <c r="P30" s="68"/>
    </row>
    <row r="31" spans="1:228" s="10" customFormat="1" ht="12.75" customHeight="1">
      <c r="B31" s="53"/>
      <c r="C31" s="53"/>
      <c r="D31" s="53"/>
      <c r="E31" s="53"/>
      <c r="F31" s="53"/>
      <c r="G31" s="53"/>
      <c r="H31" s="53"/>
      <c r="I31" s="60"/>
      <c r="J31" s="53"/>
      <c r="K31" s="53"/>
      <c r="L31" s="79"/>
      <c r="M31" s="53"/>
      <c r="P31" s="69"/>
      <c r="Q31" s="80"/>
    </row>
    <row r="32" spans="1:228" s="10" customFormat="1" ht="12.75" customHeight="1">
      <c r="B32" s="431" t="s">
        <v>41</v>
      </c>
      <c r="C32" s="431"/>
      <c r="D32" s="431"/>
      <c r="E32" s="431"/>
      <c r="G32" s="431" t="s">
        <v>42</v>
      </c>
      <c r="H32" s="431"/>
      <c r="I32" s="431"/>
      <c r="J32" s="431"/>
      <c r="L32" s="431" t="s">
        <v>43</v>
      </c>
      <c r="M32" s="431"/>
      <c r="N32" s="431"/>
      <c r="O32" s="431"/>
      <c r="Q32" s="81"/>
    </row>
    <row r="33" spans="1:23" s="10" customFormat="1" ht="12.75" customHeight="1">
      <c r="B33" s="82" t="s">
        <v>44</v>
      </c>
      <c r="C33" s="82"/>
      <c r="D33" s="82"/>
      <c r="E33" s="34">
        <f>+SUM(J29:N29)</f>
        <v>1326773.8599386732</v>
      </c>
      <c r="G33" s="10" t="s">
        <v>41</v>
      </c>
      <c r="I33" s="69"/>
      <c r="J33" s="380">
        <f>+E43</f>
        <v>9225777.7657682281</v>
      </c>
      <c r="L33" s="10" t="str">
        <f>"Terminal Year Free Cash Flow ("&amp;N6&amp;"E)"</f>
        <v>Terminal Year Free Cash Flow (2029E)</v>
      </c>
      <c r="O33" s="83">
        <f>+N25</f>
        <v>388201.76273682783</v>
      </c>
      <c r="Q33" s="84"/>
    </row>
    <row r="34" spans="1:23" s="10" customFormat="1" ht="12.75" customHeight="1">
      <c r="B34" s="85"/>
      <c r="C34" s="86"/>
      <c r="D34" s="86"/>
      <c r="E34" s="87"/>
      <c r="G34" s="10" t="s">
        <v>45</v>
      </c>
      <c r="J34" s="379">
        <f>-BS!M214</f>
        <v>-2575853</v>
      </c>
      <c r="L34" s="10" t="s">
        <v>46</v>
      </c>
      <c r="O34" s="88">
        <f>+E26</f>
        <v>0.10278351016421793</v>
      </c>
      <c r="P34" s="35" t="s">
        <v>47</v>
      </c>
      <c r="Q34" s="89"/>
      <c r="R34" s="89"/>
    </row>
    <row r="35" spans="1:23" s="10" customFormat="1" ht="12.75" customHeight="1">
      <c r="B35" s="90" t="s">
        <v>48</v>
      </c>
      <c r="C35" s="90"/>
      <c r="D35" s="90"/>
      <c r="E35" s="90"/>
      <c r="G35" s="10" t="s">
        <v>49</v>
      </c>
      <c r="J35" s="379">
        <v>0</v>
      </c>
      <c r="L35" s="10" t="str">
        <f>+B35</f>
        <v>Terminal Value</v>
      </c>
      <c r="O35" s="83">
        <f>+E38</f>
        <v>12883196.952052904</v>
      </c>
      <c r="Q35" s="91"/>
      <c r="R35" s="89"/>
    </row>
    <row r="36" spans="1:23" s="10" customFormat="1" ht="12" customHeight="1">
      <c r="B36" s="10" t="str">
        <f>"Terminal Year EBITDA ("&amp;N6&amp;"E)"</f>
        <v>Terminal Year EBITDA (2029E)</v>
      </c>
      <c r="C36" s="86"/>
      <c r="D36" s="86"/>
      <c r="E36" s="83">
        <f>+N13</f>
        <v>715733.16400293913</v>
      </c>
      <c r="G36" s="10" t="s">
        <v>50</v>
      </c>
      <c r="J36" s="379">
        <f>-BS!M155</f>
        <v>-7</v>
      </c>
      <c r="L36" s="9"/>
      <c r="M36" s="9"/>
      <c r="N36" s="9"/>
      <c r="O36" s="9"/>
      <c r="Q36" s="91"/>
      <c r="R36" s="89"/>
    </row>
    <row r="37" spans="1:23" s="10" customFormat="1" ht="12.75" customHeight="1">
      <c r="B37" s="86" t="s">
        <v>51</v>
      </c>
      <c r="C37" s="86"/>
      <c r="D37" s="86"/>
      <c r="E37" s="385">
        <v>18</v>
      </c>
      <c r="G37" s="10" t="s">
        <v>52</v>
      </c>
      <c r="J37" s="381">
        <f>BS!M14</f>
        <v>293150</v>
      </c>
      <c r="L37" s="24" t="s">
        <v>43</v>
      </c>
      <c r="O37" s="92">
        <f>+IF(ISERROR(IF(D5="Y",((E38*E26)-N25*(1+E26)^0.5)/(E38+N25*(1+E26)^0.5),((O35*O34)-O33)/(O35+O33))),"- %",IF(D5="Y",((E38*E26)-N25*(1+E26)^0.5)/(E38+N25*(1+E26)^0.5),((O35*O34)-O33)/(O35+O33)))</f>
        <v>6.8958356712733732E-2</v>
      </c>
      <c r="P37" s="35" t="s">
        <v>53</v>
      </c>
      <c r="Q37" s="91"/>
      <c r="R37" s="89"/>
    </row>
    <row r="38" spans="1:23" s="10" customFormat="1" ht="12.75" customHeight="1">
      <c r="B38" s="82" t="s">
        <v>54</v>
      </c>
      <c r="C38" s="82"/>
      <c r="D38" s="82"/>
      <c r="E38" s="34">
        <f>E36*E37</f>
        <v>12883196.952052904</v>
      </c>
      <c r="J38" s="378" t="s">
        <v>55</v>
      </c>
      <c r="Q38" s="89"/>
      <c r="R38" s="89"/>
    </row>
    <row r="39" spans="1:23" s="10" customFormat="1" ht="12.75" customHeight="1">
      <c r="B39" s="86" t="s">
        <v>56</v>
      </c>
      <c r="C39" s="86"/>
      <c r="D39" s="86"/>
      <c r="E39" s="93">
        <f>1/((1+$E$26)^5)</f>
        <v>0.61312451678159507</v>
      </c>
      <c r="G39" s="24" t="s">
        <v>57</v>
      </c>
      <c r="J39" s="382">
        <f>+J33+SUM(J34:J37)</f>
        <v>6943067.7657682281</v>
      </c>
      <c r="L39" s="431" t="s">
        <v>58</v>
      </c>
      <c r="M39" s="431"/>
      <c r="N39" s="431"/>
      <c r="O39" s="431"/>
    </row>
    <row r="40" spans="1:23" s="10" customFormat="1" ht="12.75" customHeight="1">
      <c r="B40" s="82" t="s">
        <v>59</v>
      </c>
      <c r="C40" s="82"/>
      <c r="D40" s="82"/>
      <c r="E40" s="34">
        <f>+E38*E39</f>
        <v>7899003.9058295554</v>
      </c>
      <c r="J40" s="378"/>
      <c r="L40" s="95" t="str">
        <f>+G33</f>
        <v>Enterprise Value</v>
      </c>
      <c r="O40" s="83">
        <f>E43</f>
        <v>9225777.7657682281</v>
      </c>
    </row>
    <row r="41" spans="1:23" s="10" customFormat="1" ht="12.75" customHeight="1">
      <c r="B41" s="85" t="s">
        <v>60</v>
      </c>
      <c r="C41" s="86"/>
      <c r="D41" s="86"/>
      <c r="E41" s="39">
        <f>+IF(ISERROR(E40/E43),"- %",E40/E43)</f>
        <v>0.85618840019520104</v>
      </c>
      <c r="G41" s="10" t="s">
        <v>61</v>
      </c>
      <c r="J41" s="378">
        <f>84323</f>
        <v>84323</v>
      </c>
      <c r="L41" s="10" t="s">
        <v>62</v>
      </c>
      <c r="O41" s="96">
        <f>IS!M79</f>
        <v>483996</v>
      </c>
    </row>
    <row r="42" spans="1:23" s="10" customFormat="1" ht="12" customHeight="1">
      <c r="B42" s="86"/>
      <c r="C42" s="86"/>
      <c r="D42" s="86"/>
      <c r="E42" s="97"/>
      <c r="J42" s="378"/>
    </row>
    <row r="43" spans="1:23" s="10" customFormat="1" ht="12.75" customHeight="1">
      <c r="B43" s="82" t="s">
        <v>63</v>
      </c>
      <c r="C43" s="82"/>
      <c r="D43" s="82"/>
      <c r="E43" s="94">
        <f>+E40+E33</f>
        <v>9225777.7657682281</v>
      </c>
      <c r="G43" s="24" t="s">
        <v>64</v>
      </c>
      <c r="J43" s="386">
        <f>J39/J41</f>
        <v>82.338955750723144</v>
      </c>
      <c r="L43" s="24" t="s">
        <v>58</v>
      </c>
      <c r="O43" s="98">
        <f>+IF(ISERROR(O40/O41),"- x",O40/O41)</f>
        <v>19.061681843999182</v>
      </c>
    </row>
    <row r="44" spans="1:23" s="10" customFormat="1" ht="12" customHeight="1"/>
    <row r="45" spans="1:23" s="10" customFormat="1" ht="12" customHeight="1"/>
    <row r="46" spans="1:23" s="10" customFormat="1" ht="12.75" customHeight="1">
      <c r="C46" s="428" t="s">
        <v>41</v>
      </c>
      <c r="D46" s="428"/>
      <c r="E46" s="428"/>
      <c r="F46" s="428"/>
      <c r="G46" s="428"/>
      <c r="H46" s="428"/>
      <c r="J46" s="428" t="s">
        <v>43</v>
      </c>
      <c r="K46" s="428"/>
      <c r="L46" s="428"/>
      <c r="M46" s="428"/>
      <c r="N46" s="428"/>
      <c r="O46" s="428"/>
      <c r="R46" s="428" t="s">
        <v>728</v>
      </c>
      <c r="S46" s="428"/>
      <c r="T46" s="428"/>
      <c r="U46" s="428"/>
      <c r="V46" s="428"/>
      <c r="W46" s="428"/>
    </row>
    <row r="47" spans="1:23" s="10" customFormat="1" ht="12.75" customHeight="1">
      <c r="B47" s="86"/>
      <c r="D47" s="426" t="s">
        <v>51</v>
      </c>
      <c r="E47" s="426"/>
      <c r="F47" s="426"/>
      <c r="G47" s="426"/>
      <c r="H47" s="426"/>
      <c r="K47" s="426" t="s">
        <v>51</v>
      </c>
      <c r="L47" s="426"/>
      <c r="M47" s="426"/>
      <c r="N47" s="426"/>
      <c r="O47" s="426"/>
      <c r="R47" s="429" t="s">
        <v>51</v>
      </c>
      <c r="S47" s="429"/>
      <c r="T47" s="429"/>
      <c r="U47" s="429"/>
      <c r="V47" s="429"/>
      <c r="W47" s="429"/>
    </row>
    <row r="48" spans="1:23" ht="12.75" customHeight="1">
      <c r="A48" s="86"/>
      <c r="B48" s="86"/>
      <c r="C48" s="99">
        <f>E40+E33</f>
        <v>9225777.7657682281</v>
      </c>
      <c r="D48" s="100">
        <f>+E48-0.5</f>
        <v>17</v>
      </c>
      <c r="E48" s="100">
        <f>+F48-0.5</f>
        <v>17.5</v>
      </c>
      <c r="F48" s="101">
        <v>18</v>
      </c>
      <c r="G48" s="100">
        <f>+F48+0.5</f>
        <v>18.5</v>
      </c>
      <c r="H48" s="100">
        <f>+G48+0.5</f>
        <v>19</v>
      </c>
      <c r="I48" s="84"/>
      <c r="J48" s="99">
        <f>+O37</f>
        <v>6.8958356712733732E-2</v>
      </c>
      <c r="K48" s="100">
        <f>+L48-0.5</f>
        <v>17</v>
      </c>
      <c r="L48" s="100">
        <f>+M48-0.5</f>
        <v>17.5</v>
      </c>
      <c r="M48" s="101">
        <v>18</v>
      </c>
      <c r="N48" s="100">
        <f>+M48+0.5</f>
        <v>18.5</v>
      </c>
      <c r="O48" s="100">
        <f>+N48+0.5</f>
        <v>19</v>
      </c>
      <c r="P48" s="102"/>
      <c r="Q48" s="10"/>
      <c r="R48" s="99">
        <f>J43</f>
        <v>82.338955750723144</v>
      </c>
      <c r="S48" s="100">
        <f>+T48-1</f>
        <v>16</v>
      </c>
      <c r="T48" s="100">
        <f>+U48-1</f>
        <v>17</v>
      </c>
      <c r="U48" s="101">
        <v>18</v>
      </c>
      <c r="V48" s="100">
        <f>+U48+1</f>
        <v>19</v>
      </c>
      <c r="W48" s="100">
        <f>+V48+1</f>
        <v>20</v>
      </c>
    </row>
    <row r="49" spans="2:23" s="10" customFormat="1" ht="12.75" customHeight="1">
      <c r="B49" s="427" t="s">
        <v>46</v>
      </c>
      <c r="C49" s="388">
        <f>+C50-0.005</f>
        <v>9.2799999999999994E-2</v>
      </c>
      <c r="D49" s="104">
        <f t="dataTable" ref="D49:H53" dt2D="1" dtr="1" r1="E37" r2="E26" ca="1"/>
        <v>9163680.2988535967</v>
      </c>
      <c r="E49" s="89">
        <v>9393304.5292113516</v>
      </c>
      <c r="F49" s="89">
        <v>9622928.7595691085</v>
      </c>
      <c r="G49" s="89">
        <v>9852552.9899268635</v>
      </c>
      <c r="H49" s="89">
        <v>10082177.220284618</v>
      </c>
      <c r="I49" s="427" t="s">
        <v>46</v>
      </c>
      <c r="J49" s="103">
        <f>+J50-0.005</f>
        <v>9.2799999999999994E-2</v>
      </c>
      <c r="K49" s="105">
        <f t="dataTable" ref="K49:O53" dt2D="1" dtr="1" r1="E37" r2="E26" ca="1"/>
        <v>5.7528819505902641E-2</v>
      </c>
      <c r="L49" s="106">
        <v>5.85049416260131E-2</v>
      </c>
      <c r="M49" s="106">
        <v>5.9428490764155212E-2</v>
      </c>
      <c r="N49" s="106">
        <v>6.0303602836165787E-2</v>
      </c>
      <c r="O49" s="106">
        <v>6.1133991013711302E-2</v>
      </c>
      <c r="Q49" s="427" t="s">
        <v>46</v>
      </c>
      <c r="R49" s="103">
        <f>+R50-0.01</f>
        <v>8.2800000000000012E-2</v>
      </c>
      <c r="S49" s="421">
        <f t="dataTable" ref="S49:W53" dt2D="1" dtr="1" r1="E37" r2="E26" ca="1"/>
        <v>80.621756517751805</v>
      </c>
      <c r="T49" s="422">
        <v>86.324237640523165</v>
      </c>
      <c r="U49" s="422">
        <v>92.026718763294525</v>
      </c>
      <c r="V49" s="422">
        <v>97.729199886065871</v>
      </c>
      <c r="W49" s="422">
        <v>103.43168100883723</v>
      </c>
    </row>
    <row r="50" spans="2:23" s="10" customFormat="1" ht="12.75" customHeight="1">
      <c r="B50" s="427"/>
      <c r="C50" s="388">
        <f>+C51-0.005</f>
        <v>9.7799999999999998E-2</v>
      </c>
      <c r="D50" s="104">
        <v>8972490.1385133397</v>
      </c>
      <c r="E50" s="107">
        <v>9196932.5948913209</v>
      </c>
      <c r="F50" s="107">
        <v>9421375.051269304</v>
      </c>
      <c r="G50" s="107">
        <v>9645817.507647289</v>
      </c>
      <c r="H50" s="89">
        <v>9870259.9640252702</v>
      </c>
      <c r="I50" s="427"/>
      <c r="J50" s="103">
        <f>+J51-0.005</f>
        <v>9.7799999999999998E-2</v>
      </c>
      <c r="K50" s="105">
        <v>6.2289092100953715E-2</v>
      </c>
      <c r="L50" s="108">
        <v>6.327177815320506E-2</v>
      </c>
      <c r="M50" s="108">
        <v>6.4201541389546424E-2</v>
      </c>
      <c r="N50" s="108">
        <v>6.5082544964354547E-2</v>
      </c>
      <c r="O50" s="106">
        <v>6.5918526531878782E-2</v>
      </c>
      <c r="Q50" s="427"/>
      <c r="R50" s="103">
        <f>+R51-0.01</f>
        <v>9.2800000000000007E-2</v>
      </c>
      <c r="S50" s="421">
        <v>76.156230662311401</v>
      </c>
      <c r="T50" s="423">
        <v>81.602531917194554</v>
      </c>
      <c r="U50" s="423">
        <v>87.048833172077707</v>
      </c>
      <c r="V50" s="423">
        <v>92.495134426960831</v>
      </c>
      <c r="W50" s="422">
        <v>97.941435681844013</v>
      </c>
    </row>
    <row r="51" spans="2:23" s="10" customFormat="1" ht="12.75" customHeight="1">
      <c r="B51" s="427"/>
      <c r="C51" s="387">
        <v>0.1028</v>
      </c>
      <c r="D51" s="104">
        <v>8786338.4018696286</v>
      </c>
      <c r="E51" s="107">
        <v>9005738.7731578313</v>
      </c>
      <c r="F51" s="110">
        <v>9225139.144446034</v>
      </c>
      <c r="G51" s="107">
        <v>9444539.5157342367</v>
      </c>
      <c r="H51" s="89">
        <v>9663939.8870224394</v>
      </c>
      <c r="I51" s="427"/>
      <c r="J51" s="109">
        <v>0.1028</v>
      </c>
      <c r="K51" s="105">
        <v>6.7048841615262131E-2</v>
      </c>
      <c r="L51" s="108">
        <v>6.8038105293776366E-2</v>
      </c>
      <c r="M51" s="111">
        <v>6.8974095625351783E-2</v>
      </c>
      <c r="N51" s="108">
        <v>6.9861003054683832E-2</v>
      </c>
      <c r="O51" s="106">
        <v>7.0702589765392079E-2</v>
      </c>
      <c r="Q51" s="427"/>
      <c r="R51" s="109">
        <v>0.1028</v>
      </c>
      <c r="S51" s="421">
        <v>71.92376527511145</v>
      </c>
      <c r="T51" s="423">
        <v>77.12757375650331</v>
      </c>
      <c r="U51" s="424">
        <v>82.33138223789517</v>
      </c>
      <c r="V51" s="423">
        <v>87.535190719287016</v>
      </c>
      <c r="W51" s="422">
        <v>92.738999200678876</v>
      </c>
    </row>
    <row r="52" spans="2:23" s="10" customFormat="1" ht="12.75" customHeight="1">
      <c r="B52" s="427"/>
      <c r="C52" s="388">
        <f>+C51+0.005</f>
        <v>0.10780000000000001</v>
      </c>
      <c r="D52" s="104">
        <v>8605069.1314065475</v>
      </c>
      <c r="E52" s="107">
        <v>8819562.7328626923</v>
      </c>
      <c r="F52" s="107">
        <v>9034056.334318839</v>
      </c>
      <c r="G52" s="107">
        <v>9248549.9357749857</v>
      </c>
      <c r="H52" s="89">
        <v>9463043.5372311305</v>
      </c>
      <c r="I52" s="427"/>
      <c r="J52" s="103">
        <f>+J51+0.005</f>
        <v>0.10780000000000001</v>
      </c>
      <c r="K52" s="105">
        <v>7.1808069338089767E-2</v>
      </c>
      <c r="L52" s="108">
        <v>7.2803924300492678E-2</v>
      </c>
      <c r="M52" s="108">
        <v>7.3746154689842455E-2</v>
      </c>
      <c r="N52" s="108">
        <v>7.4638978292772246E-2</v>
      </c>
      <c r="O52" s="106">
        <v>7.5486181868916008E-2</v>
      </c>
      <c r="Q52" s="427"/>
      <c r="R52" s="103">
        <f>+R51+0.01</f>
        <v>0.1128</v>
      </c>
      <c r="S52" s="421">
        <v>67.91013161690563</v>
      </c>
      <c r="T52" s="423">
        <v>72.884288823165676</v>
      </c>
      <c r="U52" s="423">
        <v>77.858446029425664</v>
      </c>
      <c r="V52" s="423">
        <v>82.832603235685681</v>
      </c>
      <c r="W52" s="422">
        <v>87.806760441945698</v>
      </c>
    </row>
    <row r="53" spans="2:23" s="10" customFormat="1" ht="12.75" customHeight="1">
      <c r="B53" s="427"/>
      <c r="C53" s="388">
        <f>+C52+0.005</f>
        <v>0.11280000000000001</v>
      </c>
      <c r="D53" s="104">
        <v>8428531.8864357993</v>
      </c>
      <c r="E53" s="89">
        <v>8638249.8154875301</v>
      </c>
      <c r="F53" s="89">
        <v>8847967.7445392609</v>
      </c>
      <c r="G53" s="89">
        <v>9057685.6735909935</v>
      </c>
      <c r="H53" s="89">
        <v>9267403.6026427243</v>
      </c>
      <c r="I53" s="427"/>
      <c r="J53" s="103">
        <f>+J52+0.005</f>
        <v>0.11280000000000001</v>
      </c>
      <c r="K53" s="105">
        <v>7.6566776549931992E-2</v>
      </c>
      <c r="L53" s="106">
        <v>7.7569236417602674E-2</v>
      </c>
      <c r="M53" s="106">
        <v>7.8517719793008423E-2</v>
      </c>
      <c r="N53" s="106">
        <v>7.9416471856180351E-2</v>
      </c>
      <c r="O53" s="106">
        <v>8.0269303989268764E-2</v>
      </c>
      <c r="Q53" s="427"/>
      <c r="R53" s="103">
        <f>+R52+0.01</f>
        <v>0.12279999999999999</v>
      </c>
      <c r="S53" s="421">
        <v>64.102089527842779</v>
      </c>
      <c r="T53" s="422">
        <v>68.858650541886121</v>
      </c>
      <c r="U53" s="422">
        <v>73.615211555929434</v>
      </c>
      <c r="V53" s="422">
        <v>78.371772569972762</v>
      </c>
      <c r="W53" s="422">
        <v>83.128333584016104</v>
      </c>
    </row>
    <row r="54" spans="2:23" s="10" customFormat="1" ht="12.75" customHeight="1">
      <c r="B54" s="79"/>
      <c r="C54" s="82"/>
      <c r="D54" s="82"/>
      <c r="E54" s="112"/>
      <c r="F54" s="67"/>
      <c r="G54" s="67"/>
      <c r="H54" s="67"/>
      <c r="I54" s="79"/>
      <c r="K54" s="113"/>
      <c r="L54" s="113"/>
      <c r="M54" s="113"/>
      <c r="N54" s="113"/>
      <c r="O54" s="113"/>
    </row>
    <row r="55" spans="2:23" s="10" customFormat="1" ht="12.75" customHeight="1">
      <c r="B55" s="114"/>
      <c r="C55" s="115"/>
      <c r="D55" s="115"/>
      <c r="E55" s="116"/>
      <c r="F55" s="117"/>
      <c r="G55" s="117"/>
      <c r="H55" s="117"/>
      <c r="I55" s="114"/>
      <c r="J55" s="118"/>
      <c r="K55" s="119"/>
      <c r="L55" s="119"/>
      <c r="M55" s="119"/>
      <c r="N55" s="119"/>
      <c r="O55" s="119"/>
    </row>
    <row r="56" spans="2:23" s="10" customFormat="1" ht="12.75" customHeight="1">
      <c r="B56" s="79"/>
      <c r="C56" s="82"/>
      <c r="D56" s="82"/>
      <c r="E56" s="112"/>
      <c r="F56" s="67"/>
      <c r="G56" s="67"/>
      <c r="H56" s="67"/>
      <c r="I56" s="79"/>
      <c r="K56" s="113"/>
      <c r="L56" s="113"/>
      <c r="M56" s="113"/>
      <c r="N56" s="113"/>
      <c r="O56" s="113"/>
    </row>
    <row r="57" spans="2:23" s="10" customFormat="1" ht="12.75" customHeight="1">
      <c r="B57" s="79"/>
      <c r="C57" s="82"/>
      <c r="D57" s="82"/>
      <c r="E57" s="112"/>
      <c r="F57" s="40"/>
      <c r="G57" s="40"/>
      <c r="H57" s="40"/>
      <c r="I57" s="120"/>
      <c r="J57" s="113"/>
      <c r="K57" s="113"/>
      <c r="L57" s="113"/>
      <c r="M57" s="113"/>
      <c r="N57" s="113"/>
    </row>
    <row r="58" spans="2:23" s="10" customFormat="1" ht="12.75" customHeight="1">
      <c r="B58" s="121" t="s">
        <v>65</v>
      </c>
      <c r="C58" s="82"/>
      <c r="D58" s="82"/>
      <c r="E58" s="112"/>
      <c r="I58" s="120"/>
      <c r="K58" s="113"/>
      <c r="L58" s="113"/>
      <c r="M58" s="113"/>
      <c r="N58" s="113"/>
    </row>
    <row r="59" spans="2:23" s="10" customFormat="1" ht="12.75" customHeight="1">
      <c r="B59" s="122" t="s">
        <v>66</v>
      </c>
      <c r="C59" s="123"/>
      <c r="D59" s="123"/>
      <c r="E59" s="124" t="s">
        <v>19</v>
      </c>
      <c r="F59" s="124">
        <f>+IF(ISERROR(F7/E7-1),0,F7/E7-1)</f>
        <v>0.59580118666559923</v>
      </c>
      <c r="G59" s="124">
        <f>+IF(ISERROR(G7/F7-1),0,G7/F7-1)</f>
        <v>0.14363580465684289</v>
      </c>
      <c r="H59" s="124"/>
      <c r="I59" s="124">
        <f>+IF(ISERROR(I7/G7-1),0,I7/G7-1)</f>
        <v>0.10298265887320945</v>
      </c>
      <c r="J59" s="125">
        <f>'AS1'!F7</f>
        <v>0.09</v>
      </c>
      <c r="K59" s="124">
        <f>'AS1'!G7</f>
        <v>0.08</v>
      </c>
      <c r="L59" s="124">
        <f>'AS1'!H7</f>
        <v>7.0000000000000007E-2</v>
      </c>
      <c r="M59" s="124">
        <f>'AS1'!I7</f>
        <v>0.06</v>
      </c>
      <c r="N59" s="126">
        <f>'AS1'!J7</f>
        <v>5.5E-2</v>
      </c>
      <c r="O59" s="127"/>
    </row>
    <row r="60" spans="2:23" s="10" customFormat="1" ht="12.75" customHeight="1">
      <c r="B60" s="128" t="s">
        <v>67</v>
      </c>
      <c r="C60" s="129"/>
      <c r="D60" s="129"/>
      <c r="E60" s="130">
        <f>+IF(ISERROR(E10/E7),0,E10/E7)</f>
        <v>0.53809135246830198</v>
      </c>
      <c r="F60" s="130">
        <f>+IF(ISERROR(F10/F7),0,F10/F7)</f>
        <v>0.5060292152199255</v>
      </c>
      <c r="G60" s="130">
        <f>+IF(ISERROR(G10/G7),0,G10/G7)</f>
        <v>0.52046342569862025</v>
      </c>
      <c r="H60" s="130"/>
      <c r="I60" s="130">
        <f>+IF(ISERROR(I10/I7),0,I10/I7)</f>
        <v>0.52047045920379398</v>
      </c>
      <c r="J60" s="131">
        <f>'AS1'!F14</f>
        <v>0.47799999999999998</v>
      </c>
      <c r="K60" s="130">
        <f>'AS1'!G14</f>
        <v>0.47599999999999998</v>
      </c>
      <c r="L60" s="130">
        <f>'AS1'!H14</f>
        <v>0.47399999999999998</v>
      </c>
      <c r="M60" s="130">
        <f>'AS1'!I14</f>
        <v>0.47199999999999998</v>
      </c>
      <c r="N60" s="132">
        <f>'AS1'!J14</f>
        <v>0.47</v>
      </c>
      <c r="O60" s="127"/>
    </row>
    <row r="61" spans="2:23" s="10" customFormat="1" ht="12.75" customHeight="1">
      <c r="B61" s="128" t="s">
        <v>68</v>
      </c>
      <c r="C61" s="129"/>
      <c r="D61" s="129"/>
      <c r="E61" s="130">
        <f>+IF(ISERROR(E12/E7),0,E12/E7)</f>
        <v>0.16104990775489206</v>
      </c>
      <c r="F61" s="130">
        <f>+IF(ISERROR(F12/F7),0,F12/F7)</f>
        <v>0.12260507359314753</v>
      </c>
      <c r="G61" s="130">
        <f>+IF(ISERROR(G12/G7),0,G12/G7)</f>
        <v>0.11661249703638295</v>
      </c>
      <c r="H61" s="130"/>
      <c r="I61" s="130">
        <f>+IF(ISERROR(I12/I7),0,I12/I7)</f>
        <v>0.10929256787519866</v>
      </c>
      <c r="J61" s="131">
        <f>'AS1'!F21</f>
        <v>0.108</v>
      </c>
      <c r="K61" s="130">
        <f>'AS1'!G21</f>
        <v>0.106</v>
      </c>
      <c r="L61" s="130">
        <f>'AS1'!H21</f>
        <v>0.104</v>
      </c>
      <c r="M61" s="130">
        <f>'AS1'!I21</f>
        <v>0.10199999999999999</v>
      </c>
      <c r="N61" s="132">
        <f>'AS1'!J21</f>
        <v>0.1</v>
      </c>
      <c r="O61" s="127"/>
    </row>
    <row r="62" spans="2:23" s="10" customFormat="1" ht="12.75" customHeight="1">
      <c r="B62" s="128" t="s">
        <v>69</v>
      </c>
      <c r="C62" s="129"/>
      <c r="D62" s="129"/>
      <c r="E62" s="130">
        <f>+IF(ISERROR(E15/E7),0,E15/E7)</f>
        <v>0.10698047606311849</v>
      </c>
      <c r="F62" s="130">
        <f>+IF(ISERROR(F15/F7),0,F15/F7)</f>
        <v>0.13239294086501305</v>
      </c>
      <c r="G62" s="130">
        <f>+IF(ISERROR(G15/G7),0,G15/G7)</f>
        <v>0.13946548482908097</v>
      </c>
      <c r="H62" s="130"/>
      <c r="I62" s="130">
        <f>+IF(ISERROR(I15/I7),0,I15/I7)</f>
        <v>0.13569623595401023</v>
      </c>
      <c r="J62" s="131">
        <f>'AS1'!F28</f>
        <v>0.13500000000000001</v>
      </c>
      <c r="K62" s="130">
        <f>'AS1'!G28</f>
        <v>0.13300000000000001</v>
      </c>
      <c r="L62" s="130">
        <f>'AS1'!H28</f>
        <v>0.13100000000000001</v>
      </c>
      <c r="M62" s="130">
        <f>'AS1'!I28</f>
        <v>0.129</v>
      </c>
      <c r="N62" s="132">
        <f>'AS1'!J28</f>
        <v>0.127</v>
      </c>
      <c r="O62" s="127"/>
    </row>
    <row r="63" spans="2:23" s="10" customFormat="1" ht="12.75" customHeight="1">
      <c r="B63" s="128" t="s">
        <v>70</v>
      </c>
      <c r="C63" s="129"/>
      <c r="D63" s="129"/>
      <c r="E63" s="130">
        <f>+IF(ISERROR(-E22/E7),0,-E22/E7)</f>
        <v>4.3999999999999997E-2</v>
      </c>
      <c r="F63" s="130">
        <f>+IF(ISERROR(-F22/F7),0,-F22/F7)</f>
        <v>3.9999999999999994E-2</v>
      </c>
      <c r="G63" s="130">
        <f>+IF(ISERROR(-G22/G7),0,-G22/G7)</f>
        <v>0.04</v>
      </c>
      <c r="H63" s="130"/>
      <c r="I63" s="130">
        <f>+IF(ISERROR(-I22/I7),0,-I22/I7)</f>
        <v>0.04</v>
      </c>
      <c r="J63" s="131">
        <f>'AS1'!F36</f>
        <v>0.125</v>
      </c>
      <c r="K63" s="130">
        <f>'AS1'!G36</f>
        <v>0.122</v>
      </c>
      <c r="L63" s="130">
        <f>'AS1'!H36</f>
        <v>0.12</v>
      </c>
      <c r="M63" s="130">
        <f>'AS1'!I36</f>
        <v>0.11799999999999999</v>
      </c>
      <c r="N63" s="132">
        <f>'AS1'!J36</f>
        <v>0.115</v>
      </c>
      <c r="O63" s="133"/>
    </row>
    <row r="64" spans="2:23" s="10" customFormat="1" ht="12.75" customHeight="1">
      <c r="B64" s="128" t="s">
        <v>71</v>
      </c>
      <c r="C64" s="129"/>
      <c r="D64" s="129"/>
      <c r="E64" s="377">
        <v>0.313</v>
      </c>
      <c r="F64" s="377">
        <v>0.28199999999999997</v>
      </c>
      <c r="G64" s="377">
        <v>0.27700000000000002</v>
      </c>
      <c r="H64" s="130"/>
      <c r="I64" s="377">
        <v>0.27500000000000002</v>
      </c>
      <c r="J64" s="131">
        <f>I64</f>
        <v>0.27500000000000002</v>
      </c>
      <c r="K64" s="130">
        <f>J64</f>
        <v>0.27500000000000002</v>
      </c>
      <c r="L64" s="130">
        <f>K64</f>
        <v>0.27500000000000002</v>
      </c>
      <c r="M64" s="130">
        <f>L64</f>
        <v>0.27500000000000002</v>
      </c>
      <c r="N64" s="132">
        <f>M64</f>
        <v>0.27500000000000002</v>
      </c>
      <c r="O64" s="133"/>
      <c r="P64" s="35" t="s">
        <v>72</v>
      </c>
    </row>
    <row r="65" spans="1:21" s="10" customFormat="1" ht="12.75" customHeight="1">
      <c r="B65" s="135" t="s">
        <v>73</v>
      </c>
      <c r="C65" s="136"/>
      <c r="D65" s="136"/>
      <c r="E65" s="137"/>
      <c r="F65" s="138"/>
      <c r="G65" s="138"/>
      <c r="H65" s="138"/>
      <c r="I65" s="139"/>
      <c r="J65" s="140">
        <f>NWC!G23</f>
        <v>-3.1819452054794521E-2</v>
      </c>
      <c r="K65" s="141">
        <f>NWC!H23</f>
        <v>-3.172520547945204E-2</v>
      </c>
      <c r="L65" s="141">
        <f>NWC!I23</f>
        <v>-3.16309589041096E-2</v>
      </c>
      <c r="M65" s="141">
        <f>NWC!J23</f>
        <v>-3.1536712328767133E-2</v>
      </c>
      <c r="N65" s="142">
        <f>NWC!K23</f>
        <v>-3.1442465753424673E-2</v>
      </c>
      <c r="O65" s="113"/>
    </row>
    <row r="66" spans="1:21" s="10" customFormat="1" ht="12.75" customHeight="1">
      <c r="B66" s="79"/>
      <c r="C66" s="82"/>
      <c r="D66" s="82"/>
      <c r="E66" s="112"/>
      <c r="F66" s="67"/>
      <c r="G66" s="67"/>
      <c r="H66" s="67"/>
      <c r="I66" s="79"/>
      <c r="K66" s="113"/>
      <c r="L66" s="113"/>
      <c r="M66" s="113"/>
      <c r="N66" s="113"/>
      <c r="O66" s="113"/>
    </row>
    <row r="67" spans="1:21" s="10" customFormat="1" ht="12.75" customHeight="1">
      <c r="B67" s="114"/>
      <c r="C67" s="115"/>
      <c r="D67" s="115"/>
      <c r="E67" s="116"/>
      <c r="F67" s="117"/>
      <c r="G67" s="117"/>
      <c r="H67" s="117"/>
      <c r="I67" s="114"/>
      <c r="J67" s="118"/>
      <c r="K67" s="119"/>
      <c r="L67" s="119"/>
      <c r="M67" s="119"/>
      <c r="N67" s="119"/>
      <c r="O67" s="119"/>
    </row>
    <row r="68" spans="1:21" s="10" customFormat="1" ht="12.75" customHeight="1">
      <c r="B68" s="79"/>
      <c r="C68" s="82"/>
      <c r="D68" s="82"/>
      <c r="E68" s="112"/>
      <c r="F68" s="67"/>
      <c r="G68" s="67"/>
      <c r="H68" s="67"/>
      <c r="I68" s="79"/>
      <c r="K68" s="113"/>
      <c r="L68" s="113"/>
      <c r="M68" s="113"/>
      <c r="N68" s="113"/>
      <c r="O68" s="113"/>
    </row>
    <row r="69" spans="1:21" s="10" customFormat="1" ht="12.75" customHeight="1">
      <c r="B69" s="79"/>
      <c r="C69" s="82"/>
      <c r="D69" s="82"/>
      <c r="E69" s="112"/>
      <c r="F69" s="40"/>
      <c r="G69" s="40"/>
      <c r="H69" s="40"/>
      <c r="I69" s="120"/>
      <c r="J69" s="113"/>
      <c r="K69" s="113"/>
      <c r="L69" s="113"/>
      <c r="M69" s="113"/>
      <c r="N69" s="113"/>
    </row>
    <row r="70" spans="1:21" ht="22.5" customHeight="1">
      <c r="A70" s="10"/>
      <c r="B70" s="143" t="str">
        <f>+B1</f>
        <v>Planet Fitness, Inc.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1"/>
    </row>
    <row r="71" spans="1:21" ht="19.5" customHeight="1">
      <c r="B71" s="15" t="s">
        <v>74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1"/>
    </row>
    <row r="72" spans="1:21" ht="13.5" customHeight="1">
      <c r="B72" s="16" t="s">
        <v>75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8"/>
      <c r="N72" s="17"/>
      <c r="O72" s="19"/>
      <c r="P72" s="11"/>
    </row>
    <row r="75" spans="1:21" ht="12.75" customHeight="1">
      <c r="B75" s="10"/>
      <c r="C75" s="428" t="s">
        <v>41</v>
      </c>
      <c r="D75" s="428"/>
      <c r="E75" s="428"/>
      <c r="F75" s="428"/>
      <c r="G75" s="428"/>
      <c r="H75" s="428"/>
      <c r="I75" s="1"/>
      <c r="J75" s="428" t="s">
        <v>76</v>
      </c>
      <c r="K75" s="428"/>
      <c r="L75" s="428"/>
      <c r="M75" s="428"/>
      <c r="N75" s="428"/>
      <c r="O75" s="428"/>
    </row>
    <row r="76" spans="1:21" ht="12.75" customHeight="1">
      <c r="B76" s="86"/>
      <c r="C76" s="10"/>
      <c r="D76" s="426" t="s">
        <v>51</v>
      </c>
      <c r="E76" s="426"/>
      <c r="F76" s="426"/>
      <c r="G76" s="426"/>
      <c r="H76" s="426"/>
      <c r="I76" s="86"/>
      <c r="J76" s="10"/>
      <c r="K76" s="426" t="s">
        <v>51</v>
      </c>
      <c r="L76" s="426"/>
      <c r="M76" s="426"/>
      <c r="N76" s="426"/>
      <c r="O76" s="426"/>
    </row>
    <row r="77" spans="1:21" ht="12.75" customHeight="1">
      <c r="B77" s="86"/>
      <c r="C77" s="99">
        <f>E40+E33</f>
        <v>9225777.7657682281</v>
      </c>
      <c r="D77" s="144">
        <f>+E77-0.5</f>
        <v>17</v>
      </c>
      <c r="E77" s="144">
        <f>+F77-0.5</f>
        <v>17.5</v>
      </c>
      <c r="F77" s="145">
        <v>18</v>
      </c>
      <c r="G77" s="144">
        <f>+F77+0.5</f>
        <v>18.5</v>
      </c>
      <c r="H77" s="144">
        <f>+G77+0.5</f>
        <v>19</v>
      </c>
      <c r="I77" s="86"/>
      <c r="J77" s="99">
        <f>J39</f>
        <v>6943067.7657682281</v>
      </c>
      <c r="K77" s="416">
        <f>+L77-0.5</f>
        <v>17</v>
      </c>
      <c r="L77" s="416">
        <f>+M77-0.5</f>
        <v>17.5</v>
      </c>
      <c r="M77" s="417">
        <v>18</v>
      </c>
      <c r="N77" s="416">
        <f>+M77+0.5</f>
        <v>18.5</v>
      </c>
      <c r="O77" s="416">
        <f>+N77+0.5</f>
        <v>19</v>
      </c>
    </row>
    <row r="78" spans="1:21" ht="12.75" customHeight="1">
      <c r="B78" s="427" t="s">
        <v>46</v>
      </c>
      <c r="C78" s="388">
        <f>+C79-0.005</f>
        <v>9.2799999999999994E-2</v>
      </c>
      <c r="D78" s="146">
        <f t="dataTable" ref="D78:H82" dt2D="1" dtr="1" r1="E37" r2="E26" ca="1"/>
        <v>9163680.2988535967</v>
      </c>
      <c r="E78" s="147">
        <v>9393304.5292113516</v>
      </c>
      <c r="F78" s="147">
        <v>9622928.7595691085</v>
      </c>
      <c r="G78" s="147">
        <v>9852552.9899268635</v>
      </c>
      <c r="H78" s="147">
        <v>10082177.220284618</v>
      </c>
      <c r="I78" s="427" t="s">
        <v>46</v>
      </c>
      <c r="J78" s="418">
        <f>+J79-0.005</f>
        <v>9.2799999999999994E-2</v>
      </c>
      <c r="K78" s="407">
        <f t="dataTable" ref="K78:O82" dt2D="1" dtr="1" r1="E37" r2="E26" ca="1"/>
        <v>6880970.2988535967</v>
      </c>
      <c r="L78" s="407">
        <v>7110594.5292113516</v>
      </c>
      <c r="M78" s="407">
        <v>7340218.7595691085</v>
      </c>
      <c r="N78" s="407">
        <v>7569842.9899268635</v>
      </c>
      <c r="O78" s="407">
        <v>7799467.2202846184</v>
      </c>
      <c r="P78" s="9"/>
      <c r="Q78" s="9"/>
      <c r="R78" s="9"/>
      <c r="S78" s="9"/>
      <c r="T78" s="9"/>
      <c r="U78" s="9"/>
    </row>
    <row r="79" spans="1:21" ht="12.75" customHeight="1">
      <c r="B79" s="427"/>
      <c r="C79" s="388">
        <f>+C80-0.005</f>
        <v>9.7799999999999998E-2</v>
      </c>
      <c r="D79" s="104">
        <v>8972490.1385133397</v>
      </c>
      <c r="E79" s="107">
        <v>9196932.5948913209</v>
      </c>
      <c r="F79" s="107">
        <v>9421375.051269304</v>
      </c>
      <c r="G79" s="107">
        <v>9645817.507647289</v>
      </c>
      <c r="H79" s="89">
        <v>9870259.9640252702</v>
      </c>
      <c r="I79" s="427"/>
      <c r="J79" s="418">
        <f>+J80-0.005</f>
        <v>9.7799999999999998E-2</v>
      </c>
      <c r="K79" s="407">
        <v>6689780.1385133397</v>
      </c>
      <c r="L79" s="408">
        <v>6914222.5948913209</v>
      </c>
      <c r="M79" s="409">
        <v>7138665.051269304</v>
      </c>
      <c r="N79" s="410">
        <v>7363107.507647289</v>
      </c>
      <c r="O79" s="407">
        <v>7587549.9640252702</v>
      </c>
      <c r="P79" s="9"/>
      <c r="Q79" s="9"/>
      <c r="R79" s="9"/>
      <c r="S79" s="9"/>
      <c r="T79" s="9"/>
      <c r="U79" s="9"/>
    </row>
    <row r="80" spans="1:21" ht="12.75" customHeight="1">
      <c r="B80" s="427"/>
      <c r="C80" s="387">
        <v>0.1028</v>
      </c>
      <c r="D80" s="104">
        <v>8786338.4018696286</v>
      </c>
      <c r="E80" s="107">
        <v>9005738.7731578313</v>
      </c>
      <c r="F80" s="110">
        <v>9225139.144446034</v>
      </c>
      <c r="G80" s="107">
        <v>9444539.5157342367</v>
      </c>
      <c r="H80" s="89">
        <v>9663939.8870224394</v>
      </c>
      <c r="I80" s="427"/>
      <c r="J80" s="419">
        <v>0.1028</v>
      </c>
      <c r="K80" s="407">
        <v>6503628.4018696286</v>
      </c>
      <c r="L80" s="411">
        <v>6723028.7731578313</v>
      </c>
      <c r="M80" s="420">
        <v>6942429.144446034</v>
      </c>
      <c r="N80" s="412">
        <v>7161829.5157342367</v>
      </c>
      <c r="O80" s="407">
        <v>7381229.8870224394</v>
      </c>
      <c r="P80" s="9"/>
      <c r="Q80" s="9"/>
      <c r="R80" s="9"/>
      <c r="S80" s="9"/>
      <c r="T80" s="9"/>
      <c r="U80" s="9"/>
    </row>
    <row r="81" spans="2:24" ht="12.75" customHeight="1">
      <c r="B81" s="427"/>
      <c r="C81" s="388">
        <f>+C80+0.005</f>
        <v>0.10780000000000001</v>
      </c>
      <c r="D81" s="104">
        <v>8605069.1314065475</v>
      </c>
      <c r="E81" s="107">
        <v>8819562.7328626923</v>
      </c>
      <c r="F81" s="107">
        <v>9034056.334318839</v>
      </c>
      <c r="G81" s="107">
        <v>9248549.9357749857</v>
      </c>
      <c r="H81" s="89">
        <v>9463043.5372311305</v>
      </c>
      <c r="I81" s="427"/>
      <c r="J81" s="418">
        <f>+J80+0.005</f>
        <v>0.10780000000000001</v>
      </c>
      <c r="K81" s="407">
        <v>6322359.1314065475</v>
      </c>
      <c r="L81" s="413">
        <v>6536852.7328626923</v>
      </c>
      <c r="M81" s="414">
        <v>6751346.334318839</v>
      </c>
      <c r="N81" s="415">
        <v>6965839.9357749857</v>
      </c>
      <c r="O81" s="407">
        <v>7180333.5372311305</v>
      </c>
      <c r="P81" s="9"/>
      <c r="Q81" s="9"/>
      <c r="R81" s="9"/>
      <c r="S81" s="9"/>
      <c r="T81" s="9"/>
      <c r="U81" s="9"/>
    </row>
    <row r="82" spans="2:24" ht="12.75" customHeight="1">
      <c r="B82" s="427"/>
      <c r="C82" s="388">
        <f>+C81+0.005</f>
        <v>0.11280000000000001</v>
      </c>
      <c r="D82" s="104">
        <v>8428531.8864357993</v>
      </c>
      <c r="E82" s="89">
        <v>8638249.8154875301</v>
      </c>
      <c r="F82" s="89">
        <v>8847967.7445392609</v>
      </c>
      <c r="G82" s="89">
        <v>9057685.6735909935</v>
      </c>
      <c r="H82" s="89">
        <v>9267403.6026427243</v>
      </c>
      <c r="I82" s="427"/>
      <c r="J82" s="418">
        <f>+J81+0.005</f>
        <v>0.11280000000000001</v>
      </c>
      <c r="K82" s="407">
        <v>6145821.8864357993</v>
      </c>
      <c r="L82" s="407">
        <v>6355539.8154875301</v>
      </c>
      <c r="M82" s="407">
        <v>6565257.7445392609</v>
      </c>
      <c r="N82" s="407">
        <v>6774975.6735909935</v>
      </c>
      <c r="O82" s="407">
        <v>6984693.6026427243</v>
      </c>
      <c r="P82" s="9"/>
      <c r="Q82" s="9"/>
      <c r="R82" s="9"/>
      <c r="S82" s="9"/>
      <c r="T82" s="9"/>
      <c r="U82" s="9"/>
    </row>
    <row r="85" spans="2:24" ht="12.75" customHeight="1">
      <c r="B85" s="86"/>
      <c r="C85" s="428" t="s">
        <v>43</v>
      </c>
      <c r="D85" s="428"/>
      <c r="E85" s="428"/>
      <c r="F85" s="428"/>
      <c r="G85" s="428"/>
      <c r="H85" s="428"/>
      <c r="I85" s="86"/>
      <c r="J85" s="428" t="s">
        <v>77</v>
      </c>
      <c r="K85" s="428"/>
      <c r="L85" s="428"/>
      <c r="M85" s="428"/>
      <c r="N85" s="428"/>
      <c r="O85" s="428"/>
    </row>
    <row r="86" spans="2:24" ht="12.75" customHeight="1">
      <c r="B86" s="86"/>
      <c r="C86" s="10"/>
      <c r="D86" s="426" t="s">
        <v>51</v>
      </c>
      <c r="E86" s="426"/>
      <c r="F86" s="426"/>
      <c r="G86" s="426"/>
      <c r="H86" s="426"/>
      <c r="I86" s="86"/>
      <c r="J86" s="10"/>
      <c r="K86" s="426" t="s">
        <v>51</v>
      </c>
      <c r="L86" s="426"/>
      <c r="M86" s="426"/>
      <c r="N86" s="426"/>
      <c r="O86" s="426"/>
    </row>
    <row r="87" spans="2:24" ht="12.75" customHeight="1">
      <c r="B87" s="86"/>
      <c r="C87" s="99">
        <f>O37</f>
        <v>6.8958356712733732E-2</v>
      </c>
      <c r="D87" s="144">
        <f>+E87-0.5</f>
        <v>17</v>
      </c>
      <c r="E87" s="144">
        <f>+F87-0.5</f>
        <v>17.5</v>
      </c>
      <c r="F87" s="145">
        <v>18</v>
      </c>
      <c r="G87" s="144">
        <f>+F87+0.5</f>
        <v>18.5</v>
      </c>
      <c r="H87" s="144">
        <f>+G87+0.5</f>
        <v>19</v>
      </c>
      <c r="I87" s="86"/>
      <c r="J87" s="99">
        <f>O43</f>
        <v>19.061681843999182</v>
      </c>
      <c r="K87" s="144">
        <f>+L87-0.5</f>
        <v>6.5</v>
      </c>
      <c r="L87" s="144">
        <v>7</v>
      </c>
      <c r="M87" s="145">
        <v>18</v>
      </c>
      <c r="N87" s="144">
        <f>+M87+0.5</f>
        <v>18.5</v>
      </c>
      <c r="O87" s="144">
        <f>+N87+0.5</f>
        <v>19</v>
      </c>
    </row>
    <row r="88" spans="2:24" ht="12.75" customHeight="1">
      <c r="B88" s="427" t="s">
        <v>46</v>
      </c>
      <c r="C88" s="388">
        <f>+C89-0.005</f>
        <v>9.2799999999999994E-2</v>
      </c>
      <c r="D88" s="148">
        <f t="dataTable" ref="D88:H92" dt2D="1" dtr="1" r1="E37" r2="E26" ca="1"/>
        <v>5.7528819505902641E-2</v>
      </c>
      <c r="E88" s="149">
        <v>5.85049416260131E-2</v>
      </c>
      <c r="F88" s="149">
        <v>5.9428490764155212E-2</v>
      </c>
      <c r="G88" s="149">
        <v>6.0303602836165787E-2</v>
      </c>
      <c r="H88" s="149">
        <v>6.1133991013711302E-2</v>
      </c>
      <c r="I88" s="427" t="s">
        <v>46</v>
      </c>
      <c r="J88" s="103">
        <f>+J89-0.005</f>
        <v>9.2799999999999994E-2</v>
      </c>
      <c r="K88" s="150">
        <f t="dataTable" ref="K88:O92" dt2D="1" dtr="1" r1="E37" r2="E26" ca="1"/>
        <v>8.9702631041180556</v>
      </c>
      <c r="L88" s="151">
        <v>9.4446972530733273</v>
      </c>
      <c r="M88" s="151">
        <v>19.882248530089317</v>
      </c>
      <c r="N88" s="151">
        <v>20.356682679044585</v>
      </c>
      <c r="O88" s="151">
        <v>20.831116827999857</v>
      </c>
    </row>
    <row r="89" spans="2:24" ht="12.75" customHeight="1">
      <c r="B89" s="427"/>
      <c r="C89" s="388">
        <f>+C90-0.005</f>
        <v>9.7799999999999998E-2</v>
      </c>
      <c r="D89" s="105">
        <v>6.2289092100953715E-2</v>
      </c>
      <c r="E89" s="108">
        <v>6.327177815320506E-2</v>
      </c>
      <c r="F89" s="108">
        <v>6.4201541389546424E-2</v>
      </c>
      <c r="G89" s="108">
        <v>6.5082544964354547E-2</v>
      </c>
      <c r="H89" s="106">
        <v>6.5918526531878782E-2</v>
      </c>
      <c r="I89" s="427"/>
      <c r="J89" s="103">
        <f>+J90-0.005</f>
        <v>9.7799999999999998E-2</v>
      </c>
      <c r="K89" s="152">
        <v>8.8000697414352391</v>
      </c>
      <c r="L89" s="153">
        <v>9.2637976573229395</v>
      </c>
      <c r="M89" s="153">
        <v>19.465811806852336</v>
      </c>
      <c r="N89" s="153">
        <v>19.929539722740042</v>
      </c>
      <c r="O89" s="154">
        <v>20.393267638627737</v>
      </c>
    </row>
    <row r="90" spans="2:24" ht="12.75" customHeight="1">
      <c r="B90" s="427"/>
      <c r="C90" s="387">
        <v>0.1028</v>
      </c>
      <c r="D90" s="105">
        <v>6.7048841615262131E-2</v>
      </c>
      <c r="E90" s="108">
        <v>6.8038105293776366E-2</v>
      </c>
      <c r="F90" s="111">
        <v>6.8974095625351783E-2</v>
      </c>
      <c r="G90" s="108">
        <v>6.9861003054683832E-2</v>
      </c>
      <c r="H90" s="106">
        <v>7.0702589765392079E-2</v>
      </c>
      <c r="I90" s="427"/>
      <c r="J90" s="109">
        <v>0.1028</v>
      </c>
      <c r="K90" s="152">
        <v>8.6342254994201895</v>
      </c>
      <c r="L90" s="153">
        <v>9.0875357980346454</v>
      </c>
      <c r="M90" s="155">
        <v>19.060362367552695</v>
      </c>
      <c r="N90" s="153">
        <v>19.513672666167153</v>
      </c>
      <c r="O90" s="154">
        <v>19.966982964781607</v>
      </c>
    </row>
    <row r="91" spans="2:24" ht="12.75" customHeight="1">
      <c r="B91" s="427"/>
      <c r="C91" s="388">
        <f>+C90+0.005</f>
        <v>0.10780000000000001</v>
      </c>
      <c r="D91" s="105">
        <v>7.1808069338089767E-2</v>
      </c>
      <c r="E91" s="108">
        <v>7.2803924300492678E-2</v>
      </c>
      <c r="F91" s="108">
        <v>7.3746154689842455E-2</v>
      </c>
      <c r="G91" s="108">
        <v>7.4638978292772246E-2</v>
      </c>
      <c r="H91" s="106">
        <v>7.5486181868916008E-2</v>
      </c>
      <c r="I91" s="427"/>
      <c r="J91" s="103">
        <f>+J90+0.005</f>
        <v>0.10780000000000001</v>
      </c>
      <c r="K91" s="152">
        <v>8.4725979157420319</v>
      </c>
      <c r="L91" s="153">
        <v>8.9157701763725861</v>
      </c>
      <c r="M91" s="153">
        <v>18.665559910244795</v>
      </c>
      <c r="N91" s="153">
        <v>19.108732170875349</v>
      </c>
      <c r="O91" s="154">
        <v>19.551904431505903</v>
      </c>
    </row>
    <row r="92" spans="2:24" ht="12.75" customHeight="1">
      <c r="B92" s="427"/>
      <c r="C92" s="388">
        <f>+C91+0.005</f>
        <v>0.11280000000000001</v>
      </c>
      <c r="D92" s="105">
        <v>7.6566776549931992E-2</v>
      </c>
      <c r="E92" s="106">
        <v>7.7569236417602674E-2</v>
      </c>
      <c r="F92" s="106">
        <v>7.8517719793008423E-2</v>
      </c>
      <c r="G92" s="106">
        <v>7.9416471856180351E-2</v>
      </c>
      <c r="H92" s="106">
        <v>8.0269303989268764E-2</v>
      </c>
      <c r="I92" s="427"/>
      <c r="J92" s="103">
        <f>+J91+0.005</f>
        <v>0.11280000000000001</v>
      </c>
      <c r="K92" s="152">
        <v>8.3150591665002018</v>
      </c>
      <c r="L92" s="154">
        <v>8.7483642538392115</v>
      </c>
      <c r="M92" s="154">
        <v>18.281076175297443</v>
      </c>
      <c r="N92" s="154">
        <v>18.714381262636454</v>
      </c>
      <c r="O92" s="154">
        <v>19.147686349975462</v>
      </c>
    </row>
    <row r="93" spans="2:24" ht="12.75" customHeight="1">
      <c r="B93" s="1"/>
      <c r="C93" s="156"/>
      <c r="D93" s="89"/>
      <c r="E93" s="89"/>
      <c r="F93" s="89"/>
      <c r="G93" s="89"/>
      <c r="H93" s="89"/>
    </row>
    <row r="94" spans="2:24" ht="12" customHeight="1">
      <c r="O94" s="10"/>
      <c r="U94" s="9"/>
    </row>
    <row r="95" spans="2:24" ht="12.75" customHeight="1">
      <c r="B95" s="10"/>
      <c r="C95" s="157"/>
      <c r="D95" s="158"/>
      <c r="E95" s="86"/>
      <c r="F95" s="428" t="s">
        <v>78</v>
      </c>
      <c r="G95" s="428"/>
      <c r="H95" s="428"/>
      <c r="I95" s="428"/>
      <c r="J95" s="428"/>
      <c r="K95" s="428"/>
      <c r="P95" s="9"/>
      <c r="V95" s="11"/>
      <c r="W95" s="11"/>
      <c r="X95" s="11"/>
    </row>
    <row r="96" spans="2:24" ht="12.75" customHeight="1">
      <c r="B96" s="10"/>
      <c r="C96" s="10"/>
      <c r="D96" s="81"/>
      <c r="E96" s="86"/>
      <c r="F96" s="10"/>
      <c r="G96" s="426" t="s">
        <v>51</v>
      </c>
      <c r="H96" s="426"/>
      <c r="I96" s="426"/>
      <c r="J96" s="426"/>
      <c r="K96" s="426"/>
      <c r="P96" s="9"/>
      <c r="V96" s="11"/>
      <c r="W96" s="11"/>
      <c r="X96" s="11"/>
    </row>
    <row r="97" spans="1:234" ht="12.75" customHeight="1">
      <c r="B97" s="84"/>
      <c r="C97" s="159"/>
      <c r="D97" s="84"/>
      <c r="E97" s="86"/>
      <c r="F97" s="99">
        <f>E41</f>
        <v>0.85618840019520104</v>
      </c>
      <c r="G97" s="144">
        <f>+H97-0.5</f>
        <v>17</v>
      </c>
      <c r="H97" s="144">
        <f>+I97-0.5</f>
        <v>17.5</v>
      </c>
      <c r="I97" s="145">
        <v>18</v>
      </c>
      <c r="J97" s="144">
        <f>+I97+0.5</f>
        <v>18.5</v>
      </c>
      <c r="K97" s="144">
        <f>+J97+0.5</f>
        <v>19</v>
      </c>
      <c r="P97" s="9"/>
      <c r="V97" s="11"/>
      <c r="W97" s="11"/>
      <c r="X97" s="11"/>
    </row>
    <row r="98" spans="1:234" ht="12.75" customHeight="1">
      <c r="B98" s="427"/>
      <c r="C98" s="156"/>
      <c r="D98" s="106"/>
      <c r="E98" s="427" t="s">
        <v>46</v>
      </c>
      <c r="F98" s="103">
        <f>+F99-0.005</f>
        <v>9.2799999999999994E-2</v>
      </c>
      <c r="G98" s="148">
        <f t="dataTable" ref="G98:K102" dt2D="1" dtr="1" r1="E37" r2="E26" ca="1"/>
        <v>0.85197470640048489</v>
      </c>
      <c r="H98" s="149">
        <v>0.85559326193763019</v>
      </c>
      <c r="I98" s="149">
        <v>0.85903912409815708</v>
      </c>
      <c r="J98" s="149">
        <v>0.86232436729071937</v>
      </c>
      <c r="K98" s="149">
        <v>0.86545996593267549</v>
      </c>
      <c r="P98" s="9"/>
      <c r="V98" s="11"/>
      <c r="W98" s="11"/>
      <c r="X98" s="11"/>
    </row>
    <row r="99" spans="1:234" ht="12.75" customHeight="1">
      <c r="B99" s="427"/>
      <c r="C99" s="156"/>
      <c r="D99" s="106"/>
      <c r="E99" s="427"/>
      <c r="F99" s="103">
        <f>+F100-0.005</f>
        <v>9.7799999999999998E-2</v>
      </c>
      <c r="G99" s="105">
        <v>0.85049338578775258</v>
      </c>
      <c r="H99" s="108">
        <v>0.85414195354578881</v>
      </c>
      <c r="I99" s="108">
        <v>0.85761668393817103</v>
      </c>
      <c r="J99" s="108">
        <v>0.86092971170163679</v>
      </c>
      <c r="K99" s="106">
        <v>0.8640920678329489</v>
      </c>
      <c r="P99" s="9"/>
      <c r="V99" s="11"/>
      <c r="W99" s="11"/>
      <c r="X99" s="11"/>
    </row>
    <row r="100" spans="1:234" ht="12.75" customHeight="1">
      <c r="B100" s="427"/>
      <c r="C100" s="160"/>
      <c r="D100" s="106"/>
      <c r="E100" s="427"/>
      <c r="F100" s="109">
        <v>0.1028</v>
      </c>
      <c r="G100" s="105">
        <v>0.84900128843336742</v>
      </c>
      <c r="H100" s="108">
        <v>0.85267996202320129</v>
      </c>
      <c r="I100" s="111">
        <v>0.85618365671270225</v>
      </c>
      <c r="J100" s="108">
        <v>0.85952456698810298</v>
      </c>
      <c r="K100" s="106">
        <v>0.86271377993023524</v>
      </c>
      <c r="P100" s="9"/>
      <c r="V100" s="11"/>
      <c r="W100" s="11"/>
      <c r="X100" s="11"/>
    </row>
    <row r="101" spans="1:234" ht="12.75" customHeight="1">
      <c r="B101" s="427"/>
      <c r="C101" s="156"/>
      <c r="D101" s="106"/>
      <c r="E101" s="427"/>
      <c r="F101" s="103">
        <f>+F100+0.005</f>
        <v>0.10780000000000001</v>
      </c>
      <c r="G101" s="105">
        <v>0.84749841496240486</v>
      </c>
      <c r="H101" s="108">
        <v>0.85120728525374034</v>
      </c>
      <c r="I101" s="108">
        <v>0.8547400377710257</v>
      </c>
      <c r="J101" s="108">
        <v>0.85810892615485257</v>
      </c>
      <c r="K101" s="106">
        <v>0.86132509305969507</v>
      </c>
      <c r="P101" s="9"/>
      <c r="V101" s="11"/>
      <c r="W101" s="11"/>
      <c r="X101" s="11"/>
    </row>
    <row r="102" spans="1:234" ht="12.75" customHeight="1">
      <c r="B102" s="427"/>
      <c r="C102" s="156"/>
      <c r="D102" s="106"/>
      <c r="E102" s="427"/>
      <c r="F102" s="103">
        <f>+F101+0.005</f>
        <v>0.11280000000000001</v>
      </c>
      <c r="G102" s="105">
        <v>0.84598476743428908</v>
      </c>
      <c r="H102" s="106">
        <v>0.84972392250690476</v>
      </c>
      <c r="I102" s="106">
        <v>0.85328582380082851</v>
      </c>
      <c r="J102" s="106">
        <v>0.85668278349934524</v>
      </c>
      <c r="K102" s="106">
        <v>0.85992599930505431</v>
      </c>
      <c r="P102" s="9"/>
      <c r="V102" s="11"/>
      <c r="W102" s="11"/>
      <c r="X102" s="11"/>
    </row>
    <row r="103" spans="1:234" s="10" customFormat="1" ht="12.75" customHeight="1">
      <c r="B103" s="79"/>
      <c r="C103" s="82"/>
      <c r="D103" s="82"/>
      <c r="E103" s="112"/>
      <c r="F103" s="67"/>
      <c r="G103" s="67"/>
      <c r="H103" s="67"/>
      <c r="I103" s="79"/>
      <c r="K103" s="113"/>
      <c r="L103" s="113"/>
      <c r="M103" s="113"/>
      <c r="N103" s="113"/>
      <c r="O103" s="113"/>
    </row>
    <row r="104" spans="1:234" s="10" customFormat="1" ht="12.75" customHeight="1">
      <c r="B104" s="114"/>
      <c r="C104" s="115"/>
      <c r="D104" s="115"/>
      <c r="E104" s="116"/>
      <c r="F104" s="117"/>
      <c r="G104" s="117"/>
      <c r="H104" s="117"/>
      <c r="I104" s="114"/>
      <c r="J104" s="118"/>
      <c r="K104" s="119"/>
      <c r="L104" s="119"/>
      <c r="M104" s="119"/>
      <c r="N104" s="119"/>
      <c r="O104" s="119"/>
    </row>
    <row r="105" spans="1:234" s="10" customFormat="1" ht="12.75" customHeight="1">
      <c r="B105" s="79"/>
      <c r="C105" s="82"/>
      <c r="D105" s="82"/>
      <c r="E105" s="112"/>
      <c r="F105" s="67"/>
      <c r="G105" s="67"/>
      <c r="H105" s="67"/>
      <c r="I105" s="79"/>
      <c r="K105" s="113"/>
      <c r="L105" s="113"/>
      <c r="M105" s="113"/>
      <c r="N105" s="113"/>
      <c r="O105" s="113"/>
    </row>
    <row r="106" spans="1:234" s="10" customFormat="1" ht="12.75" customHeight="1">
      <c r="A106" s="22"/>
      <c r="B106" s="79"/>
      <c r="C106" s="82"/>
      <c r="D106" s="82"/>
      <c r="E106" s="112"/>
      <c r="F106" s="67"/>
      <c r="G106" s="67"/>
      <c r="H106" s="67"/>
      <c r="I106" s="79"/>
      <c r="K106" s="113"/>
      <c r="L106" s="113"/>
      <c r="M106" s="113"/>
      <c r="N106" s="113"/>
      <c r="O106" s="113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</row>
    <row r="107" spans="1:234" s="11" customFormat="1" ht="12.75" customHeight="1">
      <c r="B107" s="161" t="s">
        <v>79</v>
      </c>
      <c r="C107" s="161"/>
      <c r="D107" s="161"/>
      <c r="E107" s="161"/>
      <c r="F107" s="161"/>
    </row>
    <row r="108" spans="1:234" s="11" customFormat="1" ht="12.75" customHeight="1">
      <c r="B108" s="162" t="s">
        <v>41</v>
      </c>
      <c r="C108" s="162"/>
      <c r="D108" s="162"/>
      <c r="E108" s="163"/>
      <c r="F108" s="164">
        <f>+J33</f>
        <v>9225777.7657682281</v>
      </c>
    </row>
    <row r="109" spans="1:234" s="11" customFormat="1" ht="12" customHeight="1">
      <c r="B109" s="163" t="s">
        <v>45</v>
      </c>
      <c r="C109" s="163"/>
      <c r="D109" s="163"/>
      <c r="E109" s="163"/>
      <c r="F109" s="165">
        <f>J34</f>
        <v>-2575853</v>
      </c>
    </row>
    <row r="110" spans="1:234" s="11" customFormat="1" ht="12" customHeight="1">
      <c r="B110" s="163" t="s">
        <v>80</v>
      </c>
      <c r="C110" s="163"/>
      <c r="D110" s="163"/>
      <c r="E110" s="163"/>
      <c r="F110" s="165">
        <f>+J35</f>
        <v>0</v>
      </c>
    </row>
    <row r="111" spans="1:234" s="11" customFormat="1" ht="12" customHeight="1">
      <c r="B111" s="163" t="s">
        <v>50</v>
      </c>
      <c r="C111" s="163"/>
      <c r="D111" s="163"/>
      <c r="E111" s="163"/>
      <c r="F111" s="165">
        <f>J36</f>
        <v>-7</v>
      </c>
    </row>
    <row r="112" spans="1:234" s="11" customFormat="1" ht="12" customHeight="1">
      <c r="B112" s="163" t="s">
        <v>52</v>
      </c>
      <c r="C112" s="163"/>
      <c r="D112" s="163"/>
      <c r="E112" s="163"/>
      <c r="F112" s="166">
        <f>J37</f>
        <v>293150</v>
      </c>
    </row>
    <row r="113" spans="1:10" s="11" customFormat="1" ht="12.75" customHeight="1">
      <c r="B113" s="167" t="s">
        <v>57</v>
      </c>
      <c r="C113" s="167"/>
      <c r="D113" s="167"/>
      <c r="E113" s="168"/>
      <c r="F113" s="77">
        <f>F108+SUM(F109:F112)</f>
        <v>6943067.7657682281</v>
      </c>
    </row>
    <row r="114" spans="1:10" s="11" customFormat="1" ht="12.75" customHeight="1">
      <c r="B114" s="169"/>
      <c r="C114" s="169"/>
      <c r="D114" s="169"/>
      <c r="E114" s="170"/>
      <c r="F114" s="171"/>
    </row>
    <row r="115" spans="1:10" s="11" customFormat="1" ht="12.75" customHeight="1">
      <c r="B115" s="432" t="s">
        <v>81</v>
      </c>
      <c r="C115" s="432"/>
      <c r="D115" s="432"/>
      <c r="E115" s="432"/>
      <c r="F115" s="432"/>
    </row>
    <row r="116" spans="1:10" s="11" customFormat="1" ht="12.75" customHeight="1">
      <c r="B116" s="172"/>
      <c r="C116" s="172" t="s">
        <v>82</v>
      </c>
      <c r="D116" s="172" t="s">
        <v>83</v>
      </c>
      <c r="E116" s="172" t="s">
        <v>84</v>
      </c>
      <c r="F116" s="172"/>
    </row>
    <row r="117" spans="1:10" s="11" customFormat="1" ht="12.75" customHeight="1">
      <c r="B117" s="173" t="s">
        <v>85</v>
      </c>
      <c r="C117" s="173" t="s">
        <v>86</v>
      </c>
      <c r="D117" s="173" t="s">
        <v>87</v>
      </c>
      <c r="E117" s="173" t="s">
        <v>86</v>
      </c>
      <c r="F117" s="173" t="s">
        <v>88</v>
      </c>
    </row>
    <row r="118" spans="1:10" s="11" customFormat="1" ht="12" customHeight="1">
      <c r="B118" s="174" t="s">
        <v>89</v>
      </c>
      <c r="C118" s="175">
        <v>0</v>
      </c>
      <c r="D118" s="176">
        <v>0</v>
      </c>
      <c r="E118" s="177">
        <f>+IF(ISERROR(+IF(D118&lt;$F$117,C118,0)),0,IF(D118&lt;$F$117,C118,0))</f>
        <v>0</v>
      </c>
      <c r="F118" s="178">
        <f>E118*D118</f>
        <v>0</v>
      </c>
    </row>
    <row r="119" spans="1:10" s="11" customFormat="1" ht="12" customHeight="1">
      <c r="B119" s="174" t="s">
        <v>90</v>
      </c>
      <c r="C119" s="175">
        <v>0</v>
      </c>
      <c r="D119" s="179">
        <v>0</v>
      </c>
      <c r="E119" s="177">
        <f>+IF(ISERROR(+IF(D119&lt;$F$117,C119,0)),0,IF(D119&lt;$F$117,C119,0))</f>
        <v>0</v>
      </c>
      <c r="F119" s="178">
        <f>E119*D119</f>
        <v>0</v>
      </c>
    </row>
    <row r="120" spans="1:10" s="11" customFormat="1" ht="12" customHeight="1">
      <c r="B120" s="174" t="s">
        <v>91</v>
      </c>
      <c r="C120" s="175">
        <v>0</v>
      </c>
      <c r="D120" s="179">
        <v>0</v>
      </c>
      <c r="E120" s="177">
        <f>+IF(ISERROR(+IF(D120&lt;$F$117,C120,0)),0,IF(D120&lt;$F$117,C120,0))</f>
        <v>0</v>
      </c>
      <c r="F120" s="178">
        <f>E120*D120</f>
        <v>0</v>
      </c>
    </row>
    <row r="121" spans="1:10" s="11" customFormat="1" ht="12" customHeight="1">
      <c r="B121" s="174" t="s">
        <v>92</v>
      </c>
      <c r="C121" s="175">
        <v>0</v>
      </c>
      <c r="D121" s="179">
        <v>0</v>
      </c>
      <c r="E121" s="177">
        <f>+IF(ISERROR(+IF(D121&lt;$F$117,C121,0)),0,IF(D121&lt;$F$117,C121,0))</f>
        <v>0</v>
      </c>
      <c r="F121" s="178">
        <f>E121*D121</f>
        <v>0</v>
      </c>
    </row>
    <row r="122" spans="1:10" s="11" customFormat="1" ht="12" customHeight="1">
      <c r="B122" s="174" t="s">
        <v>93</v>
      </c>
      <c r="C122" s="180">
        <v>0</v>
      </c>
      <c r="D122" s="181">
        <v>0</v>
      </c>
      <c r="E122" s="182">
        <f>+IF(ISERROR(+IF(D122&lt;$F$117,C122,0)),0,IF(D122&lt;$F$117,C122,0))</f>
        <v>0</v>
      </c>
      <c r="F122" s="183">
        <f>E122*D122</f>
        <v>0</v>
      </c>
    </row>
    <row r="123" spans="1:10" s="11" customFormat="1" ht="12.75" customHeight="1">
      <c r="B123" s="184" t="s">
        <v>94</v>
      </c>
      <c r="C123" s="185">
        <f>SUM(C118:C122)</f>
        <v>0</v>
      </c>
      <c r="D123" s="186"/>
      <c r="E123" s="185">
        <f>SUM(E118:E122)</f>
        <v>0</v>
      </c>
      <c r="F123" s="164">
        <f>SUM(F118:F122)</f>
        <v>0</v>
      </c>
    </row>
    <row r="124" spans="1:10" s="11" customFormat="1" ht="12" customHeight="1">
      <c r="B124" s="170"/>
      <c r="C124" s="170"/>
      <c r="D124" s="170"/>
      <c r="E124" s="170"/>
      <c r="F124" s="170"/>
      <c r="J124" s="406"/>
    </row>
    <row r="125" spans="1:10" s="11" customFormat="1" ht="12" customHeight="1">
      <c r="A125" s="10"/>
      <c r="B125" s="187" t="s">
        <v>95</v>
      </c>
      <c r="C125" s="187"/>
      <c r="D125" s="187"/>
      <c r="E125" s="187"/>
      <c r="F125" s="372">
        <v>84323</v>
      </c>
      <c r="G125" s="35" t="s">
        <v>96</v>
      </c>
    </row>
    <row r="126" spans="1:10" s="11" customFormat="1" ht="12" customHeight="1">
      <c r="A126" s="10"/>
      <c r="B126" s="187" t="s">
        <v>97</v>
      </c>
      <c r="C126" s="187"/>
      <c r="D126" s="187"/>
      <c r="E126" s="187"/>
      <c r="F126" s="375">
        <f>E123</f>
        <v>0</v>
      </c>
    </row>
    <row r="127" spans="1:10" s="11" customFormat="1" ht="12" customHeight="1">
      <c r="A127" s="10"/>
      <c r="B127" s="187" t="s">
        <v>98</v>
      </c>
      <c r="C127" s="187"/>
      <c r="D127" s="187"/>
      <c r="E127" s="187"/>
      <c r="F127" s="374">
        <f>+IF(ISERROR(-F123/F132),0,-F123/F132)</f>
        <v>0</v>
      </c>
    </row>
    <row r="128" spans="1:10" s="189" customFormat="1" ht="12.75" customHeight="1">
      <c r="A128" s="24"/>
      <c r="B128" s="188" t="s">
        <v>99</v>
      </c>
      <c r="C128" s="188"/>
      <c r="D128" s="188"/>
      <c r="E128" s="188"/>
      <c r="F128" s="373">
        <v>0</v>
      </c>
    </row>
    <row r="129" spans="1:6" s="11" customFormat="1" ht="12" customHeight="1">
      <c r="A129" s="10"/>
      <c r="B129" s="190" t="s">
        <v>100</v>
      </c>
      <c r="C129" s="187"/>
      <c r="D129" s="187"/>
      <c r="E129" s="187"/>
      <c r="F129" s="374">
        <v>0</v>
      </c>
    </row>
    <row r="130" spans="1:6" s="11" customFormat="1" ht="12.75" customHeight="1">
      <c r="A130" s="10"/>
      <c r="B130" s="188" t="s">
        <v>101</v>
      </c>
      <c r="C130" s="187"/>
      <c r="D130" s="187"/>
      <c r="E130" s="187"/>
      <c r="F130" s="373">
        <f>F125+SUM(F128:F129)</f>
        <v>84323</v>
      </c>
    </row>
    <row r="131" spans="1:6" s="11" customFormat="1" ht="12" customHeight="1">
      <c r="A131" s="10"/>
      <c r="B131" s="170"/>
      <c r="C131" s="170"/>
      <c r="D131" s="170"/>
      <c r="E131" s="170"/>
      <c r="F131" s="191" t="s">
        <v>55</v>
      </c>
    </row>
    <row r="132" spans="1:6" s="11" customFormat="1" ht="12.75" customHeight="1">
      <c r="A132" s="10"/>
      <c r="B132" s="167" t="s">
        <v>64</v>
      </c>
      <c r="C132" s="167"/>
      <c r="D132" s="167"/>
      <c r="E132" s="168"/>
      <c r="F132" s="376">
        <f>+IF(ISERROR(F113/F130),0,F113/F130)</f>
        <v>82.338955750723144</v>
      </c>
    </row>
    <row r="135" spans="1:6" ht="15" customHeight="1">
      <c r="B135" s="192" t="s">
        <v>102</v>
      </c>
    </row>
    <row r="136" spans="1:6" ht="12" customHeight="1">
      <c r="B136" s="193" t="s">
        <v>103</v>
      </c>
    </row>
    <row r="138" spans="1:6" ht="12" customHeight="1">
      <c r="B138" s="194" t="s">
        <v>104</v>
      </c>
      <c r="F138" s="194">
        <v>105.61</v>
      </c>
    </row>
    <row r="139" spans="1:6" ht="12" customHeight="1">
      <c r="B139" s="194" t="s">
        <v>105</v>
      </c>
      <c r="F139" s="195">
        <f>J43</f>
        <v>82.338955750723144</v>
      </c>
    </row>
    <row r="140" spans="1:6" ht="12" customHeight="1">
      <c r="B140" s="194" t="s">
        <v>106</v>
      </c>
      <c r="F140" s="194">
        <f>IF(ISERROR((J43-105.61)/105.61),"N/A",(J43-105.61)/105.61)</f>
        <v>-0.22034887083871654</v>
      </c>
    </row>
    <row r="142" spans="1:6" ht="12" customHeight="1">
      <c r="B142" s="194" t="s">
        <v>107</v>
      </c>
    </row>
    <row r="143" spans="1:6" ht="12" customHeight="1">
      <c r="B143" s="194" t="s">
        <v>108</v>
      </c>
    </row>
    <row r="144" spans="1:6" ht="12" customHeight="1">
      <c r="B144" s="194" t="s">
        <v>109</v>
      </c>
    </row>
    <row r="145" spans="2:2" ht="12" customHeight="1">
      <c r="B145" s="194" t="s">
        <v>110</v>
      </c>
    </row>
    <row r="147" spans="2:2" ht="12" customHeight="1">
      <c r="B147" s="194" t="s">
        <v>111</v>
      </c>
    </row>
    <row r="148" spans="2:2" ht="12" customHeight="1">
      <c r="B148" s="194" t="s">
        <v>112</v>
      </c>
    </row>
    <row r="149" spans="2:2" ht="12" customHeight="1">
      <c r="B149" s="194" t="s">
        <v>113</v>
      </c>
    </row>
    <row r="150" spans="2:2" ht="12" customHeight="1">
      <c r="B150" s="194" t="s">
        <v>114</v>
      </c>
    </row>
    <row r="151" spans="2:2" ht="12" customHeight="1">
      <c r="B151" s="194" t="s">
        <v>115</v>
      </c>
    </row>
    <row r="152" spans="2:2" ht="12" customHeight="1">
      <c r="B152" s="194" t="s">
        <v>116</v>
      </c>
    </row>
    <row r="153" spans="2:2" ht="12" customHeight="1">
      <c r="B153" s="194" t="s">
        <v>117</v>
      </c>
    </row>
    <row r="155" spans="2:2" ht="12" customHeight="1">
      <c r="B155" s="194" t="s">
        <v>118</v>
      </c>
    </row>
    <row r="156" spans="2:2" ht="12" customHeight="1">
      <c r="B156" s="194" t="s">
        <v>119</v>
      </c>
    </row>
    <row r="157" spans="2:2" ht="12" customHeight="1">
      <c r="B157" s="194" t="s">
        <v>120</v>
      </c>
    </row>
    <row r="159" spans="2:2" ht="12" customHeight="1">
      <c r="B159" s="194" t="s">
        <v>121</v>
      </c>
    </row>
    <row r="160" spans="2:2" ht="12" customHeight="1">
      <c r="B160" s="194" t="s">
        <v>122</v>
      </c>
    </row>
    <row r="161" spans="2:2" ht="12" customHeight="1">
      <c r="B161" s="194" t="s">
        <v>123</v>
      </c>
    </row>
    <row r="162" spans="2:2" ht="12" customHeight="1">
      <c r="B162" s="194" t="s">
        <v>124</v>
      </c>
    </row>
  </sheetData>
  <mergeCells count="32">
    <mergeCell ref="C85:H85"/>
    <mergeCell ref="J85:O85"/>
    <mergeCell ref="D86:H86"/>
    <mergeCell ref="K86:O86"/>
    <mergeCell ref="B115:F115"/>
    <mergeCell ref="B88:B92"/>
    <mergeCell ref="I88:I92"/>
    <mergeCell ref="F95:K95"/>
    <mergeCell ref="G96:K96"/>
    <mergeCell ref="B98:B102"/>
    <mergeCell ref="E98:E102"/>
    <mergeCell ref="C75:H75"/>
    <mergeCell ref="J75:O75"/>
    <mergeCell ref="D76:H76"/>
    <mergeCell ref="K76:O76"/>
    <mergeCell ref="B78:B82"/>
    <mergeCell ref="I78:I82"/>
    <mergeCell ref="R46:W46"/>
    <mergeCell ref="Q49:Q53"/>
    <mergeCell ref="R47:W47"/>
    <mergeCell ref="E5:G5"/>
    <mergeCell ref="J5:N5"/>
    <mergeCell ref="B32:E32"/>
    <mergeCell ref="G32:J32"/>
    <mergeCell ref="L32:O32"/>
    <mergeCell ref="L39:O39"/>
    <mergeCell ref="C46:H46"/>
    <mergeCell ref="J46:O46"/>
    <mergeCell ref="D47:H47"/>
    <mergeCell ref="K47:O47"/>
    <mergeCell ref="B49:B53"/>
    <mergeCell ref="I49:I53"/>
  </mergeCells>
  <phoneticPr fontId="213" type="noConversion"/>
  <pageMargins left="0.75" right="0.75" top="1" bottom="1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7"/>
  <sheetViews>
    <sheetView showGridLines="0" zoomScaleNormal="85" workbookViewId="0">
      <selection activeCell="B1" sqref="B1"/>
    </sheetView>
  </sheetViews>
  <sheetFormatPr baseColWidth="10" defaultColWidth="9.1640625" defaultRowHeight="13"/>
  <cols>
    <col min="1" max="1" width="0.83203125" style="10" customWidth="1"/>
    <col min="2" max="2" width="40" style="10" customWidth="1"/>
    <col min="3" max="3" width="12.6640625" style="10" customWidth="1"/>
    <col min="4" max="11" width="13.83203125" style="10" customWidth="1"/>
    <col min="12" max="12" width="0.83203125" style="10" customWidth="1"/>
    <col min="13" max="16384" width="9.1640625" style="10"/>
  </cols>
  <sheetData>
    <row r="1" spans="1:15" s="196" customFormat="1" ht="19.5" customHeight="1">
      <c r="B1" s="197" t="s">
        <v>5</v>
      </c>
      <c r="C1" s="198"/>
      <c r="D1" s="198"/>
      <c r="E1" s="198"/>
      <c r="F1" s="198"/>
      <c r="G1" s="199"/>
      <c r="H1" s="199"/>
      <c r="I1" s="199"/>
      <c r="J1" s="199"/>
      <c r="K1" s="200"/>
      <c r="L1" s="201"/>
      <c r="M1" s="201"/>
      <c r="N1" s="201"/>
    </row>
    <row r="2" spans="1:15" s="196" customFormat="1" ht="18" customHeight="1">
      <c r="B2" s="198" t="s">
        <v>125</v>
      </c>
      <c r="C2" s="202"/>
      <c r="D2" s="202"/>
      <c r="E2" s="202"/>
      <c r="F2" s="202"/>
      <c r="G2" s="199"/>
      <c r="H2" s="199"/>
      <c r="I2" s="199"/>
      <c r="J2" s="199"/>
      <c r="K2" s="200"/>
      <c r="L2" s="201"/>
      <c r="M2" s="201"/>
      <c r="N2" s="201"/>
    </row>
    <row r="3" spans="1:15" s="196" customFormat="1" ht="12.75" customHeight="1">
      <c r="B3" s="203" t="str">
        <f>+DCF!B3</f>
        <v>($ in thousands, fiscal year ending December 31)</v>
      </c>
      <c r="C3" s="203"/>
      <c r="D3" s="203"/>
      <c r="E3" s="203"/>
      <c r="F3" s="203"/>
      <c r="G3" s="199"/>
      <c r="H3" s="199"/>
      <c r="I3" s="199"/>
      <c r="J3" s="199"/>
      <c r="K3" s="200"/>
      <c r="L3" s="201"/>
      <c r="M3" s="201"/>
      <c r="N3" s="201"/>
    </row>
    <row r="4" spans="1:15" ht="12" customHeight="1">
      <c r="A4" s="86"/>
      <c r="B4" s="86"/>
      <c r="C4" s="86"/>
      <c r="D4" s="86"/>
      <c r="E4" s="86"/>
      <c r="F4" s="86"/>
      <c r="G4" s="204"/>
      <c r="H4" s="204"/>
      <c r="I4" s="204"/>
      <c r="J4" s="204"/>
      <c r="K4" s="22"/>
      <c r="L4" s="22"/>
      <c r="M4" s="22"/>
      <c r="N4" s="22"/>
    </row>
    <row r="5" spans="1:15" ht="12.75" customHeight="1">
      <c r="A5" s="86"/>
      <c r="B5" s="86"/>
      <c r="C5" s="433" t="s">
        <v>11</v>
      </c>
      <c r="D5" s="433"/>
      <c r="E5" s="433"/>
      <c r="G5" s="433" t="s">
        <v>13</v>
      </c>
      <c r="H5" s="433"/>
      <c r="I5" s="433"/>
      <c r="J5" s="433"/>
      <c r="K5" s="433"/>
    </row>
    <row r="6" spans="1:15" ht="12.75" customHeight="1">
      <c r="A6" s="82"/>
      <c r="B6" s="82"/>
      <c r="C6" s="27">
        <f>+DCF!E6</f>
        <v>2021</v>
      </c>
      <c r="D6" s="27">
        <f>+DCF!F6</f>
        <v>2022</v>
      </c>
      <c r="E6" s="27">
        <f>+DCF!G6</f>
        <v>2023</v>
      </c>
      <c r="F6" s="27">
        <f>+DCF!I6</f>
        <v>2024</v>
      </c>
      <c r="G6" s="205">
        <f>+DCF!J6</f>
        <v>2025</v>
      </c>
      <c r="H6" s="30">
        <f>+DCF!K6</f>
        <v>2026</v>
      </c>
      <c r="I6" s="30">
        <f>+DCF!L6</f>
        <v>2027</v>
      </c>
      <c r="J6" s="30">
        <f>+DCF!M6</f>
        <v>2028</v>
      </c>
      <c r="K6" s="30">
        <f>+DCF!N6</f>
        <v>2029</v>
      </c>
      <c r="O6" s="53"/>
    </row>
    <row r="7" spans="1:15" ht="12" customHeight="1">
      <c r="B7" s="86" t="s">
        <v>16</v>
      </c>
      <c r="C7" s="83">
        <f>+DCF!E7</f>
        <v>587023</v>
      </c>
      <c r="D7" s="83">
        <f>+DCF!F7</f>
        <v>936772</v>
      </c>
      <c r="E7" s="83">
        <f>+DCF!G7</f>
        <v>1071326</v>
      </c>
      <c r="F7" s="83">
        <f>+DCF!I7</f>
        <v>1181654</v>
      </c>
      <c r="G7" s="206">
        <f>+DCF!J7</f>
        <v>1288002.8600000001</v>
      </c>
      <c r="H7" s="83">
        <f>+DCF!K7</f>
        <v>1391043.0888000003</v>
      </c>
      <c r="I7" s="83">
        <f>+DCF!L7</f>
        <v>1488416.1050160003</v>
      </c>
      <c r="J7" s="83">
        <f>+DCF!M7</f>
        <v>1577721.0713169605</v>
      </c>
      <c r="K7" s="83">
        <f>+DCF!N7</f>
        <v>1664495.7302393932</v>
      </c>
    </row>
    <row r="8" spans="1:15" ht="12" customHeight="1">
      <c r="B8" s="86" t="s">
        <v>20</v>
      </c>
      <c r="C8" s="207">
        <f>+DCF!E9</f>
        <v>271151</v>
      </c>
      <c r="D8" s="207">
        <f>+DCF!F9</f>
        <v>462738</v>
      </c>
      <c r="E8" s="207">
        <f>+DCF!G9</f>
        <v>513740</v>
      </c>
      <c r="F8" s="207">
        <f>+DCF!I9</f>
        <v>566638</v>
      </c>
      <c r="G8" s="208">
        <f>+DCF!J9</f>
        <v>615665.36708</v>
      </c>
      <c r="H8" s="207">
        <f>+DCF!K9</f>
        <v>662136.51026880008</v>
      </c>
      <c r="I8" s="207">
        <f>+DCF!L9</f>
        <v>705509.23377758416</v>
      </c>
      <c r="J8" s="207">
        <f>+DCF!M9</f>
        <v>744684.34566160536</v>
      </c>
      <c r="K8" s="207">
        <f>+DCF!N9</f>
        <v>782312.99321251479</v>
      </c>
    </row>
    <row r="9" spans="1:15" ht="12" customHeight="1">
      <c r="B9" s="86"/>
      <c r="C9" s="209"/>
      <c r="D9" s="209"/>
      <c r="E9" s="209"/>
      <c r="F9" s="209"/>
      <c r="G9" s="210"/>
      <c r="H9" s="62"/>
      <c r="I9" s="62"/>
      <c r="J9" s="62"/>
      <c r="K9" s="62"/>
    </row>
    <row r="10" spans="1:15" ht="12.75" customHeight="1">
      <c r="B10" s="211" t="s">
        <v>126</v>
      </c>
      <c r="C10" s="212"/>
      <c r="D10" s="212"/>
      <c r="E10" s="212"/>
      <c r="F10" s="212"/>
      <c r="G10" s="213"/>
      <c r="H10" s="214"/>
      <c r="I10" s="214"/>
      <c r="J10" s="214"/>
      <c r="K10" s="214"/>
    </row>
    <row r="11" spans="1:15" ht="12" customHeight="1">
      <c r="B11" s="215" t="s">
        <v>127</v>
      </c>
      <c r="C11" s="96">
        <f>BS!P23</f>
        <v>27257</v>
      </c>
      <c r="D11" s="96">
        <f>BS!O23</f>
        <v>46242</v>
      </c>
      <c r="E11" s="96">
        <f>BS!N23</f>
        <v>41890</v>
      </c>
      <c r="F11" s="216">
        <f t="shared" ref="F11:K12" si="0">+F7/365*F29</f>
        <v>46203.943580198742</v>
      </c>
      <c r="G11" s="210">
        <f t="shared" si="0"/>
        <v>83984.844021917816</v>
      </c>
      <c r="H11" s="62">
        <f t="shared" si="0"/>
        <v>90703.631543671261</v>
      </c>
      <c r="I11" s="62">
        <f t="shared" si="0"/>
        <v>97052.885751728245</v>
      </c>
      <c r="J11" s="62">
        <f t="shared" si="0"/>
        <v>102876.05889683195</v>
      </c>
      <c r="K11" s="62">
        <f t="shared" si="0"/>
        <v>108534.24213615769</v>
      </c>
    </row>
    <row r="12" spans="1:15" ht="12" customHeight="1">
      <c r="B12" s="215" t="s">
        <v>128</v>
      </c>
      <c r="C12" s="96">
        <f>BS!P20</f>
        <v>1155</v>
      </c>
      <c r="D12" s="96">
        <f>BS!O20</f>
        <v>5266</v>
      </c>
      <c r="E12" s="96">
        <f>BS!N20</f>
        <v>4677</v>
      </c>
      <c r="F12" s="216">
        <f t="shared" si="0"/>
        <v>5158.5742321018415</v>
      </c>
      <c r="G12" s="210">
        <f t="shared" si="0"/>
        <v>6747.0177214246578</v>
      </c>
      <c r="H12" s="62">
        <f t="shared" si="0"/>
        <v>7256.2905234936998</v>
      </c>
      <c r="I12" s="62">
        <f t="shared" si="0"/>
        <v>7731.6080413981826</v>
      </c>
      <c r="J12" s="62">
        <f t="shared" si="0"/>
        <v>8160.9243360175933</v>
      </c>
      <c r="K12" s="62">
        <f t="shared" si="0"/>
        <v>8573.293076301532</v>
      </c>
    </row>
    <row r="13" spans="1:15" ht="12" customHeight="1">
      <c r="B13" s="215" t="s">
        <v>129</v>
      </c>
      <c r="C13" s="45">
        <f>BS!P31</f>
        <v>12869</v>
      </c>
      <c r="D13" s="45">
        <f>BS!O31</f>
        <v>11078</v>
      </c>
      <c r="E13" s="45">
        <f>BS!N31</f>
        <v>13842</v>
      </c>
      <c r="F13" s="217">
        <f t="shared" ref="F13:K13" si="1">+F7*F31</f>
        <v>15267.485964122967</v>
      </c>
      <c r="G13" s="213">
        <f t="shared" si="1"/>
        <v>23441.652052000001</v>
      </c>
      <c r="H13" s="214">
        <f t="shared" si="1"/>
        <v>25316.984216160006</v>
      </c>
      <c r="I13" s="214">
        <f t="shared" si="1"/>
        <v>27089.173111291206</v>
      </c>
      <c r="J13" s="214">
        <f t="shared" si="1"/>
        <v>28714.523497968683</v>
      </c>
      <c r="K13" s="214">
        <f t="shared" si="1"/>
        <v>30293.822290356959</v>
      </c>
    </row>
    <row r="14" spans="1:15" s="24" customFormat="1" ht="12.75" customHeight="1">
      <c r="B14" s="82" t="s">
        <v>130</v>
      </c>
      <c r="C14" s="34">
        <f t="shared" ref="C14:K14" si="2">SUM(C11:C13)</f>
        <v>41281</v>
      </c>
      <c r="D14" s="34">
        <f t="shared" si="2"/>
        <v>62586</v>
      </c>
      <c r="E14" s="34">
        <f t="shared" si="2"/>
        <v>60409</v>
      </c>
      <c r="F14" s="34">
        <f t="shared" si="2"/>
        <v>66630.003776423546</v>
      </c>
      <c r="G14" s="218">
        <f t="shared" si="2"/>
        <v>114173.51379534249</v>
      </c>
      <c r="H14" s="34">
        <f t="shared" si="2"/>
        <v>123276.90628332498</v>
      </c>
      <c r="I14" s="34">
        <f t="shared" si="2"/>
        <v>131873.66690441762</v>
      </c>
      <c r="J14" s="34">
        <f t="shared" si="2"/>
        <v>139751.50673081822</v>
      </c>
      <c r="K14" s="34">
        <f t="shared" si="2"/>
        <v>147401.35750281619</v>
      </c>
    </row>
    <row r="15" spans="1:15" ht="12.75" customHeight="1">
      <c r="B15" s="82"/>
      <c r="C15" s="219"/>
      <c r="E15" s="219"/>
      <c r="F15" s="95"/>
      <c r="G15" s="220"/>
      <c r="H15" s="221"/>
      <c r="I15" s="221"/>
      <c r="J15" s="221"/>
      <c r="K15" s="221"/>
    </row>
    <row r="16" spans="1:15" ht="12.75" customHeight="1">
      <c r="B16" s="211" t="s">
        <v>131</v>
      </c>
      <c r="C16" s="222"/>
      <c r="D16" s="222"/>
      <c r="E16" s="222"/>
      <c r="F16" s="46"/>
      <c r="G16" s="213"/>
      <c r="H16" s="214"/>
      <c r="I16" s="214"/>
      <c r="J16" s="214"/>
      <c r="K16" s="214"/>
    </row>
    <row r="17" spans="2:14" ht="12" customHeight="1">
      <c r="B17" s="215" t="s">
        <v>132</v>
      </c>
      <c r="C17" s="96">
        <f>BS!P95</f>
        <v>27892</v>
      </c>
      <c r="D17" s="96">
        <f>BS!O95</f>
        <v>20578</v>
      </c>
      <c r="E17" s="96">
        <f>BS!N95</f>
        <v>23788</v>
      </c>
      <c r="F17" s="216">
        <f t="shared" ref="F17:K17" si="3">+F8/365*F34</f>
        <v>26237.366652392258</v>
      </c>
      <c r="G17" s="210">
        <f t="shared" si="3"/>
        <v>35759.193923550687</v>
      </c>
      <c r="H17" s="62">
        <f t="shared" si="3"/>
        <v>38458.339774516608</v>
      </c>
      <c r="I17" s="62">
        <f t="shared" si="3"/>
        <v>40977.522619410367</v>
      </c>
      <c r="J17" s="62">
        <f t="shared" si="3"/>
        <v>43252.898980893246</v>
      </c>
      <c r="K17" s="62">
        <f t="shared" si="3"/>
        <v>45438.453304398121</v>
      </c>
    </row>
    <row r="18" spans="2:14" ht="12" customHeight="1">
      <c r="B18" s="215" t="s">
        <v>133</v>
      </c>
      <c r="C18" s="96">
        <v>0</v>
      </c>
      <c r="D18" s="96">
        <v>0</v>
      </c>
      <c r="E18" s="96">
        <v>0</v>
      </c>
      <c r="F18" s="216">
        <f t="shared" ref="F18:K18" si="4">+F7*F35</f>
        <v>0</v>
      </c>
      <c r="G18" s="210">
        <f t="shared" si="4"/>
        <v>74060.164450000011</v>
      </c>
      <c r="H18" s="62">
        <f t="shared" si="4"/>
        <v>79984.977606000015</v>
      </c>
      <c r="I18" s="62">
        <f t="shared" si="4"/>
        <v>85583.926038420017</v>
      </c>
      <c r="J18" s="62">
        <f t="shared" si="4"/>
        <v>90718.961600725233</v>
      </c>
      <c r="K18" s="62">
        <f t="shared" si="4"/>
        <v>95708.504488765117</v>
      </c>
    </row>
    <row r="19" spans="2:14" ht="12" customHeight="1">
      <c r="B19" s="215" t="s">
        <v>134</v>
      </c>
      <c r="C19" s="45">
        <f>BS!P115</f>
        <v>30851</v>
      </c>
      <c r="D19" s="45">
        <f>BS!O115</f>
        <v>50510</v>
      </c>
      <c r="E19" s="45">
        <f>BS!N115</f>
        <v>39607</v>
      </c>
      <c r="F19" s="217">
        <f t="shared" ref="F19:K19" si="5">+F7*F36</f>
        <v>43685.834169991205</v>
      </c>
      <c r="G19" s="213">
        <f t="shared" si="5"/>
        <v>45337.700672000006</v>
      </c>
      <c r="H19" s="214">
        <f t="shared" si="5"/>
        <v>48964.716725760009</v>
      </c>
      <c r="I19" s="214">
        <f t="shared" si="5"/>
        <v>52392.246896563214</v>
      </c>
      <c r="J19" s="214">
        <f t="shared" si="5"/>
        <v>55535.781710357012</v>
      </c>
      <c r="K19" s="214">
        <f t="shared" si="5"/>
        <v>58590.249704426642</v>
      </c>
    </row>
    <row r="20" spans="2:14" s="24" customFormat="1" ht="12.75" customHeight="1">
      <c r="B20" s="82" t="s">
        <v>135</v>
      </c>
      <c r="C20" s="34">
        <f t="shared" ref="C20:K20" si="6">SUM(C17:C19)</f>
        <v>58743</v>
      </c>
      <c r="D20" s="34">
        <f t="shared" si="6"/>
        <v>71088</v>
      </c>
      <c r="E20" s="34">
        <f t="shared" si="6"/>
        <v>63395</v>
      </c>
      <c r="F20" s="34">
        <f t="shared" si="6"/>
        <v>69923.200822383456</v>
      </c>
      <c r="G20" s="218">
        <f t="shared" si="6"/>
        <v>155157.0590455507</v>
      </c>
      <c r="H20" s="34">
        <f t="shared" si="6"/>
        <v>167408.03410627664</v>
      </c>
      <c r="I20" s="34">
        <f t="shared" si="6"/>
        <v>178953.69555439361</v>
      </c>
      <c r="J20" s="34">
        <f t="shared" si="6"/>
        <v>189507.6422919755</v>
      </c>
      <c r="K20" s="34">
        <f t="shared" si="6"/>
        <v>199737.2074975899</v>
      </c>
    </row>
    <row r="21" spans="2:14" ht="12.75" customHeight="1">
      <c r="B21" s="86"/>
      <c r="C21" s="223"/>
      <c r="D21" s="223"/>
      <c r="E21" s="223"/>
      <c r="F21" s="224"/>
      <c r="G21" s="225"/>
      <c r="H21" s="226"/>
      <c r="I21" s="226"/>
      <c r="J21" s="226"/>
      <c r="K21" s="226"/>
    </row>
    <row r="22" spans="2:14" s="24" customFormat="1" ht="12.75" customHeight="1">
      <c r="B22" s="82" t="s">
        <v>136</v>
      </c>
      <c r="C22" s="34">
        <f t="shared" ref="C22:K22" si="7">+C14-C20</f>
        <v>-17462</v>
      </c>
      <c r="D22" s="34">
        <f t="shared" si="7"/>
        <v>-8502</v>
      </c>
      <c r="E22" s="34">
        <f t="shared" si="7"/>
        <v>-2986</v>
      </c>
      <c r="F22" s="34">
        <f t="shared" si="7"/>
        <v>-3293.1970459599106</v>
      </c>
      <c r="G22" s="218">
        <f t="shared" si="7"/>
        <v>-40983.545250208219</v>
      </c>
      <c r="H22" s="34">
        <f t="shared" si="7"/>
        <v>-44131.127822951661</v>
      </c>
      <c r="I22" s="34">
        <f t="shared" si="7"/>
        <v>-47080.028649975982</v>
      </c>
      <c r="J22" s="34">
        <f t="shared" si="7"/>
        <v>-49756.13556115728</v>
      </c>
      <c r="K22" s="34">
        <f t="shared" si="7"/>
        <v>-52335.849994773715</v>
      </c>
    </row>
    <row r="23" spans="2:14" ht="12.75" customHeight="1">
      <c r="B23" s="227" t="s">
        <v>137</v>
      </c>
      <c r="C23" s="39">
        <f t="shared" ref="C23:K23" si="8">+IF(ISERROR(C22/C7),0,C22/C7)</f>
        <v>-2.9746704984302149E-2</v>
      </c>
      <c r="D23" s="39">
        <f t="shared" si="8"/>
        <v>-9.0758476982659604E-3</v>
      </c>
      <c r="E23" s="39">
        <f t="shared" si="8"/>
        <v>-2.7872001612954415E-3</v>
      </c>
      <c r="F23" s="39">
        <f t="shared" si="8"/>
        <v>-2.7869385166553922E-3</v>
      </c>
      <c r="G23" s="228">
        <f t="shared" si="8"/>
        <v>-3.1819452054794521E-2</v>
      </c>
      <c r="H23" s="39">
        <f t="shared" si="8"/>
        <v>-3.172520547945204E-2</v>
      </c>
      <c r="I23" s="39">
        <f t="shared" si="8"/>
        <v>-3.16309589041096E-2</v>
      </c>
      <c r="J23" s="39">
        <f t="shared" si="8"/>
        <v>-3.1536712328767133E-2</v>
      </c>
      <c r="K23" s="39">
        <f t="shared" si="8"/>
        <v>-3.1442465753424673E-2</v>
      </c>
      <c r="L23" s="79"/>
      <c r="M23" s="79"/>
      <c r="N23" s="79"/>
    </row>
    <row r="24" spans="2:14" ht="12" customHeight="1">
      <c r="B24" s="86"/>
      <c r="C24" s="62"/>
      <c r="D24" s="62"/>
      <c r="E24" s="62"/>
      <c r="F24" s="62"/>
      <c r="G24" s="210"/>
      <c r="H24" s="62"/>
      <c r="I24" s="62"/>
      <c r="J24" s="62"/>
      <c r="K24" s="62"/>
    </row>
    <row r="25" spans="2:14" s="229" customFormat="1" ht="12.75" customHeight="1">
      <c r="B25" s="230" t="s">
        <v>138</v>
      </c>
      <c r="C25" s="77"/>
      <c r="D25" s="77">
        <f t="shared" ref="D25:K25" si="9">+C22-D22</f>
        <v>-8960</v>
      </c>
      <c r="E25" s="77">
        <f t="shared" si="9"/>
        <v>-5516</v>
      </c>
      <c r="F25" s="77">
        <f t="shared" si="9"/>
        <v>307.19704595991061</v>
      </c>
      <c r="G25" s="231">
        <f t="shared" si="9"/>
        <v>37690.348204248308</v>
      </c>
      <c r="H25" s="77">
        <f t="shared" si="9"/>
        <v>3147.5825727434421</v>
      </c>
      <c r="I25" s="77">
        <f t="shared" si="9"/>
        <v>2948.9008270243212</v>
      </c>
      <c r="J25" s="77">
        <f t="shared" si="9"/>
        <v>2676.1069111812976</v>
      </c>
      <c r="K25" s="77">
        <f t="shared" si="9"/>
        <v>2579.7144336164347</v>
      </c>
    </row>
    <row r="26" spans="2:14" s="229" customFormat="1" ht="12.75" customHeight="1">
      <c r="B26" s="232"/>
    </row>
    <row r="27" spans="2:14" ht="12.75" customHeight="1">
      <c r="B27" s="121" t="s">
        <v>65</v>
      </c>
    </row>
    <row r="28" spans="2:14" ht="12.75" customHeight="1">
      <c r="B28" s="233" t="s">
        <v>126</v>
      </c>
      <c r="C28" s="234"/>
      <c r="D28" s="234"/>
      <c r="E28" s="234"/>
      <c r="F28" s="235"/>
      <c r="G28" s="234"/>
      <c r="H28" s="234"/>
      <c r="I28" s="234"/>
      <c r="J28" s="234"/>
      <c r="K28" s="236"/>
    </row>
    <row r="29" spans="2:14" ht="12" customHeight="1">
      <c r="B29" s="237" t="s">
        <v>139</v>
      </c>
      <c r="C29" s="238">
        <f t="shared" ref="C29:E30" si="10">+IF(ISERROR(C11/C7*365),0,C11/C7*365)</f>
        <v>16.947896419731425</v>
      </c>
      <c r="D29" s="238">
        <f t="shared" si="10"/>
        <v>18.017543222897356</v>
      </c>
      <c r="E29" s="238">
        <f t="shared" si="10"/>
        <v>14.271892962552947</v>
      </c>
      <c r="F29" s="239">
        <f>+E29</f>
        <v>14.271892962552947</v>
      </c>
      <c r="G29" s="238">
        <f>'AS2'!F7</f>
        <v>23.8</v>
      </c>
      <c r="H29" s="238">
        <f>'AS2'!G7</f>
        <v>23.8</v>
      </c>
      <c r="I29" s="238">
        <f>'AS2'!H7</f>
        <v>23.8</v>
      </c>
      <c r="J29" s="238">
        <f>'AS2'!I7</f>
        <v>23.8</v>
      </c>
      <c r="K29" s="240">
        <f>'AS2'!J7</f>
        <v>23.8</v>
      </c>
    </row>
    <row r="30" spans="2:14" ht="12" customHeight="1">
      <c r="B30" s="237" t="s">
        <v>140</v>
      </c>
      <c r="C30" s="238">
        <f t="shared" si="10"/>
        <v>1.5547610003282304</v>
      </c>
      <c r="D30" s="238">
        <f t="shared" si="10"/>
        <v>4.1537327818333489</v>
      </c>
      <c r="E30" s="238">
        <f t="shared" si="10"/>
        <v>3.322896796044692</v>
      </c>
      <c r="F30" s="239">
        <f>+E30</f>
        <v>3.322896796044692</v>
      </c>
      <c r="G30" s="238">
        <f>'AS2'!F14</f>
        <v>4</v>
      </c>
      <c r="H30" s="238">
        <f>'AS2'!G14</f>
        <v>4</v>
      </c>
      <c r="I30" s="238">
        <f>'AS2'!H14</f>
        <v>4</v>
      </c>
      <c r="J30" s="238">
        <f>'AS2'!I14</f>
        <v>4</v>
      </c>
      <c r="K30" s="240">
        <f>'AS2'!J14</f>
        <v>4</v>
      </c>
    </row>
    <row r="31" spans="2:14" ht="12" customHeight="1">
      <c r="B31" s="237" t="s">
        <v>141</v>
      </c>
      <c r="C31" s="130">
        <f>+IF(ISERROR(C13/C7),0,C13/C7)</f>
        <v>2.1922480039112607E-2</v>
      </c>
      <c r="D31" s="130">
        <f>+IF(ISERROR(D13/D7),0,D13/D7)</f>
        <v>1.1825716396305612E-2</v>
      </c>
      <c r="E31" s="130">
        <f>+IF(ISERROR(E13/E7),0,E13/E7)</f>
        <v>1.292043691649414E-2</v>
      </c>
      <c r="F31" s="241">
        <f>+E31</f>
        <v>1.292043691649414E-2</v>
      </c>
      <c r="G31" s="130">
        <f>'AS2'!F21</f>
        <v>1.8200000000000001E-2</v>
      </c>
      <c r="H31" s="130">
        <f>'AS2'!G21</f>
        <v>1.8200000000000001E-2</v>
      </c>
      <c r="I31" s="130">
        <f>'AS2'!H21</f>
        <v>1.8200000000000001E-2</v>
      </c>
      <c r="J31" s="130">
        <f>'AS2'!I21</f>
        <v>1.8200000000000001E-2</v>
      </c>
      <c r="K31" s="132">
        <f>'AS2'!J21</f>
        <v>1.8200000000000001E-2</v>
      </c>
    </row>
    <row r="32" spans="2:14" ht="12" customHeight="1">
      <c r="B32" s="237"/>
      <c r="C32" s="242"/>
      <c r="D32" s="242"/>
      <c r="E32" s="242"/>
      <c r="F32" s="243"/>
      <c r="G32" s="244"/>
      <c r="H32" s="244"/>
      <c r="I32" s="244"/>
      <c r="J32" s="244"/>
      <c r="K32" s="245"/>
    </row>
    <row r="33" spans="2:11" ht="12.75" customHeight="1">
      <c r="B33" s="246" t="s">
        <v>131</v>
      </c>
      <c r="C33" s="242"/>
      <c r="D33" s="242"/>
      <c r="E33" s="242"/>
      <c r="F33" s="247"/>
      <c r="G33" s="73"/>
      <c r="H33" s="73"/>
      <c r="I33" s="73"/>
      <c r="J33" s="73"/>
      <c r="K33" s="248"/>
    </row>
    <row r="34" spans="2:11" ht="12" customHeight="1">
      <c r="B34" s="237" t="s">
        <v>142</v>
      </c>
      <c r="C34" s="238">
        <f>+IF(ISERROR(C17/C8*365),0,C17/C8*365)</f>
        <v>37.545795516151514</v>
      </c>
      <c r="D34" s="238">
        <f>+IF(ISERROR(D17/D8*365),0,D17/D8*365)</f>
        <v>16.231582450544369</v>
      </c>
      <c r="E34" s="238">
        <f>+IF(ISERROR(E17/E8*365),0,E17/E8*365)</f>
        <v>16.900805855101801</v>
      </c>
      <c r="F34" s="239">
        <f>+E34</f>
        <v>16.900805855101801</v>
      </c>
      <c r="G34" s="238">
        <f>'AS2'!F29</f>
        <v>21.2</v>
      </c>
      <c r="H34" s="238">
        <f>'AS2'!G29</f>
        <v>21.2</v>
      </c>
      <c r="I34" s="238">
        <f>'AS2'!H29</f>
        <v>21.2</v>
      </c>
      <c r="J34" s="238">
        <f>'AS2'!I29</f>
        <v>21.2</v>
      </c>
      <c r="K34" s="240">
        <f>'AS2'!J29</f>
        <v>21.2</v>
      </c>
    </row>
    <row r="35" spans="2:11" ht="12" customHeight="1">
      <c r="B35" s="237" t="s">
        <v>143</v>
      </c>
      <c r="C35" s="130">
        <f>+IF(ISERROR(C18/C7),0,C18/C7)</f>
        <v>0</v>
      </c>
      <c r="D35" s="130">
        <f>+IF(ISERROR(D18/D7),0,D18/D7)</f>
        <v>0</v>
      </c>
      <c r="E35" s="130">
        <f>+IF(ISERROR(E18/E7),0,E18/E7)</f>
        <v>0</v>
      </c>
      <c r="F35" s="241">
        <f>+E35</f>
        <v>0</v>
      </c>
      <c r="G35" s="130">
        <f>'AS2'!F36</f>
        <v>5.7500000000000002E-2</v>
      </c>
      <c r="H35" s="130">
        <f>'AS2'!G36</f>
        <v>5.7500000000000002E-2</v>
      </c>
      <c r="I35" s="130">
        <f>'AS2'!H36</f>
        <v>5.7500000000000002E-2</v>
      </c>
      <c r="J35" s="130">
        <f>'AS2'!I36</f>
        <v>5.7500000000000002E-2</v>
      </c>
      <c r="K35" s="132">
        <f>'AS2'!J36</f>
        <v>5.7500000000000002E-2</v>
      </c>
    </row>
    <row r="36" spans="2:11" ht="12" customHeight="1">
      <c r="B36" s="249" t="s">
        <v>144</v>
      </c>
      <c r="C36" s="141">
        <f>+IF(ISERROR(C19/C7),0,C19/C7)</f>
        <v>5.255501062138962E-2</v>
      </c>
      <c r="D36" s="141">
        <f>+IF(ISERROR(D19/D7),0,D19/D7)</f>
        <v>5.391920339207406E-2</v>
      </c>
      <c r="E36" s="141">
        <f>+IF(ISERROR(E19/E7),0,E19/E7)</f>
        <v>3.6970072601617061E-2</v>
      </c>
      <c r="F36" s="250">
        <f>+E36</f>
        <v>3.6970072601617061E-2</v>
      </c>
      <c r="G36" s="141">
        <f>'AS2'!F43</f>
        <v>3.5200000000000002E-2</v>
      </c>
      <c r="H36" s="141">
        <f>'AS2'!G43</f>
        <v>3.5200000000000002E-2</v>
      </c>
      <c r="I36" s="141">
        <f>'AS2'!H43</f>
        <v>3.5200000000000002E-2</v>
      </c>
      <c r="J36" s="141">
        <f>'AS2'!I43</f>
        <v>3.5200000000000002E-2</v>
      </c>
      <c r="K36" s="142">
        <f>'AS2'!J43</f>
        <v>3.5200000000000002E-2</v>
      </c>
    </row>
    <row r="37" spans="2:11" ht="12" customHeight="1">
      <c r="B37" s="215"/>
      <c r="C37" s="251"/>
      <c r="D37" s="251"/>
      <c r="E37" s="251"/>
      <c r="F37" s="251"/>
      <c r="G37" s="251"/>
      <c r="H37" s="251"/>
      <c r="I37" s="251"/>
      <c r="J37" s="251"/>
      <c r="K37" s="251"/>
    </row>
  </sheetData>
  <mergeCells count="2">
    <mergeCell ref="C5:E5"/>
    <mergeCell ref="G5:K5"/>
  </mergeCells>
  <phoneticPr fontId="213" type="noConversion"/>
  <pageMargins left="0.75" right="0.75" top="1" bottom="1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44"/>
  <sheetViews>
    <sheetView showGridLines="0" zoomScale="85" zoomScaleNormal="85" workbookViewId="0">
      <selection activeCell="L49" sqref="L49"/>
    </sheetView>
  </sheetViews>
  <sheetFormatPr baseColWidth="10" defaultColWidth="9.1640625" defaultRowHeight="13"/>
  <cols>
    <col min="1" max="1" width="0.83203125" style="22" customWidth="1"/>
    <col min="2" max="4" width="15.6640625" style="22" customWidth="1"/>
    <col min="5" max="5" width="10.6640625" style="22" customWidth="1"/>
    <col min="6" max="6" width="22.6640625" style="22" customWidth="1"/>
    <col min="7" max="7" width="15.33203125" style="22" customWidth="1"/>
    <col min="8" max="8" width="16.6640625" style="22" customWidth="1"/>
    <col min="9" max="9" width="17.1640625" style="22" customWidth="1"/>
    <col min="10" max="12" width="15.33203125" style="22" customWidth="1"/>
    <col min="13" max="13" width="0.83203125" style="22" customWidth="1"/>
    <col min="14" max="16384" width="9.1640625" style="22"/>
  </cols>
  <sheetData>
    <row r="1" spans="1:22" s="10" customFormat="1" ht="19.5" customHeight="1">
      <c r="B1" s="252" t="s">
        <v>5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</row>
    <row r="2" spans="1:22" s="10" customFormat="1" ht="18" customHeight="1">
      <c r="B2" s="254" t="s">
        <v>145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1:22" s="10" customFormat="1" ht="12.75" customHeight="1">
      <c r="B3" s="255" t="s">
        <v>146</v>
      </c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196"/>
    </row>
    <row r="4" spans="1:22" s="256" customFormat="1" ht="12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10"/>
      <c r="O4" s="10"/>
      <c r="P4" s="10"/>
    </row>
    <row r="6" spans="1:22" ht="12.75" customHeight="1">
      <c r="B6" s="257" t="s">
        <v>147</v>
      </c>
      <c r="C6" s="257"/>
      <c r="D6" s="257"/>
      <c r="F6" s="161" t="s">
        <v>148</v>
      </c>
      <c r="G6" s="161"/>
      <c r="H6" s="258"/>
      <c r="I6" s="161"/>
      <c r="J6" s="161"/>
      <c r="K6" s="161"/>
      <c r="L6" s="161"/>
      <c r="N6" s="259" t="s">
        <v>149</v>
      </c>
    </row>
    <row r="7" spans="1:22" ht="12.75" customHeight="1">
      <c r="B7" s="260" t="s">
        <v>150</v>
      </c>
      <c r="F7" s="10"/>
      <c r="G7" s="25" t="s">
        <v>151</v>
      </c>
      <c r="H7" s="25" t="s">
        <v>152</v>
      </c>
      <c r="I7" s="25" t="s">
        <v>152</v>
      </c>
      <c r="J7" s="25" t="s">
        <v>153</v>
      </c>
      <c r="K7" s="25" t="s">
        <v>154</v>
      </c>
      <c r="L7" s="25" t="s">
        <v>155</v>
      </c>
    </row>
    <row r="8" spans="1:22" ht="12.75" customHeight="1">
      <c r="B8" s="10" t="s">
        <v>156</v>
      </c>
      <c r="C8" s="10"/>
      <c r="D8" s="134">
        <v>0.224</v>
      </c>
      <c r="F8" s="261" t="s">
        <v>157</v>
      </c>
      <c r="G8" s="262" t="s">
        <v>158</v>
      </c>
      <c r="H8" s="262" t="s">
        <v>159</v>
      </c>
      <c r="I8" s="262" t="s">
        <v>160</v>
      </c>
      <c r="J8" s="262" t="s">
        <v>161</v>
      </c>
      <c r="K8" s="262" t="s">
        <v>71</v>
      </c>
      <c r="L8" s="262" t="s">
        <v>162</v>
      </c>
      <c r="N8" s="35" t="s">
        <v>163</v>
      </c>
      <c r="P8" s="263"/>
      <c r="Q8" s="263"/>
      <c r="R8" s="263"/>
      <c r="S8" s="263"/>
      <c r="T8" s="263"/>
      <c r="U8" s="263"/>
      <c r="V8" s="263"/>
    </row>
    <row r="9" spans="1:22" ht="12.75" customHeight="1">
      <c r="B9" s="264" t="s">
        <v>164</v>
      </c>
      <c r="D9" s="265">
        <f>1-D8</f>
        <v>0.77600000000000002</v>
      </c>
      <c r="F9" s="389" t="s">
        <v>165</v>
      </c>
      <c r="G9" s="266">
        <v>1.28</v>
      </c>
      <c r="H9" s="267">
        <v>2575853000</v>
      </c>
      <c r="I9" s="267">
        <f>7530000000</f>
        <v>7530000000</v>
      </c>
      <c r="J9" s="265">
        <f>+IF(ISERROR(H9/I9),0,H9/I9)</f>
        <v>0.34207875166002655</v>
      </c>
      <c r="K9" s="134">
        <v>0.27500000000000002</v>
      </c>
      <c r="L9" s="268">
        <f>+G9/(1+(J9)*(1-K9))</f>
        <v>1.0256351948445233</v>
      </c>
      <c r="N9" s="35" t="s">
        <v>708</v>
      </c>
      <c r="P9" s="269"/>
      <c r="Q9" s="270"/>
      <c r="R9" s="270"/>
      <c r="S9" s="270"/>
      <c r="T9" s="271"/>
      <c r="U9" s="272"/>
      <c r="V9" s="270"/>
    </row>
    <row r="10" spans="1:22" ht="12.75" customHeight="1">
      <c r="B10" s="264"/>
      <c r="D10" s="273"/>
      <c r="F10" s="389" t="s">
        <v>166</v>
      </c>
      <c r="G10" s="266">
        <v>1.41</v>
      </c>
      <c r="H10" s="274">
        <f>379623</f>
        <v>379623</v>
      </c>
      <c r="I10" s="274">
        <f>291900000</f>
        <v>291900000</v>
      </c>
      <c r="J10" s="265">
        <f>+IF(ISERROR(H10/I10),0,H10/I10)</f>
        <v>1.3005241521068858E-3</v>
      </c>
      <c r="K10" s="134">
        <v>0.27500000000000002</v>
      </c>
      <c r="L10" s="268">
        <f>+G10/(1+(J10)*(1-K10))</f>
        <v>1.4086717915267275</v>
      </c>
      <c r="N10" s="35" t="s">
        <v>709</v>
      </c>
      <c r="P10" s="269"/>
      <c r="Q10" s="270"/>
      <c r="R10" s="270"/>
      <c r="S10" s="270"/>
      <c r="T10" s="271"/>
      <c r="U10" s="272"/>
      <c r="V10" s="270"/>
    </row>
    <row r="11" spans="1:22" ht="12.75" customHeight="1">
      <c r="F11" s="390" t="s">
        <v>167</v>
      </c>
      <c r="G11" s="266">
        <v>1.68</v>
      </c>
      <c r="H11" s="274">
        <v>3987297</v>
      </c>
      <c r="I11" s="274">
        <v>6410000000</v>
      </c>
      <c r="J11" s="265">
        <f>+IF(ISERROR(H11/I11),0,H11/I11)</f>
        <v>6.2204321372854915E-4</v>
      </c>
      <c r="K11" s="134">
        <v>0.27500000000000002</v>
      </c>
      <c r="L11" s="268">
        <f>+G11/(1+(J11)*(1-K11))</f>
        <v>1.6792426928970432</v>
      </c>
      <c r="N11" s="35" t="s">
        <v>710</v>
      </c>
      <c r="P11" s="269"/>
      <c r="Q11" s="270"/>
      <c r="R11" s="270"/>
      <c r="S11" s="270"/>
      <c r="T11" s="271"/>
      <c r="U11" s="272"/>
      <c r="V11" s="270"/>
    </row>
    <row r="12" spans="1:22" ht="12.75" customHeight="1">
      <c r="B12" s="260" t="s">
        <v>168</v>
      </c>
      <c r="C12" s="10"/>
      <c r="D12" s="10"/>
      <c r="F12" s="389" t="s">
        <v>169</v>
      </c>
      <c r="G12" s="266">
        <v>0.95</v>
      </c>
      <c r="H12" s="274">
        <v>318080000</v>
      </c>
      <c r="I12" s="274">
        <v>398600000</v>
      </c>
      <c r="J12" s="265">
        <f>+IF(ISERROR(H12/I12),0,H12/I12)</f>
        <v>0.79799297541394887</v>
      </c>
      <c r="K12" s="134">
        <v>0.25</v>
      </c>
      <c r="L12" s="268">
        <f>+G12/(1+(J12)*(1-K12))</f>
        <v>0.59430912172766648</v>
      </c>
      <c r="N12" s="35" t="s">
        <v>711</v>
      </c>
      <c r="P12" s="269"/>
      <c r="Q12" s="270"/>
      <c r="R12" s="270"/>
      <c r="S12" s="270"/>
      <c r="T12" s="271"/>
      <c r="U12" s="272"/>
      <c r="V12" s="270"/>
    </row>
    <row r="13" spans="1:22" ht="12.75" customHeight="1">
      <c r="B13" s="10" t="s">
        <v>170</v>
      </c>
      <c r="C13" s="10"/>
      <c r="D13" s="134">
        <v>4.2000000000000003E-2</v>
      </c>
      <c r="F13" s="389" t="s">
        <v>171</v>
      </c>
      <c r="G13" s="266">
        <v>1.1000000000000001</v>
      </c>
      <c r="H13" s="274">
        <v>25490000</v>
      </c>
      <c r="I13" s="274">
        <v>56775000</v>
      </c>
      <c r="J13" s="265">
        <f>+IF(ISERROR(H13/I13),0,H13/I13)</f>
        <v>0.44896521356230734</v>
      </c>
      <c r="K13" s="134">
        <v>0.27500000000000002</v>
      </c>
      <c r="L13" s="268">
        <f>+G13/(1+(J13)*(1-K13))</f>
        <v>0.82987565651565842</v>
      </c>
      <c r="N13" s="275"/>
      <c r="P13" s="269"/>
      <c r="Q13" s="270"/>
      <c r="R13" s="270"/>
      <c r="S13" s="270"/>
      <c r="T13" s="271"/>
      <c r="U13" s="272"/>
      <c r="V13" s="270"/>
    </row>
    <row r="14" spans="1:22" ht="12" customHeight="1">
      <c r="B14" s="10" t="s">
        <v>71</v>
      </c>
      <c r="C14" s="10"/>
      <c r="D14" s="134">
        <v>0.27500000000000002</v>
      </c>
      <c r="F14" s="86"/>
      <c r="G14" s="276"/>
      <c r="H14" s="277"/>
      <c r="I14" s="277"/>
      <c r="J14" s="278"/>
      <c r="K14" s="279"/>
      <c r="L14" s="280"/>
      <c r="N14" s="35" t="s">
        <v>172</v>
      </c>
    </row>
    <row r="15" spans="1:22" ht="12.75" customHeight="1">
      <c r="B15" s="24" t="s">
        <v>173</v>
      </c>
      <c r="C15" s="24"/>
      <c r="D15" s="404">
        <f>+D13*(1-D14)</f>
        <v>3.0450000000000001E-2</v>
      </c>
      <c r="F15" s="281" t="s">
        <v>174</v>
      </c>
      <c r="G15" s="282">
        <f>AVERAGE(G9:G13)</f>
        <v>1.284</v>
      </c>
      <c r="H15" s="73"/>
      <c r="I15" s="73"/>
      <c r="J15" s="283">
        <f>AVERAGE(J9:J13)</f>
        <v>0.31819190160042365</v>
      </c>
      <c r="K15" s="73"/>
      <c r="L15" s="282">
        <f>AVERAGE(L9:L14)</f>
        <v>1.1075468915023237</v>
      </c>
    </row>
    <row r="16" spans="1:22" ht="12.75" customHeight="1">
      <c r="B16" s="24"/>
      <c r="C16" s="24"/>
      <c r="F16" s="281" t="s">
        <v>175</v>
      </c>
      <c r="G16" s="282">
        <f>MEDIAN(G9:G13)</f>
        <v>1.28</v>
      </c>
      <c r="H16" s="73"/>
      <c r="I16" s="73"/>
      <c r="J16" s="283">
        <f>MEDIAN(J9:J13)</f>
        <v>0.34207875166002655</v>
      </c>
      <c r="K16" s="73"/>
      <c r="L16" s="282">
        <f>MEDIAN(L9:L14)</f>
        <v>1.0256351948445233</v>
      </c>
    </row>
    <row r="18" spans="2:14" ht="12.75" customHeight="1">
      <c r="B18" s="260" t="s">
        <v>176</v>
      </c>
      <c r="C18" s="10"/>
      <c r="D18" s="10"/>
      <c r="E18" s="10"/>
      <c r="F18" s="161" t="s">
        <v>729</v>
      </c>
      <c r="G18" s="161"/>
      <c r="H18" s="161"/>
      <c r="I18" s="161"/>
      <c r="J18" s="161"/>
      <c r="K18" s="161"/>
      <c r="L18" s="161"/>
    </row>
    <row r="19" spans="2:14" ht="12.75" customHeight="1">
      <c r="B19" s="10" t="s">
        <v>177</v>
      </c>
      <c r="C19" s="10"/>
      <c r="D19" s="134">
        <v>4.2000000000000003E-2</v>
      </c>
      <c r="F19" s="10"/>
      <c r="G19" s="10"/>
      <c r="H19" s="10"/>
      <c r="I19" s="25" t="s">
        <v>178</v>
      </c>
      <c r="J19" s="25" t="s">
        <v>179</v>
      </c>
      <c r="K19" s="25" t="s">
        <v>179</v>
      </c>
      <c r="L19" s="10"/>
      <c r="N19" s="35" t="s">
        <v>180</v>
      </c>
    </row>
    <row r="20" spans="2:14" ht="12.75" customHeight="1">
      <c r="B20" s="10" t="s">
        <v>181</v>
      </c>
      <c r="C20" s="10"/>
      <c r="D20" s="134">
        <v>5.5E-2</v>
      </c>
      <c r="F20" s="10"/>
      <c r="G20" s="10"/>
      <c r="H20" s="10"/>
      <c r="I20" s="25" t="s">
        <v>155</v>
      </c>
      <c r="J20" s="25" t="s">
        <v>153</v>
      </c>
      <c r="K20" s="25" t="s">
        <v>154</v>
      </c>
      <c r="L20" s="25" t="s">
        <v>182</v>
      </c>
      <c r="N20" s="35" t="s">
        <v>183</v>
      </c>
    </row>
    <row r="21" spans="2:14" ht="12.75" customHeight="1">
      <c r="B21" s="10" t="s">
        <v>184</v>
      </c>
      <c r="C21" s="10"/>
      <c r="D21" s="268">
        <f>+L22</f>
        <v>1.3393324780744593</v>
      </c>
      <c r="F21" s="10"/>
      <c r="G21" s="10"/>
      <c r="H21" s="10"/>
      <c r="I21" s="262" t="s">
        <v>162</v>
      </c>
      <c r="J21" s="262" t="s">
        <v>161</v>
      </c>
      <c r="K21" s="262" t="s">
        <v>71</v>
      </c>
      <c r="L21" s="262" t="s">
        <v>162</v>
      </c>
    </row>
    <row r="22" spans="2:14" ht="12.75" customHeight="1">
      <c r="B22" s="22" t="s">
        <v>185</v>
      </c>
      <c r="D22" s="64">
        <v>8.0000000000000002E-3</v>
      </c>
      <c r="F22" s="24" t="s">
        <v>186</v>
      </c>
      <c r="G22" s="10"/>
      <c r="H22" s="10"/>
      <c r="I22" s="268">
        <f>L15</f>
        <v>1.1075468915023237</v>
      </c>
      <c r="J22" s="265">
        <f>D8/D9</f>
        <v>0.28865979381443296</v>
      </c>
      <c r="K22" s="265">
        <f>D14</f>
        <v>0.27500000000000002</v>
      </c>
      <c r="L22" s="284">
        <f>+I22*(1+(J22)*(1-K22))</f>
        <v>1.3393324780744593</v>
      </c>
      <c r="N22" s="35" t="s">
        <v>187</v>
      </c>
    </row>
    <row r="23" spans="2:14" ht="12.75" customHeight="1">
      <c r="B23" s="24" t="s">
        <v>188</v>
      </c>
      <c r="C23" s="10"/>
      <c r="D23" s="404">
        <f>+D19+(D21*D20)+D22</f>
        <v>0.12366328629409526</v>
      </c>
      <c r="F23" s="24"/>
      <c r="G23" s="10"/>
      <c r="H23" s="10"/>
      <c r="I23" s="285"/>
      <c r="J23" s="286"/>
      <c r="K23" s="286"/>
      <c r="L23" s="287"/>
    </row>
    <row r="24" spans="2:14" ht="12.75" customHeight="1">
      <c r="B24" s="24"/>
      <c r="C24" s="10"/>
      <c r="F24" s="288" t="s">
        <v>189</v>
      </c>
      <c r="G24" s="161"/>
      <c r="H24" s="161"/>
      <c r="I24" s="161"/>
      <c r="J24" s="161"/>
      <c r="K24" s="161"/>
      <c r="L24" s="161"/>
    </row>
    <row r="25" spans="2:14" ht="12.75" customHeight="1">
      <c r="B25" s="260"/>
      <c r="C25" s="10"/>
      <c r="D25" s="10"/>
      <c r="F25" s="86"/>
      <c r="H25" s="426" t="s">
        <v>190</v>
      </c>
      <c r="I25" s="426"/>
      <c r="J25" s="426"/>
      <c r="K25" s="426"/>
      <c r="L25" s="426"/>
    </row>
    <row r="26" spans="2:14" ht="12.75" customHeight="1">
      <c r="B26" s="24" t="s">
        <v>37</v>
      </c>
      <c r="C26" s="10"/>
      <c r="D26" s="404">
        <f>(D8*D15)+(D9*D23)</f>
        <v>0.10278351016421793</v>
      </c>
      <c r="F26" s="427" t="s">
        <v>156</v>
      </c>
      <c r="G26" s="99">
        <f>D26</f>
        <v>0.10278351016421793</v>
      </c>
      <c r="H26" s="289">
        <f>I26-0.005</f>
        <v>3.2000000000000008E-2</v>
      </c>
      <c r="I26" s="289">
        <f>J26-0.005</f>
        <v>3.7000000000000005E-2</v>
      </c>
      <c r="J26" s="290">
        <v>4.2000000000000003E-2</v>
      </c>
      <c r="K26" s="289">
        <f>J26+0.005</f>
        <v>4.7E-2</v>
      </c>
      <c r="L26" s="289">
        <f>K26+0.005</f>
        <v>5.1999999999999998E-2</v>
      </c>
    </row>
    <row r="27" spans="2:14" ht="12.75" customHeight="1">
      <c r="B27" s="291"/>
      <c r="C27" s="291"/>
      <c r="D27" s="291"/>
      <c r="F27" s="427"/>
      <c r="G27" s="103">
        <f>G28-0.1</f>
        <v>2.3999999999999994E-2</v>
      </c>
      <c r="H27" s="148">
        <f t="dataTable" ref="H27:L31" dt2D="1" dtr="1" r1="D8" r2="D13" ca="1"/>
        <v>0.10933582633714069</v>
      </c>
      <c r="I27" s="106">
        <v>0.10908906810347081</v>
      </c>
      <c r="J27" s="106">
        <v>0.10884230986980097</v>
      </c>
      <c r="K27" s="106">
        <v>0.10859555163613109</v>
      </c>
      <c r="L27" s="106">
        <v>0.10834879340246122</v>
      </c>
    </row>
    <row r="28" spans="2:14" ht="12.75" customHeight="1">
      <c r="F28" s="427"/>
      <c r="G28" s="103">
        <f>G29-0.1</f>
        <v>0.124</v>
      </c>
      <c r="H28" s="105">
        <v>0.10766542633714068</v>
      </c>
      <c r="I28" s="108">
        <v>0.10715766810347081</v>
      </c>
      <c r="J28" s="108">
        <v>0.10664990986980097</v>
      </c>
      <c r="K28" s="108">
        <v>0.1061421516361311</v>
      </c>
      <c r="L28" s="106">
        <v>0.10563439340246122</v>
      </c>
    </row>
    <row r="29" spans="2:14" ht="12.75" customHeight="1">
      <c r="F29" s="427"/>
      <c r="G29" s="109">
        <f>D8</f>
        <v>0.224</v>
      </c>
      <c r="H29" s="105">
        <v>0.10998542633714069</v>
      </c>
      <c r="I29" s="108">
        <v>0.10984016810347082</v>
      </c>
      <c r="J29" s="111">
        <v>0.10969490986980096</v>
      </c>
      <c r="K29" s="108">
        <v>0.10954965163613109</v>
      </c>
      <c r="L29" s="106">
        <v>0.10940439340246122</v>
      </c>
    </row>
    <row r="30" spans="2:14" ht="12.75" customHeight="1">
      <c r="F30" s="427"/>
      <c r="G30" s="103">
        <f>G29+0.1</f>
        <v>0.32400000000000001</v>
      </c>
      <c r="H30" s="105">
        <v>0.11230542633714069</v>
      </c>
      <c r="I30" s="108">
        <v>0.11252266810347081</v>
      </c>
      <c r="J30" s="108">
        <v>0.11273990986980097</v>
      </c>
      <c r="K30" s="108">
        <v>0.1129571516361311</v>
      </c>
      <c r="L30" s="106">
        <v>0.11317439340246122</v>
      </c>
    </row>
    <row r="31" spans="2:14" ht="12.75" customHeight="1">
      <c r="F31" s="427"/>
      <c r="G31" s="103">
        <f>G30+0.1</f>
        <v>0.42400000000000004</v>
      </c>
      <c r="H31" s="105">
        <v>0.11462542633714069</v>
      </c>
      <c r="I31" s="106">
        <v>0.11520516810347081</v>
      </c>
      <c r="J31" s="106">
        <v>0.11578490986980096</v>
      </c>
      <c r="K31" s="106">
        <v>0.11636465163613109</v>
      </c>
      <c r="L31" s="106">
        <v>0.11694439340246121</v>
      </c>
    </row>
    <row r="32" spans="2:14" ht="12" customHeight="1">
      <c r="B32" s="291"/>
      <c r="C32" s="291"/>
      <c r="D32" s="291"/>
    </row>
    <row r="33" spans="2:12" ht="12.75" customHeight="1">
      <c r="B33" s="22" t="s">
        <v>191</v>
      </c>
    </row>
    <row r="34" spans="2:12" ht="12.75" customHeight="1">
      <c r="B34" s="22" t="s">
        <v>192</v>
      </c>
    </row>
    <row r="35" spans="2:12" ht="12" customHeight="1">
      <c r="B35" s="22" t="s">
        <v>193</v>
      </c>
    </row>
    <row r="36" spans="2:12" ht="12.75" customHeight="1">
      <c r="B36" s="22" t="s">
        <v>194</v>
      </c>
      <c r="G36" s="289" t="s">
        <v>162</v>
      </c>
      <c r="H36" s="289" t="s">
        <v>46</v>
      </c>
      <c r="I36" s="289" t="s">
        <v>728</v>
      </c>
      <c r="J36"/>
      <c r="K36"/>
      <c r="L36"/>
    </row>
    <row r="37" spans="2:12">
      <c r="F37" s="427"/>
      <c r="G37">
        <f>G38-0.2</f>
        <v>0.88000000000000012</v>
      </c>
      <c r="H37" s="425">
        <v>9.9500000000000005E-2</v>
      </c>
      <c r="I37">
        <v>83.87</v>
      </c>
      <c r="J37"/>
      <c r="K37"/>
      <c r="L37"/>
    </row>
    <row r="38" spans="2:12" ht="12" customHeight="1">
      <c r="B38" s="259" t="s">
        <v>195</v>
      </c>
      <c r="F38" s="427"/>
      <c r="G38">
        <f>G39-0.2</f>
        <v>1.08</v>
      </c>
      <c r="H38" s="425">
        <v>0.1011</v>
      </c>
      <c r="I38">
        <v>83.1</v>
      </c>
      <c r="J38"/>
      <c r="K38"/>
      <c r="L38"/>
    </row>
    <row r="39" spans="2:12" ht="12" customHeight="1">
      <c r="B39" s="292" t="s">
        <v>196</v>
      </c>
      <c r="F39" s="427"/>
      <c r="G39">
        <v>1.28</v>
      </c>
      <c r="H39" s="425">
        <v>0.1028</v>
      </c>
      <c r="I39">
        <v>82.34</v>
      </c>
      <c r="J39"/>
      <c r="K39"/>
      <c r="L39"/>
    </row>
    <row r="40" spans="2:12" ht="12" customHeight="1">
      <c r="B40" s="292" t="s">
        <v>197</v>
      </c>
      <c r="F40" s="427"/>
      <c r="G40">
        <f>G39+0.2</f>
        <v>1.48</v>
      </c>
      <c r="H40" s="425">
        <v>0.10440000000000001</v>
      </c>
      <c r="I40">
        <v>81.58</v>
      </c>
      <c r="J40"/>
      <c r="K40"/>
      <c r="L40"/>
    </row>
    <row r="41" spans="2:12" ht="12" customHeight="1">
      <c r="B41" s="35" t="s">
        <v>198</v>
      </c>
      <c r="F41" s="427"/>
      <c r="G41">
        <f>G40+0.2</f>
        <v>1.68</v>
      </c>
      <c r="H41" s="425">
        <v>0.1061</v>
      </c>
      <c r="I41">
        <v>80.83</v>
      </c>
      <c r="J41"/>
      <c r="K41"/>
      <c r="L41"/>
    </row>
    <row r="42" spans="2:12">
      <c r="F42" s="427"/>
      <c r="G42"/>
      <c r="H42"/>
      <c r="I42"/>
      <c r="J42"/>
      <c r="K42"/>
      <c r="L42"/>
    </row>
    <row r="44" spans="2:12">
      <c r="H44" s="405"/>
    </row>
  </sheetData>
  <mergeCells count="3">
    <mergeCell ref="H25:L25"/>
    <mergeCell ref="F26:F31"/>
    <mergeCell ref="F37:F42"/>
  </mergeCells>
  <phoneticPr fontId="213" type="noConversion"/>
  <pageMargins left="0.75" right="0.75" top="1" bottom="1" header="0.511811023622047" footer="0.511811023622047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41"/>
  <sheetViews>
    <sheetView showGridLines="0" topLeftCell="A23" zoomScale="133" zoomScaleNormal="133" workbookViewId="0">
      <selection activeCell="P42" sqref="P42"/>
    </sheetView>
  </sheetViews>
  <sheetFormatPr baseColWidth="10" defaultColWidth="8.6640625" defaultRowHeight="13"/>
  <cols>
    <col min="1" max="1" width="0.83203125" customWidth="1"/>
    <col min="2" max="4" width="9.6640625" customWidth="1"/>
    <col min="5" max="5" width="9.6640625" style="293" customWidth="1"/>
    <col min="6" max="15" width="12.6640625" customWidth="1"/>
  </cols>
  <sheetData>
    <row r="1" spans="2:28" s="22" customFormat="1" ht="15" customHeight="1">
      <c r="B1" s="294" t="s">
        <v>199</v>
      </c>
      <c r="C1" s="294"/>
      <c r="D1" s="294"/>
      <c r="E1" s="295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59" t="s">
        <v>149</v>
      </c>
    </row>
    <row r="2" spans="2:28" s="22" customFormat="1" ht="12.75" customHeight="1">
      <c r="E2" s="204"/>
      <c r="F2" s="430" t="s">
        <v>13</v>
      </c>
      <c r="G2" s="430"/>
      <c r="H2" s="430"/>
      <c r="I2" s="430"/>
      <c r="J2" s="430"/>
      <c r="K2" s="430"/>
      <c r="L2" s="430"/>
      <c r="M2" s="430"/>
      <c r="N2" s="430"/>
      <c r="O2" s="430"/>
    </row>
    <row r="3" spans="2:28" s="22" customFormat="1" ht="12.75" customHeight="1">
      <c r="B3" s="79"/>
      <c r="E3" s="204"/>
      <c r="F3" s="296">
        <v>1</v>
      </c>
      <c r="G3" s="296">
        <v>2</v>
      </c>
      <c r="H3" s="296">
        <v>3</v>
      </c>
      <c r="I3" s="296">
        <v>4</v>
      </c>
      <c r="J3" s="296">
        <v>5</v>
      </c>
      <c r="K3" s="296">
        <v>6</v>
      </c>
      <c r="L3" s="296">
        <v>7</v>
      </c>
      <c r="M3" s="296">
        <v>8</v>
      </c>
      <c r="N3" s="296">
        <v>9</v>
      </c>
      <c r="O3" s="296">
        <v>10</v>
      </c>
    </row>
    <row r="4" spans="2:28" s="22" customFormat="1" ht="12.75" customHeight="1">
      <c r="B4" s="79"/>
      <c r="E4" s="204"/>
      <c r="F4" s="27">
        <f>+DCF!J6</f>
        <v>2025</v>
      </c>
      <c r="G4" s="30">
        <f>+DCF!K6</f>
        <v>2026</v>
      </c>
      <c r="H4" s="30">
        <f>+DCF!L6</f>
        <v>2027</v>
      </c>
      <c r="I4" s="30">
        <f>+DCF!M6</f>
        <v>2028</v>
      </c>
      <c r="J4" s="30">
        <f>+DCF!N6</f>
        <v>2029</v>
      </c>
      <c r="K4" s="30">
        <f>+J4+1</f>
        <v>2030</v>
      </c>
      <c r="L4" s="30">
        <f>+K4+1</f>
        <v>2031</v>
      </c>
      <c r="M4" s="30">
        <f>+L4+1</f>
        <v>2032</v>
      </c>
      <c r="N4" s="30">
        <f>+M4+1</f>
        <v>2033</v>
      </c>
      <c r="O4" s="30">
        <f>+N4+1</f>
        <v>2034</v>
      </c>
    </row>
    <row r="5" spans="2:28" ht="12.75" customHeight="1">
      <c r="B5" s="79"/>
      <c r="C5" s="22"/>
      <c r="D5" s="22"/>
      <c r="E5" s="204"/>
      <c r="F5" s="297"/>
      <c r="G5" s="297"/>
      <c r="H5" s="297"/>
      <c r="I5" s="297"/>
      <c r="J5" s="297"/>
      <c r="K5" s="297"/>
      <c r="L5" s="297"/>
      <c r="M5" s="297"/>
      <c r="N5" s="297"/>
      <c r="O5" s="297"/>
    </row>
    <row r="6" spans="2:28" s="22" customFormat="1" ht="12.75" customHeight="1">
      <c r="B6" s="21" t="s">
        <v>200</v>
      </c>
      <c r="E6" s="204"/>
      <c r="G6" s="297"/>
      <c r="H6" s="297"/>
      <c r="I6" s="297"/>
      <c r="J6" s="297"/>
      <c r="P6" s="35" t="s">
        <v>201</v>
      </c>
    </row>
    <row r="7" spans="2:28" ht="12" customHeight="1">
      <c r="B7" s="79" t="s">
        <v>66</v>
      </c>
      <c r="C7" s="22"/>
      <c r="D7" s="22"/>
      <c r="E7" s="204"/>
      <c r="F7" s="298">
        <f>CHOOSE(DCF!$D$4,F8,F9,F10,F11,F12)</f>
        <v>0.09</v>
      </c>
      <c r="G7" s="298">
        <f>CHOOSE(DCF!$D$4,G8,G9,G10,G11,G12)</f>
        <v>0.08</v>
      </c>
      <c r="H7" s="298">
        <f>CHOOSE(DCF!$D$4,H8,H9,H10,H11,H12)</f>
        <v>7.0000000000000007E-2</v>
      </c>
      <c r="I7" s="298">
        <f>CHOOSE(DCF!$D$4,I8,I9,I10,I11,I12)</f>
        <v>0.06</v>
      </c>
      <c r="J7" s="298">
        <f>CHOOSE(DCF!$D$4,J8,J9,J10,J11,J12)</f>
        <v>5.5E-2</v>
      </c>
      <c r="K7" s="298">
        <f>CHOOSE(DCF!$D$4,K8,K9,K10,K11,K12)</f>
        <v>5.5E-2</v>
      </c>
      <c r="L7" s="298">
        <f>CHOOSE(DCF!$D$4,L8,L9,L10,L11,L12)</f>
        <v>5.5E-2</v>
      </c>
      <c r="M7" s="298">
        <f>CHOOSE(DCF!$D$4,M8,M9,M10,M11,M12)</f>
        <v>5.5E-2</v>
      </c>
      <c r="N7" s="298">
        <f>CHOOSE(DCF!$D$4,N8,N9,N10,N11,N12)</f>
        <v>5.5E-2</v>
      </c>
      <c r="O7" s="298">
        <f>CHOOSE(DCF!$D$4,O8,O9,O10,O11,O12)</f>
        <v>5.5E-2</v>
      </c>
      <c r="P7" s="35" t="s">
        <v>722</v>
      </c>
    </row>
    <row r="8" spans="2:28" ht="12" customHeight="1">
      <c r="B8" s="79" t="s">
        <v>202</v>
      </c>
      <c r="C8" s="22"/>
      <c r="D8" s="22"/>
      <c r="E8" s="204">
        <v>1</v>
      </c>
      <c r="F8" s="299">
        <v>0.09</v>
      </c>
      <c r="G8" s="300">
        <v>0.08</v>
      </c>
      <c r="H8" s="300">
        <v>7.0000000000000007E-2</v>
      </c>
      <c r="I8" s="300">
        <v>0.06</v>
      </c>
      <c r="J8" s="300">
        <v>5.5E-2</v>
      </c>
      <c r="K8" s="301">
        <f t="shared" ref="K8:O12" si="0">+J8</f>
        <v>5.5E-2</v>
      </c>
      <c r="L8" s="301">
        <f t="shared" si="0"/>
        <v>5.5E-2</v>
      </c>
      <c r="M8" s="301">
        <f t="shared" si="0"/>
        <v>5.5E-2</v>
      </c>
      <c r="N8" s="301">
        <f t="shared" si="0"/>
        <v>5.5E-2</v>
      </c>
      <c r="O8" s="302">
        <f t="shared" si="0"/>
        <v>5.5E-2</v>
      </c>
      <c r="P8" s="434" t="s">
        <v>723</v>
      </c>
      <c r="Q8" s="435"/>
      <c r="R8" s="435"/>
      <c r="S8" s="435"/>
      <c r="T8" s="435"/>
      <c r="U8" s="435"/>
      <c r="V8" s="435"/>
      <c r="W8" s="435"/>
      <c r="X8" s="435"/>
      <c r="Y8" s="435"/>
      <c r="Z8" s="435"/>
      <c r="AA8" s="435"/>
      <c r="AB8" s="435"/>
    </row>
    <row r="9" spans="2:28" ht="12" customHeight="1">
      <c r="B9" s="79" t="s">
        <v>203</v>
      </c>
      <c r="C9" s="22"/>
      <c r="D9" s="22"/>
      <c r="E9" s="204">
        <v>2</v>
      </c>
      <c r="F9" s="303">
        <v>0.11</v>
      </c>
      <c r="G9" s="304">
        <v>9.5000000000000001E-2</v>
      </c>
      <c r="H9" s="304">
        <v>8.5000000000000006E-2</v>
      </c>
      <c r="I9" s="304">
        <v>7.4999999999999997E-2</v>
      </c>
      <c r="J9" s="304">
        <v>6.5000000000000002E-2</v>
      </c>
      <c r="K9" s="305">
        <f t="shared" si="0"/>
        <v>6.5000000000000002E-2</v>
      </c>
      <c r="L9" s="305">
        <f t="shared" si="0"/>
        <v>6.5000000000000002E-2</v>
      </c>
      <c r="M9" s="305">
        <f t="shared" si="0"/>
        <v>6.5000000000000002E-2</v>
      </c>
      <c r="N9" s="305">
        <f t="shared" si="0"/>
        <v>6.5000000000000002E-2</v>
      </c>
      <c r="O9" s="306">
        <f t="shared" si="0"/>
        <v>6.5000000000000002E-2</v>
      </c>
      <c r="P9" s="434"/>
      <c r="Q9" s="435"/>
      <c r="R9" s="435"/>
      <c r="S9" s="435"/>
      <c r="T9" s="435"/>
      <c r="U9" s="435"/>
      <c r="V9" s="435"/>
      <c r="W9" s="435"/>
      <c r="X9" s="435"/>
      <c r="Y9" s="435"/>
      <c r="Z9" s="435"/>
      <c r="AA9" s="435"/>
      <c r="AB9" s="435"/>
    </row>
    <row r="10" spans="2:28" ht="12" customHeight="1">
      <c r="B10" s="79" t="s">
        <v>204</v>
      </c>
      <c r="C10" s="22"/>
      <c r="D10" s="22"/>
      <c r="E10" s="204">
        <v>3</v>
      </c>
      <c r="F10" s="303">
        <v>0.12</v>
      </c>
      <c r="G10" s="304">
        <v>0.105</v>
      </c>
      <c r="H10" s="304">
        <v>9.5000000000000001E-2</v>
      </c>
      <c r="I10" s="304">
        <v>8.5000000000000006E-2</v>
      </c>
      <c r="J10" s="304">
        <v>7.4999999999999997E-2</v>
      </c>
      <c r="K10" s="305">
        <f t="shared" si="0"/>
        <v>7.4999999999999997E-2</v>
      </c>
      <c r="L10" s="305">
        <f t="shared" si="0"/>
        <v>7.4999999999999997E-2</v>
      </c>
      <c r="M10" s="305">
        <f t="shared" si="0"/>
        <v>7.4999999999999997E-2</v>
      </c>
      <c r="N10" s="305">
        <f t="shared" si="0"/>
        <v>7.4999999999999997E-2</v>
      </c>
      <c r="O10" s="306">
        <f t="shared" si="0"/>
        <v>7.4999999999999997E-2</v>
      </c>
      <c r="P10" s="434"/>
      <c r="Q10" s="435"/>
      <c r="R10" s="435"/>
      <c r="S10" s="435"/>
      <c r="T10" s="435"/>
      <c r="U10" s="435"/>
      <c r="V10" s="435"/>
      <c r="W10" s="435"/>
      <c r="X10" s="435"/>
      <c r="Y10" s="435"/>
      <c r="Z10" s="435"/>
      <c r="AA10" s="435"/>
      <c r="AB10" s="435"/>
    </row>
    <row r="11" spans="2:28" ht="12" customHeight="1">
      <c r="B11" s="79" t="s">
        <v>205</v>
      </c>
      <c r="C11" s="22"/>
      <c r="D11" s="22"/>
      <c r="E11" s="204">
        <v>4</v>
      </c>
      <c r="F11" s="303">
        <v>6.5000000000000002E-2</v>
      </c>
      <c r="G11" s="304">
        <v>5.5E-2</v>
      </c>
      <c r="H11" s="304">
        <v>4.4999999999999998E-2</v>
      </c>
      <c r="I11" s="304">
        <v>0.04</v>
      </c>
      <c r="J11" s="304">
        <v>3.5000000000000003E-2</v>
      </c>
      <c r="K11" s="305">
        <f t="shared" si="0"/>
        <v>3.5000000000000003E-2</v>
      </c>
      <c r="L11" s="305">
        <f t="shared" si="0"/>
        <v>3.5000000000000003E-2</v>
      </c>
      <c r="M11" s="305">
        <f t="shared" si="0"/>
        <v>3.5000000000000003E-2</v>
      </c>
      <c r="N11" s="305">
        <f t="shared" si="0"/>
        <v>3.5000000000000003E-2</v>
      </c>
      <c r="O11" s="306">
        <f t="shared" si="0"/>
        <v>3.5000000000000003E-2</v>
      </c>
      <c r="P11" s="434"/>
      <c r="Q11" s="435"/>
      <c r="R11" s="435"/>
      <c r="S11" s="435"/>
      <c r="T11" s="435"/>
      <c r="U11" s="435"/>
      <c r="V11" s="435"/>
      <c r="W11" s="435"/>
      <c r="X11" s="435"/>
      <c r="Y11" s="435"/>
      <c r="Z11" s="435"/>
      <c r="AA11" s="435"/>
      <c r="AB11" s="435"/>
    </row>
    <row r="12" spans="2:28" ht="12" customHeight="1">
      <c r="B12" s="79" t="s">
        <v>206</v>
      </c>
      <c r="C12" s="22"/>
      <c r="D12" s="22"/>
      <c r="E12" s="204">
        <v>5</v>
      </c>
      <c r="F12" s="307">
        <v>0.04</v>
      </c>
      <c r="G12" s="308">
        <v>0.03</v>
      </c>
      <c r="H12" s="308">
        <v>2.5000000000000001E-2</v>
      </c>
      <c r="I12" s="308">
        <v>0.02</v>
      </c>
      <c r="J12" s="308">
        <v>0.02</v>
      </c>
      <c r="K12" s="309">
        <f t="shared" si="0"/>
        <v>0.02</v>
      </c>
      <c r="L12" s="309">
        <f t="shared" si="0"/>
        <v>0.02</v>
      </c>
      <c r="M12" s="309">
        <f t="shared" si="0"/>
        <v>0.02</v>
      </c>
      <c r="N12" s="309">
        <f t="shared" si="0"/>
        <v>0.02</v>
      </c>
      <c r="O12" s="310">
        <f t="shared" si="0"/>
        <v>0.02</v>
      </c>
      <c r="P12" s="434"/>
      <c r="Q12" s="435"/>
      <c r="R12" s="435"/>
      <c r="S12" s="435"/>
      <c r="T12" s="435"/>
      <c r="U12" s="435"/>
      <c r="V12" s="435"/>
      <c r="W12" s="435"/>
      <c r="X12" s="435"/>
      <c r="Y12" s="435"/>
      <c r="Z12" s="435"/>
      <c r="AA12" s="435"/>
      <c r="AB12" s="435"/>
    </row>
    <row r="13" spans="2:28" ht="12" customHeight="1">
      <c r="B13" s="79"/>
      <c r="C13" s="22"/>
      <c r="D13" s="22"/>
      <c r="E13" s="204"/>
      <c r="F13" s="311"/>
      <c r="G13" s="311"/>
      <c r="H13" s="311"/>
      <c r="I13" s="311"/>
      <c r="J13" s="311"/>
      <c r="K13" s="311"/>
      <c r="L13" s="311"/>
      <c r="M13" s="311"/>
      <c r="N13" s="311"/>
      <c r="O13" s="311"/>
    </row>
    <row r="14" spans="2:28" ht="12" customHeight="1">
      <c r="B14" s="79" t="s">
        <v>207</v>
      </c>
      <c r="C14" s="22"/>
      <c r="D14" s="22"/>
      <c r="E14" s="204"/>
      <c r="F14" s="298">
        <f>CHOOSE(DCF!$D$4,F15,F16,F17,F18,F19)</f>
        <v>0.47799999999999998</v>
      </c>
      <c r="G14" s="298">
        <f>CHOOSE(DCF!$D$4,G15,G16,G17,G18,G19)</f>
        <v>0.47599999999999998</v>
      </c>
      <c r="H14" s="298">
        <f>CHOOSE(DCF!$D$4,H15,H16,H17,H18,H19)</f>
        <v>0.47399999999999998</v>
      </c>
      <c r="I14" s="298">
        <f>CHOOSE(DCF!$D$4,I15,I16,I17,I18,I19)</f>
        <v>0.47199999999999998</v>
      </c>
      <c r="J14" s="298">
        <f>CHOOSE(DCF!$D$4,J15,J16,J17,J18,J19)</f>
        <v>0.47</v>
      </c>
      <c r="K14" s="298">
        <f>CHOOSE(DCF!$D$4,K15,K16,K17,K18,K19)</f>
        <v>0.47</v>
      </c>
      <c r="L14" s="298">
        <f>CHOOSE(DCF!$D$4,L15,L16,L17,L18,L19)</f>
        <v>0.47</v>
      </c>
      <c r="M14" s="298">
        <f>CHOOSE(DCF!$D$4,M15,M16,M17,M18,M19)</f>
        <v>0.47</v>
      </c>
      <c r="N14" s="298">
        <f>CHOOSE(DCF!$D$4,N15,N16,N17,N18,N19)</f>
        <v>0.47</v>
      </c>
      <c r="O14" s="298">
        <f>CHOOSE(DCF!$D$4,O15,O16,O17,O18,O19)</f>
        <v>0.47</v>
      </c>
      <c r="P14" s="35" t="s">
        <v>208</v>
      </c>
    </row>
    <row r="15" spans="2:28" ht="12" customHeight="1">
      <c r="B15" s="79" t="s">
        <v>202</v>
      </c>
      <c r="C15" s="22"/>
      <c r="D15" s="22"/>
      <c r="E15" s="204">
        <v>1</v>
      </c>
      <c r="F15" s="299">
        <v>0.47799999999999998</v>
      </c>
      <c r="G15" s="300">
        <v>0.47599999999999998</v>
      </c>
      <c r="H15" s="300">
        <v>0.47399999999999998</v>
      </c>
      <c r="I15" s="300">
        <v>0.47199999999999998</v>
      </c>
      <c r="J15" s="300">
        <v>0.47</v>
      </c>
      <c r="K15" s="301">
        <f t="shared" ref="K15:O19" si="1">+J15</f>
        <v>0.47</v>
      </c>
      <c r="L15" s="301">
        <f t="shared" si="1"/>
        <v>0.47</v>
      </c>
      <c r="M15" s="301">
        <f t="shared" si="1"/>
        <v>0.47</v>
      </c>
      <c r="N15" s="301">
        <f t="shared" si="1"/>
        <v>0.47</v>
      </c>
      <c r="O15" s="302">
        <f t="shared" si="1"/>
        <v>0.47</v>
      </c>
      <c r="P15" s="434" t="s">
        <v>724</v>
      </c>
      <c r="Q15" s="435"/>
      <c r="R15" s="435"/>
      <c r="S15" s="435"/>
      <c r="T15" s="435"/>
      <c r="U15" s="435"/>
      <c r="V15" s="435"/>
      <c r="W15" s="435"/>
      <c r="X15" s="435"/>
      <c r="Y15" s="435"/>
      <c r="Z15" s="435"/>
      <c r="AA15" s="435"/>
      <c r="AB15" s="435"/>
    </row>
    <row r="16" spans="2:28" ht="12" customHeight="1">
      <c r="B16" s="79" t="s">
        <v>203</v>
      </c>
      <c r="C16" s="22"/>
      <c r="D16" s="22"/>
      <c r="E16" s="204">
        <v>2</v>
      </c>
      <c r="F16" s="303">
        <v>0.47</v>
      </c>
      <c r="G16" s="304">
        <v>0.46500000000000002</v>
      </c>
      <c r="H16" s="304">
        <v>0.46</v>
      </c>
      <c r="I16" s="304">
        <v>0.45500000000000002</v>
      </c>
      <c r="J16" s="304">
        <v>0.45</v>
      </c>
      <c r="K16" s="305">
        <f t="shared" si="1"/>
        <v>0.45</v>
      </c>
      <c r="L16" s="305">
        <f t="shared" si="1"/>
        <v>0.45</v>
      </c>
      <c r="M16" s="305">
        <f t="shared" si="1"/>
        <v>0.45</v>
      </c>
      <c r="N16" s="305">
        <f t="shared" si="1"/>
        <v>0.45</v>
      </c>
      <c r="O16" s="306">
        <f t="shared" si="1"/>
        <v>0.45</v>
      </c>
      <c r="P16" s="434"/>
      <c r="Q16" s="435"/>
      <c r="R16" s="435"/>
      <c r="S16" s="435"/>
      <c r="T16" s="435"/>
      <c r="U16" s="435"/>
      <c r="V16" s="435"/>
      <c r="W16" s="435"/>
      <c r="X16" s="435"/>
      <c r="Y16" s="435"/>
      <c r="Z16" s="435"/>
      <c r="AA16" s="435"/>
      <c r="AB16" s="435"/>
    </row>
    <row r="17" spans="2:28" ht="12" customHeight="1">
      <c r="B17" s="79" t="s">
        <v>204</v>
      </c>
      <c r="C17" s="22"/>
      <c r="D17" s="22"/>
      <c r="E17" s="204">
        <v>3</v>
      </c>
      <c r="F17" s="303">
        <v>0.46500000000000002</v>
      </c>
      <c r="G17" s="304">
        <v>0.45800000000000002</v>
      </c>
      <c r="H17" s="304">
        <v>0.45200000000000001</v>
      </c>
      <c r="I17" s="304">
        <v>0.44600000000000001</v>
      </c>
      <c r="J17" s="304">
        <v>0.44</v>
      </c>
      <c r="K17" s="305">
        <f t="shared" si="1"/>
        <v>0.44</v>
      </c>
      <c r="L17" s="305">
        <f t="shared" si="1"/>
        <v>0.44</v>
      </c>
      <c r="M17" s="305">
        <f t="shared" si="1"/>
        <v>0.44</v>
      </c>
      <c r="N17" s="305">
        <f t="shared" si="1"/>
        <v>0.44</v>
      </c>
      <c r="O17" s="306">
        <f t="shared" si="1"/>
        <v>0.44</v>
      </c>
      <c r="P17" s="434"/>
      <c r="Q17" s="435"/>
      <c r="R17" s="435"/>
      <c r="S17" s="435"/>
      <c r="T17" s="435"/>
      <c r="U17" s="435"/>
      <c r="V17" s="435"/>
      <c r="W17" s="435"/>
      <c r="X17" s="435"/>
      <c r="Y17" s="435"/>
      <c r="Z17" s="435"/>
      <c r="AA17" s="435"/>
      <c r="AB17" s="435"/>
    </row>
    <row r="18" spans="2:28" ht="12" customHeight="1">
      <c r="B18" s="79" t="s">
        <v>205</v>
      </c>
      <c r="C18" s="22"/>
      <c r="D18" s="22"/>
      <c r="E18" s="204">
        <v>4</v>
      </c>
      <c r="F18" s="303">
        <v>0.48499999999999999</v>
      </c>
      <c r="G18" s="304">
        <v>0.48699999999999999</v>
      </c>
      <c r="H18" s="304">
        <v>0.49</v>
      </c>
      <c r="I18" s="304">
        <v>0.49199999999999999</v>
      </c>
      <c r="J18" s="304">
        <v>0.495</v>
      </c>
      <c r="K18" s="305">
        <f t="shared" si="1"/>
        <v>0.495</v>
      </c>
      <c r="L18" s="305">
        <f t="shared" si="1"/>
        <v>0.495</v>
      </c>
      <c r="M18" s="305">
        <f t="shared" si="1"/>
        <v>0.495</v>
      </c>
      <c r="N18" s="305">
        <f t="shared" si="1"/>
        <v>0.495</v>
      </c>
      <c r="O18" s="306">
        <f t="shared" si="1"/>
        <v>0.495</v>
      </c>
      <c r="P18" s="434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5"/>
    </row>
    <row r="19" spans="2:28" ht="12" customHeight="1">
      <c r="B19" s="79" t="s">
        <v>206</v>
      </c>
      <c r="C19" s="22"/>
      <c r="D19" s="22"/>
      <c r="E19" s="204">
        <v>5</v>
      </c>
      <c r="F19" s="307">
        <v>0.49199999999999999</v>
      </c>
      <c r="G19" s="308">
        <v>0.495</v>
      </c>
      <c r="H19" s="308">
        <v>0.498</v>
      </c>
      <c r="I19" s="308">
        <v>0.5</v>
      </c>
      <c r="J19" s="308">
        <v>0.502</v>
      </c>
      <c r="K19" s="309">
        <f t="shared" si="1"/>
        <v>0.502</v>
      </c>
      <c r="L19" s="309">
        <f t="shared" si="1"/>
        <v>0.502</v>
      </c>
      <c r="M19" s="309">
        <f t="shared" si="1"/>
        <v>0.502</v>
      </c>
      <c r="N19" s="309">
        <f t="shared" si="1"/>
        <v>0.502</v>
      </c>
      <c r="O19" s="310">
        <f t="shared" si="1"/>
        <v>0.502</v>
      </c>
      <c r="P19" s="434"/>
      <c r="Q19" s="435"/>
      <c r="R19" s="435"/>
      <c r="S19" s="435"/>
      <c r="T19" s="435"/>
      <c r="U19" s="435"/>
      <c r="V19" s="435"/>
      <c r="W19" s="435"/>
      <c r="X19" s="435"/>
      <c r="Y19" s="435"/>
      <c r="Z19" s="435"/>
      <c r="AA19" s="435"/>
      <c r="AB19" s="435"/>
    </row>
    <row r="20" spans="2:28" ht="12" customHeight="1">
      <c r="B20" s="79"/>
      <c r="C20" s="22"/>
      <c r="D20" s="22"/>
      <c r="E20" s="204"/>
      <c r="F20" s="311"/>
      <c r="G20" s="311"/>
      <c r="H20" s="311"/>
      <c r="I20" s="311"/>
      <c r="J20" s="311"/>
      <c r="K20" s="311"/>
      <c r="L20" s="311"/>
      <c r="M20" s="311"/>
      <c r="N20" s="311"/>
      <c r="O20" s="311"/>
    </row>
    <row r="21" spans="2:28" ht="12" customHeight="1">
      <c r="B21" s="79" t="s">
        <v>68</v>
      </c>
      <c r="C21" s="22"/>
      <c r="D21" s="22"/>
      <c r="E21" s="204"/>
      <c r="F21" s="298">
        <f>CHOOSE(DCF!$D$4,F22,F23,F24,F25,F26)</f>
        <v>0.108</v>
      </c>
      <c r="G21" s="298">
        <f>CHOOSE(DCF!$D$4,G22,G23,G24,G25,G26)</f>
        <v>0.106</v>
      </c>
      <c r="H21" s="298">
        <f>CHOOSE(DCF!$D$4,H22,H23,H24,H25,H26)</f>
        <v>0.104</v>
      </c>
      <c r="I21" s="298">
        <f>CHOOSE(DCF!$D$4,I22,I23,I24,I25,I26)</f>
        <v>0.10199999999999999</v>
      </c>
      <c r="J21" s="298">
        <f>CHOOSE(DCF!$D$4,J22,J23,J24,J25,J26)</f>
        <v>0.1</v>
      </c>
      <c r="K21" s="298">
        <f>CHOOSE(DCF!$D$4,K22,K23,K24,K25,K26)</f>
        <v>0.1</v>
      </c>
      <c r="L21" s="298">
        <f>CHOOSE(DCF!$D$4,L22,L23,L24,L25,L26)</f>
        <v>0.1</v>
      </c>
      <c r="M21" s="298">
        <f>CHOOSE(DCF!$D$4,M22,M23,M24,M25,M26)</f>
        <v>0.1</v>
      </c>
      <c r="N21" s="298">
        <f>CHOOSE(DCF!$D$4,N22,N23,N24,N25,N26)</f>
        <v>0.1</v>
      </c>
      <c r="O21" s="298">
        <f>CHOOSE(DCF!$D$4,O22,O23,O24,O25,O26)</f>
        <v>0.1</v>
      </c>
      <c r="P21" s="35" t="s">
        <v>209</v>
      </c>
    </row>
    <row r="22" spans="2:28" ht="12" customHeight="1">
      <c r="B22" s="79" t="s">
        <v>202</v>
      </c>
      <c r="C22" s="22"/>
      <c r="D22" s="22"/>
      <c r="E22" s="204">
        <v>1</v>
      </c>
      <c r="F22" s="299">
        <v>0.108</v>
      </c>
      <c r="G22" s="300">
        <v>0.106</v>
      </c>
      <c r="H22" s="300">
        <v>0.104</v>
      </c>
      <c r="I22" s="300">
        <v>0.10199999999999999</v>
      </c>
      <c r="J22" s="300">
        <v>0.1</v>
      </c>
      <c r="K22" s="301">
        <f t="shared" ref="K22:O26" si="2">+J22</f>
        <v>0.1</v>
      </c>
      <c r="L22" s="301">
        <f t="shared" si="2"/>
        <v>0.1</v>
      </c>
      <c r="M22" s="301">
        <f t="shared" si="2"/>
        <v>0.1</v>
      </c>
      <c r="N22" s="301">
        <f t="shared" si="2"/>
        <v>0.1</v>
      </c>
      <c r="O22" s="302">
        <f t="shared" si="2"/>
        <v>0.1</v>
      </c>
      <c r="P22" s="434" t="s">
        <v>725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</row>
    <row r="23" spans="2:28" ht="12" customHeight="1">
      <c r="B23" s="79" t="s">
        <v>203</v>
      </c>
      <c r="C23" s="22"/>
      <c r="D23" s="22"/>
      <c r="E23" s="204">
        <v>2</v>
      </c>
      <c r="F23" s="303">
        <v>0.105</v>
      </c>
      <c r="G23" s="304">
        <v>0.10199999999999999</v>
      </c>
      <c r="H23" s="304">
        <v>9.9000000000000005E-2</v>
      </c>
      <c r="I23" s="304">
        <v>9.6000000000000002E-2</v>
      </c>
      <c r="J23" s="304">
        <v>9.2999999999999999E-2</v>
      </c>
      <c r="K23" s="305">
        <f t="shared" si="2"/>
        <v>9.2999999999999999E-2</v>
      </c>
      <c r="L23" s="305">
        <f t="shared" si="2"/>
        <v>9.2999999999999999E-2</v>
      </c>
      <c r="M23" s="305">
        <f t="shared" si="2"/>
        <v>9.2999999999999999E-2</v>
      </c>
      <c r="N23" s="305">
        <f t="shared" si="2"/>
        <v>9.2999999999999999E-2</v>
      </c>
      <c r="O23" s="306">
        <f t="shared" si="2"/>
        <v>9.2999999999999999E-2</v>
      </c>
      <c r="P23" s="434"/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</row>
    <row r="24" spans="2:28" ht="12" customHeight="1">
      <c r="B24" s="79" t="s">
        <v>204</v>
      </c>
      <c r="C24" s="22"/>
      <c r="D24" s="22"/>
      <c r="E24" s="204">
        <v>3</v>
      </c>
      <c r="F24" s="303">
        <v>0.1</v>
      </c>
      <c r="G24" s="304">
        <v>9.7000000000000003E-2</v>
      </c>
      <c r="H24" s="304">
        <v>9.4E-2</v>
      </c>
      <c r="I24" s="304">
        <v>9.0999999999999998E-2</v>
      </c>
      <c r="J24" s="304">
        <v>8.7999999999999995E-2</v>
      </c>
      <c r="K24" s="305">
        <f t="shared" si="2"/>
        <v>8.7999999999999995E-2</v>
      </c>
      <c r="L24" s="305">
        <f t="shared" si="2"/>
        <v>8.7999999999999995E-2</v>
      </c>
      <c r="M24" s="305">
        <f t="shared" si="2"/>
        <v>8.7999999999999995E-2</v>
      </c>
      <c r="N24" s="305">
        <f t="shared" si="2"/>
        <v>8.7999999999999995E-2</v>
      </c>
      <c r="O24" s="306">
        <f t="shared" si="2"/>
        <v>8.7999999999999995E-2</v>
      </c>
      <c r="P24" s="434"/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</row>
    <row r="25" spans="2:28" ht="12" customHeight="1">
      <c r="B25" s="79" t="s">
        <v>205</v>
      </c>
      <c r="C25" s="22"/>
      <c r="D25" s="22"/>
      <c r="E25" s="204">
        <v>4</v>
      </c>
      <c r="F25" s="303">
        <v>0.112</v>
      </c>
      <c r="G25" s="304">
        <v>0.114</v>
      </c>
      <c r="H25" s="304">
        <v>0.115</v>
      </c>
      <c r="I25" s="304">
        <v>0.11600000000000001</v>
      </c>
      <c r="J25" s="304">
        <v>0.11700000000000001</v>
      </c>
      <c r="K25" s="305">
        <f t="shared" si="2"/>
        <v>0.11700000000000001</v>
      </c>
      <c r="L25" s="305">
        <f t="shared" si="2"/>
        <v>0.11700000000000001</v>
      </c>
      <c r="M25" s="305">
        <f t="shared" si="2"/>
        <v>0.11700000000000001</v>
      </c>
      <c r="N25" s="305">
        <f t="shared" si="2"/>
        <v>0.11700000000000001</v>
      </c>
      <c r="O25" s="306">
        <f t="shared" si="2"/>
        <v>0.11700000000000001</v>
      </c>
      <c r="P25" s="434"/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</row>
    <row r="26" spans="2:28" ht="12" customHeight="1">
      <c r="B26" s="79" t="s">
        <v>206</v>
      </c>
      <c r="C26" s="22"/>
      <c r="D26" s="22"/>
      <c r="E26" s="204">
        <v>5</v>
      </c>
      <c r="F26" s="307">
        <v>0.11799999999999999</v>
      </c>
      <c r="G26" s="308">
        <v>0.12</v>
      </c>
      <c r="H26" s="308">
        <v>0.122</v>
      </c>
      <c r="I26" s="308">
        <v>0.124</v>
      </c>
      <c r="J26" s="308">
        <v>0.125</v>
      </c>
      <c r="K26" s="309">
        <f t="shared" si="2"/>
        <v>0.125</v>
      </c>
      <c r="L26" s="309">
        <f t="shared" si="2"/>
        <v>0.125</v>
      </c>
      <c r="M26" s="309">
        <f t="shared" si="2"/>
        <v>0.125</v>
      </c>
      <c r="N26" s="309">
        <f t="shared" si="2"/>
        <v>0.125</v>
      </c>
      <c r="O26" s="310">
        <f t="shared" si="2"/>
        <v>0.125</v>
      </c>
      <c r="P26" s="434"/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</row>
    <row r="27" spans="2:28" ht="12" customHeight="1">
      <c r="B27" s="79"/>
      <c r="C27" s="22"/>
      <c r="D27" s="22"/>
      <c r="E27" s="204"/>
      <c r="F27" s="311"/>
      <c r="G27" s="311"/>
      <c r="H27" s="311"/>
      <c r="I27" s="311"/>
      <c r="J27" s="311"/>
      <c r="K27" s="311"/>
      <c r="L27" s="311"/>
      <c r="M27" s="311"/>
      <c r="N27" s="311"/>
      <c r="O27" s="311"/>
    </row>
    <row r="28" spans="2:28" ht="12" customHeight="1">
      <c r="B28" s="79" t="s">
        <v>69</v>
      </c>
      <c r="C28" s="22"/>
      <c r="D28" s="22"/>
      <c r="E28" s="204"/>
      <c r="F28" s="298">
        <f>CHOOSE(DCF!$D$4,F29,F30,F31,F32,F33)</f>
        <v>0.13500000000000001</v>
      </c>
      <c r="G28" s="298">
        <f>CHOOSE(DCF!$D$4,G29,G30,G31,G32,G33)</f>
        <v>0.13300000000000001</v>
      </c>
      <c r="H28" s="298">
        <f>CHOOSE(DCF!$D$4,H29,H30,H31,H32,H33)</f>
        <v>0.13100000000000001</v>
      </c>
      <c r="I28" s="298">
        <f>CHOOSE(DCF!$D$4,I29,I30,I31,I32,I33)</f>
        <v>0.129</v>
      </c>
      <c r="J28" s="298">
        <f>CHOOSE(DCF!$D$4,J29,J30,J31,J32,J33)</f>
        <v>0.127</v>
      </c>
      <c r="K28" s="298">
        <f>CHOOSE(DCF!$D$4,K29,K30,K31,K32,K33)</f>
        <v>0.127</v>
      </c>
      <c r="L28" s="298">
        <f>CHOOSE(DCF!$D$4,L29,L30,L31,L32,L33)</f>
        <v>0.127</v>
      </c>
      <c r="M28" s="298">
        <f>CHOOSE(DCF!$D$4,M29,M30,M31,M32,M33)</f>
        <v>0.127</v>
      </c>
      <c r="N28" s="298">
        <f>CHOOSE(DCF!$D$4,N29,N30,N31,N32,N33)</f>
        <v>0.127</v>
      </c>
      <c r="O28" s="298">
        <f>CHOOSE(DCF!$D$4,O29,O30,O31,O32,O33)</f>
        <v>0.127</v>
      </c>
      <c r="P28" s="35" t="s">
        <v>210</v>
      </c>
    </row>
    <row r="29" spans="2:28" ht="12" customHeight="1">
      <c r="B29" s="79" t="s">
        <v>202</v>
      </c>
      <c r="C29" s="22"/>
      <c r="D29" s="22"/>
      <c r="E29" s="204">
        <v>1</v>
      </c>
      <c r="F29" s="299">
        <v>0.13500000000000001</v>
      </c>
      <c r="G29" s="300">
        <v>0.13300000000000001</v>
      </c>
      <c r="H29" s="300">
        <v>0.13100000000000001</v>
      </c>
      <c r="I29" s="300">
        <v>0.129</v>
      </c>
      <c r="J29" s="300">
        <v>0.127</v>
      </c>
      <c r="K29" s="301">
        <f t="shared" ref="K29:O33" si="3">+J29</f>
        <v>0.127</v>
      </c>
      <c r="L29" s="301">
        <f t="shared" si="3"/>
        <v>0.127</v>
      </c>
      <c r="M29" s="301">
        <f t="shared" si="3"/>
        <v>0.127</v>
      </c>
      <c r="N29" s="301">
        <f t="shared" si="3"/>
        <v>0.127</v>
      </c>
      <c r="O29" s="302">
        <f t="shared" si="3"/>
        <v>0.127</v>
      </c>
      <c r="P29" s="434" t="s">
        <v>726</v>
      </c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</row>
    <row r="30" spans="2:28" ht="12" customHeight="1">
      <c r="B30" s="79" t="s">
        <v>203</v>
      </c>
      <c r="C30" s="22"/>
      <c r="D30" s="22"/>
      <c r="E30" s="204">
        <v>2</v>
      </c>
      <c r="F30" s="303">
        <v>0.13</v>
      </c>
      <c r="G30" s="304">
        <v>0.128</v>
      </c>
      <c r="H30" s="304">
        <v>0.126</v>
      </c>
      <c r="I30" s="304">
        <v>0.124</v>
      </c>
      <c r="J30" s="304">
        <v>0.122</v>
      </c>
      <c r="K30" s="305">
        <f t="shared" si="3"/>
        <v>0.122</v>
      </c>
      <c r="L30" s="305">
        <f t="shared" si="3"/>
        <v>0.122</v>
      </c>
      <c r="M30" s="305">
        <f t="shared" si="3"/>
        <v>0.122</v>
      </c>
      <c r="N30" s="305">
        <f t="shared" si="3"/>
        <v>0.122</v>
      </c>
      <c r="O30" s="306">
        <f t="shared" si="3"/>
        <v>0.122</v>
      </c>
      <c r="P30" s="434"/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</row>
    <row r="31" spans="2:28" ht="12" customHeight="1">
      <c r="B31" s="79" t="s">
        <v>204</v>
      </c>
      <c r="C31" s="22"/>
      <c r="D31" s="22"/>
      <c r="E31" s="204">
        <v>3</v>
      </c>
      <c r="F31" s="303">
        <v>0.128</v>
      </c>
      <c r="G31" s="304">
        <v>0.125</v>
      </c>
      <c r="H31" s="304">
        <v>0.122</v>
      </c>
      <c r="I31" s="304">
        <v>0.12</v>
      </c>
      <c r="J31" s="304">
        <v>0.11799999999999999</v>
      </c>
      <c r="K31" s="305">
        <f t="shared" si="3"/>
        <v>0.11799999999999999</v>
      </c>
      <c r="L31" s="305">
        <f t="shared" si="3"/>
        <v>0.11799999999999999</v>
      </c>
      <c r="M31" s="305">
        <f t="shared" si="3"/>
        <v>0.11799999999999999</v>
      </c>
      <c r="N31" s="305">
        <f t="shared" si="3"/>
        <v>0.11799999999999999</v>
      </c>
      <c r="O31" s="306">
        <f t="shared" si="3"/>
        <v>0.11799999999999999</v>
      </c>
      <c r="P31" s="434"/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</row>
    <row r="32" spans="2:28" ht="12" customHeight="1">
      <c r="B32" s="79" t="s">
        <v>205</v>
      </c>
      <c r="C32" s="22"/>
      <c r="D32" s="22"/>
      <c r="E32" s="204">
        <v>4</v>
      </c>
      <c r="F32" s="303">
        <v>0.13800000000000001</v>
      </c>
      <c r="G32" s="304">
        <v>0.14000000000000001</v>
      </c>
      <c r="H32" s="304">
        <v>0.14199999999999999</v>
      </c>
      <c r="I32" s="304">
        <v>0.14299999999999999</v>
      </c>
      <c r="J32" s="304">
        <v>0.14399999999999999</v>
      </c>
      <c r="K32" s="305">
        <f t="shared" si="3"/>
        <v>0.14399999999999999</v>
      </c>
      <c r="L32" s="305">
        <f t="shared" si="3"/>
        <v>0.14399999999999999</v>
      </c>
      <c r="M32" s="305">
        <f t="shared" si="3"/>
        <v>0.14399999999999999</v>
      </c>
      <c r="N32" s="305">
        <f t="shared" si="3"/>
        <v>0.14399999999999999</v>
      </c>
      <c r="O32" s="306">
        <f t="shared" si="3"/>
        <v>0.14399999999999999</v>
      </c>
      <c r="P32" s="434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5"/>
    </row>
    <row r="33" spans="2:28" ht="12" customHeight="1">
      <c r="B33" s="79" t="s">
        <v>206</v>
      </c>
      <c r="C33" s="22"/>
      <c r="D33" s="22"/>
      <c r="E33" s="204">
        <v>5</v>
      </c>
      <c r="F33" s="307">
        <v>0.14199999999999999</v>
      </c>
      <c r="G33" s="308">
        <v>0.14499999999999999</v>
      </c>
      <c r="H33" s="308">
        <v>0.14699999999999999</v>
      </c>
      <c r="I33" s="308">
        <v>0.14899999999999999</v>
      </c>
      <c r="J33" s="308">
        <v>0.15</v>
      </c>
      <c r="K33" s="309">
        <f t="shared" si="3"/>
        <v>0.15</v>
      </c>
      <c r="L33" s="309">
        <f t="shared" si="3"/>
        <v>0.15</v>
      </c>
      <c r="M33" s="309">
        <f t="shared" si="3"/>
        <v>0.15</v>
      </c>
      <c r="N33" s="309">
        <f t="shared" si="3"/>
        <v>0.15</v>
      </c>
      <c r="O33" s="310">
        <f t="shared" si="3"/>
        <v>0.15</v>
      </c>
      <c r="P33" s="434"/>
      <c r="Q33" s="435"/>
      <c r="R33" s="435"/>
      <c r="S33" s="435"/>
      <c r="T33" s="435"/>
      <c r="U33" s="435"/>
      <c r="V33" s="435"/>
      <c r="W33" s="435"/>
      <c r="X33" s="435"/>
      <c r="Y33" s="435"/>
      <c r="Z33" s="435"/>
      <c r="AA33" s="435"/>
      <c r="AB33" s="435"/>
    </row>
    <row r="34" spans="2:28" s="312" customFormat="1" ht="12" customHeight="1">
      <c r="B34" s="79"/>
      <c r="C34" s="22"/>
      <c r="D34" s="22"/>
      <c r="E34" s="204"/>
      <c r="F34" s="313"/>
      <c r="G34" s="313"/>
      <c r="H34" s="313"/>
      <c r="I34" s="313"/>
      <c r="J34" s="313"/>
      <c r="K34" s="313"/>
      <c r="L34" s="313"/>
      <c r="M34" s="313"/>
      <c r="N34" s="313"/>
      <c r="O34" s="313"/>
    </row>
    <row r="35" spans="2:28" ht="12.75" customHeight="1">
      <c r="B35" s="21" t="s">
        <v>211</v>
      </c>
      <c r="C35" s="22"/>
      <c r="D35" s="22"/>
      <c r="E35" s="204"/>
      <c r="F35" s="297"/>
      <c r="G35" s="297"/>
      <c r="H35" s="297"/>
      <c r="I35" s="297"/>
      <c r="J35" s="297"/>
      <c r="K35" s="297"/>
      <c r="L35" s="297"/>
      <c r="M35" s="297"/>
      <c r="N35" s="297"/>
      <c r="O35" s="297"/>
    </row>
    <row r="36" spans="2:28" ht="12" customHeight="1">
      <c r="B36" s="314" t="s">
        <v>212</v>
      </c>
      <c r="C36" s="22"/>
      <c r="D36" s="22"/>
      <c r="E36" s="204"/>
      <c r="F36" s="298">
        <f>CHOOSE(DCF!$D$4,F37,F38,F39,F40,F41)</f>
        <v>0.125</v>
      </c>
      <c r="G36" s="298">
        <f>CHOOSE(DCF!$D$4,G37,G38,G39,G40,G41)</f>
        <v>0.122</v>
      </c>
      <c r="H36" s="298">
        <f>CHOOSE(DCF!$D$4,H37,H38,H39,H40,H41)</f>
        <v>0.12</v>
      </c>
      <c r="I36" s="298">
        <f>CHOOSE(DCF!$D$4,I37,I38,I39,I40,I41)</f>
        <v>0.11799999999999999</v>
      </c>
      <c r="J36" s="298">
        <f>CHOOSE(DCF!$D$4,J37,J38,J39,J40,J41)</f>
        <v>0.115</v>
      </c>
      <c r="K36" s="298">
        <f>CHOOSE(DCF!$D$4,K37,K38,K39,K40,K41)</f>
        <v>0.115</v>
      </c>
      <c r="L36" s="298">
        <f>CHOOSE(DCF!$D$4,L37,L38,L39,L40,L41)</f>
        <v>0.115</v>
      </c>
      <c r="M36" s="298">
        <f>CHOOSE(DCF!$D$4,M37,M38,M39,M40,M41)</f>
        <v>0.115</v>
      </c>
      <c r="N36" s="298">
        <f>CHOOSE(DCF!$D$4,N37,N38,N39,N40,N41)</f>
        <v>0.115</v>
      </c>
      <c r="O36" s="298">
        <f>CHOOSE(DCF!$D$4,O37,O38,O39,O40,O41)</f>
        <v>0.115</v>
      </c>
      <c r="P36" s="35" t="s">
        <v>213</v>
      </c>
    </row>
    <row r="37" spans="2:28" ht="12" customHeight="1">
      <c r="B37" s="79" t="s">
        <v>202</v>
      </c>
      <c r="C37" s="22"/>
      <c r="D37" s="22"/>
      <c r="E37" s="204">
        <v>1</v>
      </c>
      <c r="F37" s="299">
        <v>0.125</v>
      </c>
      <c r="G37" s="300">
        <v>0.122</v>
      </c>
      <c r="H37" s="300">
        <v>0.12</v>
      </c>
      <c r="I37" s="300">
        <v>0.11799999999999999</v>
      </c>
      <c r="J37" s="300">
        <v>0.115</v>
      </c>
      <c r="K37" s="301">
        <f t="shared" ref="K37:O41" si="4">+J37</f>
        <v>0.115</v>
      </c>
      <c r="L37" s="301">
        <f t="shared" si="4"/>
        <v>0.115</v>
      </c>
      <c r="M37" s="301">
        <f t="shared" si="4"/>
        <v>0.115</v>
      </c>
      <c r="N37" s="301">
        <f t="shared" si="4"/>
        <v>0.115</v>
      </c>
      <c r="O37" s="302">
        <f t="shared" si="4"/>
        <v>0.115</v>
      </c>
      <c r="P37" s="434" t="s">
        <v>727</v>
      </c>
      <c r="Q37" s="435"/>
      <c r="R37" s="435"/>
      <c r="S37" s="435"/>
      <c r="T37" s="435"/>
      <c r="U37" s="435"/>
      <c r="V37" s="435"/>
      <c r="W37" s="435"/>
      <c r="X37" s="435"/>
      <c r="Y37" s="435"/>
      <c r="Z37" s="435"/>
      <c r="AA37" s="435"/>
      <c r="AB37" s="435"/>
    </row>
    <row r="38" spans="2:28" ht="12" customHeight="1">
      <c r="B38" s="79" t="s">
        <v>203</v>
      </c>
      <c r="C38" s="22"/>
      <c r="D38" s="22"/>
      <c r="E38" s="204">
        <v>2</v>
      </c>
      <c r="F38" s="303">
        <v>0.13</v>
      </c>
      <c r="G38" s="304">
        <v>0.128</v>
      </c>
      <c r="H38" s="304">
        <v>0.125</v>
      </c>
      <c r="I38" s="304">
        <v>0.122</v>
      </c>
      <c r="J38" s="304">
        <v>0.12</v>
      </c>
      <c r="K38" s="305">
        <f t="shared" si="4"/>
        <v>0.12</v>
      </c>
      <c r="L38" s="305">
        <f t="shared" si="4"/>
        <v>0.12</v>
      </c>
      <c r="M38" s="305">
        <f t="shared" si="4"/>
        <v>0.12</v>
      </c>
      <c r="N38" s="305">
        <f t="shared" si="4"/>
        <v>0.12</v>
      </c>
      <c r="O38" s="306">
        <f t="shared" si="4"/>
        <v>0.12</v>
      </c>
      <c r="P38" s="434"/>
      <c r="Q38" s="435"/>
      <c r="R38" s="435"/>
      <c r="S38" s="435"/>
      <c r="T38" s="435"/>
      <c r="U38" s="435"/>
      <c r="V38" s="435"/>
      <c r="W38" s="435"/>
      <c r="X38" s="435"/>
      <c r="Y38" s="435"/>
      <c r="Z38" s="435"/>
      <c r="AA38" s="435"/>
      <c r="AB38" s="435"/>
    </row>
    <row r="39" spans="2:28" ht="12" customHeight="1">
      <c r="B39" s="79" t="s">
        <v>204</v>
      </c>
      <c r="C39" s="22"/>
      <c r="D39" s="22"/>
      <c r="E39" s="204">
        <v>3</v>
      </c>
      <c r="F39" s="303">
        <v>0.13500000000000001</v>
      </c>
      <c r="G39" s="304">
        <v>0.13200000000000001</v>
      </c>
      <c r="H39" s="304">
        <v>0.128</v>
      </c>
      <c r="I39" s="304">
        <v>0.125</v>
      </c>
      <c r="J39" s="304">
        <v>0.122</v>
      </c>
      <c r="K39" s="305">
        <f t="shared" si="4"/>
        <v>0.122</v>
      </c>
      <c r="L39" s="305">
        <f t="shared" si="4"/>
        <v>0.122</v>
      </c>
      <c r="M39" s="305">
        <f t="shared" si="4"/>
        <v>0.122</v>
      </c>
      <c r="N39" s="305">
        <f t="shared" si="4"/>
        <v>0.122</v>
      </c>
      <c r="O39" s="306">
        <f t="shared" si="4"/>
        <v>0.122</v>
      </c>
      <c r="P39" s="434"/>
      <c r="Q39" s="435"/>
      <c r="R39" s="435"/>
      <c r="S39" s="435"/>
      <c r="T39" s="435"/>
      <c r="U39" s="435"/>
      <c r="V39" s="435"/>
      <c r="W39" s="435"/>
      <c r="X39" s="435"/>
      <c r="Y39" s="435"/>
      <c r="Z39" s="435"/>
      <c r="AA39" s="435"/>
      <c r="AB39" s="435"/>
    </row>
    <row r="40" spans="2:28" ht="12" customHeight="1">
      <c r="B40" s="79" t="s">
        <v>205</v>
      </c>
      <c r="C40" s="22"/>
      <c r="D40" s="22"/>
      <c r="E40" s="204">
        <v>4</v>
      </c>
      <c r="F40" s="303">
        <v>0.115</v>
      </c>
      <c r="G40" s="304">
        <v>0.112</v>
      </c>
      <c r="H40" s="304">
        <v>0.11</v>
      </c>
      <c r="I40" s="304">
        <v>0.108</v>
      </c>
      <c r="J40" s="304">
        <v>0.105</v>
      </c>
      <c r="K40" s="305">
        <f t="shared" si="4"/>
        <v>0.105</v>
      </c>
      <c r="L40" s="305">
        <f t="shared" si="4"/>
        <v>0.105</v>
      </c>
      <c r="M40" s="305">
        <f t="shared" si="4"/>
        <v>0.105</v>
      </c>
      <c r="N40" s="305">
        <f t="shared" si="4"/>
        <v>0.105</v>
      </c>
      <c r="O40" s="306">
        <f t="shared" si="4"/>
        <v>0.105</v>
      </c>
      <c r="P40" s="434"/>
      <c r="Q40" s="435"/>
      <c r="R40" s="435"/>
      <c r="S40" s="435"/>
      <c r="T40" s="435"/>
      <c r="U40" s="435"/>
      <c r="V40" s="435"/>
      <c r="W40" s="435"/>
      <c r="X40" s="435"/>
      <c r="Y40" s="435"/>
      <c r="Z40" s="435"/>
      <c r="AA40" s="435"/>
      <c r="AB40" s="435"/>
    </row>
    <row r="41" spans="2:28" ht="12" customHeight="1">
      <c r="B41" s="79" t="s">
        <v>206</v>
      </c>
      <c r="C41" s="22"/>
      <c r="D41" s="22"/>
      <c r="E41" s="315">
        <v>5</v>
      </c>
      <c r="F41" s="307">
        <v>0.11</v>
      </c>
      <c r="G41" s="308">
        <v>0.105</v>
      </c>
      <c r="H41" s="308">
        <v>0.1</v>
      </c>
      <c r="I41" s="308">
        <v>9.8000000000000004E-2</v>
      </c>
      <c r="J41" s="308">
        <v>9.5000000000000001E-2</v>
      </c>
      <c r="K41" s="309">
        <f t="shared" si="4"/>
        <v>9.5000000000000001E-2</v>
      </c>
      <c r="L41" s="309">
        <f t="shared" si="4"/>
        <v>9.5000000000000001E-2</v>
      </c>
      <c r="M41" s="309">
        <f t="shared" si="4"/>
        <v>9.5000000000000001E-2</v>
      </c>
      <c r="N41" s="309">
        <f t="shared" si="4"/>
        <v>9.5000000000000001E-2</v>
      </c>
      <c r="O41" s="310">
        <f t="shared" si="4"/>
        <v>9.5000000000000001E-2</v>
      </c>
      <c r="P41" s="434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5"/>
    </row>
  </sheetData>
  <mergeCells count="6">
    <mergeCell ref="P37:AB41"/>
    <mergeCell ref="F2:O2"/>
    <mergeCell ref="P8:AB12"/>
    <mergeCell ref="P15:AB19"/>
    <mergeCell ref="P22:AB26"/>
    <mergeCell ref="P29:AB33"/>
  </mergeCells>
  <phoneticPr fontId="213" type="noConversion"/>
  <pageMargins left="0.75" right="0.75" top="1" bottom="1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9"/>
  <sheetViews>
    <sheetView showGridLines="0" topLeftCell="B17" zoomScale="125" zoomScaleNormal="85" workbookViewId="0">
      <selection activeCell="B46" sqref="A46:XFD46"/>
    </sheetView>
  </sheetViews>
  <sheetFormatPr baseColWidth="10" defaultColWidth="8.6640625" defaultRowHeight="13"/>
  <cols>
    <col min="1" max="1" width="0.83203125" customWidth="1"/>
    <col min="2" max="4" width="9.6640625" customWidth="1"/>
    <col min="5" max="5" width="9.6640625" style="293" customWidth="1"/>
    <col min="6" max="15" width="12.6640625" customWidth="1"/>
  </cols>
  <sheetData>
    <row r="1" spans="1:30" s="22" customFormat="1" ht="15" customHeight="1">
      <c r="A1" s="316"/>
      <c r="B1" s="294" t="s">
        <v>214</v>
      </c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59" t="s">
        <v>149</v>
      </c>
    </row>
    <row r="2" spans="1:30" ht="12.75" customHeight="1">
      <c r="A2" s="316"/>
      <c r="B2" s="316"/>
      <c r="C2" s="316"/>
      <c r="D2" s="316"/>
      <c r="E2" s="317"/>
      <c r="F2" s="430" t="s">
        <v>13</v>
      </c>
      <c r="G2" s="430"/>
      <c r="H2" s="430"/>
      <c r="I2" s="430"/>
      <c r="J2" s="430"/>
      <c r="K2" s="430"/>
      <c r="L2" s="430"/>
      <c r="M2" s="430"/>
      <c r="N2" s="430"/>
      <c r="O2" s="430"/>
    </row>
    <row r="3" spans="1:30" ht="12.75" customHeight="1">
      <c r="A3" s="316"/>
      <c r="B3" s="79"/>
      <c r="C3" s="316"/>
      <c r="D3" s="316"/>
      <c r="E3" s="317"/>
      <c r="F3" s="296">
        <v>1</v>
      </c>
      <c r="G3" s="296">
        <v>2</v>
      </c>
      <c r="H3" s="296">
        <v>3</v>
      </c>
      <c r="I3" s="296">
        <v>4</v>
      </c>
      <c r="J3" s="296">
        <v>5</v>
      </c>
      <c r="K3" s="296">
        <v>6</v>
      </c>
      <c r="L3" s="296">
        <v>7</v>
      </c>
      <c r="M3" s="296">
        <v>8</v>
      </c>
      <c r="N3" s="296">
        <v>9</v>
      </c>
      <c r="O3" s="296">
        <v>10</v>
      </c>
    </row>
    <row r="4" spans="1:30" ht="12.75" customHeight="1">
      <c r="A4" s="316"/>
      <c r="B4" s="79"/>
      <c r="C4" s="316"/>
      <c r="D4" s="316"/>
      <c r="E4" s="317"/>
      <c r="F4" s="27">
        <f>+DCF!J6</f>
        <v>2025</v>
      </c>
      <c r="G4" s="30">
        <f>+DCF!K6</f>
        <v>2026</v>
      </c>
      <c r="H4" s="30">
        <f>+DCF!L6</f>
        <v>2027</v>
      </c>
      <c r="I4" s="30">
        <f>+DCF!M6</f>
        <v>2028</v>
      </c>
      <c r="J4" s="30">
        <f>+DCF!N6</f>
        <v>2029</v>
      </c>
      <c r="K4" s="30">
        <f>+J4+1</f>
        <v>2030</v>
      </c>
      <c r="L4" s="30">
        <f>+K4+1</f>
        <v>2031</v>
      </c>
      <c r="M4" s="30">
        <f>+L4+1</f>
        <v>2032</v>
      </c>
      <c r="N4" s="30">
        <f>+M4+1</f>
        <v>2033</v>
      </c>
      <c r="O4" s="30">
        <f>+N4+1</f>
        <v>2034</v>
      </c>
    </row>
    <row r="5" spans="1:30" ht="12.75" customHeight="1">
      <c r="A5" s="316"/>
      <c r="B5" s="79"/>
      <c r="C5" s="316"/>
      <c r="D5" s="316"/>
      <c r="E5" s="317"/>
      <c r="F5" s="318"/>
      <c r="G5" s="318"/>
      <c r="H5" s="318"/>
      <c r="I5" s="318"/>
      <c r="J5" s="318"/>
      <c r="K5" s="318"/>
      <c r="L5" s="318"/>
      <c r="M5" s="318"/>
      <c r="N5" s="318"/>
      <c r="O5" s="318"/>
    </row>
    <row r="6" spans="1:30" s="22" customFormat="1" ht="12.75" customHeight="1">
      <c r="A6" s="316"/>
      <c r="B6" s="319" t="s">
        <v>126</v>
      </c>
      <c r="C6" s="316"/>
      <c r="D6" s="316"/>
      <c r="E6" s="317"/>
      <c r="F6" s="316"/>
      <c r="G6" s="316"/>
      <c r="H6" s="316"/>
      <c r="I6" s="316"/>
      <c r="J6" s="316"/>
      <c r="K6" s="316"/>
      <c r="L6" s="316"/>
      <c r="M6" s="316"/>
      <c r="N6" s="316"/>
      <c r="O6" s="316"/>
    </row>
    <row r="7" spans="1:30" ht="12.75" customHeight="1">
      <c r="A7" s="316"/>
      <c r="B7" s="320" t="s">
        <v>215</v>
      </c>
      <c r="C7" s="316"/>
      <c r="D7" s="316"/>
      <c r="E7" s="317"/>
      <c r="F7" s="321">
        <f>CHOOSE(DCF!$D$4,F8,F9,F10,F11,F12)</f>
        <v>23.8</v>
      </c>
      <c r="G7" s="321">
        <f>CHOOSE(DCF!$D$4,G8,G9,G10,G11,G12)</f>
        <v>23.8</v>
      </c>
      <c r="H7" s="321">
        <f>CHOOSE(DCF!$D$4,H8,H9,H10,H11,H12)</f>
        <v>23.8</v>
      </c>
      <c r="I7" s="321">
        <f>CHOOSE(DCF!$D$4,I8,I9,I10,I11,I12)</f>
        <v>23.8</v>
      </c>
      <c r="J7" s="321">
        <f>CHOOSE(DCF!$D$4,J8,J9,J10,J11,J12)</f>
        <v>23.8</v>
      </c>
      <c r="K7" s="321">
        <f>CHOOSE(DCF!$D$4,K8,K9,K10,K11,K12)</f>
        <v>23.8</v>
      </c>
      <c r="L7" s="321">
        <f>CHOOSE(DCF!$D$4,L8,L9,L10,L11,L12)</f>
        <v>23.8</v>
      </c>
      <c r="M7" s="321">
        <f>CHOOSE(DCF!$D$4,M8,M9,M10,M11,M12)</f>
        <v>23.8</v>
      </c>
      <c r="N7" s="321">
        <f>CHOOSE(DCF!$D$4,N8,N9,N10,N11,N12)</f>
        <v>23.8</v>
      </c>
      <c r="O7" s="321">
        <f>CHOOSE(DCF!$D$4,O8,O9,O10,O11,O12)</f>
        <v>23.8</v>
      </c>
      <c r="P7" s="35" t="s">
        <v>718</v>
      </c>
    </row>
    <row r="8" spans="1:30" ht="12.75" customHeight="1">
      <c r="A8" s="316"/>
      <c r="B8" s="79" t="s">
        <v>202</v>
      </c>
      <c r="C8" s="316"/>
      <c r="D8" s="316"/>
      <c r="E8" s="322">
        <v>1</v>
      </c>
      <c r="F8" s="323">
        <v>23.8</v>
      </c>
      <c r="G8" s="324">
        <v>23.8</v>
      </c>
      <c r="H8" s="324">
        <v>23.8</v>
      </c>
      <c r="I8" s="324">
        <v>23.8</v>
      </c>
      <c r="J8" s="324">
        <v>23.8</v>
      </c>
      <c r="K8" s="325">
        <f t="shared" ref="K8:O12" si="0">+J8</f>
        <v>23.8</v>
      </c>
      <c r="L8" s="325">
        <f t="shared" si="0"/>
        <v>23.8</v>
      </c>
      <c r="M8" s="325">
        <f t="shared" si="0"/>
        <v>23.8</v>
      </c>
      <c r="N8" s="325">
        <f t="shared" si="0"/>
        <v>23.8</v>
      </c>
      <c r="O8" s="326">
        <f t="shared" si="0"/>
        <v>23.8</v>
      </c>
      <c r="P8" s="434" t="s">
        <v>713</v>
      </c>
      <c r="Q8" s="435"/>
      <c r="R8" s="435"/>
      <c r="S8" s="435"/>
      <c r="T8" s="435"/>
      <c r="U8" s="435"/>
      <c r="V8" s="435"/>
      <c r="W8" s="435"/>
      <c r="X8" s="435"/>
      <c r="Y8" s="435"/>
      <c r="Z8" s="435"/>
      <c r="AA8" s="435"/>
      <c r="AB8" s="435"/>
    </row>
    <row r="9" spans="1:30" ht="12.75" customHeight="1">
      <c r="A9" s="316"/>
      <c r="B9" s="79" t="s">
        <v>203</v>
      </c>
      <c r="C9" s="316"/>
      <c r="D9" s="316"/>
      <c r="E9" s="322">
        <v>2</v>
      </c>
      <c r="F9" s="327">
        <v>23.8</v>
      </c>
      <c r="G9" s="274">
        <v>22.5</v>
      </c>
      <c r="H9" s="274">
        <v>22</v>
      </c>
      <c r="I9" s="274">
        <v>21</v>
      </c>
      <c r="J9" s="274">
        <f>I9</f>
        <v>21</v>
      </c>
      <c r="K9" s="328">
        <f t="shared" si="0"/>
        <v>21</v>
      </c>
      <c r="L9" s="328">
        <f t="shared" si="0"/>
        <v>21</v>
      </c>
      <c r="M9" s="328">
        <f t="shared" si="0"/>
        <v>21</v>
      </c>
      <c r="N9" s="328">
        <f t="shared" si="0"/>
        <v>21</v>
      </c>
      <c r="O9" s="329">
        <f t="shared" si="0"/>
        <v>21</v>
      </c>
      <c r="P9" s="434"/>
      <c r="Q9" s="435"/>
      <c r="R9" s="435"/>
      <c r="S9" s="435"/>
      <c r="T9" s="435"/>
      <c r="U9" s="435"/>
      <c r="V9" s="435"/>
      <c r="W9" s="435"/>
      <c r="X9" s="435"/>
      <c r="Y9" s="435"/>
      <c r="Z9" s="435"/>
      <c r="AA9" s="435"/>
      <c r="AB9" s="435"/>
    </row>
    <row r="10" spans="1:30" ht="12.75" customHeight="1">
      <c r="A10" s="316"/>
      <c r="B10" s="79" t="s">
        <v>204</v>
      </c>
      <c r="C10" s="316"/>
      <c r="D10" s="316"/>
      <c r="E10" s="322">
        <v>3</v>
      </c>
      <c r="F10" s="327">
        <v>23.8</v>
      </c>
      <c r="G10" s="274">
        <v>23.3</v>
      </c>
      <c r="H10" s="274">
        <v>22.8</v>
      </c>
      <c r="I10" s="274">
        <v>22.5</v>
      </c>
      <c r="J10" s="274">
        <v>22.5</v>
      </c>
      <c r="K10" s="328">
        <f t="shared" si="0"/>
        <v>22.5</v>
      </c>
      <c r="L10" s="328">
        <f t="shared" si="0"/>
        <v>22.5</v>
      </c>
      <c r="M10" s="328">
        <f t="shared" si="0"/>
        <v>22.5</v>
      </c>
      <c r="N10" s="328">
        <f t="shared" si="0"/>
        <v>22.5</v>
      </c>
      <c r="O10" s="329">
        <f t="shared" si="0"/>
        <v>22.5</v>
      </c>
      <c r="P10" s="434"/>
      <c r="Q10" s="435"/>
      <c r="R10" s="435"/>
      <c r="S10" s="435"/>
      <c r="T10" s="435"/>
      <c r="U10" s="435"/>
      <c r="V10" s="435"/>
      <c r="W10" s="435"/>
      <c r="X10" s="435"/>
      <c r="Y10" s="435"/>
      <c r="Z10" s="435"/>
      <c r="AA10" s="435"/>
      <c r="AB10" s="435"/>
    </row>
    <row r="11" spans="1:30" ht="12.75" customHeight="1">
      <c r="A11" s="316"/>
      <c r="B11" s="79" t="s">
        <v>205</v>
      </c>
      <c r="C11" s="316"/>
      <c r="D11" s="316"/>
      <c r="E11" s="322">
        <v>4</v>
      </c>
      <c r="F11" s="327">
        <v>23.8</v>
      </c>
      <c r="G11" s="274">
        <v>24.5</v>
      </c>
      <c r="H11" s="274">
        <v>25</v>
      </c>
      <c r="I11" s="274">
        <v>25.5</v>
      </c>
      <c r="J11" s="274">
        <v>26</v>
      </c>
      <c r="K11" s="328">
        <f t="shared" si="0"/>
        <v>26</v>
      </c>
      <c r="L11" s="328">
        <f t="shared" si="0"/>
        <v>26</v>
      </c>
      <c r="M11" s="328">
        <f t="shared" si="0"/>
        <v>26</v>
      </c>
      <c r="N11" s="328">
        <f t="shared" si="0"/>
        <v>26</v>
      </c>
      <c r="O11" s="329">
        <f t="shared" si="0"/>
        <v>26</v>
      </c>
      <c r="P11" s="434"/>
      <c r="Q11" s="435"/>
      <c r="R11" s="435"/>
      <c r="S11" s="435"/>
      <c r="T11" s="435"/>
      <c r="U11" s="435"/>
      <c r="V11" s="435"/>
      <c r="W11" s="435"/>
      <c r="X11" s="435"/>
      <c r="Y11" s="435"/>
      <c r="Z11" s="435"/>
      <c r="AA11" s="435"/>
      <c r="AB11" s="435"/>
    </row>
    <row r="12" spans="1:30" ht="12.75" customHeight="1">
      <c r="A12" s="316"/>
      <c r="B12" s="79" t="s">
        <v>206</v>
      </c>
      <c r="C12" s="316"/>
      <c r="D12" s="316"/>
      <c r="E12" s="322">
        <v>5</v>
      </c>
      <c r="F12" s="330">
        <v>23.8</v>
      </c>
      <c r="G12" s="331">
        <v>25</v>
      </c>
      <c r="H12" s="331">
        <v>27</v>
      </c>
      <c r="I12" s="331">
        <v>28</v>
      </c>
      <c r="J12" s="331">
        <v>30</v>
      </c>
      <c r="K12" s="332">
        <f t="shared" si="0"/>
        <v>30</v>
      </c>
      <c r="L12" s="332">
        <f t="shared" si="0"/>
        <v>30</v>
      </c>
      <c r="M12" s="332">
        <f t="shared" si="0"/>
        <v>30</v>
      </c>
      <c r="N12" s="332">
        <f t="shared" si="0"/>
        <v>30</v>
      </c>
      <c r="O12" s="333">
        <f t="shared" si="0"/>
        <v>30</v>
      </c>
      <c r="P12" s="434"/>
      <c r="Q12" s="435"/>
      <c r="R12" s="435"/>
      <c r="S12" s="435"/>
      <c r="T12" s="435"/>
      <c r="U12" s="435"/>
      <c r="V12" s="435"/>
      <c r="W12" s="435"/>
      <c r="X12" s="435"/>
      <c r="Y12" s="435"/>
      <c r="Z12" s="435"/>
      <c r="AA12" s="435"/>
      <c r="AB12" s="435"/>
    </row>
    <row r="13" spans="1:30" ht="12.75" customHeight="1">
      <c r="A13" s="316"/>
      <c r="B13" s="79"/>
      <c r="C13" s="316"/>
      <c r="D13" s="316"/>
      <c r="E13" s="322"/>
      <c r="F13" s="334"/>
      <c r="G13" s="334"/>
      <c r="H13" s="334"/>
      <c r="I13" s="334"/>
      <c r="J13" s="334"/>
      <c r="K13" s="334"/>
      <c r="L13" s="334"/>
      <c r="M13" s="334"/>
      <c r="N13" s="334"/>
      <c r="O13" s="334"/>
    </row>
    <row r="14" spans="1:30" ht="12.75" customHeight="1">
      <c r="A14" s="316"/>
      <c r="B14" s="320" t="s">
        <v>216</v>
      </c>
      <c r="C14" s="316"/>
      <c r="D14" s="316"/>
      <c r="E14" s="322"/>
      <c r="F14" s="321">
        <f>CHOOSE(DCF!$D$4,F15,F16,F17,F18,F19)</f>
        <v>4</v>
      </c>
      <c r="G14" s="321">
        <f>CHOOSE(DCF!$D$4,G15,G16,G17,G18,G19)</f>
        <v>4</v>
      </c>
      <c r="H14" s="321">
        <f>CHOOSE(DCF!$D$4,H15,H16,H17,H18,H19)</f>
        <v>4</v>
      </c>
      <c r="I14" s="321">
        <f>CHOOSE(DCF!$D$4,I15,I16,I17,I18,I19)</f>
        <v>4</v>
      </c>
      <c r="J14" s="321">
        <f>CHOOSE(DCF!$D$4,J15,J16,J17,J18,J19)</f>
        <v>4</v>
      </c>
      <c r="K14" s="321">
        <f>CHOOSE(DCF!$D$4,K15,K16,K17,K18,K19)</f>
        <v>4</v>
      </c>
      <c r="L14" s="321">
        <f>CHOOSE(DCF!$D$4,L15,L16,L17,L18,L19)</f>
        <v>4</v>
      </c>
      <c r="M14" s="321">
        <f>CHOOSE(DCF!$D$4,M15,M16,M17,M18,M19)</f>
        <v>4</v>
      </c>
      <c r="N14" s="321">
        <f>CHOOSE(DCF!$D$4,N15,N16,N17,N18,N19)</f>
        <v>4</v>
      </c>
      <c r="O14" s="321">
        <f>CHOOSE(DCF!$D$4,O15,O16,O17,O18,O19)</f>
        <v>4</v>
      </c>
      <c r="P14" s="35" t="s">
        <v>719</v>
      </c>
    </row>
    <row r="15" spans="1:30" ht="12.75" customHeight="1">
      <c r="A15" s="316"/>
      <c r="B15" s="79" t="s">
        <v>202</v>
      </c>
      <c r="C15" s="316"/>
      <c r="D15" s="316"/>
      <c r="E15" s="322">
        <v>1</v>
      </c>
      <c r="F15" s="323">
        <v>4</v>
      </c>
      <c r="G15" s="324">
        <v>4</v>
      </c>
      <c r="H15" s="324">
        <v>4</v>
      </c>
      <c r="I15" s="324">
        <v>4</v>
      </c>
      <c r="J15" s="324">
        <v>4</v>
      </c>
      <c r="K15" s="325">
        <f t="shared" ref="K15:O19" si="1">+J15</f>
        <v>4</v>
      </c>
      <c r="L15" s="325">
        <f t="shared" si="1"/>
        <v>4</v>
      </c>
      <c r="M15" s="325">
        <f t="shared" si="1"/>
        <v>4</v>
      </c>
      <c r="N15" s="325">
        <f t="shared" si="1"/>
        <v>4</v>
      </c>
      <c r="O15" s="326">
        <f t="shared" si="1"/>
        <v>4</v>
      </c>
      <c r="P15" s="434" t="s">
        <v>712</v>
      </c>
      <c r="Q15" s="435"/>
      <c r="R15" s="435"/>
      <c r="S15" s="435"/>
      <c r="T15" s="435"/>
      <c r="U15" s="435"/>
      <c r="V15" s="435"/>
      <c r="W15" s="435"/>
      <c r="X15" s="435"/>
      <c r="Y15" s="435"/>
      <c r="Z15" s="435"/>
      <c r="AA15" s="435"/>
      <c r="AB15" s="435"/>
      <c r="AC15" s="435"/>
      <c r="AD15" s="435"/>
    </row>
    <row r="16" spans="1:30" ht="12.75" customHeight="1">
      <c r="A16" s="316"/>
      <c r="B16" s="79" t="s">
        <v>203</v>
      </c>
      <c r="C16" s="316"/>
      <c r="D16" s="316"/>
      <c r="E16" s="322">
        <v>2</v>
      </c>
      <c r="F16" s="327">
        <v>4</v>
      </c>
      <c r="G16" s="274">
        <v>3.5</v>
      </c>
      <c r="H16" s="274">
        <v>3.3</v>
      </c>
      <c r="I16" s="274">
        <v>3</v>
      </c>
      <c r="J16" s="274">
        <f>I16</f>
        <v>3</v>
      </c>
      <c r="K16" s="328">
        <f t="shared" si="1"/>
        <v>3</v>
      </c>
      <c r="L16" s="328">
        <f t="shared" si="1"/>
        <v>3</v>
      </c>
      <c r="M16" s="328">
        <f t="shared" si="1"/>
        <v>3</v>
      </c>
      <c r="N16" s="328">
        <f t="shared" si="1"/>
        <v>3</v>
      </c>
      <c r="O16" s="329">
        <f t="shared" si="1"/>
        <v>3</v>
      </c>
      <c r="P16" s="434"/>
      <c r="Q16" s="435"/>
      <c r="R16" s="435"/>
      <c r="S16" s="435"/>
      <c r="T16" s="435"/>
      <c r="U16" s="435"/>
      <c r="V16" s="435"/>
      <c r="W16" s="435"/>
      <c r="X16" s="435"/>
      <c r="Y16" s="435"/>
      <c r="Z16" s="435"/>
      <c r="AA16" s="435"/>
      <c r="AB16" s="435"/>
      <c r="AC16" s="435"/>
      <c r="AD16" s="435"/>
    </row>
    <row r="17" spans="1:30" ht="12.75" customHeight="1">
      <c r="A17" s="316"/>
      <c r="B17" s="79" t="s">
        <v>204</v>
      </c>
      <c r="C17" s="316"/>
      <c r="D17" s="316"/>
      <c r="E17" s="322">
        <v>3</v>
      </c>
      <c r="F17" s="327">
        <v>4</v>
      </c>
      <c r="G17" s="274">
        <v>3.8</v>
      </c>
      <c r="H17" s="274">
        <v>3.5</v>
      </c>
      <c r="I17" s="274">
        <f>H17</f>
        <v>3.5</v>
      </c>
      <c r="J17" s="274">
        <f>I17</f>
        <v>3.5</v>
      </c>
      <c r="K17" s="328">
        <f t="shared" si="1"/>
        <v>3.5</v>
      </c>
      <c r="L17" s="328">
        <f t="shared" si="1"/>
        <v>3.5</v>
      </c>
      <c r="M17" s="328">
        <f t="shared" si="1"/>
        <v>3.5</v>
      </c>
      <c r="N17" s="328">
        <f t="shared" si="1"/>
        <v>3.5</v>
      </c>
      <c r="O17" s="329">
        <f t="shared" si="1"/>
        <v>3.5</v>
      </c>
      <c r="P17" s="434"/>
      <c r="Q17" s="435"/>
      <c r="R17" s="435"/>
      <c r="S17" s="435"/>
      <c r="T17" s="435"/>
      <c r="U17" s="435"/>
      <c r="V17" s="435"/>
      <c r="W17" s="435"/>
      <c r="X17" s="435"/>
      <c r="Y17" s="435"/>
      <c r="Z17" s="435"/>
      <c r="AA17" s="435"/>
      <c r="AB17" s="435"/>
      <c r="AC17" s="435"/>
      <c r="AD17" s="435"/>
    </row>
    <row r="18" spans="1:30" ht="12.75" customHeight="1">
      <c r="A18" s="316"/>
      <c r="B18" s="79" t="s">
        <v>205</v>
      </c>
      <c r="C18" s="316"/>
      <c r="D18" s="316"/>
      <c r="E18" s="322">
        <v>4</v>
      </c>
      <c r="F18" s="327">
        <v>4</v>
      </c>
      <c r="G18" s="274">
        <v>4.5</v>
      </c>
      <c r="H18" s="274">
        <v>5</v>
      </c>
      <c r="I18" s="274">
        <v>5.5</v>
      </c>
      <c r="J18" s="274">
        <v>6</v>
      </c>
      <c r="K18" s="328">
        <f t="shared" si="1"/>
        <v>6</v>
      </c>
      <c r="L18" s="328">
        <f t="shared" si="1"/>
        <v>6</v>
      </c>
      <c r="M18" s="328">
        <f t="shared" si="1"/>
        <v>6</v>
      </c>
      <c r="N18" s="328">
        <f t="shared" si="1"/>
        <v>6</v>
      </c>
      <c r="O18" s="329">
        <f t="shared" si="1"/>
        <v>6</v>
      </c>
      <c r="P18" s="434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5"/>
      <c r="AC18" s="435"/>
      <c r="AD18" s="435"/>
    </row>
    <row r="19" spans="1:30" ht="12.75" customHeight="1">
      <c r="A19" s="316"/>
      <c r="B19" s="79" t="s">
        <v>206</v>
      </c>
      <c r="C19" s="316"/>
      <c r="D19" s="316"/>
      <c r="E19" s="322">
        <v>5</v>
      </c>
      <c r="F19" s="330">
        <v>4</v>
      </c>
      <c r="G19" s="331">
        <v>5</v>
      </c>
      <c r="H19" s="331">
        <v>6.5</v>
      </c>
      <c r="I19" s="331">
        <v>7.5</v>
      </c>
      <c r="J19" s="331">
        <v>8.5</v>
      </c>
      <c r="K19" s="332">
        <f t="shared" si="1"/>
        <v>8.5</v>
      </c>
      <c r="L19" s="332">
        <f t="shared" si="1"/>
        <v>8.5</v>
      </c>
      <c r="M19" s="332">
        <f t="shared" si="1"/>
        <v>8.5</v>
      </c>
      <c r="N19" s="332">
        <f t="shared" si="1"/>
        <v>8.5</v>
      </c>
      <c r="O19" s="333">
        <f t="shared" si="1"/>
        <v>8.5</v>
      </c>
      <c r="P19" s="434"/>
      <c r="Q19" s="435"/>
      <c r="R19" s="435"/>
      <c r="S19" s="435"/>
      <c r="T19" s="435"/>
      <c r="U19" s="435"/>
      <c r="V19" s="435"/>
      <c r="W19" s="435"/>
      <c r="X19" s="435"/>
      <c r="Y19" s="435"/>
      <c r="Z19" s="435"/>
      <c r="AA19" s="435"/>
      <c r="AB19" s="435"/>
      <c r="AC19" s="435"/>
      <c r="AD19" s="435"/>
    </row>
    <row r="20" spans="1:30" ht="12.75" customHeight="1">
      <c r="A20" s="316"/>
      <c r="B20" s="79"/>
      <c r="C20" s="316"/>
      <c r="D20" s="316"/>
      <c r="E20" s="322"/>
      <c r="F20" s="318"/>
      <c r="G20" s="318"/>
      <c r="H20" s="318"/>
      <c r="I20" s="318"/>
      <c r="J20" s="318"/>
      <c r="K20" s="318"/>
      <c r="L20" s="318"/>
      <c r="M20" s="318"/>
      <c r="N20" s="318"/>
      <c r="O20" s="318"/>
    </row>
    <row r="21" spans="1:30" ht="12.75" customHeight="1">
      <c r="A21" s="316"/>
      <c r="B21" s="320" t="s">
        <v>217</v>
      </c>
      <c r="C21" s="316"/>
      <c r="D21" s="316"/>
      <c r="E21" s="322"/>
      <c r="F21" s="402">
        <f>CHOOSE(DCF!$D$4,F22,F23,F24,F25,F26)</f>
        <v>1.8200000000000001E-2</v>
      </c>
      <c r="G21" s="402">
        <f>CHOOSE(DCF!$D$4,G22,G23,G24,G25,G26)</f>
        <v>1.8200000000000001E-2</v>
      </c>
      <c r="H21" s="402">
        <f>CHOOSE(DCF!$D$4,H22,H23,H24,H25,H26)</f>
        <v>1.8200000000000001E-2</v>
      </c>
      <c r="I21" s="402">
        <f>CHOOSE(DCF!$D$4,I22,I23,I24,I25,I26)</f>
        <v>1.8200000000000001E-2</v>
      </c>
      <c r="J21" s="402">
        <f>CHOOSE(DCF!$D$4,J22,J23,J24,J25,J26)</f>
        <v>1.8200000000000001E-2</v>
      </c>
      <c r="K21" s="298">
        <f>CHOOSE(DCF!$D$4,K22,K23,K24,K25,K26)</f>
        <v>1.8200000000000001E-2</v>
      </c>
      <c r="L21" s="298">
        <f>CHOOSE(DCF!$D$4,L22,L23,L24,L25,L26)</f>
        <v>1.8200000000000001E-2</v>
      </c>
      <c r="M21" s="298">
        <f>CHOOSE(DCF!$D$4,M22,M23,M24,M25,M26)</f>
        <v>1.8200000000000001E-2</v>
      </c>
      <c r="N21" s="298">
        <f>CHOOSE(DCF!$D$4,N22,N23,N24,N25,N26)</f>
        <v>1.8200000000000001E-2</v>
      </c>
      <c r="O21" s="298">
        <f>CHOOSE(DCF!$D$4,O22,O23,O24,O25,O26)</f>
        <v>1.8200000000000001E-2</v>
      </c>
      <c r="P21" s="35" t="s">
        <v>720</v>
      </c>
    </row>
    <row r="22" spans="1:30" ht="12.75" customHeight="1">
      <c r="A22" s="316"/>
      <c r="B22" s="79" t="s">
        <v>202</v>
      </c>
      <c r="C22" s="316"/>
      <c r="D22" s="316"/>
      <c r="E22" s="322">
        <v>1</v>
      </c>
      <c r="F22" s="391">
        <v>1.8200000000000001E-2</v>
      </c>
      <c r="G22" s="392">
        <v>1.8200000000000001E-2</v>
      </c>
      <c r="H22" s="392">
        <v>1.8200000000000001E-2</v>
      </c>
      <c r="I22" s="392">
        <v>1.8200000000000001E-2</v>
      </c>
      <c r="J22" s="392">
        <v>1.8200000000000001E-2</v>
      </c>
      <c r="K22" s="393">
        <f t="shared" ref="K22:O26" si="2">+J22</f>
        <v>1.8200000000000001E-2</v>
      </c>
      <c r="L22" s="393">
        <f t="shared" si="2"/>
        <v>1.8200000000000001E-2</v>
      </c>
      <c r="M22" s="393">
        <f t="shared" si="2"/>
        <v>1.8200000000000001E-2</v>
      </c>
      <c r="N22" s="393">
        <f t="shared" si="2"/>
        <v>1.8200000000000001E-2</v>
      </c>
      <c r="O22" s="394">
        <f t="shared" si="2"/>
        <v>1.8200000000000001E-2</v>
      </c>
      <c r="P22" s="435" t="s">
        <v>714</v>
      </c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</row>
    <row r="23" spans="1:30" ht="12.75" customHeight="1">
      <c r="A23" s="316"/>
      <c r="B23" s="79" t="s">
        <v>203</v>
      </c>
      <c r="C23" s="316"/>
      <c r="D23" s="316"/>
      <c r="E23" s="322">
        <v>2</v>
      </c>
      <c r="F23" s="395">
        <v>1.8200000000000001E-2</v>
      </c>
      <c r="G23" s="64">
        <v>1.7000000000000001E-2</v>
      </c>
      <c r="H23" s="64">
        <v>1.6E-2</v>
      </c>
      <c r="I23" s="64">
        <f>H23</f>
        <v>1.6E-2</v>
      </c>
      <c r="J23" s="64">
        <f>I23</f>
        <v>1.6E-2</v>
      </c>
      <c r="K23" s="396">
        <f t="shared" si="2"/>
        <v>1.6E-2</v>
      </c>
      <c r="L23" s="396">
        <f t="shared" si="2"/>
        <v>1.6E-2</v>
      </c>
      <c r="M23" s="396">
        <f t="shared" si="2"/>
        <v>1.6E-2</v>
      </c>
      <c r="N23" s="396">
        <f t="shared" si="2"/>
        <v>1.6E-2</v>
      </c>
      <c r="O23" s="397">
        <f t="shared" si="2"/>
        <v>1.6E-2</v>
      </c>
      <c r="P23" s="435"/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</row>
    <row r="24" spans="1:30" ht="12.75" customHeight="1">
      <c r="A24" s="403">
        <v>1.8200000000000001E-2</v>
      </c>
      <c r="B24" s="79" t="s">
        <v>204</v>
      </c>
      <c r="C24" s="316"/>
      <c r="D24" s="316"/>
      <c r="E24" s="322">
        <v>3</v>
      </c>
      <c r="F24" s="395">
        <v>1.8200000000000001E-2</v>
      </c>
      <c r="G24" s="64">
        <v>1.7500000000000002E-2</v>
      </c>
      <c r="H24" s="64">
        <v>1.7000000000000001E-2</v>
      </c>
      <c r="I24" s="64">
        <f>H24</f>
        <v>1.7000000000000001E-2</v>
      </c>
      <c r="J24" s="64">
        <f>I24</f>
        <v>1.7000000000000001E-2</v>
      </c>
      <c r="K24" s="396">
        <f t="shared" si="2"/>
        <v>1.7000000000000001E-2</v>
      </c>
      <c r="L24" s="396">
        <f t="shared" si="2"/>
        <v>1.7000000000000001E-2</v>
      </c>
      <c r="M24" s="396">
        <f t="shared" si="2"/>
        <v>1.7000000000000001E-2</v>
      </c>
      <c r="N24" s="396">
        <f t="shared" si="2"/>
        <v>1.7000000000000001E-2</v>
      </c>
      <c r="O24" s="397">
        <f t="shared" si="2"/>
        <v>1.7000000000000001E-2</v>
      </c>
      <c r="P24" s="435"/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</row>
    <row r="25" spans="1:30" ht="12.75" customHeight="1">
      <c r="A25" s="316"/>
      <c r="B25" s="79" t="s">
        <v>205</v>
      </c>
      <c r="C25" s="316"/>
      <c r="D25" s="316"/>
      <c r="E25" s="322">
        <v>4</v>
      </c>
      <c r="F25" s="395">
        <v>1.8200000000000001E-2</v>
      </c>
      <c r="G25" s="64">
        <v>1.8200000000000001E-2</v>
      </c>
      <c r="H25" s="64">
        <v>1.8200000000000001E-2</v>
      </c>
      <c r="I25" s="64">
        <v>1.8200000000000001E-2</v>
      </c>
      <c r="J25" s="64">
        <v>2.0500000000000001E-2</v>
      </c>
      <c r="K25" s="396">
        <f t="shared" si="2"/>
        <v>2.0500000000000001E-2</v>
      </c>
      <c r="L25" s="396">
        <f t="shared" si="2"/>
        <v>2.0500000000000001E-2</v>
      </c>
      <c r="M25" s="396">
        <f t="shared" si="2"/>
        <v>2.0500000000000001E-2</v>
      </c>
      <c r="N25" s="396">
        <f t="shared" si="2"/>
        <v>2.0500000000000001E-2</v>
      </c>
      <c r="O25" s="397">
        <f t="shared" si="2"/>
        <v>2.0500000000000001E-2</v>
      </c>
      <c r="P25" s="435"/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</row>
    <row r="26" spans="1:30" ht="12.75" customHeight="1">
      <c r="A26" s="316"/>
      <c r="B26" s="79" t="s">
        <v>206</v>
      </c>
      <c r="C26" s="316"/>
      <c r="D26" s="316"/>
      <c r="E26" s="322">
        <v>5</v>
      </c>
      <c r="F26" s="398">
        <v>1.8200000000000001E-2</v>
      </c>
      <c r="G26" s="399">
        <v>1.8200000000000001E-2</v>
      </c>
      <c r="H26" s="399">
        <v>1.8200000000000001E-2</v>
      </c>
      <c r="I26" s="399">
        <v>1.8200000000000001E-2</v>
      </c>
      <c r="J26" s="399">
        <v>2.3E-2</v>
      </c>
      <c r="K26" s="400">
        <f t="shared" si="2"/>
        <v>2.3E-2</v>
      </c>
      <c r="L26" s="400">
        <f t="shared" si="2"/>
        <v>2.3E-2</v>
      </c>
      <c r="M26" s="400">
        <f t="shared" si="2"/>
        <v>2.3E-2</v>
      </c>
      <c r="N26" s="400">
        <f t="shared" si="2"/>
        <v>2.3E-2</v>
      </c>
      <c r="O26" s="401">
        <f t="shared" si="2"/>
        <v>2.3E-2</v>
      </c>
      <c r="P26" s="435"/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</row>
    <row r="27" spans="1:30" ht="12.75" customHeight="1">
      <c r="A27" s="316"/>
      <c r="B27" s="79"/>
      <c r="C27" s="316"/>
      <c r="D27" s="316"/>
      <c r="E27" s="322"/>
      <c r="F27" s="318"/>
      <c r="G27" s="318"/>
      <c r="H27" s="318"/>
      <c r="I27" s="318"/>
      <c r="J27" s="318"/>
      <c r="K27" s="318"/>
      <c r="L27" s="318"/>
      <c r="M27" s="318"/>
      <c r="N27" s="318"/>
      <c r="O27" s="318"/>
      <c r="P27" s="435"/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</row>
    <row r="28" spans="1:30" ht="12.75" customHeight="1">
      <c r="A28" s="316"/>
      <c r="B28" s="319" t="s">
        <v>131</v>
      </c>
      <c r="C28" s="316"/>
      <c r="D28" s="316"/>
      <c r="E28" s="322"/>
      <c r="F28" s="316"/>
      <c r="G28" s="316"/>
      <c r="H28" s="316"/>
      <c r="I28" s="316"/>
      <c r="J28" s="316"/>
      <c r="K28" s="316"/>
      <c r="L28" s="316"/>
      <c r="M28" s="316"/>
      <c r="N28" s="316"/>
      <c r="O28" s="316"/>
    </row>
    <row r="29" spans="1:30" ht="12.75" customHeight="1">
      <c r="A29" s="316"/>
      <c r="B29" s="320" t="s">
        <v>218</v>
      </c>
      <c r="C29" s="316"/>
      <c r="D29" s="316"/>
      <c r="E29" s="322"/>
      <c r="F29" s="321">
        <f>CHOOSE(DCF!$D$4,F30,F31,F32,F33,F34)</f>
        <v>21.2</v>
      </c>
      <c r="G29" s="321">
        <f>CHOOSE(DCF!$D$4,G30,G31,G32,G33,G34)</f>
        <v>21.2</v>
      </c>
      <c r="H29" s="321">
        <f>CHOOSE(DCF!$D$4,H30,H31,H32,H33,H34)</f>
        <v>21.2</v>
      </c>
      <c r="I29" s="321">
        <f>CHOOSE(DCF!$D$4,I30,I31,I32,I33,I34)</f>
        <v>21.2</v>
      </c>
      <c r="J29" s="321">
        <f>CHOOSE(DCF!$D$4,J30,J31,J32,J33,J34)</f>
        <v>21.2</v>
      </c>
      <c r="K29" s="321">
        <f>CHOOSE(DCF!$D$4,K30,K31,K32,K33,K34)</f>
        <v>21.2</v>
      </c>
      <c r="L29" s="321">
        <f>CHOOSE(DCF!$D$4,L30,L31,L32,L33,L34)</f>
        <v>21.2</v>
      </c>
      <c r="M29" s="321">
        <f>CHOOSE(DCF!$D$4,M30,M31,M32,M33,M34)</f>
        <v>21.2</v>
      </c>
      <c r="N29" s="321">
        <f>CHOOSE(DCF!$D$4,N30,N31,N32,N33,N34)</f>
        <v>21.2</v>
      </c>
      <c r="O29" s="321">
        <f>CHOOSE(DCF!$D$4,O30,O31,O32,O33,O34)</f>
        <v>21.2</v>
      </c>
      <c r="P29" s="35" t="s">
        <v>721</v>
      </c>
    </row>
    <row r="30" spans="1:30" ht="12.75" customHeight="1">
      <c r="A30" s="316"/>
      <c r="B30" s="79" t="s">
        <v>202</v>
      </c>
      <c r="C30" s="316"/>
      <c r="D30" s="316"/>
      <c r="E30" s="322">
        <v>1</v>
      </c>
      <c r="F30" s="323">
        <v>21.2</v>
      </c>
      <c r="G30" s="324">
        <v>21.2</v>
      </c>
      <c r="H30" s="324">
        <v>21.2</v>
      </c>
      <c r="I30" s="324">
        <v>21.2</v>
      </c>
      <c r="J30" s="324">
        <v>21.2</v>
      </c>
      <c r="K30" s="325">
        <f t="shared" ref="K30:O34" si="3">+J30</f>
        <v>21.2</v>
      </c>
      <c r="L30" s="325">
        <f t="shared" si="3"/>
        <v>21.2</v>
      </c>
      <c r="M30" s="325">
        <f t="shared" si="3"/>
        <v>21.2</v>
      </c>
      <c r="N30" s="325">
        <f t="shared" si="3"/>
        <v>21.2</v>
      </c>
      <c r="O30" s="326">
        <f t="shared" si="3"/>
        <v>21.2</v>
      </c>
      <c r="P30" s="434" t="s">
        <v>715</v>
      </c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</row>
    <row r="31" spans="1:30" ht="12.75" customHeight="1">
      <c r="A31" s="316"/>
      <c r="B31" s="79" t="s">
        <v>203</v>
      </c>
      <c r="C31" s="316"/>
      <c r="D31" s="316"/>
      <c r="E31" s="322">
        <v>2</v>
      </c>
      <c r="F31" s="327">
        <v>21.2</v>
      </c>
      <c r="G31" s="274">
        <v>22</v>
      </c>
      <c r="H31" s="274">
        <v>23</v>
      </c>
      <c r="I31" s="274">
        <v>23.5</v>
      </c>
      <c r="J31" s="274">
        <v>24</v>
      </c>
      <c r="K31" s="328">
        <f t="shared" si="3"/>
        <v>24</v>
      </c>
      <c r="L31" s="328">
        <f t="shared" si="3"/>
        <v>24</v>
      </c>
      <c r="M31" s="328">
        <f t="shared" si="3"/>
        <v>24</v>
      </c>
      <c r="N31" s="328">
        <f t="shared" si="3"/>
        <v>24</v>
      </c>
      <c r="O31" s="329">
        <f t="shared" si="3"/>
        <v>24</v>
      </c>
      <c r="P31" s="434"/>
      <c r="Q31" s="435"/>
      <c r="R31" s="435"/>
      <c r="S31" s="435"/>
      <c r="T31" s="435"/>
      <c r="U31" s="435"/>
      <c r="V31" s="435"/>
      <c r="W31" s="435"/>
      <c r="X31" s="435"/>
      <c r="Y31" s="435"/>
      <c r="Z31" s="435"/>
      <c r="AA31" s="435"/>
      <c r="AB31" s="435"/>
      <c r="AC31" s="435"/>
      <c r="AD31" s="435"/>
    </row>
    <row r="32" spans="1:30">
      <c r="A32" s="316"/>
      <c r="B32" s="79" t="s">
        <v>204</v>
      </c>
      <c r="C32" s="316"/>
      <c r="D32" s="316"/>
      <c r="E32" s="322">
        <v>3</v>
      </c>
      <c r="F32" s="327">
        <v>21.2</v>
      </c>
      <c r="G32" s="274">
        <v>22</v>
      </c>
      <c r="H32" s="274">
        <v>22.5</v>
      </c>
      <c r="I32" s="274">
        <v>23</v>
      </c>
      <c r="J32" s="274">
        <v>23</v>
      </c>
      <c r="K32" s="328">
        <f t="shared" si="3"/>
        <v>23</v>
      </c>
      <c r="L32" s="328">
        <f t="shared" si="3"/>
        <v>23</v>
      </c>
      <c r="M32" s="328">
        <f t="shared" si="3"/>
        <v>23</v>
      </c>
      <c r="N32" s="328">
        <f t="shared" si="3"/>
        <v>23</v>
      </c>
      <c r="O32" s="329">
        <f t="shared" si="3"/>
        <v>23</v>
      </c>
      <c r="P32" s="434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5"/>
      <c r="AC32" s="435"/>
      <c r="AD32" s="435"/>
    </row>
    <row r="33" spans="1:30" ht="12.75" customHeight="1">
      <c r="A33" s="316"/>
      <c r="B33" s="79" t="s">
        <v>205</v>
      </c>
      <c r="C33" s="316"/>
      <c r="D33" s="316"/>
      <c r="E33" s="322">
        <v>4</v>
      </c>
      <c r="F33" s="327">
        <v>21.2</v>
      </c>
      <c r="G33" s="274">
        <v>21</v>
      </c>
      <c r="H33" s="274">
        <v>20.5</v>
      </c>
      <c r="I33" s="274">
        <v>20</v>
      </c>
      <c r="J33" s="274">
        <v>19</v>
      </c>
      <c r="K33" s="328">
        <f t="shared" si="3"/>
        <v>19</v>
      </c>
      <c r="L33" s="328">
        <f t="shared" si="3"/>
        <v>19</v>
      </c>
      <c r="M33" s="328">
        <f t="shared" si="3"/>
        <v>19</v>
      </c>
      <c r="N33" s="328">
        <f t="shared" si="3"/>
        <v>19</v>
      </c>
      <c r="O33" s="329">
        <f t="shared" si="3"/>
        <v>19</v>
      </c>
      <c r="P33" s="434"/>
      <c r="Q33" s="435"/>
      <c r="R33" s="435"/>
      <c r="S33" s="435"/>
      <c r="T33" s="435"/>
      <c r="U33" s="435"/>
      <c r="V33" s="435"/>
      <c r="W33" s="435"/>
      <c r="X33" s="435"/>
      <c r="Y33" s="435"/>
      <c r="Z33" s="435"/>
      <c r="AA33" s="435"/>
      <c r="AB33" s="435"/>
      <c r="AC33" s="435"/>
      <c r="AD33" s="435"/>
    </row>
    <row r="34" spans="1:30" ht="12.75" customHeight="1">
      <c r="A34" s="316"/>
      <c r="B34" s="79" t="s">
        <v>206</v>
      </c>
      <c r="C34" s="316"/>
      <c r="D34" s="316"/>
      <c r="E34" s="322">
        <v>5</v>
      </c>
      <c r="F34" s="330">
        <v>21.2</v>
      </c>
      <c r="G34" s="331">
        <v>20</v>
      </c>
      <c r="H34" s="331">
        <v>19</v>
      </c>
      <c r="I34" s="331">
        <v>18</v>
      </c>
      <c r="J34" s="331">
        <v>17</v>
      </c>
      <c r="K34" s="332">
        <f t="shared" si="3"/>
        <v>17</v>
      </c>
      <c r="L34" s="332">
        <f t="shared" si="3"/>
        <v>17</v>
      </c>
      <c r="M34" s="332">
        <f t="shared" si="3"/>
        <v>17</v>
      </c>
      <c r="N34" s="332">
        <f t="shared" si="3"/>
        <v>17</v>
      </c>
      <c r="O34" s="333">
        <f t="shared" si="3"/>
        <v>17</v>
      </c>
      <c r="P34" s="434"/>
      <c r="Q34" s="435"/>
      <c r="R34" s="435"/>
      <c r="S34" s="435"/>
      <c r="T34" s="435"/>
      <c r="U34" s="435"/>
      <c r="V34" s="435"/>
      <c r="W34" s="435"/>
      <c r="X34" s="435"/>
      <c r="Y34" s="435"/>
      <c r="Z34" s="435"/>
      <c r="AA34" s="435"/>
      <c r="AB34" s="435"/>
      <c r="AC34" s="435"/>
      <c r="AD34" s="435"/>
    </row>
    <row r="35" spans="1:30" ht="12.75" customHeight="1">
      <c r="A35" s="316"/>
      <c r="B35" s="79"/>
      <c r="C35" s="316"/>
      <c r="D35" s="316"/>
      <c r="E35" s="322"/>
      <c r="F35" s="318"/>
      <c r="G35" s="318"/>
      <c r="H35" s="318"/>
      <c r="I35" s="318"/>
      <c r="J35" s="318"/>
      <c r="K35" s="318"/>
      <c r="L35" s="318"/>
      <c r="M35" s="318"/>
      <c r="N35" s="318"/>
      <c r="O35" s="318"/>
    </row>
    <row r="36" spans="1:30" ht="12.75" customHeight="1">
      <c r="A36" s="316"/>
      <c r="B36" s="320" t="s">
        <v>143</v>
      </c>
      <c r="C36" s="316"/>
      <c r="D36" s="316"/>
      <c r="E36" s="322"/>
      <c r="F36" s="402">
        <f>CHOOSE(DCF!$D$4,F37,F38,F39,F40,F41)</f>
        <v>5.7500000000000002E-2</v>
      </c>
      <c r="G36" s="402">
        <f>CHOOSE(DCF!$D$4,G37,G38,G39,G40,G41)</f>
        <v>5.7500000000000002E-2</v>
      </c>
      <c r="H36" s="402">
        <f>CHOOSE(DCF!$D$4,H37,H38,H39,H40,H41)</f>
        <v>5.7500000000000002E-2</v>
      </c>
      <c r="I36" s="402">
        <f>CHOOSE(DCF!$D$4,I37,I38,I39,I40,I41)</f>
        <v>5.7500000000000002E-2</v>
      </c>
      <c r="J36" s="402">
        <f>CHOOSE(DCF!$D$4,J37,J38,J39,J40,J41)</f>
        <v>5.7500000000000002E-2</v>
      </c>
      <c r="K36" s="402">
        <f>CHOOSE(DCF!$D$4,K37,K38,K39,K40,K41)</f>
        <v>5.7500000000000002E-2</v>
      </c>
      <c r="L36" s="402">
        <f>CHOOSE(DCF!$D$4,L37,L38,L39,L40,L41)</f>
        <v>5.7500000000000002E-2</v>
      </c>
      <c r="M36" s="402">
        <f>CHOOSE(DCF!$D$4,M37,M38,M39,M40,M41)</f>
        <v>5.7500000000000002E-2</v>
      </c>
      <c r="N36" s="402">
        <f>CHOOSE(DCF!$D$4,N37,N38,N39,N40,N41)</f>
        <v>5.7500000000000002E-2</v>
      </c>
      <c r="O36" s="402">
        <f>CHOOSE(DCF!$D$4,O37,O38,O39,O40,O41)</f>
        <v>5.7500000000000002E-2</v>
      </c>
      <c r="P36" s="35" t="s">
        <v>219</v>
      </c>
    </row>
    <row r="37" spans="1:30" ht="12.75" customHeight="1">
      <c r="A37" s="316"/>
      <c r="B37" s="79" t="s">
        <v>202</v>
      </c>
      <c r="C37" s="316"/>
      <c r="D37" s="316"/>
      <c r="E37" s="322">
        <v>1</v>
      </c>
      <c r="F37" s="391">
        <v>5.7500000000000002E-2</v>
      </c>
      <c r="G37" s="392">
        <v>5.7500000000000002E-2</v>
      </c>
      <c r="H37" s="392">
        <v>5.7500000000000002E-2</v>
      </c>
      <c r="I37" s="392">
        <v>5.7500000000000002E-2</v>
      </c>
      <c r="J37" s="392">
        <v>5.7500000000000002E-2</v>
      </c>
      <c r="K37" s="393">
        <f t="shared" ref="K37:O41" si="4">+J37</f>
        <v>5.7500000000000002E-2</v>
      </c>
      <c r="L37" s="393">
        <f t="shared" si="4"/>
        <v>5.7500000000000002E-2</v>
      </c>
      <c r="M37" s="393">
        <f t="shared" si="4"/>
        <v>5.7500000000000002E-2</v>
      </c>
      <c r="N37" s="393">
        <f t="shared" si="4"/>
        <v>5.7500000000000002E-2</v>
      </c>
      <c r="O37" s="394">
        <f t="shared" si="4"/>
        <v>5.7500000000000002E-2</v>
      </c>
      <c r="P37" s="434" t="s">
        <v>716</v>
      </c>
      <c r="Q37" s="435"/>
      <c r="R37" s="435"/>
      <c r="S37" s="435"/>
      <c r="T37" s="435"/>
      <c r="U37" s="435"/>
      <c r="V37" s="435"/>
      <c r="W37" s="435"/>
      <c r="X37" s="435"/>
      <c r="Y37" s="435"/>
      <c r="Z37" s="435"/>
      <c r="AA37" s="435"/>
      <c r="AB37" s="435"/>
    </row>
    <row r="38" spans="1:30" ht="12.75" customHeight="1">
      <c r="A38" s="316"/>
      <c r="B38" s="79" t="s">
        <v>203</v>
      </c>
      <c r="C38" s="316"/>
      <c r="D38" s="316"/>
      <c r="E38" s="322">
        <v>2</v>
      </c>
      <c r="F38" s="395">
        <v>5.7500000000000002E-2</v>
      </c>
      <c r="G38" s="64">
        <v>5.8000000000000003E-2</v>
      </c>
      <c r="H38" s="64">
        <v>0.06</v>
      </c>
      <c r="I38" s="64">
        <v>6.25E-2</v>
      </c>
      <c r="J38" s="64">
        <v>6.25E-2</v>
      </c>
      <c r="K38" s="396">
        <f t="shared" si="4"/>
        <v>6.25E-2</v>
      </c>
      <c r="L38" s="396">
        <f t="shared" si="4"/>
        <v>6.25E-2</v>
      </c>
      <c r="M38" s="396">
        <f t="shared" si="4"/>
        <v>6.25E-2</v>
      </c>
      <c r="N38" s="396">
        <f t="shared" si="4"/>
        <v>6.25E-2</v>
      </c>
      <c r="O38" s="397">
        <f t="shared" si="4"/>
        <v>6.25E-2</v>
      </c>
      <c r="P38" s="434"/>
      <c r="Q38" s="435"/>
      <c r="R38" s="435"/>
      <c r="S38" s="435"/>
      <c r="T38" s="435"/>
      <c r="U38" s="435"/>
      <c r="V38" s="435"/>
      <c r="W38" s="435"/>
      <c r="X38" s="435"/>
      <c r="Y38" s="435"/>
      <c r="Z38" s="435"/>
      <c r="AA38" s="435"/>
      <c r="AB38" s="435"/>
    </row>
    <row r="39" spans="1:30" ht="12.75" customHeight="1">
      <c r="A39" s="316"/>
      <c r="B39" s="79" t="s">
        <v>204</v>
      </c>
      <c r="C39" s="316"/>
      <c r="D39" s="316"/>
      <c r="E39" s="322">
        <v>3</v>
      </c>
      <c r="F39" s="395">
        <v>5.7500000000000002E-2</v>
      </c>
      <c r="G39" s="64">
        <v>5.7500000000000002E-2</v>
      </c>
      <c r="H39" s="64">
        <v>0.06</v>
      </c>
      <c r="I39" s="64">
        <f>H39</f>
        <v>0.06</v>
      </c>
      <c r="J39" s="64">
        <v>0.06</v>
      </c>
      <c r="K39" s="396">
        <f t="shared" si="4"/>
        <v>0.06</v>
      </c>
      <c r="L39" s="396">
        <f t="shared" si="4"/>
        <v>0.06</v>
      </c>
      <c r="M39" s="396">
        <f t="shared" si="4"/>
        <v>0.06</v>
      </c>
      <c r="N39" s="396">
        <f t="shared" si="4"/>
        <v>0.06</v>
      </c>
      <c r="O39" s="397">
        <f t="shared" si="4"/>
        <v>0.06</v>
      </c>
      <c r="P39" s="434"/>
      <c r="Q39" s="435"/>
      <c r="R39" s="435"/>
      <c r="S39" s="435"/>
      <c r="T39" s="435"/>
      <c r="U39" s="435"/>
      <c r="V39" s="435"/>
      <c r="W39" s="435"/>
      <c r="X39" s="435"/>
      <c r="Y39" s="435"/>
      <c r="Z39" s="435"/>
      <c r="AA39" s="435"/>
      <c r="AB39" s="435"/>
    </row>
    <row r="40" spans="1:30" ht="12.75" customHeight="1">
      <c r="A40" s="316"/>
      <c r="B40" s="79" t="s">
        <v>205</v>
      </c>
      <c r="C40" s="316"/>
      <c r="D40" s="316"/>
      <c r="E40" s="322">
        <v>4</v>
      </c>
      <c r="F40" s="395">
        <v>5.7500000000000002E-2</v>
      </c>
      <c r="G40" s="64">
        <v>5.5E-2</v>
      </c>
      <c r="H40" s="64">
        <v>5.5E-2</v>
      </c>
      <c r="I40" s="64">
        <v>5.2499999999999998E-2</v>
      </c>
      <c r="J40" s="64">
        <v>5.2499999999999998E-2</v>
      </c>
      <c r="K40" s="396">
        <f t="shared" si="4"/>
        <v>5.2499999999999998E-2</v>
      </c>
      <c r="L40" s="396">
        <f t="shared" si="4"/>
        <v>5.2499999999999998E-2</v>
      </c>
      <c r="M40" s="396">
        <f t="shared" si="4"/>
        <v>5.2499999999999998E-2</v>
      </c>
      <c r="N40" s="396">
        <f t="shared" si="4"/>
        <v>5.2499999999999998E-2</v>
      </c>
      <c r="O40" s="397">
        <f t="shared" si="4"/>
        <v>5.2499999999999998E-2</v>
      </c>
      <c r="P40" s="434"/>
      <c r="Q40" s="435"/>
      <c r="R40" s="435"/>
      <c r="S40" s="435"/>
      <c r="T40" s="435"/>
      <c r="U40" s="435"/>
      <c r="V40" s="435"/>
      <c r="W40" s="435"/>
      <c r="X40" s="435"/>
      <c r="Y40" s="435"/>
      <c r="Z40" s="435"/>
      <c r="AA40" s="435"/>
      <c r="AB40" s="435"/>
    </row>
    <row r="41" spans="1:30" ht="12.75" customHeight="1">
      <c r="A41" s="316"/>
      <c r="B41" s="79" t="s">
        <v>206</v>
      </c>
      <c r="C41" s="316"/>
      <c r="D41" s="316"/>
      <c r="E41" s="322">
        <v>5</v>
      </c>
      <c r="F41" s="398">
        <v>5.7500000000000002E-2</v>
      </c>
      <c r="G41" s="399">
        <v>5.2499999999999998E-2</v>
      </c>
      <c r="H41" s="399">
        <v>0.05</v>
      </c>
      <c r="I41" s="399">
        <v>4.7500000000000001E-2</v>
      </c>
      <c r="J41" s="399">
        <v>4.7500000000000001E-2</v>
      </c>
      <c r="K41" s="400">
        <f t="shared" si="4"/>
        <v>4.7500000000000001E-2</v>
      </c>
      <c r="L41" s="400">
        <f t="shared" si="4"/>
        <v>4.7500000000000001E-2</v>
      </c>
      <c r="M41" s="400">
        <f t="shared" si="4"/>
        <v>4.7500000000000001E-2</v>
      </c>
      <c r="N41" s="400">
        <f t="shared" si="4"/>
        <v>4.7500000000000001E-2</v>
      </c>
      <c r="O41" s="401">
        <f t="shared" si="4"/>
        <v>4.7500000000000001E-2</v>
      </c>
      <c r="P41" s="434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5"/>
    </row>
    <row r="42" spans="1:30" ht="12.75" customHeight="1">
      <c r="A42" s="316"/>
      <c r="B42" s="79"/>
      <c r="C42" s="316"/>
      <c r="D42" s="316"/>
      <c r="E42" s="322"/>
      <c r="F42" s="335"/>
      <c r="G42" s="335"/>
      <c r="H42" s="335"/>
      <c r="I42" s="335"/>
      <c r="J42" s="335"/>
      <c r="K42" s="335"/>
      <c r="L42" s="335"/>
      <c r="M42" s="335"/>
      <c r="N42" s="335"/>
      <c r="O42" s="335"/>
    </row>
    <row r="43" spans="1:30" ht="12.75" customHeight="1">
      <c r="A43" s="316"/>
      <c r="B43" s="320" t="s">
        <v>144</v>
      </c>
      <c r="C43" s="316"/>
      <c r="D43" s="316"/>
      <c r="E43" s="322"/>
      <c r="F43" s="402">
        <f>CHOOSE(DCF!$D$4,F44,F45,F46,F47,F48)</f>
        <v>3.5200000000000002E-2</v>
      </c>
      <c r="G43" s="402">
        <f>CHOOSE(DCF!$D$4,G44,G45,G46,G47,G48)</f>
        <v>3.5200000000000002E-2</v>
      </c>
      <c r="H43" s="402">
        <f>CHOOSE(DCF!$D$4,H44,H45,H46,H47,H48)</f>
        <v>3.5200000000000002E-2</v>
      </c>
      <c r="I43" s="402">
        <f>CHOOSE(DCF!$D$4,I44,I45,I46,I47,I48)</f>
        <v>3.5200000000000002E-2</v>
      </c>
      <c r="J43" s="402">
        <f>CHOOSE(DCF!$D$4,J44,J45,J46,J47,J48)</f>
        <v>3.5200000000000002E-2</v>
      </c>
      <c r="K43" s="402">
        <f>CHOOSE(DCF!$D$4,K44,K45,K46,K47,K48)</f>
        <v>3.5200000000000002E-2</v>
      </c>
      <c r="L43" s="402">
        <f>CHOOSE(DCF!$D$4,L44,L45,L46,L47,L48)</f>
        <v>3.5200000000000002E-2</v>
      </c>
      <c r="M43" s="402">
        <f>CHOOSE(DCF!$D$4,M44,M45,M46,M47,M48)</f>
        <v>3.5200000000000002E-2</v>
      </c>
      <c r="N43" s="402">
        <f>CHOOSE(DCF!$D$4,N44,N45,N46,N47,N48)</f>
        <v>3.5200000000000002E-2</v>
      </c>
      <c r="O43" s="402">
        <f>CHOOSE(DCF!$D$4,O44,O45,O46,O47,O48)</f>
        <v>3.5200000000000002E-2</v>
      </c>
      <c r="P43" s="35" t="s">
        <v>220</v>
      </c>
    </row>
    <row r="44" spans="1:30" ht="12.75" customHeight="1">
      <c r="A44" s="316"/>
      <c r="B44" s="79" t="s">
        <v>202</v>
      </c>
      <c r="C44" s="316"/>
      <c r="D44" s="316"/>
      <c r="E44" s="322">
        <v>1</v>
      </c>
      <c r="F44" s="391">
        <v>3.5200000000000002E-2</v>
      </c>
      <c r="G44" s="392">
        <v>3.5200000000000002E-2</v>
      </c>
      <c r="H44" s="392">
        <v>3.5200000000000002E-2</v>
      </c>
      <c r="I44" s="392">
        <v>3.5200000000000002E-2</v>
      </c>
      <c r="J44" s="392">
        <v>3.5200000000000002E-2</v>
      </c>
      <c r="K44" s="393">
        <f t="shared" ref="K44:O48" si="5">+J44</f>
        <v>3.5200000000000002E-2</v>
      </c>
      <c r="L44" s="393">
        <f t="shared" si="5"/>
        <v>3.5200000000000002E-2</v>
      </c>
      <c r="M44" s="393">
        <f t="shared" si="5"/>
        <v>3.5200000000000002E-2</v>
      </c>
      <c r="N44" s="393">
        <f t="shared" si="5"/>
        <v>3.5200000000000002E-2</v>
      </c>
      <c r="O44" s="394">
        <f t="shared" si="5"/>
        <v>3.5200000000000002E-2</v>
      </c>
      <c r="P44" s="434" t="s">
        <v>717</v>
      </c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</row>
    <row r="45" spans="1:30" ht="12.75" customHeight="1">
      <c r="A45" s="316"/>
      <c r="B45" s="79" t="s">
        <v>203</v>
      </c>
      <c r="C45" s="316"/>
      <c r="D45" s="316"/>
      <c r="E45" s="322">
        <v>2</v>
      </c>
      <c r="F45" s="395">
        <v>3.5200000000000002E-2</v>
      </c>
      <c r="G45" s="64">
        <v>3.5999999999999997E-2</v>
      </c>
      <c r="H45" s="64">
        <v>3.7499999999999999E-2</v>
      </c>
      <c r="I45" s="64">
        <v>3.9E-2</v>
      </c>
      <c r="J45" s="64">
        <v>0.04</v>
      </c>
      <c r="K45" s="396">
        <f t="shared" si="5"/>
        <v>0.04</v>
      </c>
      <c r="L45" s="396">
        <f t="shared" si="5"/>
        <v>0.04</v>
      </c>
      <c r="M45" s="396">
        <f t="shared" si="5"/>
        <v>0.04</v>
      </c>
      <c r="N45" s="396">
        <f t="shared" si="5"/>
        <v>0.04</v>
      </c>
      <c r="O45" s="397">
        <f t="shared" si="5"/>
        <v>0.04</v>
      </c>
      <c r="P45" s="434"/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</row>
    <row r="46" spans="1:30" ht="12.75" customHeight="1">
      <c r="A46" s="316"/>
      <c r="B46" s="79" t="s">
        <v>204</v>
      </c>
      <c r="C46" s="316"/>
      <c r="D46" s="316"/>
      <c r="E46" s="322">
        <v>3</v>
      </c>
      <c r="F46" s="395">
        <v>3.5200000000000002E-2</v>
      </c>
      <c r="G46" s="64">
        <v>3.5999999999999997E-2</v>
      </c>
      <c r="H46" s="64">
        <v>3.6999999999999998E-2</v>
      </c>
      <c r="I46" s="64">
        <v>3.7499999999999999E-2</v>
      </c>
      <c r="J46" s="64">
        <v>3.7999999999999999E-2</v>
      </c>
      <c r="K46" s="396">
        <f t="shared" si="5"/>
        <v>3.7999999999999999E-2</v>
      </c>
      <c r="L46" s="396">
        <f t="shared" si="5"/>
        <v>3.7999999999999999E-2</v>
      </c>
      <c r="M46" s="396">
        <f t="shared" si="5"/>
        <v>3.7999999999999999E-2</v>
      </c>
      <c r="N46" s="396">
        <f t="shared" si="5"/>
        <v>3.7999999999999999E-2</v>
      </c>
      <c r="O46" s="397">
        <f t="shared" si="5"/>
        <v>3.7999999999999999E-2</v>
      </c>
      <c r="P46" s="434"/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5"/>
    </row>
    <row r="47" spans="1:30" ht="12.75" customHeight="1">
      <c r="A47" s="316"/>
      <c r="B47" s="79" t="s">
        <v>205</v>
      </c>
      <c r="C47" s="316"/>
      <c r="D47" s="316"/>
      <c r="E47" s="322">
        <v>4</v>
      </c>
      <c r="F47" s="395">
        <v>3.5200000000000002E-2</v>
      </c>
      <c r="G47" s="64">
        <v>3.4000000000000002E-2</v>
      </c>
      <c r="H47" s="64">
        <v>3.3000000000000002E-2</v>
      </c>
      <c r="I47" s="64">
        <v>3.1E-2</v>
      </c>
      <c r="J47" s="64">
        <v>0.03</v>
      </c>
      <c r="K47" s="396">
        <f t="shared" si="5"/>
        <v>0.03</v>
      </c>
      <c r="L47" s="396">
        <f t="shared" si="5"/>
        <v>0.03</v>
      </c>
      <c r="M47" s="396">
        <f t="shared" si="5"/>
        <v>0.03</v>
      </c>
      <c r="N47" s="396">
        <f t="shared" si="5"/>
        <v>0.03</v>
      </c>
      <c r="O47" s="397">
        <f t="shared" si="5"/>
        <v>0.03</v>
      </c>
      <c r="P47" s="434"/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</row>
    <row r="48" spans="1:30" ht="12.75" customHeight="1">
      <c r="A48" s="316"/>
      <c r="B48" s="79" t="s">
        <v>206</v>
      </c>
      <c r="C48" s="316"/>
      <c r="D48" s="316"/>
      <c r="E48" s="322">
        <v>5</v>
      </c>
      <c r="F48" s="398">
        <v>3.5200000000000002E-2</v>
      </c>
      <c r="G48" s="399">
        <v>0.03</v>
      </c>
      <c r="H48" s="399">
        <v>2.8000000000000001E-2</v>
      </c>
      <c r="I48" s="399">
        <v>2.7E-2</v>
      </c>
      <c r="J48" s="399">
        <v>2.5000000000000001E-2</v>
      </c>
      <c r="K48" s="400">
        <f t="shared" si="5"/>
        <v>2.5000000000000001E-2</v>
      </c>
      <c r="L48" s="400">
        <f t="shared" si="5"/>
        <v>2.5000000000000001E-2</v>
      </c>
      <c r="M48" s="400">
        <f t="shared" si="5"/>
        <v>2.5000000000000001E-2</v>
      </c>
      <c r="N48" s="400">
        <f t="shared" si="5"/>
        <v>2.5000000000000001E-2</v>
      </c>
      <c r="O48" s="401">
        <f t="shared" si="5"/>
        <v>2.5000000000000001E-2</v>
      </c>
      <c r="P48" s="434"/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</row>
    <row r="49" spans="2:15" ht="12.75" customHeight="1">
      <c r="B49" s="79"/>
      <c r="C49" s="22"/>
      <c r="D49" s="22"/>
      <c r="E49" s="204"/>
      <c r="F49" s="297"/>
      <c r="G49" s="297"/>
      <c r="H49" s="297"/>
      <c r="I49" s="297"/>
      <c r="J49" s="297"/>
      <c r="K49" s="297"/>
      <c r="L49" s="297"/>
      <c r="M49" s="297"/>
      <c r="N49" s="297"/>
      <c r="O49" s="297"/>
    </row>
  </sheetData>
  <mergeCells count="7">
    <mergeCell ref="F2:O2"/>
    <mergeCell ref="P8:AB12"/>
    <mergeCell ref="P37:AB41"/>
    <mergeCell ref="P44:AB48"/>
    <mergeCell ref="P15:AD19"/>
    <mergeCell ref="P22:AD27"/>
    <mergeCell ref="P30:AD34"/>
  </mergeCells>
  <phoneticPr fontId="213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3984-1244-0540-8209-F2A47982E06B}">
  <dimension ref="A1:BF110"/>
  <sheetViews>
    <sheetView workbookViewId="0">
      <selection activeCell="C3" sqref="C3:AH109"/>
    </sheetView>
  </sheetViews>
  <sheetFormatPr baseColWidth="10" defaultColWidth="8.83203125" defaultRowHeight="13" outlineLevelRow="3" outlineLevelCol="1"/>
  <cols>
    <col min="1" max="1" width="1.1640625" style="337" customWidth="1"/>
    <col min="2" max="2" width="1.83203125" style="337" customWidth="1"/>
    <col min="3" max="3" width="50.6640625" style="337" customWidth="1"/>
    <col min="4" max="11" width="12.6640625" style="337" customWidth="1" outlineLevel="1"/>
    <col min="12" max="12" width="2.5" style="337" customWidth="1"/>
    <col min="13" max="33" width="12.6640625" style="337" customWidth="1"/>
    <col min="34" max="34" width="1.83203125" style="337" customWidth="1"/>
    <col min="35" max="16384" width="8.83203125" style="337"/>
  </cols>
  <sheetData>
    <row r="1" spans="1:58" ht="6.75" customHeight="1">
      <c r="A1" s="336"/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6"/>
      <c r="AO1" s="336"/>
      <c r="AP1" s="336"/>
      <c r="AQ1" s="336"/>
      <c r="AR1" s="336"/>
      <c r="AS1" s="336"/>
      <c r="AT1" s="336"/>
      <c r="AU1" s="336"/>
      <c r="AV1" s="336"/>
      <c r="AW1" s="336"/>
      <c r="AX1" s="336"/>
      <c r="AY1" s="336"/>
      <c r="AZ1" s="336"/>
      <c r="BA1" s="336"/>
      <c r="BB1" s="336"/>
      <c r="BC1" s="336"/>
      <c r="BD1" s="336"/>
      <c r="BE1" s="336"/>
      <c r="BF1" s="336"/>
    </row>
    <row r="2" spans="1:58" ht="40" customHeight="1">
      <c r="A2" s="336"/>
      <c r="B2" s="338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339"/>
      <c r="AA2" s="339"/>
      <c r="AB2" s="339"/>
      <c r="AC2" s="339"/>
      <c r="AD2" s="339"/>
      <c r="AE2" s="339"/>
      <c r="AF2" s="339"/>
      <c r="AG2" s="339"/>
      <c r="AH2" s="340"/>
      <c r="AI2" s="336"/>
      <c r="AJ2" s="336"/>
      <c r="AK2" s="336"/>
      <c r="AL2" s="336"/>
      <c r="AM2" s="336"/>
      <c r="AN2" s="336"/>
      <c r="AO2" s="336"/>
      <c r="AP2" s="336"/>
      <c r="AQ2" s="336"/>
      <c r="AR2" s="336"/>
      <c r="AS2" s="336"/>
      <c r="AT2" s="336"/>
      <c r="AU2" s="336"/>
      <c r="AV2" s="336"/>
      <c r="AW2" s="336"/>
      <c r="AX2" s="336"/>
      <c r="AY2" s="336"/>
      <c r="AZ2" s="336"/>
      <c r="BA2" s="336"/>
      <c r="BB2" s="336"/>
      <c r="BC2" s="336"/>
      <c r="BD2" s="336"/>
      <c r="BE2" s="336"/>
      <c r="BF2" s="336"/>
    </row>
    <row r="3" spans="1:58" ht="20">
      <c r="A3" s="336"/>
      <c r="B3" s="341"/>
      <c r="C3" s="342" t="s">
        <v>221</v>
      </c>
      <c r="AH3" s="343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  <c r="AW3" s="336"/>
      <c r="AX3" s="336"/>
      <c r="AY3" s="336"/>
      <c r="AZ3" s="336"/>
      <c r="BA3" s="336"/>
      <c r="BB3" s="336"/>
      <c r="BC3" s="336"/>
      <c r="BD3" s="336"/>
      <c r="BE3" s="336"/>
      <c r="BF3" s="336"/>
    </row>
    <row r="4" spans="1:58" ht="23">
      <c r="A4" s="336"/>
      <c r="B4" s="341"/>
      <c r="C4" s="344" t="s">
        <v>222</v>
      </c>
      <c r="D4" s="345" t="s">
        <v>223</v>
      </c>
      <c r="E4" s="346"/>
      <c r="F4" s="346"/>
      <c r="G4" s="346"/>
      <c r="H4" s="346"/>
      <c r="I4" s="346"/>
      <c r="J4" s="346"/>
      <c r="K4" s="346"/>
      <c r="AH4" s="343"/>
      <c r="AI4" s="336"/>
      <c r="AJ4" s="336"/>
      <c r="AK4" s="336"/>
      <c r="AL4" s="336"/>
      <c r="AM4" s="336"/>
      <c r="AN4" s="336"/>
      <c r="AO4" s="336"/>
      <c r="AP4" s="336"/>
      <c r="AQ4" s="336"/>
      <c r="AR4" s="336"/>
      <c r="AS4" s="336"/>
      <c r="AT4" s="336"/>
      <c r="AU4" s="336"/>
      <c r="AV4" s="336"/>
      <c r="AW4" s="336"/>
      <c r="AX4" s="336"/>
      <c r="AY4" s="336"/>
      <c r="AZ4" s="336"/>
      <c r="BA4" s="336"/>
      <c r="BB4" s="336"/>
      <c r="BC4" s="336"/>
      <c r="BD4" s="336"/>
      <c r="BE4" s="336"/>
      <c r="BF4" s="336"/>
    </row>
    <row r="5" spans="1:58" ht="15">
      <c r="A5" s="336"/>
      <c r="B5" s="341"/>
      <c r="C5" s="344" t="s">
        <v>224</v>
      </c>
      <c r="D5" s="436" t="s">
        <v>175</v>
      </c>
      <c r="E5" s="436" t="s">
        <v>178</v>
      </c>
      <c r="F5" s="436" t="s">
        <v>225</v>
      </c>
      <c r="G5" s="436" t="s">
        <v>226</v>
      </c>
      <c r="H5" s="436" t="s">
        <v>227</v>
      </c>
      <c r="I5" s="436" t="s">
        <v>228</v>
      </c>
      <c r="J5" s="436" t="s">
        <v>229</v>
      </c>
      <c r="K5" s="436" t="s">
        <v>230</v>
      </c>
      <c r="M5" s="347" t="s">
        <v>231</v>
      </c>
      <c r="N5" s="347" t="s">
        <v>232</v>
      </c>
      <c r="O5" s="347" t="s">
        <v>233</v>
      </c>
      <c r="P5" s="347" t="s">
        <v>234</v>
      </c>
      <c r="Q5" s="347" t="s">
        <v>235</v>
      </c>
      <c r="R5" s="347" t="s">
        <v>236</v>
      </c>
      <c r="S5" s="347" t="s">
        <v>237</v>
      </c>
      <c r="T5" s="347" t="s">
        <v>238</v>
      </c>
      <c r="U5" s="347" t="s">
        <v>239</v>
      </c>
      <c r="V5" s="347" t="s">
        <v>240</v>
      </c>
      <c r="W5" s="347" t="s">
        <v>241</v>
      </c>
      <c r="X5" s="347" t="s">
        <v>242</v>
      </c>
      <c r="Y5" s="347" t="s">
        <v>243</v>
      </c>
      <c r="Z5" s="347" t="s">
        <v>244</v>
      </c>
      <c r="AA5" s="347" t="s">
        <v>245</v>
      </c>
      <c r="AB5" s="347" t="s">
        <v>246</v>
      </c>
      <c r="AC5" s="347" t="s">
        <v>247</v>
      </c>
      <c r="AD5" s="347" t="s">
        <v>248</v>
      </c>
      <c r="AE5" s="347" t="s">
        <v>249</v>
      </c>
      <c r="AF5" s="347" t="s">
        <v>250</v>
      </c>
      <c r="AG5" s="347" t="s">
        <v>251</v>
      </c>
      <c r="AH5" s="343"/>
      <c r="AI5" s="336"/>
      <c r="AJ5" s="336"/>
      <c r="AK5" s="336"/>
      <c r="AL5" s="336"/>
      <c r="AM5" s="336"/>
      <c r="AN5" s="336"/>
      <c r="AO5" s="336"/>
      <c r="AP5" s="336"/>
      <c r="AQ5" s="336"/>
      <c r="AR5" s="336"/>
      <c r="AS5" s="336"/>
      <c r="AT5" s="336"/>
      <c r="AU5" s="336"/>
      <c r="AV5" s="336"/>
      <c r="AW5" s="336"/>
      <c r="AX5" s="336"/>
      <c r="AY5" s="336"/>
      <c r="AZ5" s="336"/>
      <c r="BA5" s="336"/>
      <c r="BB5" s="336"/>
      <c r="BC5" s="336"/>
      <c r="BD5" s="336"/>
      <c r="BE5" s="336"/>
      <c r="BF5" s="336"/>
    </row>
    <row r="6" spans="1:58">
      <c r="A6" s="336"/>
      <c r="B6" s="341"/>
      <c r="D6" s="436"/>
      <c r="E6" s="436"/>
      <c r="F6" s="436"/>
      <c r="G6" s="436"/>
      <c r="H6" s="436"/>
      <c r="I6" s="436"/>
      <c r="J6" s="436"/>
      <c r="K6" s="436"/>
      <c r="AH6" s="343"/>
      <c r="AI6" s="336"/>
      <c r="AJ6" s="336"/>
      <c r="AK6" s="336"/>
      <c r="AL6" s="336"/>
      <c r="AM6" s="336"/>
      <c r="AN6" s="336"/>
      <c r="AO6" s="336"/>
      <c r="AP6" s="336"/>
      <c r="AQ6" s="336"/>
      <c r="AR6" s="336"/>
      <c r="AS6" s="336"/>
      <c r="AT6" s="336"/>
      <c r="AU6" s="336"/>
      <c r="AV6" s="336"/>
      <c r="AW6" s="336"/>
      <c r="AX6" s="336"/>
      <c r="AY6" s="336"/>
      <c r="AZ6" s="336"/>
      <c r="BA6" s="336"/>
      <c r="BB6" s="336"/>
      <c r="BC6" s="336"/>
      <c r="BD6" s="336"/>
      <c r="BE6" s="336"/>
      <c r="BF6" s="336"/>
    </row>
    <row r="7" spans="1:58" ht="14">
      <c r="A7" s="336"/>
      <c r="B7" s="341"/>
      <c r="C7" s="344" t="s">
        <v>252</v>
      </c>
      <c r="D7" s="346"/>
      <c r="E7" s="346"/>
      <c r="F7" s="346"/>
      <c r="G7" s="346"/>
      <c r="H7" s="346"/>
      <c r="I7" s="346"/>
      <c r="J7" s="346"/>
      <c r="K7" s="346"/>
      <c r="M7" s="348"/>
      <c r="N7" s="348"/>
      <c r="O7" s="348"/>
      <c r="P7" s="348"/>
      <c r="Q7" s="348"/>
      <c r="R7" s="348"/>
      <c r="S7" s="348"/>
      <c r="T7" s="348"/>
      <c r="U7" s="348"/>
      <c r="V7" s="348"/>
      <c r="W7" s="348"/>
      <c r="X7" s="348"/>
      <c r="Y7" s="348"/>
      <c r="Z7" s="348"/>
      <c r="AA7" s="348"/>
      <c r="AB7" s="348"/>
      <c r="AC7" s="348"/>
      <c r="AD7" s="348"/>
      <c r="AE7" s="348"/>
      <c r="AF7" s="348"/>
      <c r="AG7" s="348"/>
      <c r="AH7" s="343"/>
      <c r="AI7" s="336"/>
      <c r="AJ7" s="336"/>
      <c r="AK7" s="336"/>
      <c r="AL7" s="336"/>
      <c r="AM7" s="336"/>
      <c r="AN7" s="336"/>
      <c r="AO7" s="336"/>
      <c r="AP7" s="336"/>
      <c r="AQ7" s="336"/>
      <c r="AR7" s="336"/>
      <c r="AS7" s="336"/>
      <c r="AT7" s="336"/>
      <c r="AU7" s="336"/>
      <c r="AV7" s="336"/>
      <c r="AW7" s="336"/>
      <c r="AX7" s="336"/>
      <c r="AY7" s="336"/>
      <c r="AZ7" s="336"/>
      <c r="BA7" s="336"/>
      <c r="BB7" s="336"/>
      <c r="BC7" s="336"/>
      <c r="BD7" s="336"/>
      <c r="BE7" s="336"/>
      <c r="BF7" s="336"/>
    </row>
    <row r="8" spans="1:58">
      <c r="A8" s="336"/>
      <c r="B8" s="341"/>
      <c r="D8" s="346"/>
      <c r="E8" s="346"/>
      <c r="F8" s="346"/>
      <c r="G8" s="346"/>
      <c r="H8" s="346"/>
      <c r="I8" s="346"/>
      <c r="J8" s="346"/>
      <c r="K8" s="346"/>
      <c r="AH8" s="343"/>
      <c r="AI8" s="336"/>
      <c r="AJ8" s="336"/>
      <c r="AK8" s="336"/>
      <c r="AL8" s="336"/>
      <c r="AM8" s="336"/>
      <c r="AN8" s="336"/>
      <c r="AO8" s="336"/>
      <c r="AP8" s="336"/>
      <c r="AQ8" s="336"/>
      <c r="AR8" s="336"/>
      <c r="AS8" s="336"/>
      <c r="AT8" s="336"/>
      <c r="AU8" s="336"/>
      <c r="AV8" s="336"/>
      <c r="AW8" s="336"/>
      <c r="AX8" s="336"/>
      <c r="AY8" s="336"/>
      <c r="AZ8" s="336"/>
      <c r="BA8" s="336"/>
      <c r="BB8" s="336"/>
      <c r="BC8" s="336"/>
      <c r="BD8" s="336"/>
      <c r="BE8" s="336"/>
      <c r="BF8" s="336"/>
    </row>
    <row r="9" spans="1:58">
      <c r="A9" s="336"/>
      <c r="B9" s="341"/>
      <c r="D9" s="346"/>
      <c r="E9" s="346"/>
      <c r="F9" s="346"/>
      <c r="G9" s="346"/>
      <c r="H9" s="346"/>
      <c r="I9" s="346"/>
      <c r="J9" s="346"/>
      <c r="K9" s="346"/>
      <c r="M9" s="349" t="s">
        <v>253</v>
      </c>
      <c r="N9" s="349" t="s">
        <v>253</v>
      </c>
      <c r="O9" s="349" t="s">
        <v>253</v>
      </c>
      <c r="P9" s="349" t="s">
        <v>254</v>
      </c>
      <c r="Q9" s="349" t="s">
        <v>255</v>
      </c>
      <c r="R9" s="349" t="s">
        <v>256</v>
      </c>
      <c r="S9" s="349" t="s">
        <v>257</v>
      </c>
      <c r="T9" s="349" t="s">
        <v>258</v>
      </c>
      <c r="U9" s="349" t="s">
        <v>259</v>
      </c>
      <c r="V9" s="349" t="s">
        <v>260</v>
      </c>
      <c r="W9" s="349" t="s">
        <v>261</v>
      </c>
      <c r="X9" s="349" t="s">
        <v>262</v>
      </c>
      <c r="Y9" s="349" t="s">
        <v>263</v>
      </c>
      <c r="Z9" s="349" t="s">
        <v>263</v>
      </c>
      <c r="AA9" s="349" t="s">
        <v>263</v>
      </c>
      <c r="AB9" s="349" t="s">
        <v>263</v>
      </c>
      <c r="AC9" s="349" t="s">
        <v>263</v>
      </c>
      <c r="AD9" s="349" t="s">
        <v>263</v>
      </c>
      <c r="AE9" s="349" t="s">
        <v>263</v>
      </c>
      <c r="AF9" s="349" t="s">
        <v>263</v>
      </c>
      <c r="AG9" s="349" t="s">
        <v>263</v>
      </c>
      <c r="AH9" s="343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6"/>
      <c r="AU9" s="336"/>
      <c r="AV9" s="336"/>
      <c r="AW9" s="336"/>
      <c r="AX9" s="336"/>
      <c r="AY9" s="336"/>
      <c r="AZ9" s="336"/>
      <c r="BA9" s="336"/>
      <c r="BB9" s="336"/>
      <c r="BC9" s="336"/>
      <c r="BD9" s="336"/>
      <c r="BE9" s="336"/>
      <c r="BF9" s="336"/>
    </row>
    <row r="10" spans="1:58">
      <c r="A10" s="336"/>
      <c r="B10" s="341"/>
      <c r="D10" s="346"/>
      <c r="E10" s="346"/>
      <c r="F10" s="346"/>
      <c r="G10" s="346"/>
      <c r="H10" s="346"/>
      <c r="I10" s="346"/>
      <c r="J10" s="346"/>
      <c r="K10" s="346"/>
      <c r="M10" s="350" t="s">
        <v>264</v>
      </c>
      <c r="N10" s="350" t="s">
        <v>264</v>
      </c>
      <c r="O10" s="350" t="s">
        <v>264</v>
      </c>
      <c r="P10" s="350" t="s">
        <v>264</v>
      </c>
      <c r="Q10" s="350" t="s">
        <v>264</v>
      </c>
      <c r="R10" s="350" t="s">
        <v>264</v>
      </c>
      <c r="S10" s="350" t="s">
        <v>264</v>
      </c>
      <c r="T10" s="350" t="s">
        <v>264</v>
      </c>
      <c r="U10" s="350" t="s">
        <v>264</v>
      </c>
      <c r="V10" s="350" t="s">
        <v>264</v>
      </c>
      <c r="W10" s="350" t="s">
        <v>264</v>
      </c>
      <c r="X10" s="350" t="s">
        <v>264</v>
      </c>
      <c r="AH10" s="343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336"/>
      <c r="AU10" s="336"/>
      <c r="AV10" s="336"/>
      <c r="AW10" s="336"/>
      <c r="AX10" s="336"/>
      <c r="AY10" s="336"/>
      <c r="AZ10" s="336"/>
      <c r="BA10" s="336"/>
      <c r="BB10" s="336"/>
      <c r="BC10" s="336"/>
      <c r="BD10" s="336"/>
      <c r="BE10" s="336"/>
      <c r="BF10" s="336"/>
    </row>
    <row r="11" spans="1:58" ht="14">
      <c r="A11" s="336"/>
      <c r="B11" s="341"/>
      <c r="C11" s="351" t="s">
        <v>22</v>
      </c>
      <c r="D11" s="352" t="str">
        <f t="shared" ref="D11:D74" si="0">IF(COUNT(L11:AG11)&gt;0,MEDIAN(L11:AG11),"")</f>
        <v/>
      </c>
      <c r="E11" s="352" t="str">
        <f t="shared" ref="E11:E74" si="1">IF(COUNT(L11:AG11)&gt;0,AVERAGE(L11:AG11),"")</f>
        <v/>
      </c>
      <c r="F11" s="352" t="str">
        <f t="shared" ref="F11:F74" si="2">IF(COUNT(L11:AG11)&gt;0,MIN(L11:AG11),"")</f>
        <v/>
      </c>
      <c r="G11" s="352" t="str">
        <f t="shared" ref="G11:G74" si="3">IF(COUNT(L11:AG11)&gt;0,MAX(L11:AG11),"")</f>
        <v/>
      </c>
      <c r="H11" s="352" t="str">
        <f t="shared" ref="H11:H74" si="4">IF(COUNT(L11:AG11)&gt;0,QUARTILE(L11:AG11,1),"")</f>
        <v/>
      </c>
      <c r="I11" s="352" t="str">
        <f t="shared" ref="I11:I74" si="5">IF(COUNT(L11:AG11)&gt;0,QUARTILE(L11:AG11,3),"")</f>
        <v/>
      </c>
      <c r="J11" s="352" t="str">
        <f t="shared" ref="J11:J74" si="6">IF(COUNT(L11:AG11)&gt;1,STDEV(L11:AG11),"")</f>
        <v/>
      </c>
      <c r="K11" s="353" t="str">
        <f t="shared" ref="K11:K74" si="7">IF(COUNT(L11:AG11)&gt;1,STDEV(L11:AG11)/AVERAGE(L11:AG11),"")</f>
        <v/>
      </c>
      <c r="L11" s="346"/>
      <c r="M11" s="352"/>
      <c r="N11" s="352"/>
      <c r="O11" s="352"/>
      <c r="P11" s="352"/>
      <c r="Q11" s="352"/>
      <c r="R11" s="352"/>
      <c r="S11" s="352"/>
      <c r="T11" s="352"/>
      <c r="U11" s="352"/>
      <c r="V11" s="352"/>
      <c r="W11" s="352"/>
      <c r="X11" s="352"/>
      <c r="Y11" s="352"/>
      <c r="Z11" s="352"/>
      <c r="AA11" s="352"/>
      <c r="AB11" s="352"/>
      <c r="AC11" s="352"/>
      <c r="AD11" s="352"/>
      <c r="AE11" s="352"/>
      <c r="AF11" s="352"/>
      <c r="AG11" s="352"/>
      <c r="AH11" s="343"/>
      <c r="AI11" s="336"/>
      <c r="AJ11" s="336"/>
      <c r="AK11" s="336"/>
      <c r="AL11" s="336"/>
      <c r="AM11" s="336"/>
      <c r="AN11" s="336"/>
      <c r="AO11" s="336"/>
      <c r="AP11" s="336"/>
      <c r="AQ11" s="336"/>
      <c r="AR11" s="336"/>
      <c r="AS11" s="336"/>
      <c r="AT11" s="336"/>
      <c r="AU11" s="336"/>
      <c r="AV11" s="336"/>
      <c r="AW11" s="336"/>
      <c r="AX11" s="336"/>
      <c r="AY11" s="336"/>
      <c r="AZ11" s="336"/>
      <c r="BA11" s="336"/>
      <c r="BB11" s="336"/>
      <c r="BC11" s="336"/>
      <c r="BD11" s="336"/>
      <c r="BE11" s="336"/>
      <c r="BF11" s="336"/>
    </row>
    <row r="12" spans="1:58" ht="14" outlineLevel="1">
      <c r="A12" s="336"/>
      <c r="B12" s="341"/>
      <c r="C12" s="354" t="s">
        <v>265</v>
      </c>
      <c r="D12" s="355" t="str">
        <f t="shared" si="0"/>
        <v/>
      </c>
      <c r="E12" s="355" t="str">
        <f t="shared" si="1"/>
        <v/>
      </c>
      <c r="F12" s="355" t="str">
        <f t="shared" si="2"/>
        <v/>
      </c>
      <c r="G12" s="355" t="str">
        <f t="shared" si="3"/>
        <v/>
      </c>
      <c r="H12" s="355" t="str">
        <f t="shared" si="4"/>
        <v/>
      </c>
      <c r="I12" s="355" t="str">
        <f t="shared" si="5"/>
        <v/>
      </c>
      <c r="J12" s="355" t="str">
        <f t="shared" si="6"/>
        <v/>
      </c>
      <c r="K12" s="356" t="str">
        <f t="shared" si="7"/>
        <v/>
      </c>
      <c r="M12" s="357"/>
      <c r="N12" s="357"/>
      <c r="O12" s="357"/>
      <c r="P12" s="357"/>
      <c r="Q12" s="357"/>
      <c r="R12" s="357"/>
      <c r="S12" s="357"/>
      <c r="T12" s="357"/>
      <c r="U12" s="357"/>
      <c r="V12" s="357"/>
      <c r="W12" s="357"/>
      <c r="X12" s="357"/>
      <c r="Y12" s="357"/>
      <c r="Z12" s="357"/>
      <c r="AA12" s="357"/>
      <c r="AB12" s="357"/>
      <c r="AC12" s="357"/>
      <c r="AD12" s="357"/>
      <c r="AE12" s="357"/>
      <c r="AF12" s="357"/>
      <c r="AG12" s="357"/>
      <c r="AH12" s="343"/>
      <c r="AI12" s="336"/>
      <c r="AJ12" s="336"/>
      <c r="AK12" s="336"/>
      <c r="AL12" s="336"/>
      <c r="AM12" s="336"/>
      <c r="AN12" s="336"/>
      <c r="AO12" s="336"/>
      <c r="AP12" s="336"/>
      <c r="AQ12" s="336"/>
      <c r="AR12" s="336"/>
      <c r="AS12" s="336"/>
      <c r="AT12" s="336"/>
      <c r="AU12" s="336"/>
      <c r="AV12" s="336"/>
      <c r="AW12" s="336"/>
      <c r="AX12" s="336"/>
      <c r="AY12" s="336"/>
      <c r="AZ12" s="336"/>
      <c r="BA12" s="336"/>
      <c r="BB12" s="336"/>
      <c r="BC12" s="336"/>
      <c r="BD12" s="336"/>
      <c r="BE12" s="336"/>
      <c r="BF12" s="336"/>
    </row>
    <row r="13" spans="1:58" ht="14" outlineLevel="2">
      <c r="A13" s="336"/>
      <c r="B13" s="341"/>
      <c r="C13" s="354" t="s">
        <v>266</v>
      </c>
      <c r="D13" s="355">
        <f t="shared" si="0"/>
        <v>501420</v>
      </c>
      <c r="E13" s="355">
        <f t="shared" si="1"/>
        <v>589550</v>
      </c>
      <c r="F13" s="355">
        <f t="shared" si="2"/>
        <v>211009</v>
      </c>
      <c r="G13" s="355">
        <f t="shared" si="3"/>
        <v>1181654</v>
      </c>
      <c r="H13" s="355">
        <f t="shared" si="4"/>
        <v>366315</v>
      </c>
      <c r="I13" s="355">
        <f t="shared" si="5"/>
        <v>750795.25</v>
      </c>
      <c r="J13" s="355">
        <f t="shared" si="6"/>
        <v>319562.75088228687</v>
      </c>
      <c r="K13" s="356">
        <f t="shared" si="7"/>
        <v>0.54204520546567192</v>
      </c>
      <c r="M13" s="357">
        <v>1181654</v>
      </c>
      <c r="N13" s="357">
        <v>1071326</v>
      </c>
      <c r="O13" s="357">
        <v>936772</v>
      </c>
      <c r="P13" s="357">
        <v>587023</v>
      </c>
      <c r="Q13" s="357">
        <v>406618</v>
      </c>
      <c r="R13" s="357">
        <v>688803</v>
      </c>
      <c r="S13" s="357">
        <v>572898</v>
      </c>
      <c r="T13" s="357">
        <v>429942</v>
      </c>
      <c r="U13" s="357">
        <v>378241</v>
      </c>
      <c r="V13" s="357">
        <v>330537</v>
      </c>
      <c r="W13" s="357">
        <v>279777</v>
      </c>
      <c r="X13" s="357">
        <v>211009</v>
      </c>
      <c r="Y13" s="357"/>
      <c r="Z13" s="357"/>
      <c r="AA13" s="357"/>
      <c r="AB13" s="357"/>
      <c r="AC13" s="357"/>
      <c r="AD13" s="357"/>
      <c r="AE13" s="357"/>
      <c r="AF13" s="357"/>
      <c r="AG13" s="357"/>
      <c r="AH13" s="343"/>
      <c r="AI13" s="336"/>
      <c r="AJ13" s="336"/>
      <c r="AK13" s="336"/>
      <c r="AL13" s="336"/>
      <c r="AM13" s="336"/>
      <c r="AN13" s="336"/>
      <c r="AO13" s="336"/>
      <c r="AP13" s="336"/>
      <c r="AQ13" s="336"/>
      <c r="AR13" s="336"/>
      <c r="AS13" s="336"/>
      <c r="AT13" s="336"/>
      <c r="AU13" s="336"/>
      <c r="AV13" s="336"/>
      <c r="AW13" s="336"/>
      <c r="AX13" s="336"/>
      <c r="AY13" s="336"/>
      <c r="AZ13" s="336"/>
      <c r="BA13" s="336"/>
      <c r="BB13" s="336"/>
      <c r="BC13" s="336"/>
      <c r="BD13" s="336"/>
      <c r="BE13" s="336"/>
      <c r="BF13" s="336"/>
    </row>
    <row r="14" spans="1:58" ht="14" outlineLevel="2">
      <c r="A14" s="336"/>
      <c r="B14" s="341"/>
      <c r="C14" s="358" t="s">
        <v>267</v>
      </c>
      <c r="D14" s="359">
        <f t="shared" si="0"/>
        <v>279777</v>
      </c>
      <c r="E14" s="359">
        <f t="shared" si="1"/>
        <v>373056.99774066661</v>
      </c>
      <c r="F14" s="359">
        <f t="shared" si="2"/>
        <v>8482.1281840000011</v>
      </c>
      <c r="G14" s="359">
        <f t="shared" si="3"/>
        <v>1181654</v>
      </c>
      <c r="H14" s="359">
        <f t="shared" si="4"/>
        <v>92344.00218000001</v>
      </c>
      <c r="I14" s="359">
        <f t="shared" si="5"/>
        <v>572898</v>
      </c>
      <c r="J14" s="359">
        <f t="shared" si="6"/>
        <v>351528.08959334198</v>
      </c>
      <c r="K14" s="360">
        <f t="shared" si="7"/>
        <v>0.94229056611265982</v>
      </c>
      <c r="L14" s="339"/>
      <c r="M14" s="361">
        <v>1181654</v>
      </c>
      <c r="N14" s="361">
        <v>1071326</v>
      </c>
      <c r="O14" s="361">
        <v>936772</v>
      </c>
      <c r="P14" s="361">
        <v>587023</v>
      </c>
      <c r="Q14" s="361">
        <v>406618</v>
      </c>
      <c r="R14" s="361">
        <v>688803</v>
      </c>
      <c r="S14" s="361">
        <v>572898</v>
      </c>
      <c r="T14" s="361">
        <v>429942</v>
      </c>
      <c r="U14" s="361">
        <v>378241</v>
      </c>
      <c r="V14" s="361">
        <v>330537</v>
      </c>
      <c r="W14" s="361">
        <v>279777</v>
      </c>
      <c r="X14" s="361">
        <v>211009</v>
      </c>
      <c r="Y14" s="361">
        <v>157279</v>
      </c>
      <c r="Z14" s="361">
        <v>136399.97659999999</v>
      </c>
      <c r="AA14" s="361">
        <v>92344.00218000001</v>
      </c>
      <c r="AB14" s="361">
        <v>71865.001870000007</v>
      </c>
      <c r="AC14" s="361">
        <v>197875.14139999996</v>
      </c>
      <c r="AD14" s="361">
        <v>49726.626420000001</v>
      </c>
      <c r="AE14" s="361">
        <v>30360.421850000002</v>
      </c>
      <c r="AF14" s="361">
        <v>15264.654050000001</v>
      </c>
      <c r="AG14" s="361">
        <v>8482.1281840000011</v>
      </c>
      <c r="AH14" s="343"/>
      <c r="AI14" s="336"/>
      <c r="AJ14" s="336"/>
      <c r="AK14" s="336"/>
      <c r="AL14" s="336"/>
      <c r="AM14" s="336"/>
      <c r="AN14" s="336"/>
      <c r="AO14" s="336"/>
      <c r="AP14" s="336"/>
      <c r="AQ14" s="336"/>
      <c r="AR14" s="336"/>
      <c r="AS14" s="336"/>
      <c r="AT14" s="336"/>
      <c r="AU14" s="336"/>
      <c r="AV14" s="336"/>
      <c r="AW14" s="336"/>
      <c r="AX14" s="336"/>
      <c r="AY14" s="336"/>
      <c r="AZ14" s="336"/>
      <c r="BA14" s="336"/>
      <c r="BB14" s="336"/>
      <c r="BC14" s="336"/>
      <c r="BD14" s="336"/>
      <c r="BE14" s="336"/>
      <c r="BF14" s="336"/>
    </row>
    <row r="15" spans="1:58" ht="14" outlineLevel="1">
      <c r="A15" s="336"/>
      <c r="B15" s="341"/>
      <c r="C15" s="354" t="s">
        <v>268</v>
      </c>
      <c r="D15" s="355" t="str">
        <f t="shared" si="0"/>
        <v/>
      </c>
      <c r="E15" s="355" t="str">
        <f t="shared" si="1"/>
        <v/>
      </c>
      <c r="F15" s="355" t="str">
        <f t="shared" si="2"/>
        <v/>
      </c>
      <c r="G15" s="355" t="str">
        <f t="shared" si="3"/>
        <v/>
      </c>
      <c r="H15" s="355" t="str">
        <f t="shared" si="4"/>
        <v/>
      </c>
      <c r="I15" s="355" t="str">
        <f t="shared" si="5"/>
        <v/>
      </c>
      <c r="J15" s="355" t="str">
        <f t="shared" si="6"/>
        <v/>
      </c>
      <c r="K15" s="356" t="str">
        <f t="shared" si="7"/>
        <v/>
      </c>
      <c r="M15" s="357"/>
      <c r="N15" s="357"/>
      <c r="O15" s="357"/>
      <c r="P15" s="357"/>
      <c r="Q15" s="357"/>
      <c r="R15" s="357"/>
      <c r="S15" s="357"/>
      <c r="T15" s="357"/>
      <c r="U15" s="357"/>
      <c r="V15" s="357"/>
      <c r="W15" s="357"/>
      <c r="X15" s="357"/>
      <c r="Y15" s="357"/>
      <c r="Z15" s="357"/>
      <c r="AA15" s="357"/>
      <c r="AB15" s="357"/>
      <c r="AC15" s="357"/>
      <c r="AD15" s="357"/>
      <c r="AE15" s="357"/>
      <c r="AF15" s="357"/>
      <c r="AG15" s="357"/>
      <c r="AH15" s="343"/>
      <c r="AI15" s="336"/>
      <c r="AJ15" s="336"/>
      <c r="AK15" s="336"/>
      <c r="AL15" s="336"/>
      <c r="AM15" s="336"/>
      <c r="AN15" s="336"/>
      <c r="AO15" s="336"/>
      <c r="AP15" s="336"/>
      <c r="AQ15" s="336"/>
      <c r="AR15" s="336"/>
      <c r="AS15" s="336"/>
      <c r="AT15" s="336"/>
      <c r="AU15" s="336"/>
      <c r="AV15" s="336"/>
      <c r="AW15" s="336"/>
      <c r="AX15" s="336"/>
      <c r="AY15" s="336"/>
      <c r="AZ15" s="336"/>
      <c r="BA15" s="336"/>
      <c r="BB15" s="336"/>
      <c r="BC15" s="336"/>
      <c r="BD15" s="336"/>
      <c r="BE15" s="336"/>
      <c r="BF15" s="336"/>
    </row>
    <row r="16" spans="1:58" ht="14" outlineLevel="2">
      <c r="A16" s="336"/>
      <c r="B16" s="341"/>
      <c r="C16" s="354" t="s">
        <v>269</v>
      </c>
      <c r="D16" s="355">
        <f t="shared" si="0"/>
        <v>126942.5</v>
      </c>
      <c r="E16" s="355">
        <f t="shared" si="1"/>
        <v>151774.5</v>
      </c>
      <c r="F16" s="355">
        <f t="shared" si="2"/>
        <v>41692</v>
      </c>
      <c r="G16" s="355">
        <f t="shared" si="3"/>
        <v>369516</v>
      </c>
      <c r="H16" s="355">
        <f t="shared" si="4"/>
        <v>59462</v>
      </c>
      <c r="I16" s="355">
        <f t="shared" si="5"/>
        <v>199003</v>
      </c>
      <c r="J16" s="355">
        <f t="shared" si="6"/>
        <v>114731.27869187517</v>
      </c>
      <c r="K16" s="356">
        <f t="shared" si="7"/>
        <v>0.75593250968954051</v>
      </c>
      <c r="M16" s="357">
        <v>369516</v>
      </c>
      <c r="N16" s="357">
        <v>323714</v>
      </c>
      <c r="O16" s="357">
        <v>285538</v>
      </c>
      <c r="P16" s="357">
        <v>170158</v>
      </c>
      <c r="Q16" s="357">
        <v>149052</v>
      </c>
      <c r="R16" s="357">
        <v>136261</v>
      </c>
      <c r="S16" s="357">
        <v>117624</v>
      </c>
      <c r="T16" s="357">
        <v>60657</v>
      </c>
      <c r="U16" s="357">
        <v>60121</v>
      </c>
      <c r="V16" s="357">
        <v>57485</v>
      </c>
      <c r="W16" s="357">
        <v>49476</v>
      </c>
      <c r="X16" s="357">
        <v>41692</v>
      </c>
      <c r="Y16" s="357"/>
      <c r="Z16" s="357"/>
      <c r="AA16" s="357"/>
      <c r="AB16" s="357"/>
      <c r="AC16" s="357"/>
      <c r="AD16" s="357"/>
      <c r="AE16" s="357"/>
      <c r="AF16" s="357"/>
      <c r="AG16" s="357"/>
      <c r="AH16" s="343"/>
      <c r="AI16" s="336"/>
      <c r="AJ16" s="336"/>
      <c r="AK16" s="336"/>
      <c r="AL16" s="336"/>
      <c r="AM16" s="336"/>
      <c r="AN16" s="336"/>
      <c r="AO16" s="336"/>
      <c r="AP16" s="336"/>
      <c r="AQ16" s="336"/>
      <c r="AR16" s="336"/>
      <c r="AS16" s="336"/>
      <c r="AT16" s="336"/>
      <c r="AU16" s="336"/>
      <c r="AV16" s="336"/>
      <c r="AW16" s="336"/>
      <c r="AX16" s="336"/>
      <c r="AY16" s="336"/>
      <c r="AZ16" s="336"/>
      <c r="BA16" s="336"/>
      <c r="BB16" s="336"/>
      <c r="BC16" s="336"/>
      <c r="BD16" s="336"/>
      <c r="BE16" s="336"/>
      <c r="BF16" s="336"/>
    </row>
    <row r="17" spans="1:58" ht="14" outlineLevel="2">
      <c r="A17" s="336"/>
      <c r="B17" s="341"/>
      <c r="C17" s="354" t="s">
        <v>270</v>
      </c>
      <c r="D17" s="355">
        <f t="shared" si="0"/>
        <v>125791.5</v>
      </c>
      <c r="E17" s="355">
        <f t="shared" si="1"/>
        <v>136677.08333333334</v>
      </c>
      <c r="F17" s="355">
        <f t="shared" si="2"/>
        <v>70955</v>
      </c>
      <c r="G17" s="355">
        <f t="shared" si="3"/>
        <v>197122</v>
      </c>
      <c r="H17" s="355">
        <f t="shared" si="4"/>
        <v>100821.25</v>
      </c>
      <c r="I17" s="355">
        <f t="shared" si="5"/>
        <v>180406.5</v>
      </c>
      <c r="J17" s="355">
        <f t="shared" si="6"/>
        <v>45655.648662685817</v>
      </c>
      <c r="K17" s="356">
        <f t="shared" si="7"/>
        <v>0.33404026153630351</v>
      </c>
      <c r="M17" s="357">
        <v>197122</v>
      </c>
      <c r="N17" s="357">
        <v>190026</v>
      </c>
      <c r="O17" s="357">
        <v>177200</v>
      </c>
      <c r="P17" s="357">
        <v>100993</v>
      </c>
      <c r="Q17" s="357">
        <v>70955</v>
      </c>
      <c r="R17" s="357">
        <v>194449</v>
      </c>
      <c r="S17" s="357">
        <v>162646</v>
      </c>
      <c r="T17" s="357">
        <v>129266</v>
      </c>
      <c r="U17" s="357">
        <v>122317</v>
      </c>
      <c r="V17" s="357">
        <v>113492</v>
      </c>
      <c r="W17" s="357">
        <v>100306</v>
      </c>
      <c r="X17" s="357">
        <v>81353</v>
      </c>
      <c r="Y17" s="357"/>
      <c r="Z17" s="357"/>
      <c r="AA17" s="357"/>
      <c r="AB17" s="357"/>
      <c r="AC17" s="357"/>
      <c r="AD17" s="357"/>
      <c r="AE17" s="357"/>
      <c r="AF17" s="357"/>
      <c r="AG17" s="357"/>
      <c r="AH17" s="343"/>
      <c r="AI17" s="336"/>
      <c r="AJ17" s="336"/>
      <c r="AK17" s="336"/>
      <c r="AL17" s="336"/>
      <c r="AM17" s="336"/>
      <c r="AN17" s="336"/>
      <c r="AO17" s="336"/>
      <c r="AP17" s="336"/>
      <c r="AQ17" s="336"/>
      <c r="AR17" s="336"/>
      <c r="AS17" s="336"/>
      <c r="AT17" s="336"/>
      <c r="AU17" s="336"/>
      <c r="AV17" s="336"/>
      <c r="AW17" s="336"/>
      <c r="AX17" s="336"/>
      <c r="AY17" s="336"/>
      <c r="AZ17" s="336"/>
      <c r="BA17" s="336"/>
      <c r="BB17" s="336"/>
      <c r="BC17" s="336"/>
      <c r="BD17" s="336"/>
      <c r="BE17" s="336"/>
      <c r="BF17" s="336"/>
    </row>
    <row r="18" spans="1:58" ht="14" outlineLevel="2">
      <c r="A18" s="336"/>
      <c r="B18" s="341"/>
      <c r="C18" s="358" t="s">
        <v>271</v>
      </c>
      <c r="D18" s="359">
        <f t="shared" si="0"/>
        <v>245579</v>
      </c>
      <c r="E18" s="359">
        <f t="shared" si="1"/>
        <v>288451.58333333331</v>
      </c>
      <c r="F18" s="359">
        <f t="shared" si="2"/>
        <v>123045</v>
      </c>
      <c r="G18" s="359">
        <f t="shared" si="3"/>
        <v>566638</v>
      </c>
      <c r="H18" s="359">
        <f t="shared" si="4"/>
        <v>179572.75</v>
      </c>
      <c r="I18" s="359">
        <f t="shared" si="5"/>
        <v>363717</v>
      </c>
      <c r="J18" s="359">
        <f t="shared" si="6"/>
        <v>149754.5330498961</v>
      </c>
      <c r="K18" s="360">
        <f t="shared" si="7"/>
        <v>0.5191669649351186</v>
      </c>
      <c r="L18" s="339"/>
      <c r="M18" s="361">
        <v>566638</v>
      </c>
      <c r="N18" s="361">
        <v>513740</v>
      </c>
      <c r="O18" s="361">
        <v>462738</v>
      </c>
      <c r="P18" s="361">
        <v>271151</v>
      </c>
      <c r="Q18" s="361">
        <v>220007</v>
      </c>
      <c r="R18" s="361">
        <v>330710</v>
      </c>
      <c r="S18" s="361">
        <v>280270</v>
      </c>
      <c r="T18" s="361">
        <v>189923</v>
      </c>
      <c r="U18" s="361">
        <v>182438</v>
      </c>
      <c r="V18" s="361">
        <v>170977</v>
      </c>
      <c r="W18" s="361">
        <v>149782</v>
      </c>
      <c r="X18" s="361">
        <v>123045</v>
      </c>
      <c r="Y18" s="361"/>
      <c r="Z18" s="361"/>
      <c r="AA18" s="361"/>
      <c r="AB18" s="361"/>
      <c r="AC18" s="361"/>
      <c r="AD18" s="361"/>
      <c r="AE18" s="361"/>
      <c r="AF18" s="361"/>
      <c r="AG18" s="361"/>
      <c r="AH18" s="343"/>
      <c r="AI18" s="336"/>
      <c r="AJ18" s="336"/>
      <c r="AK18" s="336"/>
      <c r="AL18" s="336"/>
      <c r="AM18" s="336"/>
      <c r="AN18" s="336"/>
      <c r="AO18" s="336"/>
      <c r="AP18" s="336"/>
      <c r="AQ18" s="336"/>
      <c r="AR18" s="336"/>
      <c r="AS18" s="336"/>
      <c r="AT18" s="336"/>
      <c r="AU18" s="336"/>
      <c r="AV18" s="336"/>
      <c r="AW18" s="336"/>
      <c r="AX18" s="336"/>
      <c r="AY18" s="336"/>
      <c r="AZ18" s="336"/>
      <c r="BA18" s="336"/>
      <c r="BB18" s="336"/>
      <c r="BC18" s="336"/>
      <c r="BD18" s="336"/>
      <c r="BE18" s="336"/>
      <c r="BF18" s="336"/>
    </row>
    <row r="19" spans="1:58" ht="14" outlineLevel="1">
      <c r="A19" s="336"/>
      <c r="B19" s="341"/>
      <c r="C19" s="351" t="s">
        <v>272</v>
      </c>
      <c r="D19" s="359">
        <f t="shared" si="0"/>
        <v>266323.5</v>
      </c>
      <c r="E19" s="359">
        <f t="shared" si="1"/>
        <v>301098.41666666669</v>
      </c>
      <c r="F19" s="359">
        <f t="shared" si="2"/>
        <v>87964</v>
      </c>
      <c r="G19" s="359">
        <f t="shared" si="3"/>
        <v>615016</v>
      </c>
      <c r="H19" s="359">
        <f t="shared" si="4"/>
        <v>179848.25</v>
      </c>
      <c r="I19" s="359">
        <f t="shared" si="5"/>
        <v>387078.25</v>
      </c>
      <c r="J19" s="359">
        <f t="shared" si="6"/>
        <v>170676.78262699209</v>
      </c>
      <c r="K19" s="360">
        <f t="shared" si="7"/>
        <v>0.56684716086016862</v>
      </c>
      <c r="L19" s="362"/>
      <c r="M19" s="359">
        <v>615016</v>
      </c>
      <c r="N19" s="359">
        <v>557586</v>
      </c>
      <c r="O19" s="359">
        <v>474034</v>
      </c>
      <c r="P19" s="359">
        <v>315872</v>
      </c>
      <c r="Q19" s="359">
        <v>186611</v>
      </c>
      <c r="R19" s="359">
        <v>358093</v>
      </c>
      <c r="S19" s="359">
        <v>292628</v>
      </c>
      <c r="T19" s="359">
        <v>240019</v>
      </c>
      <c r="U19" s="359">
        <v>195803</v>
      </c>
      <c r="V19" s="359">
        <v>159560</v>
      </c>
      <c r="W19" s="359">
        <v>129995</v>
      </c>
      <c r="X19" s="359">
        <v>87964</v>
      </c>
      <c r="Y19" s="359"/>
      <c r="Z19" s="359"/>
      <c r="AA19" s="359"/>
      <c r="AB19" s="359"/>
      <c r="AC19" s="359"/>
      <c r="AD19" s="359"/>
      <c r="AE19" s="359"/>
      <c r="AF19" s="359"/>
      <c r="AG19" s="359"/>
      <c r="AH19" s="343"/>
      <c r="AI19" s="336"/>
      <c r="AJ19" s="336"/>
      <c r="AK19" s="336"/>
      <c r="AL19" s="336"/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  <c r="AX19" s="336"/>
      <c r="AY19" s="336"/>
      <c r="AZ19" s="336"/>
      <c r="BA19" s="336"/>
      <c r="BB19" s="336"/>
      <c r="BC19" s="336"/>
      <c r="BD19" s="336"/>
      <c r="BE19" s="336"/>
      <c r="BF19" s="336"/>
    </row>
    <row r="20" spans="1:58" ht="14">
      <c r="A20" s="336"/>
      <c r="B20" s="341"/>
      <c r="C20" s="351" t="s">
        <v>273</v>
      </c>
      <c r="D20" s="352" t="str">
        <f t="shared" si="0"/>
        <v/>
      </c>
      <c r="E20" s="352" t="str">
        <f t="shared" si="1"/>
        <v/>
      </c>
      <c r="F20" s="352" t="str">
        <f t="shared" si="2"/>
        <v/>
      </c>
      <c r="G20" s="352" t="str">
        <f t="shared" si="3"/>
        <v/>
      </c>
      <c r="H20" s="352" t="str">
        <f t="shared" si="4"/>
        <v/>
      </c>
      <c r="I20" s="352" t="str">
        <f t="shared" si="5"/>
        <v/>
      </c>
      <c r="J20" s="352" t="str">
        <f t="shared" si="6"/>
        <v/>
      </c>
      <c r="K20" s="353" t="str">
        <f t="shared" si="7"/>
        <v/>
      </c>
      <c r="L20" s="346"/>
      <c r="M20" s="352"/>
      <c r="N20" s="352"/>
      <c r="O20" s="352"/>
      <c r="P20" s="352"/>
      <c r="Q20" s="352"/>
      <c r="R20" s="352"/>
      <c r="S20" s="352"/>
      <c r="T20" s="352"/>
      <c r="U20" s="352"/>
      <c r="V20" s="352"/>
      <c r="W20" s="352"/>
      <c r="X20" s="352"/>
      <c r="Y20" s="352"/>
      <c r="Z20" s="352"/>
      <c r="AA20" s="352"/>
      <c r="AB20" s="352"/>
      <c r="AC20" s="352"/>
      <c r="AD20" s="352"/>
      <c r="AE20" s="352"/>
      <c r="AF20" s="352"/>
      <c r="AG20" s="352"/>
      <c r="AH20" s="343"/>
      <c r="AI20" s="336"/>
      <c r="AJ20" s="336"/>
      <c r="AK20" s="336"/>
      <c r="AL20" s="336"/>
      <c r="AM20" s="336"/>
      <c r="AN20" s="336"/>
      <c r="AO20" s="336"/>
      <c r="AP20" s="336"/>
      <c r="AQ20" s="336"/>
      <c r="AR20" s="336"/>
      <c r="AS20" s="336"/>
      <c r="AT20" s="336"/>
      <c r="AU20" s="336"/>
      <c r="AV20" s="336"/>
      <c r="AW20" s="336"/>
      <c r="AX20" s="336"/>
      <c r="AY20" s="336"/>
      <c r="AZ20" s="336"/>
      <c r="BA20" s="336"/>
      <c r="BB20" s="336"/>
      <c r="BC20" s="336"/>
      <c r="BD20" s="336"/>
      <c r="BE20" s="336"/>
      <c r="BF20" s="336"/>
    </row>
    <row r="21" spans="1:58" ht="14" outlineLevel="1">
      <c r="A21" s="336"/>
      <c r="B21" s="341"/>
      <c r="C21" s="354" t="s">
        <v>274</v>
      </c>
      <c r="D21" s="355">
        <f t="shared" si="0"/>
        <v>70515.5</v>
      </c>
      <c r="E21" s="355">
        <f t="shared" si="1"/>
        <v>75625.583333333328</v>
      </c>
      <c r="F21" s="355">
        <f t="shared" si="2"/>
        <v>23118</v>
      </c>
      <c r="G21" s="355">
        <f t="shared" si="3"/>
        <v>129146</v>
      </c>
      <c r="H21" s="355">
        <f t="shared" si="4"/>
        <v>54181.75</v>
      </c>
      <c r="I21" s="355">
        <f t="shared" si="5"/>
        <v>99618.25</v>
      </c>
      <c r="J21" s="355">
        <f t="shared" si="6"/>
        <v>34312.16926307456</v>
      </c>
      <c r="K21" s="356">
        <f t="shared" si="7"/>
        <v>0.45371113518341427</v>
      </c>
      <c r="M21" s="357">
        <v>129146</v>
      </c>
      <c r="N21" s="357">
        <v>124930</v>
      </c>
      <c r="O21" s="357">
        <v>114853</v>
      </c>
      <c r="P21" s="357">
        <v>94540</v>
      </c>
      <c r="Q21" s="357">
        <v>68585</v>
      </c>
      <c r="R21" s="357">
        <v>78818</v>
      </c>
      <c r="S21" s="357">
        <v>72446</v>
      </c>
      <c r="T21" s="357">
        <v>60369</v>
      </c>
      <c r="U21" s="357">
        <v>50008</v>
      </c>
      <c r="V21" s="357">
        <v>55573</v>
      </c>
      <c r="W21" s="357">
        <v>35121</v>
      </c>
      <c r="X21" s="357">
        <v>23118</v>
      </c>
      <c r="Y21" s="357"/>
      <c r="Z21" s="357"/>
      <c r="AA21" s="357"/>
      <c r="AB21" s="357"/>
      <c r="AC21" s="357"/>
      <c r="AD21" s="357"/>
      <c r="AE21" s="357"/>
      <c r="AF21" s="357"/>
      <c r="AG21" s="357"/>
      <c r="AH21" s="343"/>
      <c r="AI21" s="336"/>
      <c r="AJ21" s="336"/>
      <c r="AK21" s="336"/>
      <c r="AL21" s="336"/>
      <c r="AM21" s="336"/>
      <c r="AN21" s="336"/>
      <c r="AO21" s="336"/>
      <c r="AP21" s="336"/>
      <c r="AQ21" s="336"/>
      <c r="AR21" s="336"/>
      <c r="AS21" s="336"/>
      <c r="AT21" s="336"/>
      <c r="AU21" s="336"/>
      <c r="AV21" s="336"/>
      <c r="AW21" s="336"/>
      <c r="AX21" s="336"/>
      <c r="AY21" s="336"/>
      <c r="AZ21" s="336"/>
      <c r="BA21" s="336"/>
      <c r="BB21" s="336"/>
      <c r="BC21" s="336"/>
      <c r="BD21" s="336"/>
      <c r="BE21" s="336"/>
      <c r="BF21" s="336"/>
    </row>
    <row r="22" spans="1:58" ht="14" outlineLevel="1">
      <c r="A22" s="336"/>
      <c r="B22" s="341"/>
      <c r="C22" s="354" t="s">
        <v>275</v>
      </c>
      <c r="D22" s="355" t="str">
        <f t="shared" si="0"/>
        <v/>
      </c>
      <c r="E22" s="355" t="str">
        <f t="shared" si="1"/>
        <v/>
      </c>
      <c r="F22" s="355" t="str">
        <f t="shared" si="2"/>
        <v/>
      </c>
      <c r="G22" s="355" t="str">
        <f t="shared" si="3"/>
        <v/>
      </c>
      <c r="H22" s="355" t="str">
        <f t="shared" si="4"/>
        <v/>
      </c>
      <c r="I22" s="355" t="str">
        <f t="shared" si="5"/>
        <v/>
      </c>
      <c r="J22" s="355" t="str">
        <f t="shared" si="6"/>
        <v/>
      </c>
      <c r="K22" s="356" t="str">
        <f t="shared" si="7"/>
        <v/>
      </c>
      <c r="M22" s="357"/>
      <c r="N22" s="357"/>
      <c r="O22" s="357"/>
      <c r="P22" s="357"/>
      <c r="Q22" s="357"/>
      <c r="R22" s="357"/>
      <c r="S22" s="357"/>
      <c r="T22" s="357"/>
      <c r="U22" s="357"/>
      <c r="V22" s="357"/>
      <c r="W22" s="357"/>
      <c r="X22" s="357"/>
      <c r="Y22" s="357"/>
      <c r="Z22" s="357"/>
      <c r="AA22" s="357"/>
      <c r="AB22" s="357"/>
      <c r="AC22" s="357"/>
      <c r="AD22" s="357"/>
      <c r="AE22" s="357"/>
      <c r="AF22" s="357"/>
      <c r="AG22" s="357"/>
      <c r="AH22" s="343"/>
      <c r="AI22" s="336"/>
      <c r="AJ22" s="336"/>
      <c r="AK22" s="336"/>
      <c r="AL22" s="336"/>
      <c r="AM22" s="336"/>
      <c r="AN22" s="336"/>
      <c r="AO22" s="336"/>
      <c r="AP22" s="336"/>
      <c r="AQ22" s="336"/>
      <c r="AR22" s="336"/>
      <c r="AS22" s="336"/>
      <c r="AT22" s="336"/>
      <c r="AU22" s="336"/>
      <c r="AV22" s="336"/>
      <c r="AW22" s="336"/>
      <c r="AX22" s="336"/>
      <c r="AY22" s="336"/>
      <c r="AZ22" s="336"/>
      <c r="BA22" s="336"/>
      <c r="BB22" s="336"/>
      <c r="BC22" s="336"/>
      <c r="BD22" s="336"/>
      <c r="BE22" s="336"/>
      <c r="BF22" s="336"/>
    </row>
    <row r="23" spans="1:58" ht="14" outlineLevel="2">
      <c r="A23" s="336"/>
      <c r="B23" s="341"/>
      <c r="C23" s="354" t="s">
        <v>276</v>
      </c>
      <c r="D23" s="355">
        <f t="shared" si="0"/>
        <v>39803</v>
      </c>
      <c r="E23" s="355">
        <f t="shared" si="1"/>
        <v>65549.083333333328</v>
      </c>
      <c r="F23" s="355">
        <f t="shared" si="2"/>
        <v>28808</v>
      </c>
      <c r="G23" s="355">
        <f t="shared" si="3"/>
        <v>160346</v>
      </c>
      <c r="H23" s="355">
        <f t="shared" si="4"/>
        <v>32058.75</v>
      </c>
      <c r="I23" s="355">
        <f t="shared" si="5"/>
        <v>78105.5</v>
      </c>
      <c r="J23" s="355">
        <f t="shared" si="6"/>
        <v>49377.053589438103</v>
      </c>
      <c r="K23" s="356">
        <f t="shared" si="7"/>
        <v>0.75328366284458248</v>
      </c>
      <c r="M23" s="357">
        <v>160346</v>
      </c>
      <c r="N23" s="357">
        <v>149413</v>
      </c>
      <c r="O23" s="357">
        <v>124022</v>
      </c>
      <c r="P23" s="357">
        <v>62800</v>
      </c>
      <c r="Q23" s="357">
        <v>53832</v>
      </c>
      <c r="R23" s="357">
        <v>44346</v>
      </c>
      <c r="S23" s="357">
        <v>35260</v>
      </c>
      <c r="T23" s="357">
        <v>31761</v>
      </c>
      <c r="U23" s="357">
        <v>31502</v>
      </c>
      <c r="V23" s="357">
        <v>32158</v>
      </c>
      <c r="W23" s="357">
        <v>32341</v>
      </c>
      <c r="X23" s="357">
        <v>28808</v>
      </c>
      <c r="Y23" s="357"/>
      <c r="Z23" s="357"/>
      <c r="AA23" s="357"/>
      <c r="AB23" s="357"/>
      <c r="AC23" s="357"/>
      <c r="AD23" s="357"/>
      <c r="AE23" s="357"/>
      <c r="AF23" s="357"/>
      <c r="AG23" s="357"/>
      <c r="AH23" s="343"/>
      <c r="AI23" s="336"/>
      <c r="AJ23" s="336"/>
      <c r="AK23" s="336"/>
      <c r="AL23" s="336"/>
      <c r="AM23" s="336"/>
      <c r="AN23" s="336"/>
      <c r="AO23" s="336"/>
      <c r="AP23" s="336"/>
      <c r="AQ23" s="336"/>
      <c r="AR23" s="336"/>
      <c r="AS23" s="336"/>
      <c r="AT23" s="336"/>
      <c r="AU23" s="336"/>
      <c r="AV23" s="336"/>
      <c r="AW23" s="336"/>
      <c r="AX23" s="336"/>
      <c r="AY23" s="336"/>
      <c r="AZ23" s="336"/>
      <c r="BA23" s="336"/>
      <c r="BB23" s="336"/>
      <c r="BC23" s="336"/>
      <c r="BD23" s="336"/>
      <c r="BE23" s="336"/>
      <c r="BF23" s="336"/>
    </row>
    <row r="24" spans="1:58" ht="14" outlineLevel="2">
      <c r="A24" s="336"/>
      <c r="B24" s="341"/>
      <c r="C24" s="358" t="s">
        <v>277</v>
      </c>
      <c r="D24" s="359">
        <f t="shared" si="0"/>
        <v>39803</v>
      </c>
      <c r="E24" s="359">
        <f t="shared" si="1"/>
        <v>65549.083333333328</v>
      </c>
      <c r="F24" s="359">
        <f t="shared" si="2"/>
        <v>28808</v>
      </c>
      <c r="G24" s="359">
        <f t="shared" si="3"/>
        <v>160346</v>
      </c>
      <c r="H24" s="359">
        <f t="shared" si="4"/>
        <v>32058.75</v>
      </c>
      <c r="I24" s="359">
        <f t="shared" si="5"/>
        <v>78105.5</v>
      </c>
      <c r="J24" s="359">
        <f t="shared" si="6"/>
        <v>49377.053589438103</v>
      </c>
      <c r="K24" s="360">
        <f t="shared" si="7"/>
        <v>0.75328366284458248</v>
      </c>
      <c r="L24" s="339"/>
      <c r="M24" s="361">
        <v>160346</v>
      </c>
      <c r="N24" s="361">
        <v>149413</v>
      </c>
      <c r="O24" s="361">
        <v>124022</v>
      </c>
      <c r="P24" s="361">
        <v>62800</v>
      </c>
      <c r="Q24" s="361">
        <v>53832</v>
      </c>
      <c r="R24" s="361">
        <v>44346</v>
      </c>
      <c r="S24" s="361">
        <v>35260</v>
      </c>
      <c r="T24" s="361">
        <v>31761</v>
      </c>
      <c r="U24" s="361">
        <v>31502</v>
      </c>
      <c r="V24" s="361">
        <v>32158</v>
      </c>
      <c r="W24" s="361">
        <v>32341</v>
      </c>
      <c r="X24" s="361">
        <v>28808</v>
      </c>
      <c r="Y24" s="361"/>
      <c r="Z24" s="361"/>
      <c r="AA24" s="361"/>
      <c r="AB24" s="361"/>
      <c r="AC24" s="361"/>
      <c r="AD24" s="361"/>
      <c r="AE24" s="361"/>
      <c r="AF24" s="361"/>
      <c r="AG24" s="361"/>
      <c r="AH24" s="343"/>
      <c r="AI24" s="336"/>
      <c r="AJ24" s="336"/>
      <c r="AK24" s="336"/>
      <c r="AL24" s="336"/>
      <c r="AM24" s="336"/>
      <c r="AN24" s="336"/>
      <c r="AO24" s="336"/>
      <c r="AP24" s="336"/>
      <c r="AQ24" s="336"/>
      <c r="AR24" s="336"/>
      <c r="AS24" s="336"/>
      <c r="AT24" s="336"/>
      <c r="AU24" s="336"/>
      <c r="AV24" s="336"/>
      <c r="AW24" s="336"/>
      <c r="AX24" s="336"/>
      <c r="AY24" s="336"/>
      <c r="AZ24" s="336"/>
      <c r="BA24" s="336"/>
      <c r="BB24" s="336"/>
      <c r="BC24" s="336"/>
      <c r="BD24" s="336"/>
      <c r="BE24" s="336"/>
      <c r="BF24" s="336"/>
    </row>
    <row r="25" spans="1:58" ht="14" outlineLevel="1">
      <c r="A25" s="336"/>
      <c r="B25" s="341"/>
      <c r="C25" s="354" t="s">
        <v>278</v>
      </c>
      <c r="D25" s="355" t="str">
        <f t="shared" si="0"/>
        <v/>
      </c>
      <c r="E25" s="355" t="str">
        <f t="shared" si="1"/>
        <v/>
      </c>
      <c r="F25" s="355" t="str">
        <f t="shared" si="2"/>
        <v/>
      </c>
      <c r="G25" s="355" t="str">
        <f t="shared" si="3"/>
        <v/>
      </c>
      <c r="H25" s="355" t="str">
        <f t="shared" si="4"/>
        <v/>
      </c>
      <c r="I25" s="355" t="str">
        <f t="shared" si="5"/>
        <v/>
      </c>
      <c r="J25" s="355" t="str">
        <f t="shared" si="6"/>
        <v/>
      </c>
      <c r="K25" s="356" t="str">
        <f t="shared" si="7"/>
        <v/>
      </c>
      <c r="M25" s="357"/>
      <c r="N25" s="357"/>
      <c r="O25" s="357"/>
      <c r="P25" s="357"/>
      <c r="Q25" s="357"/>
      <c r="R25" s="357"/>
      <c r="S25" s="357"/>
      <c r="T25" s="357"/>
      <c r="U25" s="357"/>
      <c r="V25" s="357"/>
      <c r="W25" s="357"/>
      <c r="X25" s="357"/>
      <c r="Y25" s="357"/>
      <c r="Z25" s="357"/>
      <c r="AA25" s="357"/>
      <c r="AB25" s="357"/>
      <c r="AC25" s="357"/>
      <c r="AD25" s="357"/>
      <c r="AE25" s="357"/>
      <c r="AF25" s="357"/>
      <c r="AG25" s="357"/>
      <c r="AH25" s="343"/>
      <c r="AI25" s="336"/>
      <c r="AJ25" s="336"/>
      <c r="AK25" s="336"/>
      <c r="AL25" s="336"/>
      <c r="AM25" s="336"/>
      <c r="AN25" s="336"/>
      <c r="AO25" s="336"/>
      <c r="AP25" s="336"/>
      <c r="AQ25" s="336"/>
      <c r="AR25" s="336"/>
      <c r="AS25" s="336"/>
      <c r="AT25" s="336"/>
      <c r="AU25" s="336"/>
      <c r="AV25" s="336"/>
      <c r="AW25" s="336"/>
      <c r="AX25" s="336"/>
      <c r="AY25" s="336"/>
      <c r="AZ25" s="336"/>
      <c r="BA25" s="336"/>
      <c r="BB25" s="336"/>
      <c r="BC25" s="336"/>
      <c r="BD25" s="336"/>
      <c r="BE25" s="336"/>
      <c r="BF25" s="336"/>
    </row>
    <row r="26" spans="1:58" ht="14" outlineLevel="2">
      <c r="A26" s="336"/>
      <c r="B26" s="341"/>
      <c r="C26" s="354" t="s">
        <v>279</v>
      </c>
      <c r="D26" s="355">
        <f t="shared" si="0"/>
        <v>3140</v>
      </c>
      <c r="E26" s="355">
        <f t="shared" si="1"/>
        <v>4929.25</v>
      </c>
      <c r="F26" s="355">
        <f t="shared" si="2"/>
        <v>353</v>
      </c>
      <c r="G26" s="355">
        <f t="shared" si="3"/>
        <v>15137</v>
      </c>
      <c r="H26" s="355">
        <f t="shared" si="4"/>
        <v>1214</v>
      </c>
      <c r="I26" s="355">
        <f t="shared" si="5"/>
        <v>6405.5</v>
      </c>
      <c r="J26" s="355">
        <f t="shared" si="6"/>
        <v>5264.5820279079544</v>
      </c>
      <c r="K26" s="356">
        <f t="shared" si="7"/>
        <v>1.0680290161602586</v>
      </c>
      <c r="M26" s="357">
        <v>1326</v>
      </c>
      <c r="N26" s="357">
        <v>10379</v>
      </c>
      <c r="O26" s="357">
        <v>5081</v>
      </c>
      <c r="P26" s="357">
        <v>15137</v>
      </c>
      <c r="Q26" s="357">
        <v>4434</v>
      </c>
      <c r="R26" s="357">
        <v>1846</v>
      </c>
      <c r="S26" s="357">
        <v>878</v>
      </c>
      <c r="T26" s="357">
        <v>353</v>
      </c>
      <c r="U26" s="357"/>
      <c r="V26" s="357"/>
      <c r="W26" s="357"/>
      <c r="X26" s="357"/>
      <c r="Y26" s="357"/>
      <c r="Z26" s="357"/>
      <c r="AA26" s="357"/>
      <c r="AB26" s="357"/>
      <c r="AC26" s="357"/>
      <c r="AD26" s="357"/>
      <c r="AE26" s="357"/>
      <c r="AF26" s="357"/>
      <c r="AG26" s="357"/>
      <c r="AH26" s="343"/>
      <c r="AI26" s="336"/>
      <c r="AJ26" s="336"/>
      <c r="AK26" s="336"/>
      <c r="AL26" s="336"/>
      <c r="AM26" s="336"/>
      <c r="AN26" s="336"/>
      <c r="AO26" s="336"/>
      <c r="AP26" s="336"/>
      <c r="AQ26" s="336"/>
      <c r="AR26" s="336"/>
      <c r="AS26" s="336"/>
      <c r="AT26" s="336"/>
      <c r="AU26" s="336"/>
      <c r="AV26" s="336"/>
      <c r="AW26" s="336"/>
      <c r="AX26" s="336"/>
      <c r="AY26" s="336"/>
      <c r="AZ26" s="336"/>
      <c r="BA26" s="336"/>
      <c r="BB26" s="336"/>
      <c r="BC26" s="336"/>
      <c r="BD26" s="336"/>
      <c r="BE26" s="336"/>
      <c r="BF26" s="336"/>
    </row>
    <row r="27" spans="1:58" ht="14" outlineLevel="2">
      <c r="A27" s="336"/>
      <c r="B27" s="341"/>
      <c r="C27" s="358" t="s">
        <v>280</v>
      </c>
      <c r="D27" s="359">
        <f t="shared" si="0"/>
        <v>1160</v>
      </c>
      <c r="E27" s="359">
        <f t="shared" si="1"/>
        <v>3232.1666666666665</v>
      </c>
      <c r="F27" s="359">
        <f t="shared" si="2"/>
        <v>-1369</v>
      </c>
      <c r="G27" s="359">
        <f t="shared" si="3"/>
        <v>15137</v>
      </c>
      <c r="H27" s="359">
        <f t="shared" si="4"/>
        <v>264.75</v>
      </c>
      <c r="I27" s="359">
        <f t="shared" si="5"/>
        <v>4595.75</v>
      </c>
      <c r="J27" s="359">
        <f t="shared" si="6"/>
        <v>4917.1751098172272</v>
      </c>
      <c r="K27" s="360">
        <f t="shared" si="7"/>
        <v>1.5213247387667388</v>
      </c>
      <c r="L27" s="339"/>
      <c r="M27" s="361">
        <v>1326</v>
      </c>
      <c r="N27" s="361">
        <v>10379</v>
      </c>
      <c r="O27" s="361">
        <v>5081</v>
      </c>
      <c r="P27" s="361">
        <v>15137</v>
      </c>
      <c r="Q27" s="361">
        <v>4434</v>
      </c>
      <c r="R27" s="361">
        <v>1846</v>
      </c>
      <c r="S27" s="361">
        <v>878</v>
      </c>
      <c r="T27" s="361">
        <v>353</v>
      </c>
      <c r="U27" s="361">
        <v>-1369</v>
      </c>
      <c r="V27" s="361">
        <v>-273</v>
      </c>
      <c r="W27" s="361">
        <v>994</v>
      </c>
      <c r="X27" s="361">
        <v>0</v>
      </c>
      <c r="Y27" s="361"/>
      <c r="Z27" s="361"/>
      <c r="AA27" s="361"/>
      <c r="AB27" s="361"/>
      <c r="AC27" s="361"/>
      <c r="AD27" s="361"/>
      <c r="AE27" s="361"/>
      <c r="AF27" s="361"/>
      <c r="AG27" s="361"/>
      <c r="AH27" s="343"/>
      <c r="AI27" s="336"/>
      <c r="AJ27" s="336"/>
      <c r="AK27" s="336"/>
      <c r="AL27" s="336"/>
      <c r="AM27" s="336"/>
      <c r="AN27" s="336"/>
      <c r="AO27" s="336"/>
      <c r="AP27" s="336"/>
      <c r="AQ27" s="336"/>
      <c r="AR27" s="336"/>
      <c r="AS27" s="336"/>
      <c r="AT27" s="336"/>
      <c r="AU27" s="336"/>
      <c r="AV27" s="336"/>
      <c r="AW27" s="336"/>
      <c r="AX27" s="336"/>
      <c r="AY27" s="336"/>
      <c r="AZ27" s="336"/>
      <c r="BA27" s="336"/>
      <c r="BB27" s="336"/>
      <c r="BC27" s="336"/>
      <c r="BD27" s="336"/>
      <c r="BE27" s="336"/>
      <c r="BF27" s="336"/>
    </row>
    <row r="28" spans="1:58" ht="14" outlineLevel="1">
      <c r="A28" s="336"/>
      <c r="B28" s="341"/>
      <c r="C28" s="351" t="s">
        <v>281</v>
      </c>
      <c r="D28" s="359">
        <f t="shared" si="0"/>
        <v>116797</v>
      </c>
      <c r="E28" s="359">
        <f t="shared" si="1"/>
        <v>144406.83333333334</v>
      </c>
      <c r="F28" s="359">
        <f t="shared" si="2"/>
        <v>51926</v>
      </c>
      <c r="G28" s="359">
        <f t="shared" si="3"/>
        <v>290818</v>
      </c>
      <c r="H28" s="359">
        <f t="shared" si="4"/>
        <v>85628.75</v>
      </c>
      <c r="I28" s="359">
        <f t="shared" si="5"/>
        <v>190346.75</v>
      </c>
      <c r="J28" s="359">
        <f t="shared" si="6"/>
        <v>84305.101439337406</v>
      </c>
      <c r="K28" s="360">
        <f t="shared" si="7"/>
        <v>0.58380271551787644</v>
      </c>
      <c r="L28" s="362"/>
      <c r="M28" s="359">
        <v>290818</v>
      </c>
      <c r="N28" s="359">
        <v>284722</v>
      </c>
      <c r="O28" s="359">
        <v>243956</v>
      </c>
      <c r="P28" s="359">
        <v>172477</v>
      </c>
      <c r="Q28" s="359">
        <v>126851</v>
      </c>
      <c r="R28" s="359">
        <v>125010</v>
      </c>
      <c r="S28" s="359">
        <v>108584</v>
      </c>
      <c r="T28" s="359">
        <v>92483</v>
      </c>
      <c r="U28" s="359">
        <v>80141</v>
      </c>
      <c r="V28" s="359">
        <v>87458</v>
      </c>
      <c r="W28" s="359">
        <v>68456</v>
      </c>
      <c r="X28" s="359">
        <v>51926</v>
      </c>
      <c r="Y28" s="359"/>
      <c r="Z28" s="359"/>
      <c r="AA28" s="359"/>
      <c r="AB28" s="359"/>
      <c r="AC28" s="359"/>
      <c r="AD28" s="359"/>
      <c r="AE28" s="359"/>
      <c r="AF28" s="359"/>
      <c r="AG28" s="359"/>
      <c r="AH28" s="343"/>
      <c r="AI28" s="336"/>
      <c r="AJ28" s="336"/>
      <c r="AK28" s="336"/>
      <c r="AL28" s="336"/>
      <c r="AM28" s="336"/>
      <c r="AN28" s="336"/>
      <c r="AO28" s="336"/>
      <c r="AP28" s="336"/>
      <c r="AQ28" s="336"/>
      <c r="AR28" s="336"/>
      <c r="AS28" s="336"/>
      <c r="AT28" s="336"/>
      <c r="AU28" s="336"/>
      <c r="AV28" s="336"/>
      <c r="AW28" s="336"/>
      <c r="AX28" s="336"/>
      <c r="AY28" s="336"/>
      <c r="AZ28" s="336"/>
      <c r="BA28" s="336"/>
      <c r="BB28" s="336"/>
      <c r="BC28" s="336"/>
      <c r="BD28" s="336"/>
      <c r="BE28" s="336"/>
      <c r="BF28" s="336"/>
    </row>
    <row r="29" spans="1:58" ht="14">
      <c r="A29" s="336"/>
      <c r="B29" s="341"/>
      <c r="C29" s="351" t="s">
        <v>282</v>
      </c>
      <c r="D29" s="352">
        <f t="shared" si="0"/>
        <v>145465.5</v>
      </c>
      <c r="E29" s="352">
        <f t="shared" si="1"/>
        <v>156691.58333333334</v>
      </c>
      <c r="F29" s="352">
        <f t="shared" si="2"/>
        <v>36038</v>
      </c>
      <c r="G29" s="352">
        <f t="shared" si="3"/>
        <v>324198</v>
      </c>
      <c r="H29" s="352">
        <f t="shared" si="4"/>
        <v>69461.25</v>
      </c>
      <c r="I29" s="352">
        <f t="shared" si="5"/>
        <v>230829.25</v>
      </c>
      <c r="J29" s="352">
        <f t="shared" si="6"/>
        <v>93239.808457408595</v>
      </c>
      <c r="K29" s="353">
        <f t="shared" si="7"/>
        <v>0.59505307479762692</v>
      </c>
      <c r="L29" s="346"/>
      <c r="M29" s="352">
        <v>324198</v>
      </c>
      <c r="N29" s="352">
        <v>272864</v>
      </c>
      <c r="O29" s="352">
        <v>230078</v>
      </c>
      <c r="P29" s="352">
        <v>143395</v>
      </c>
      <c r="Q29" s="352">
        <v>59760</v>
      </c>
      <c r="R29" s="352">
        <v>233083</v>
      </c>
      <c r="S29" s="352">
        <v>184044</v>
      </c>
      <c r="T29" s="352">
        <v>147536</v>
      </c>
      <c r="U29" s="352">
        <v>115662</v>
      </c>
      <c r="V29" s="352">
        <v>72102</v>
      </c>
      <c r="W29" s="352">
        <v>61539</v>
      </c>
      <c r="X29" s="352">
        <v>36038</v>
      </c>
      <c r="Y29" s="352"/>
      <c r="Z29" s="352"/>
      <c r="AA29" s="352"/>
      <c r="AB29" s="352"/>
      <c r="AC29" s="352"/>
      <c r="AD29" s="352"/>
      <c r="AE29" s="352"/>
      <c r="AF29" s="352"/>
      <c r="AG29" s="352"/>
      <c r="AH29" s="343"/>
      <c r="AI29" s="336"/>
      <c r="AJ29" s="336"/>
      <c r="AK29" s="336"/>
      <c r="AL29" s="336"/>
      <c r="AM29" s="336"/>
      <c r="AN29" s="336"/>
      <c r="AO29" s="336"/>
      <c r="AP29" s="336"/>
      <c r="AQ29" s="336"/>
      <c r="AR29" s="336"/>
      <c r="AS29" s="336"/>
      <c r="AT29" s="336"/>
      <c r="AU29" s="336"/>
      <c r="AV29" s="336"/>
      <c r="AW29" s="336"/>
      <c r="AX29" s="336"/>
      <c r="AY29" s="336"/>
      <c r="AZ29" s="336"/>
      <c r="BA29" s="336"/>
      <c r="BB29" s="336"/>
      <c r="BC29" s="336"/>
      <c r="BD29" s="336"/>
      <c r="BE29" s="336"/>
      <c r="BF29" s="336"/>
    </row>
    <row r="30" spans="1:58" ht="14">
      <c r="A30" s="336"/>
      <c r="B30" s="341"/>
      <c r="C30" s="351" t="s">
        <v>283</v>
      </c>
      <c r="D30" s="352" t="str">
        <f t="shared" si="0"/>
        <v/>
      </c>
      <c r="E30" s="352" t="str">
        <f t="shared" si="1"/>
        <v/>
      </c>
      <c r="F30" s="352" t="str">
        <f t="shared" si="2"/>
        <v/>
      </c>
      <c r="G30" s="352" t="str">
        <f t="shared" si="3"/>
        <v/>
      </c>
      <c r="H30" s="352" t="str">
        <f t="shared" si="4"/>
        <v/>
      </c>
      <c r="I30" s="352" t="str">
        <f t="shared" si="5"/>
        <v/>
      </c>
      <c r="J30" s="352" t="str">
        <f t="shared" si="6"/>
        <v/>
      </c>
      <c r="K30" s="353" t="str">
        <f t="shared" si="7"/>
        <v/>
      </c>
      <c r="L30" s="346"/>
      <c r="M30" s="352"/>
      <c r="N30" s="352"/>
      <c r="O30" s="352"/>
      <c r="P30" s="352"/>
      <c r="Q30" s="352"/>
      <c r="R30" s="352"/>
      <c r="S30" s="352"/>
      <c r="T30" s="352"/>
      <c r="U30" s="352"/>
      <c r="V30" s="352"/>
      <c r="W30" s="352"/>
      <c r="X30" s="352"/>
      <c r="Y30" s="352"/>
      <c r="Z30" s="352"/>
      <c r="AA30" s="352"/>
      <c r="AB30" s="352"/>
      <c r="AC30" s="352"/>
      <c r="AD30" s="352"/>
      <c r="AE30" s="352"/>
      <c r="AF30" s="352"/>
      <c r="AG30" s="352"/>
      <c r="AH30" s="343"/>
      <c r="AI30" s="336"/>
      <c r="AJ30" s="336"/>
      <c r="AK30" s="336"/>
      <c r="AL30" s="336"/>
      <c r="AM30" s="336"/>
      <c r="AN30" s="336"/>
      <c r="AO30" s="336"/>
      <c r="AP30" s="336"/>
      <c r="AQ30" s="336"/>
      <c r="AR30" s="336"/>
      <c r="AS30" s="336"/>
      <c r="AT30" s="336"/>
      <c r="AU30" s="336"/>
      <c r="AV30" s="336"/>
      <c r="AW30" s="336"/>
      <c r="AX30" s="336"/>
      <c r="AY30" s="336"/>
      <c r="AZ30" s="336"/>
      <c r="BA30" s="336"/>
      <c r="BB30" s="336"/>
      <c r="BC30" s="336"/>
      <c r="BD30" s="336"/>
      <c r="BE30" s="336"/>
      <c r="BF30" s="336"/>
    </row>
    <row r="31" spans="1:58" ht="14" outlineLevel="1">
      <c r="A31" s="336"/>
      <c r="B31" s="341"/>
      <c r="C31" s="354" t="s">
        <v>284</v>
      </c>
      <c r="D31" s="355" t="str">
        <f t="shared" si="0"/>
        <v/>
      </c>
      <c r="E31" s="355" t="str">
        <f t="shared" si="1"/>
        <v/>
      </c>
      <c r="F31" s="355" t="str">
        <f t="shared" si="2"/>
        <v/>
      </c>
      <c r="G31" s="355" t="str">
        <f t="shared" si="3"/>
        <v/>
      </c>
      <c r="H31" s="355" t="str">
        <f t="shared" si="4"/>
        <v/>
      </c>
      <c r="I31" s="355" t="str">
        <f t="shared" si="5"/>
        <v/>
      </c>
      <c r="J31" s="355" t="str">
        <f t="shared" si="6"/>
        <v/>
      </c>
      <c r="K31" s="356" t="str">
        <f t="shared" si="7"/>
        <v/>
      </c>
      <c r="M31" s="357"/>
      <c r="N31" s="357"/>
      <c r="O31" s="357"/>
      <c r="P31" s="357"/>
      <c r="Q31" s="357"/>
      <c r="R31" s="357"/>
      <c r="S31" s="357"/>
      <c r="T31" s="357"/>
      <c r="U31" s="357"/>
      <c r="V31" s="357"/>
      <c r="W31" s="357"/>
      <c r="X31" s="357"/>
      <c r="Y31" s="357"/>
      <c r="Z31" s="357"/>
      <c r="AA31" s="357"/>
      <c r="AB31" s="357"/>
      <c r="AC31" s="357"/>
      <c r="AD31" s="357"/>
      <c r="AE31" s="357"/>
      <c r="AF31" s="357"/>
      <c r="AG31" s="357"/>
      <c r="AH31" s="343"/>
      <c r="AI31" s="336"/>
      <c r="AJ31" s="336"/>
      <c r="AK31" s="336"/>
      <c r="AL31" s="336"/>
      <c r="AM31" s="336"/>
      <c r="AN31" s="336"/>
      <c r="AO31" s="336"/>
      <c r="AP31" s="336"/>
      <c r="AQ31" s="336"/>
      <c r="AR31" s="336"/>
      <c r="AS31" s="336"/>
      <c r="AT31" s="336"/>
      <c r="AU31" s="336"/>
      <c r="AV31" s="336"/>
      <c r="AW31" s="336"/>
      <c r="AX31" s="336"/>
      <c r="AY31" s="336"/>
      <c r="AZ31" s="336"/>
      <c r="BA31" s="336"/>
      <c r="BB31" s="336"/>
      <c r="BC31" s="336"/>
      <c r="BD31" s="336"/>
      <c r="BE31" s="336"/>
      <c r="BF31" s="336"/>
    </row>
    <row r="32" spans="1:58" ht="14" outlineLevel="2">
      <c r="A32" s="336"/>
      <c r="B32" s="341"/>
      <c r="C32" s="354" t="s">
        <v>285</v>
      </c>
      <c r="D32" s="355" t="str">
        <f t="shared" si="0"/>
        <v/>
      </c>
      <c r="E32" s="355" t="str">
        <f t="shared" si="1"/>
        <v/>
      </c>
      <c r="F32" s="355" t="str">
        <f t="shared" si="2"/>
        <v/>
      </c>
      <c r="G32" s="355" t="str">
        <f t="shared" si="3"/>
        <v/>
      </c>
      <c r="H32" s="355" t="str">
        <f t="shared" si="4"/>
        <v/>
      </c>
      <c r="I32" s="355" t="str">
        <f t="shared" si="5"/>
        <v/>
      </c>
      <c r="J32" s="355" t="str">
        <f t="shared" si="6"/>
        <v/>
      </c>
      <c r="K32" s="356" t="str">
        <f t="shared" si="7"/>
        <v/>
      </c>
      <c r="M32" s="357"/>
      <c r="N32" s="357"/>
      <c r="O32" s="357"/>
      <c r="P32" s="357"/>
      <c r="Q32" s="357"/>
      <c r="R32" s="357"/>
      <c r="S32" s="357"/>
      <c r="T32" s="357"/>
      <c r="U32" s="357"/>
      <c r="V32" s="357"/>
      <c r="W32" s="357"/>
      <c r="X32" s="357"/>
      <c r="Y32" s="357"/>
      <c r="Z32" s="357"/>
      <c r="AA32" s="357"/>
      <c r="AB32" s="357"/>
      <c r="AC32" s="357"/>
      <c r="AD32" s="357"/>
      <c r="AE32" s="357"/>
      <c r="AF32" s="357"/>
      <c r="AG32" s="357"/>
      <c r="AH32" s="343"/>
      <c r="AI32" s="336"/>
      <c r="AJ32" s="336"/>
      <c r="AK32" s="336"/>
      <c r="AL32" s="336"/>
      <c r="AM32" s="336"/>
      <c r="AN32" s="336"/>
      <c r="AO32" s="336"/>
      <c r="AP32" s="336"/>
      <c r="AQ32" s="336"/>
      <c r="AR32" s="336"/>
      <c r="AS32" s="336"/>
      <c r="AT32" s="336"/>
      <c r="AU32" s="336"/>
      <c r="AV32" s="336"/>
      <c r="AW32" s="336"/>
      <c r="AX32" s="336"/>
      <c r="AY32" s="336"/>
      <c r="AZ32" s="336"/>
      <c r="BA32" s="336"/>
      <c r="BB32" s="336"/>
      <c r="BC32" s="336"/>
      <c r="BD32" s="336"/>
      <c r="BE32" s="336"/>
      <c r="BF32" s="336"/>
    </row>
    <row r="33" spans="1:58" ht="14" outlineLevel="3">
      <c r="A33" s="336"/>
      <c r="B33" s="341"/>
      <c r="C33" s="354" t="s">
        <v>286</v>
      </c>
      <c r="D33" s="355">
        <f t="shared" si="0"/>
        <v>55799</v>
      </c>
      <c r="E33" s="355">
        <f t="shared" si="1"/>
        <v>55659.25</v>
      </c>
      <c r="F33" s="355">
        <f t="shared" si="2"/>
        <v>8912</v>
      </c>
      <c r="G33" s="355">
        <f t="shared" si="3"/>
        <v>100037</v>
      </c>
      <c r="H33" s="355">
        <f t="shared" si="4"/>
        <v>26496.75</v>
      </c>
      <c r="I33" s="355">
        <f t="shared" si="5"/>
        <v>83231.75</v>
      </c>
      <c r="J33" s="355">
        <f t="shared" si="6"/>
        <v>31538.978570896277</v>
      </c>
      <c r="K33" s="356">
        <f t="shared" si="7"/>
        <v>0.56664397329996863</v>
      </c>
      <c r="M33" s="357">
        <v>100037</v>
      </c>
      <c r="N33" s="357">
        <v>86576</v>
      </c>
      <c r="O33" s="357">
        <v>88628</v>
      </c>
      <c r="P33" s="357">
        <v>81211</v>
      </c>
      <c r="Q33" s="357">
        <v>82117</v>
      </c>
      <c r="R33" s="357">
        <v>60852</v>
      </c>
      <c r="S33" s="357">
        <v>50746</v>
      </c>
      <c r="T33" s="357">
        <v>35337</v>
      </c>
      <c r="U33" s="357">
        <v>27146</v>
      </c>
      <c r="V33" s="357">
        <v>24549</v>
      </c>
      <c r="W33" s="357">
        <v>21800</v>
      </c>
      <c r="X33" s="357">
        <v>8912</v>
      </c>
      <c r="Y33" s="357"/>
      <c r="Z33" s="357"/>
      <c r="AA33" s="357"/>
      <c r="AB33" s="357"/>
      <c r="AC33" s="357"/>
      <c r="AD33" s="357"/>
      <c r="AE33" s="357"/>
      <c r="AF33" s="357"/>
      <c r="AG33" s="357"/>
      <c r="AH33" s="343"/>
      <c r="AI33" s="336"/>
      <c r="AJ33" s="336"/>
      <c r="AK33" s="336"/>
      <c r="AL33" s="336"/>
      <c r="AM33" s="336"/>
      <c r="AN33" s="336"/>
      <c r="AO33" s="336"/>
      <c r="AP33" s="336"/>
      <c r="AQ33" s="336"/>
      <c r="AR33" s="336"/>
      <c r="AS33" s="336"/>
      <c r="AT33" s="336"/>
      <c r="AU33" s="336"/>
      <c r="AV33" s="336"/>
      <c r="AW33" s="336"/>
      <c r="AX33" s="336"/>
      <c r="AY33" s="336"/>
      <c r="AZ33" s="336"/>
      <c r="BA33" s="336"/>
      <c r="BB33" s="336"/>
      <c r="BC33" s="336"/>
      <c r="BD33" s="336"/>
      <c r="BE33" s="336"/>
      <c r="BF33" s="336"/>
    </row>
    <row r="34" spans="1:58" ht="14" outlineLevel="3">
      <c r="A34" s="336"/>
      <c r="B34" s="341"/>
      <c r="C34" s="354" t="s">
        <v>287</v>
      </c>
      <c r="D34" s="355">
        <f t="shared" si="0"/>
        <v>4681</v>
      </c>
      <c r="E34" s="355">
        <f t="shared" si="1"/>
        <v>6831.666666666667</v>
      </c>
      <c r="F34" s="355">
        <f t="shared" si="2"/>
        <v>21</v>
      </c>
      <c r="G34" s="355">
        <f t="shared" si="3"/>
        <v>23115</v>
      </c>
      <c r="H34" s="355">
        <f t="shared" si="4"/>
        <v>878</v>
      </c>
      <c r="I34" s="355">
        <f t="shared" si="5"/>
        <v>7053</v>
      </c>
      <c r="J34" s="355">
        <f t="shared" si="6"/>
        <v>8178.5396465383719</v>
      </c>
      <c r="K34" s="356">
        <f t="shared" si="7"/>
        <v>1.1971514486272317</v>
      </c>
      <c r="M34" s="357">
        <v>23115</v>
      </c>
      <c r="N34" s="357">
        <v>17741</v>
      </c>
      <c r="O34" s="357">
        <v>5005</v>
      </c>
      <c r="P34" s="357">
        <v>878</v>
      </c>
      <c r="Q34" s="357">
        <v>2937</v>
      </c>
      <c r="R34" s="357">
        <v>7053</v>
      </c>
      <c r="S34" s="357">
        <v>4681</v>
      </c>
      <c r="T34" s="357">
        <v>54</v>
      </c>
      <c r="U34" s="357">
        <v>21</v>
      </c>
      <c r="V34" s="357"/>
      <c r="W34" s="357"/>
      <c r="X34" s="357"/>
      <c r="Y34" s="357"/>
      <c r="Z34" s="357"/>
      <c r="AA34" s="357"/>
      <c r="AB34" s="357"/>
      <c r="AC34" s="357"/>
      <c r="AD34" s="357"/>
      <c r="AE34" s="357"/>
      <c r="AF34" s="357"/>
      <c r="AG34" s="357"/>
      <c r="AH34" s="343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6"/>
      <c r="AZ34" s="336"/>
      <c r="BA34" s="336"/>
      <c r="BB34" s="336"/>
      <c r="BC34" s="336"/>
      <c r="BD34" s="336"/>
      <c r="BE34" s="336"/>
      <c r="BF34" s="336"/>
    </row>
    <row r="35" spans="1:58" ht="14" outlineLevel="3">
      <c r="A35" s="336"/>
      <c r="B35" s="341"/>
      <c r="C35" s="358" t="s">
        <v>288</v>
      </c>
      <c r="D35" s="359">
        <f t="shared" si="0"/>
        <v>49932</v>
      </c>
      <c r="E35" s="359">
        <f t="shared" si="1"/>
        <v>50535.5</v>
      </c>
      <c r="F35" s="359">
        <f t="shared" si="2"/>
        <v>8912</v>
      </c>
      <c r="G35" s="359">
        <f t="shared" si="3"/>
        <v>83623</v>
      </c>
      <c r="H35" s="359">
        <f t="shared" si="4"/>
        <v>26481</v>
      </c>
      <c r="I35" s="359">
        <f t="shared" si="5"/>
        <v>77486.5</v>
      </c>
      <c r="J35" s="359">
        <f t="shared" si="6"/>
        <v>26763.559161666075</v>
      </c>
      <c r="K35" s="360">
        <f t="shared" si="7"/>
        <v>0.52959917605774309</v>
      </c>
      <c r="L35" s="339"/>
      <c r="M35" s="361">
        <v>76922</v>
      </c>
      <c r="N35" s="361">
        <v>68835</v>
      </c>
      <c r="O35" s="361">
        <v>83623</v>
      </c>
      <c r="P35" s="361">
        <v>80333</v>
      </c>
      <c r="Q35" s="361">
        <v>79180</v>
      </c>
      <c r="R35" s="361">
        <v>53799</v>
      </c>
      <c r="S35" s="361">
        <v>46065</v>
      </c>
      <c r="T35" s="361">
        <v>35283</v>
      </c>
      <c r="U35" s="361">
        <v>27125</v>
      </c>
      <c r="V35" s="361">
        <v>24549</v>
      </c>
      <c r="W35" s="361">
        <v>21800</v>
      </c>
      <c r="X35" s="361">
        <v>8912</v>
      </c>
      <c r="Y35" s="361"/>
      <c r="Z35" s="361"/>
      <c r="AA35" s="361"/>
      <c r="AB35" s="361"/>
      <c r="AC35" s="361"/>
      <c r="AD35" s="361"/>
      <c r="AE35" s="361"/>
      <c r="AF35" s="361"/>
      <c r="AG35" s="361"/>
      <c r="AH35" s="343"/>
      <c r="AI35" s="336"/>
      <c r="AJ35" s="336"/>
      <c r="AK35" s="336"/>
      <c r="AL35" s="336"/>
      <c r="AM35" s="336"/>
      <c r="AN35" s="336"/>
      <c r="AO35" s="336"/>
      <c r="AP35" s="336"/>
      <c r="AQ35" s="336"/>
      <c r="AR35" s="336"/>
      <c r="AS35" s="336"/>
      <c r="AT35" s="336"/>
      <c r="AU35" s="336"/>
      <c r="AV35" s="336"/>
      <c r="AW35" s="336"/>
      <c r="AX35" s="336"/>
      <c r="AY35" s="336"/>
      <c r="AZ35" s="336"/>
      <c r="BA35" s="336"/>
      <c r="BB35" s="336"/>
      <c r="BC35" s="336"/>
      <c r="BD35" s="336"/>
      <c r="BE35" s="336"/>
      <c r="BF35" s="336"/>
    </row>
    <row r="36" spans="1:58" ht="14" outlineLevel="2">
      <c r="A36" s="336"/>
      <c r="B36" s="341"/>
      <c r="C36" s="358" t="s">
        <v>289</v>
      </c>
      <c r="D36" s="359">
        <f t="shared" si="0"/>
        <v>49932</v>
      </c>
      <c r="E36" s="359">
        <f t="shared" si="1"/>
        <v>50535.5</v>
      </c>
      <c r="F36" s="359">
        <f t="shared" si="2"/>
        <v>8912</v>
      </c>
      <c r="G36" s="359">
        <f t="shared" si="3"/>
        <v>83623</v>
      </c>
      <c r="H36" s="359">
        <f t="shared" si="4"/>
        <v>26481</v>
      </c>
      <c r="I36" s="359">
        <f t="shared" si="5"/>
        <v>77486.5</v>
      </c>
      <c r="J36" s="359">
        <f t="shared" si="6"/>
        <v>26763.559161666075</v>
      </c>
      <c r="K36" s="360">
        <f t="shared" si="7"/>
        <v>0.52959917605774309</v>
      </c>
      <c r="L36" s="339"/>
      <c r="M36" s="361">
        <v>76922</v>
      </c>
      <c r="N36" s="361">
        <v>68835</v>
      </c>
      <c r="O36" s="361">
        <v>83623</v>
      </c>
      <c r="P36" s="361">
        <v>80333</v>
      </c>
      <c r="Q36" s="361">
        <v>79180</v>
      </c>
      <c r="R36" s="361">
        <v>53799</v>
      </c>
      <c r="S36" s="361">
        <v>46065</v>
      </c>
      <c r="T36" s="361">
        <v>35283</v>
      </c>
      <c r="U36" s="361">
        <v>27125</v>
      </c>
      <c r="V36" s="361">
        <v>24549</v>
      </c>
      <c r="W36" s="361">
        <v>21800</v>
      </c>
      <c r="X36" s="361">
        <v>8912</v>
      </c>
      <c r="Y36" s="361"/>
      <c r="Z36" s="361"/>
      <c r="AA36" s="361"/>
      <c r="AB36" s="361"/>
      <c r="AC36" s="361"/>
      <c r="AD36" s="361"/>
      <c r="AE36" s="361"/>
      <c r="AF36" s="361"/>
      <c r="AG36" s="361"/>
      <c r="AH36" s="343"/>
      <c r="AI36" s="336"/>
      <c r="AJ36" s="336"/>
      <c r="AK36" s="336"/>
      <c r="AL36" s="336"/>
      <c r="AM36" s="336"/>
      <c r="AN36" s="336"/>
      <c r="AO36" s="336"/>
      <c r="AP36" s="336"/>
      <c r="AQ36" s="336"/>
      <c r="AR36" s="336"/>
      <c r="AS36" s="336"/>
      <c r="AT36" s="336"/>
      <c r="AU36" s="336"/>
      <c r="AV36" s="336"/>
      <c r="AW36" s="336"/>
      <c r="AX36" s="336"/>
      <c r="AY36" s="336"/>
      <c r="AZ36" s="336"/>
      <c r="BA36" s="336"/>
      <c r="BB36" s="336"/>
      <c r="BC36" s="336"/>
      <c r="BD36" s="336"/>
      <c r="BE36" s="336"/>
      <c r="BF36" s="336"/>
    </row>
    <row r="37" spans="1:58" ht="14" outlineLevel="1">
      <c r="A37" s="336"/>
      <c r="B37" s="341"/>
      <c r="C37" s="354" t="s">
        <v>290</v>
      </c>
      <c r="D37" s="355">
        <f t="shared" si="0"/>
        <v>-411.5</v>
      </c>
      <c r="E37" s="355">
        <f t="shared" si="1"/>
        <v>26294.583333333332</v>
      </c>
      <c r="F37" s="355">
        <f t="shared" si="2"/>
        <v>-11102</v>
      </c>
      <c r="G37" s="355">
        <f t="shared" si="3"/>
        <v>316928</v>
      </c>
      <c r="H37" s="355">
        <f t="shared" si="4"/>
        <v>-2472.5</v>
      </c>
      <c r="I37" s="355">
        <f t="shared" si="5"/>
        <v>3859.75</v>
      </c>
      <c r="J37" s="355">
        <f t="shared" si="6"/>
        <v>91755.786282202127</v>
      </c>
      <c r="K37" s="356">
        <f t="shared" si="7"/>
        <v>3.4895318598140479</v>
      </c>
      <c r="M37" s="357">
        <v>-548</v>
      </c>
      <c r="N37" s="357">
        <v>3512</v>
      </c>
      <c r="O37" s="357">
        <v>14983</v>
      </c>
      <c r="P37" s="357">
        <v>-11102</v>
      </c>
      <c r="Q37" s="357">
        <v>4903</v>
      </c>
      <c r="R37" s="357">
        <v>-6107</v>
      </c>
      <c r="S37" s="357">
        <v>-6175</v>
      </c>
      <c r="T37" s="357">
        <v>316928</v>
      </c>
      <c r="U37" s="357">
        <v>1371</v>
      </c>
      <c r="V37" s="357">
        <v>-275</v>
      </c>
      <c r="W37" s="357">
        <v>-1261</v>
      </c>
      <c r="X37" s="357">
        <v>-694</v>
      </c>
      <c r="Y37" s="357"/>
      <c r="Z37" s="357"/>
      <c r="AA37" s="357"/>
      <c r="AB37" s="357"/>
      <c r="AC37" s="357"/>
      <c r="AD37" s="357"/>
      <c r="AE37" s="357"/>
      <c r="AF37" s="357"/>
      <c r="AG37" s="357"/>
      <c r="AH37" s="343"/>
      <c r="AI37" s="336"/>
      <c r="AJ37" s="336"/>
      <c r="AK37" s="336"/>
      <c r="AL37" s="336"/>
      <c r="AM37" s="336"/>
      <c r="AN37" s="336"/>
      <c r="AO37" s="336"/>
      <c r="AP37" s="336"/>
      <c r="AQ37" s="336"/>
      <c r="AR37" s="336"/>
      <c r="AS37" s="336"/>
      <c r="AT37" s="336"/>
      <c r="AU37" s="336"/>
      <c r="AV37" s="336"/>
      <c r="AW37" s="336"/>
      <c r="AX37" s="336"/>
      <c r="AY37" s="336"/>
      <c r="AZ37" s="336"/>
      <c r="BA37" s="336"/>
      <c r="BB37" s="336"/>
      <c r="BC37" s="336"/>
      <c r="BD37" s="336"/>
      <c r="BE37" s="336"/>
      <c r="BF37" s="336"/>
    </row>
    <row r="38" spans="1:58" ht="14" outlineLevel="1">
      <c r="A38" s="336"/>
      <c r="B38" s="341"/>
      <c r="C38" s="351" t="s">
        <v>291</v>
      </c>
      <c r="D38" s="359">
        <f t="shared" si="0"/>
        <v>-56073</v>
      </c>
      <c r="E38" s="359">
        <f t="shared" si="1"/>
        <v>-24240.916666666668</v>
      </c>
      <c r="F38" s="359">
        <f t="shared" si="2"/>
        <v>-91435</v>
      </c>
      <c r="G38" s="359">
        <f t="shared" si="3"/>
        <v>281645</v>
      </c>
      <c r="H38" s="359">
        <f t="shared" si="4"/>
        <v>-70049.25</v>
      </c>
      <c r="I38" s="359">
        <f t="shared" si="5"/>
        <v>-24383.25</v>
      </c>
      <c r="J38" s="359">
        <f t="shared" si="6"/>
        <v>99704.722785431266</v>
      </c>
      <c r="K38" s="360">
        <f t="shared" si="7"/>
        <v>-4.1130755967877146</v>
      </c>
      <c r="L38" s="362"/>
      <c r="M38" s="359">
        <v>-77470</v>
      </c>
      <c r="N38" s="359">
        <v>-65323</v>
      </c>
      <c r="O38" s="359">
        <v>-68640</v>
      </c>
      <c r="P38" s="359">
        <v>-91435</v>
      </c>
      <c r="Q38" s="359">
        <v>-74277</v>
      </c>
      <c r="R38" s="359">
        <v>-59906</v>
      </c>
      <c r="S38" s="359">
        <v>-52240</v>
      </c>
      <c r="T38" s="359">
        <v>281645</v>
      </c>
      <c r="U38" s="359">
        <v>-25754</v>
      </c>
      <c r="V38" s="359">
        <v>-24824</v>
      </c>
      <c r="W38" s="359">
        <v>-23061</v>
      </c>
      <c r="X38" s="359">
        <v>-9606</v>
      </c>
      <c r="Y38" s="359"/>
      <c r="Z38" s="359"/>
      <c r="AA38" s="359"/>
      <c r="AB38" s="359"/>
      <c r="AC38" s="359"/>
      <c r="AD38" s="359"/>
      <c r="AE38" s="359"/>
      <c r="AF38" s="359"/>
      <c r="AG38" s="359"/>
      <c r="AH38" s="343"/>
      <c r="AI38" s="336"/>
      <c r="AJ38" s="336"/>
      <c r="AK38" s="336"/>
      <c r="AL38" s="336"/>
      <c r="AM38" s="336"/>
      <c r="AN38" s="336"/>
      <c r="AO38" s="336"/>
      <c r="AP38" s="336"/>
      <c r="AQ38" s="336"/>
      <c r="AR38" s="336"/>
      <c r="AS38" s="336"/>
      <c r="AT38" s="336"/>
      <c r="AU38" s="336"/>
      <c r="AV38" s="336"/>
      <c r="AW38" s="336"/>
      <c r="AX38" s="336"/>
      <c r="AY38" s="336"/>
      <c r="AZ38" s="336"/>
      <c r="BA38" s="336"/>
      <c r="BB38" s="336"/>
      <c r="BC38" s="336"/>
      <c r="BD38" s="336"/>
      <c r="BE38" s="336"/>
      <c r="BF38" s="336"/>
    </row>
    <row r="39" spans="1:58" ht="14">
      <c r="A39" s="336"/>
      <c r="B39" s="341"/>
      <c r="C39" s="351" t="s">
        <v>292</v>
      </c>
      <c r="D39" s="352">
        <f t="shared" si="0"/>
        <v>110856</v>
      </c>
      <c r="E39" s="352">
        <f t="shared" si="1"/>
        <v>132450.66666666666</v>
      </c>
      <c r="F39" s="352">
        <f t="shared" si="2"/>
        <v>-14517</v>
      </c>
      <c r="G39" s="352">
        <f t="shared" si="3"/>
        <v>429181</v>
      </c>
      <c r="H39" s="352">
        <f t="shared" si="4"/>
        <v>45078</v>
      </c>
      <c r="I39" s="352">
        <f t="shared" si="5"/>
        <v>181768</v>
      </c>
      <c r="J39" s="352">
        <f t="shared" si="6"/>
        <v>123014.9287151274</v>
      </c>
      <c r="K39" s="353">
        <f t="shared" si="7"/>
        <v>0.92876035893963593</v>
      </c>
      <c r="L39" s="346"/>
      <c r="M39" s="352">
        <v>246728</v>
      </c>
      <c r="N39" s="352">
        <v>207541</v>
      </c>
      <c r="O39" s="352">
        <v>161438</v>
      </c>
      <c r="P39" s="352">
        <v>51960</v>
      </c>
      <c r="Q39" s="352">
        <v>-14517</v>
      </c>
      <c r="R39" s="352">
        <v>173177</v>
      </c>
      <c r="S39" s="352">
        <v>131804</v>
      </c>
      <c r="T39" s="352">
        <v>429181</v>
      </c>
      <c r="U39" s="352">
        <v>89908</v>
      </c>
      <c r="V39" s="352">
        <v>47278</v>
      </c>
      <c r="W39" s="352">
        <v>38478</v>
      </c>
      <c r="X39" s="352">
        <v>26432</v>
      </c>
      <c r="Y39" s="352"/>
      <c r="Z39" s="352"/>
      <c r="AA39" s="352"/>
      <c r="AB39" s="352"/>
      <c r="AC39" s="352"/>
      <c r="AD39" s="352"/>
      <c r="AE39" s="352"/>
      <c r="AF39" s="352"/>
      <c r="AG39" s="352"/>
      <c r="AH39" s="343"/>
      <c r="AI39" s="336"/>
      <c r="AJ39" s="336"/>
      <c r="AK39" s="336"/>
      <c r="AL39" s="336"/>
      <c r="AM39" s="336"/>
      <c r="AN39" s="336"/>
      <c r="AO39" s="336"/>
      <c r="AP39" s="336"/>
      <c r="AQ39" s="336"/>
      <c r="AR39" s="336"/>
      <c r="AS39" s="336"/>
      <c r="AT39" s="336"/>
      <c r="AU39" s="336"/>
      <c r="AV39" s="336"/>
      <c r="AW39" s="336"/>
      <c r="AX39" s="336"/>
      <c r="AY39" s="336"/>
      <c r="AZ39" s="336"/>
      <c r="BA39" s="336"/>
      <c r="BB39" s="336"/>
      <c r="BC39" s="336"/>
      <c r="BD39" s="336"/>
      <c r="BE39" s="336"/>
      <c r="BF39" s="336"/>
    </row>
    <row r="40" spans="1:58" ht="14">
      <c r="A40" s="336"/>
      <c r="B40" s="341"/>
      <c r="C40" s="351" t="s">
        <v>293</v>
      </c>
      <c r="D40" s="352">
        <f t="shared" si="0"/>
        <v>23651.5</v>
      </c>
      <c r="E40" s="352">
        <f t="shared" si="1"/>
        <v>54452.25</v>
      </c>
      <c r="F40" s="352">
        <f t="shared" si="2"/>
        <v>633</v>
      </c>
      <c r="G40" s="352">
        <f t="shared" si="3"/>
        <v>373580</v>
      </c>
      <c r="H40" s="352">
        <f t="shared" si="4"/>
        <v>4540</v>
      </c>
      <c r="I40" s="352">
        <f t="shared" si="5"/>
        <v>52514.25</v>
      </c>
      <c r="J40" s="352">
        <f t="shared" si="6"/>
        <v>103288.65500063844</v>
      </c>
      <c r="K40" s="353">
        <f t="shared" si="7"/>
        <v>1.8968666125024849</v>
      </c>
      <c r="L40" s="346"/>
      <c r="M40" s="352">
        <v>68443</v>
      </c>
      <c r="N40" s="352">
        <v>58512</v>
      </c>
      <c r="O40" s="352">
        <v>50515</v>
      </c>
      <c r="P40" s="352">
        <v>5659</v>
      </c>
      <c r="Q40" s="352">
        <v>687</v>
      </c>
      <c r="R40" s="352">
        <v>37764</v>
      </c>
      <c r="S40" s="352">
        <v>28642</v>
      </c>
      <c r="T40" s="352">
        <v>373580</v>
      </c>
      <c r="U40" s="352">
        <v>18661</v>
      </c>
      <c r="V40" s="352">
        <v>9148</v>
      </c>
      <c r="W40" s="352">
        <v>1183</v>
      </c>
      <c r="X40" s="352">
        <v>633</v>
      </c>
      <c r="Y40" s="352"/>
      <c r="Z40" s="352"/>
      <c r="AA40" s="352"/>
      <c r="AB40" s="352"/>
      <c r="AC40" s="352"/>
      <c r="AD40" s="352"/>
      <c r="AE40" s="352"/>
      <c r="AF40" s="352"/>
      <c r="AG40" s="352"/>
      <c r="AH40" s="343"/>
      <c r="AI40" s="336"/>
      <c r="AJ40" s="336"/>
      <c r="AK40" s="336"/>
      <c r="AL40" s="336"/>
      <c r="AM40" s="336"/>
      <c r="AN40" s="336"/>
      <c r="AO40" s="336"/>
      <c r="AP40" s="336"/>
      <c r="AQ40" s="336"/>
      <c r="AR40" s="336"/>
      <c r="AS40" s="336"/>
      <c r="AT40" s="336"/>
      <c r="AU40" s="336"/>
      <c r="AV40" s="336"/>
      <c r="AW40" s="336"/>
      <c r="AX40" s="336"/>
      <c r="AY40" s="336"/>
      <c r="AZ40" s="336"/>
      <c r="BA40" s="336"/>
      <c r="BB40" s="336"/>
      <c r="BC40" s="336"/>
      <c r="BD40" s="336"/>
      <c r="BE40" s="336"/>
      <c r="BF40" s="336"/>
    </row>
    <row r="41" spans="1:58" ht="14">
      <c r="A41" s="336"/>
      <c r="B41" s="341"/>
      <c r="C41" s="351" t="s">
        <v>294</v>
      </c>
      <c r="D41" s="352">
        <f t="shared" si="0"/>
        <v>-323</v>
      </c>
      <c r="E41" s="352">
        <f t="shared" si="1"/>
        <v>-1113.6666666666667</v>
      </c>
      <c r="F41" s="352">
        <f t="shared" si="2"/>
        <v>-4042</v>
      </c>
      <c r="G41" s="352">
        <f t="shared" si="3"/>
        <v>0</v>
      </c>
      <c r="H41" s="352">
        <f t="shared" si="4"/>
        <v>-1612.25</v>
      </c>
      <c r="I41" s="352">
        <f t="shared" si="5"/>
        <v>-44.75</v>
      </c>
      <c r="J41" s="352">
        <f t="shared" si="6"/>
        <v>1620.0252672926636</v>
      </c>
      <c r="K41" s="353">
        <f t="shared" si="7"/>
        <v>-1.454676983501344</v>
      </c>
      <c r="L41" s="346"/>
      <c r="M41" s="352">
        <v>-4042</v>
      </c>
      <c r="N41" s="352">
        <v>-1994</v>
      </c>
      <c r="O41" s="352">
        <v>-467</v>
      </c>
      <c r="P41" s="352">
        <v>-179</v>
      </c>
      <c r="Q41" s="352">
        <v>0</v>
      </c>
      <c r="R41" s="352">
        <v>0</v>
      </c>
      <c r="S41" s="352"/>
      <c r="T41" s="352"/>
      <c r="U41" s="352"/>
      <c r="V41" s="352"/>
      <c r="W41" s="352"/>
      <c r="X41" s="352"/>
      <c r="Y41" s="352"/>
      <c r="Z41" s="352"/>
      <c r="AA41" s="352"/>
      <c r="AB41" s="352"/>
      <c r="AC41" s="352"/>
      <c r="AD41" s="352"/>
      <c r="AE41" s="352"/>
      <c r="AF41" s="352"/>
      <c r="AG41" s="352"/>
      <c r="AH41" s="343"/>
      <c r="AI41" s="336"/>
      <c r="AJ41" s="336"/>
      <c r="AK41" s="336"/>
      <c r="AL41" s="336"/>
      <c r="AM41" s="336"/>
      <c r="AN41" s="336"/>
      <c r="AO41" s="336"/>
      <c r="AP41" s="336"/>
      <c r="AQ41" s="336"/>
      <c r="AR41" s="336"/>
      <c r="AS41" s="336"/>
      <c r="AT41" s="336"/>
      <c r="AU41" s="336"/>
      <c r="AV41" s="336"/>
      <c r="AW41" s="336"/>
      <c r="AX41" s="336"/>
      <c r="AY41" s="336"/>
      <c r="AZ41" s="336"/>
      <c r="BA41" s="336"/>
      <c r="BB41" s="336"/>
      <c r="BC41" s="336"/>
      <c r="BD41" s="336"/>
      <c r="BE41" s="336"/>
      <c r="BF41" s="336"/>
    </row>
    <row r="42" spans="1:58" ht="14">
      <c r="A42" s="336"/>
      <c r="B42" s="341"/>
      <c r="C42" s="351" t="s">
        <v>295</v>
      </c>
      <c r="D42" s="352">
        <f t="shared" si="0"/>
        <v>63424</v>
      </c>
      <c r="E42" s="352">
        <f t="shared" si="1"/>
        <v>77441.583333333328</v>
      </c>
      <c r="F42" s="352">
        <f t="shared" si="2"/>
        <v>-15204</v>
      </c>
      <c r="G42" s="352">
        <f t="shared" si="3"/>
        <v>174243</v>
      </c>
      <c r="H42" s="352">
        <f t="shared" si="4"/>
        <v>37921.25</v>
      </c>
      <c r="I42" s="352">
        <f t="shared" si="5"/>
        <v>116695.25</v>
      </c>
      <c r="J42" s="352">
        <f t="shared" si="6"/>
        <v>56592.277106362613</v>
      </c>
      <c r="K42" s="353">
        <f t="shared" si="7"/>
        <v>0.73077376094922242</v>
      </c>
      <c r="L42" s="346"/>
      <c r="M42" s="352">
        <v>174243</v>
      </c>
      <c r="N42" s="352">
        <v>147035</v>
      </c>
      <c r="O42" s="352">
        <v>110456</v>
      </c>
      <c r="P42" s="352">
        <v>46122</v>
      </c>
      <c r="Q42" s="352">
        <v>-15204</v>
      </c>
      <c r="R42" s="352">
        <v>135413</v>
      </c>
      <c r="S42" s="352">
        <v>103162</v>
      </c>
      <c r="T42" s="352">
        <v>55601</v>
      </c>
      <c r="U42" s="352">
        <v>71247</v>
      </c>
      <c r="V42" s="352">
        <v>38130</v>
      </c>
      <c r="W42" s="352">
        <v>37295</v>
      </c>
      <c r="X42" s="352">
        <v>25799</v>
      </c>
      <c r="Y42" s="352"/>
      <c r="Z42" s="352"/>
      <c r="AA42" s="352"/>
      <c r="AB42" s="352"/>
      <c r="AC42" s="352"/>
      <c r="AD42" s="352"/>
      <c r="AE42" s="352"/>
      <c r="AF42" s="352"/>
      <c r="AG42" s="352"/>
      <c r="AH42" s="343"/>
      <c r="AI42" s="336"/>
      <c r="AJ42" s="336"/>
      <c r="AK42" s="336"/>
      <c r="AL42" s="336"/>
      <c r="AM42" s="336"/>
      <c r="AN42" s="336"/>
      <c r="AO42" s="336"/>
      <c r="AP42" s="336"/>
      <c r="AQ42" s="336"/>
      <c r="AR42" s="336"/>
      <c r="AS42" s="336"/>
      <c r="AT42" s="336"/>
      <c r="AU42" s="336"/>
      <c r="AV42" s="336"/>
      <c r="AW42" s="336"/>
      <c r="AX42" s="336"/>
      <c r="AY42" s="336"/>
      <c r="AZ42" s="336"/>
      <c r="BA42" s="336"/>
      <c r="BB42" s="336"/>
      <c r="BC42" s="336"/>
      <c r="BD42" s="336"/>
      <c r="BE42" s="336"/>
      <c r="BF42" s="336"/>
    </row>
    <row r="43" spans="1:58" ht="14">
      <c r="A43" s="336"/>
      <c r="B43" s="341"/>
      <c r="C43" s="351" t="s">
        <v>296</v>
      </c>
      <c r="D43" s="352">
        <f t="shared" si="0"/>
        <v>63424</v>
      </c>
      <c r="E43" s="352">
        <f t="shared" si="1"/>
        <v>77441.583333333328</v>
      </c>
      <c r="F43" s="352">
        <f t="shared" si="2"/>
        <v>-15204</v>
      </c>
      <c r="G43" s="352">
        <f t="shared" si="3"/>
        <v>174243</v>
      </c>
      <c r="H43" s="352">
        <f t="shared" si="4"/>
        <v>37921.25</v>
      </c>
      <c r="I43" s="352">
        <f t="shared" si="5"/>
        <v>116695.25</v>
      </c>
      <c r="J43" s="352">
        <f t="shared" si="6"/>
        <v>56592.277106362613</v>
      </c>
      <c r="K43" s="353">
        <f t="shared" si="7"/>
        <v>0.73077376094922242</v>
      </c>
      <c r="L43" s="346"/>
      <c r="M43" s="352">
        <v>174243</v>
      </c>
      <c r="N43" s="352">
        <v>147035</v>
      </c>
      <c r="O43" s="352">
        <v>110456</v>
      </c>
      <c r="P43" s="352">
        <v>46122</v>
      </c>
      <c r="Q43" s="352">
        <v>-15204</v>
      </c>
      <c r="R43" s="352">
        <v>135413</v>
      </c>
      <c r="S43" s="352">
        <v>103162</v>
      </c>
      <c r="T43" s="352">
        <v>55601</v>
      </c>
      <c r="U43" s="352">
        <v>71247</v>
      </c>
      <c r="V43" s="352">
        <v>38130</v>
      </c>
      <c r="W43" s="352">
        <v>37295</v>
      </c>
      <c r="X43" s="352">
        <v>25799</v>
      </c>
      <c r="Y43" s="352"/>
      <c r="Z43" s="352"/>
      <c r="AA43" s="352"/>
      <c r="AB43" s="352"/>
      <c r="AC43" s="352"/>
      <c r="AD43" s="352"/>
      <c r="AE43" s="352"/>
      <c r="AF43" s="352"/>
      <c r="AG43" s="352"/>
      <c r="AH43" s="343"/>
      <c r="AI43" s="336"/>
      <c r="AJ43" s="336"/>
      <c r="AK43" s="336"/>
      <c r="AL43" s="336"/>
      <c r="AM43" s="336"/>
      <c r="AN43" s="336"/>
      <c r="AO43" s="336"/>
      <c r="AP43" s="336"/>
      <c r="AQ43" s="336"/>
      <c r="AR43" s="336"/>
      <c r="AS43" s="336"/>
      <c r="AT43" s="336"/>
      <c r="AU43" s="336"/>
      <c r="AV43" s="336"/>
      <c r="AW43" s="336"/>
      <c r="AX43" s="336"/>
      <c r="AY43" s="336"/>
      <c r="AZ43" s="336"/>
      <c r="BA43" s="336"/>
      <c r="BB43" s="336"/>
      <c r="BC43" s="336"/>
      <c r="BD43" s="336"/>
      <c r="BE43" s="336"/>
      <c r="BF43" s="336"/>
    </row>
    <row r="44" spans="1:58" ht="14">
      <c r="A44" s="336"/>
      <c r="B44" s="341"/>
      <c r="C44" s="351" t="s">
        <v>297</v>
      </c>
      <c r="D44" s="352">
        <f t="shared" si="0"/>
        <v>9888</v>
      </c>
      <c r="E44" s="352">
        <f t="shared" si="1"/>
        <v>12552.75</v>
      </c>
      <c r="F44" s="352">
        <f t="shared" si="2"/>
        <v>-213</v>
      </c>
      <c r="G44" s="352">
        <f t="shared" si="3"/>
        <v>49747</v>
      </c>
      <c r="H44" s="352">
        <f t="shared" si="4"/>
        <v>1772.5</v>
      </c>
      <c r="I44" s="352">
        <f t="shared" si="5"/>
        <v>18191.5</v>
      </c>
      <c r="J44" s="352">
        <f t="shared" si="6"/>
        <v>14240.375238448536</v>
      </c>
      <c r="K44" s="353">
        <f t="shared" si="7"/>
        <v>1.134442671004245</v>
      </c>
      <c r="L44" s="346"/>
      <c r="M44" s="352">
        <v>2201</v>
      </c>
      <c r="N44" s="352">
        <v>8722</v>
      </c>
      <c r="O44" s="352">
        <v>11054</v>
      </c>
      <c r="P44" s="352">
        <v>3348</v>
      </c>
      <c r="Q44" s="352">
        <v>-213</v>
      </c>
      <c r="R44" s="352">
        <v>17718</v>
      </c>
      <c r="S44" s="352">
        <v>15141</v>
      </c>
      <c r="T44" s="352">
        <v>22455</v>
      </c>
      <c r="U44" s="352">
        <v>49747</v>
      </c>
      <c r="V44" s="352">
        <v>19612</v>
      </c>
      <c r="W44" s="352">
        <v>487</v>
      </c>
      <c r="X44" s="352">
        <v>361</v>
      </c>
      <c r="Y44" s="352"/>
      <c r="Z44" s="352"/>
      <c r="AA44" s="352"/>
      <c r="AB44" s="352"/>
      <c r="AC44" s="352"/>
      <c r="AD44" s="352"/>
      <c r="AE44" s="352"/>
      <c r="AF44" s="352"/>
      <c r="AG44" s="352"/>
      <c r="AH44" s="343"/>
      <c r="AI44" s="336"/>
      <c r="AJ44" s="336"/>
      <c r="AK44" s="336"/>
      <c r="AL44" s="336"/>
      <c r="AM44" s="336"/>
      <c r="AN44" s="336"/>
      <c r="AO44" s="336"/>
      <c r="AP44" s="336"/>
      <c r="AQ44" s="336"/>
      <c r="AR44" s="336"/>
      <c r="AS44" s="336"/>
      <c r="AT44" s="336"/>
      <c r="AU44" s="336"/>
      <c r="AV44" s="336"/>
      <c r="AW44" s="336"/>
      <c r="AX44" s="336"/>
      <c r="AY44" s="336"/>
      <c r="AZ44" s="336"/>
      <c r="BA44" s="336"/>
      <c r="BB44" s="336"/>
      <c r="BC44" s="336"/>
      <c r="BD44" s="336"/>
      <c r="BE44" s="336"/>
      <c r="BF44" s="336"/>
    </row>
    <row r="45" spans="1:58" ht="14">
      <c r="A45" s="336"/>
      <c r="B45" s="341"/>
      <c r="C45" s="351" t="s">
        <v>298</v>
      </c>
      <c r="D45" s="352">
        <f t="shared" si="0"/>
        <v>39791</v>
      </c>
      <c r="E45" s="352">
        <f t="shared" si="1"/>
        <v>64888.833333333336</v>
      </c>
      <c r="F45" s="352">
        <f t="shared" si="2"/>
        <v>-14991</v>
      </c>
      <c r="G45" s="352">
        <f t="shared" si="3"/>
        <v>172042</v>
      </c>
      <c r="H45" s="352">
        <f t="shared" si="4"/>
        <v>24453.5</v>
      </c>
      <c r="I45" s="352">
        <f t="shared" si="5"/>
        <v>103975.25</v>
      </c>
      <c r="J45" s="352">
        <f t="shared" si="6"/>
        <v>56923.284907821064</v>
      </c>
      <c r="K45" s="353">
        <f t="shared" si="7"/>
        <v>0.87724315546569742</v>
      </c>
      <c r="L45" s="346"/>
      <c r="M45" s="352">
        <v>172042</v>
      </c>
      <c r="N45" s="352">
        <v>138313</v>
      </c>
      <c r="O45" s="352">
        <v>99402</v>
      </c>
      <c r="P45" s="352">
        <v>42774</v>
      </c>
      <c r="Q45" s="352">
        <v>-14991</v>
      </c>
      <c r="R45" s="352">
        <v>117695</v>
      </c>
      <c r="S45" s="352">
        <v>88021</v>
      </c>
      <c r="T45" s="352">
        <v>33146</v>
      </c>
      <c r="U45" s="352">
        <v>21500</v>
      </c>
      <c r="V45" s="352">
        <v>18518</v>
      </c>
      <c r="W45" s="352">
        <v>36808</v>
      </c>
      <c r="X45" s="352">
        <v>25438</v>
      </c>
      <c r="Y45" s="352"/>
      <c r="Z45" s="352"/>
      <c r="AA45" s="352"/>
      <c r="AB45" s="352"/>
      <c r="AC45" s="352"/>
      <c r="AD45" s="352"/>
      <c r="AE45" s="352"/>
      <c r="AF45" s="352"/>
      <c r="AG45" s="352"/>
      <c r="AH45" s="343"/>
      <c r="AI45" s="336"/>
      <c r="AJ45" s="336"/>
      <c r="AK45" s="336"/>
      <c r="AL45" s="336"/>
      <c r="AM45" s="336"/>
      <c r="AN45" s="336"/>
      <c r="AO45" s="336"/>
      <c r="AP45" s="336"/>
      <c r="AQ45" s="336"/>
      <c r="AR45" s="336"/>
      <c r="AS45" s="336"/>
      <c r="AT45" s="336"/>
      <c r="AU45" s="336"/>
      <c r="AV45" s="336"/>
      <c r="AW45" s="336"/>
      <c r="AX45" s="336"/>
      <c r="AY45" s="336"/>
      <c r="AZ45" s="336"/>
      <c r="BA45" s="336"/>
      <c r="BB45" s="336"/>
      <c r="BC45" s="336"/>
      <c r="BD45" s="336"/>
      <c r="BE45" s="336"/>
      <c r="BF45" s="336"/>
    </row>
    <row r="46" spans="1:58" ht="14">
      <c r="A46" s="336"/>
      <c r="B46" s="341"/>
      <c r="C46" s="351" t="s">
        <v>299</v>
      </c>
      <c r="D46" s="352">
        <f t="shared" si="0"/>
        <v>39791</v>
      </c>
      <c r="E46" s="352">
        <f t="shared" si="1"/>
        <v>64888.833333333336</v>
      </c>
      <c r="F46" s="352">
        <f t="shared" si="2"/>
        <v>-14991</v>
      </c>
      <c r="G46" s="352">
        <f t="shared" si="3"/>
        <v>172042</v>
      </c>
      <c r="H46" s="352">
        <f t="shared" si="4"/>
        <v>24453.5</v>
      </c>
      <c r="I46" s="352">
        <f t="shared" si="5"/>
        <v>103975.25</v>
      </c>
      <c r="J46" s="352">
        <f t="shared" si="6"/>
        <v>56923.284907821064</v>
      </c>
      <c r="K46" s="353">
        <f t="shared" si="7"/>
        <v>0.87724315546569742</v>
      </c>
      <c r="L46" s="346"/>
      <c r="M46" s="352">
        <v>172042</v>
      </c>
      <c r="N46" s="352">
        <v>138313</v>
      </c>
      <c r="O46" s="352">
        <v>99402</v>
      </c>
      <c r="P46" s="352">
        <v>42774</v>
      </c>
      <c r="Q46" s="352">
        <v>-14991</v>
      </c>
      <c r="R46" s="352">
        <v>117695</v>
      </c>
      <c r="S46" s="352">
        <v>88021</v>
      </c>
      <c r="T46" s="352">
        <v>33146</v>
      </c>
      <c r="U46" s="352">
        <v>21500</v>
      </c>
      <c r="V46" s="352">
        <v>18518</v>
      </c>
      <c r="W46" s="352">
        <v>36808</v>
      </c>
      <c r="X46" s="352">
        <v>25438</v>
      </c>
      <c r="Y46" s="352"/>
      <c r="Z46" s="352"/>
      <c r="AA46" s="352"/>
      <c r="AB46" s="352"/>
      <c r="AC46" s="352"/>
      <c r="AD46" s="352"/>
      <c r="AE46" s="352"/>
      <c r="AF46" s="352"/>
      <c r="AG46" s="352"/>
      <c r="AH46" s="343"/>
      <c r="AI46" s="336"/>
      <c r="AJ46" s="336"/>
      <c r="AK46" s="336"/>
      <c r="AL46" s="336"/>
      <c r="AM46" s="336"/>
      <c r="AN46" s="336"/>
      <c r="AO46" s="336"/>
      <c r="AP46" s="336"/>
      <c r="AQ46" s="336"/>
      <c r="AR46" s="336"/>
      <c r="AS46" s="336"/>
      <c r="AT46" s="336"/>
      <c r="AU46" s="336"/>
      <c r="AV46" s="336"/>
      <c r="AW46" s="336"/>
      <c r="AX46" s="336"/>
      <c r="AY46" s="336"/>
      <c r="AZ46" s="336"/>
      <c r="BA46" s="336"/>
      <c r="BB46" s="336"/>
      <c r="BC46" s="336"/>
      <c r="BD46" s="336"/>
      <c r="BE46" s="336"/>
      <c r="BF46" s="336"/>
    </row>
    <row r="47" spans="1:58" ht="14">
      <c r="A47" s="336"/>
      <c r="B47" s="341"/>
      <c r="C47" s="351" t="s">
        <v>300</v>
      </c>
      <c r="D47" s="352">
        <f t="shared" si="0"/>
        <v>39791</v>
      </c>
      <c r="E47" s="352">
        <f t="shared" si="1"/>
        <v>64888.833333333336</v>
      </c>
      <c r="F47" s="352">
        <f t="shared" si="2"/>
        <v>-14991</v>
      </c>
      <c r="G47" s="352">
        <f t="shared" si="3"/>
        <v>172042</v>
      </c>
      <c r="H47" s="352">
        <f t="shared" si="4"/>
        <v>24453.5</v>
      </c>
      <c r="I47" s="352">
        <f t="shared" si="5"/>
        <v>103975.25</v>
      </c>
      <c r="J47" s="352">
        <f t="shared" si="6"/>
        <v>56923.284907821064</v>
      </c>
      <c r="K47" s="353">
        <f t="shared" si="7"/>
        <v>0.87724315546569742</v>
      </c>
      <c r="L47" s="346"/>
      <c r="M47" s="352">
        <v>172042</v>
      </c>
      <c r="N47" s="352">
        <v>138313</v>
      </c>
      <c r="O47" s="352">
        <v>99402</v>
      </c>
      <c r="P47" s="352">
        <v>42774</v>
      </c>
      <c r="Q47" s="352">
        <v>-14991</v>
      </c>
      <c r="R47" s="352">
        <v>117695</v>
      </c>
      <c r="S47" s="352">
        <v>88021</v>
      </c>
      <c r="T47" s="352">
        <v>33146</v>
      </c>
      <c r="U47" s="352">
        <v>21500</v>
      </c>
      <c r="V47" s="352">
        <v>18518</v>
      </c>
      <c r="W47" s="352">
        <v>36808</v>
      </c>
      <c r="X47" s="352">
        <v>25438</v>
      </c>
      <c r="Y47" s="352"/>
      <c r="Z47" s="352"/>
      <c r="AA47" s="352"/>
      <c r="AB47" s="352"/>
      <c r="AC47" s="352"/>
      <c r="AD47" s="352"/>
      <c r="AE47" s="352"/>
      <c r="AF47" s="352"/>
      <c r="AG47" s="352"/>
      <c r="AH47" s="343"/>
      <c r="AI47" s="336"/>
      <c r="AJ47" s="336"/>
      <c r="AK47" s="336"/>
      <c r="AL47" s="336"/>
      <c r="AM47" s="336"/>
      <c r="AN47" s="336"/>
      <c r="AO47" s="336"/>
      <c r="AP47" s="336"/>
      <c r="AQ47" s="336"/>
      <c r="AR47" s="336"/>
      <c r="AS47" s="336"/>
      <c r="AT47" s="336"/>
      <c r="AU47" s="336"/>
      <c r="AV47" s="336"/>
      <c r="AW47" s="336"/>
      <c r="AX47" s="336"/>
      <c r="AY47" s="336"/>
      <c r="AZ47" s="336"/>
      <c r="BA47" s="336"/>
      <c r="BB47" s="336"/>
      <c r="BC47" s="336"/>
      <c r="BD47" s="336"/>
      <c r="BE47" s="336"/>
      <c r="BF47" s="336"/>
    </row>
    <row r="48" spans="1:58" ht="14">
      <c r="A48" s="336"/>
      <c r="B48" s="341"/>
      <c r="C48" s="351" t="s">
        <v>301</v>
      </c>
      <c r="D48" s="353" t="str">
        <f t="shared" si="0"/>
        <v/>
      </c>
      <c r="E48" s="353" t="str">
        <f t="shared" si="1"/>
        <v/>
      </c>
      <c r="F48" s="353" t="str">
        <f t="shared" si="2"/>
        <v/>
      </c>
      <c r="G48" s="353" t="str">
        <f t="shared" si="3"/>
        <v/>
      </c>
      <c r="H48" s="353" t="str">
        <f t="shared" si="4"/>
        <v/>
      </c>
      <c r="I48" s="353" t="str">
        <f t="shared" si="5"/>
        <v/>
      </c>
      <c r="J48" s="353" t="str">
        <f t="shared" si="6"/>
        <v/>
      </c>
      <c r="K48" s="353" t="str">
        <f t="shared" si="7"/>
        <v/>
      </c>
      <c r="L48" s="346"/>
      <c r="M48" s="353"/>
      <c r="N48" s="353"/>
      <c r="O48" s="353"/>
      <c r="P48" s="353"/>
      <c r="Q48" s="353"/>
      <c r="R48" s="353"/>
      <c r="S48" s="353"/>
      <c r="T48" s="353"/>
      <c r="U48" s="353"/>
      <c r="V48" s="353"/>
      <c r="W48" s="353"/>
      <c r="X48" s="353"/>
      <c r="Y48" s="353"/>
      <c r="Z48" s="353"/>
      <c r="AA48" s="353"/>
      <c r="AB48" s="353"/>
      <c r="AC48" s="353"/>
      <c r="AD48" s="353"/>
      <c r="AE48" s="353"/>
      <c r="AF48" s="353"/>
      <c r="AG48" s="353"/>
      <c r="AH48" s="343"/>
      <c r="AI48" s="336"/>
      <c r="AJ48" s="336"/>
      <c r="AK48" s="336"/>
      <c r="AL48" s="336"/>
      <c r="AM48" s="336"/>
      <c r="AN48" s="336"/>
      <c r="AO48" s="336"/>
      <c r="AP48" s="336"/>
      <c r="AQ48" s="336"/>
      <c r="AR48" s="336"/>
      <c r="AS48" s="336"/>
      <c r="AT48" s="336"/>
      <c r="AU48" s="336"/>
      <c r="AV48" s="336"/>
      <c r="AW48" s="336"/>
      <c r="AX48" s="336"/>
      <c r="AY48" s="336"/>
      <c r="AZ48" s="336"/>
      <c r="BA48" s="336"/>
      <c r="BB48" s="336"/>
      <c r="BC48" s="336"/>
      <c r="BD48" s="336"/>
      <c r="BE48" s="336"/>
      <c r="BF48" s="336"/>
    </row>
    <row r="49" spans="1:58" ht="14" outlineLevel="1">
      <c r="A49" s="336"/>
      <c r="B49" s="341"/>
      <c r="C49" s="354" t="s">
        <v>302</v>
      </c>
      <c r="D49" s="356">
        <f t="shared" si="0"/>
        <v>0.6238435</v>
      </c>
      <c r="E49" s="356">
        <f t="shared" si="1"/>
        <v>0.82564058333333312</v>
      </c>
      <c r="F49" s="356">
        <f t="shared" si="2"/>
        <v>-0.19</v>
      </c>
      <c r="G49" s="356">
        <f t="shared" si="3"/>
        <v>2.0099999999999998</v>
      </c>
      <c r="H49" s="356">
        <f t="shared" si="4"/>
        <v>0.48</v>
      </c>
      <c r="I49" s="356">
        <f t="shared" si="5"/>
        <v>1.24</v>
      </c>
      <c r="J49" s="356">
        <f t="shared" si="6"/>
        <v>0.63923704155706518</v>
      </c>
      <c r="K49" s="356">
        <f t="shared" si="7"/>
        <v>0.77423161416835073</v>
      </c>
      <c r="M49" s="363">
        <v>2.0099999999999998</v>
      </c>
      <c r="N49" s="363">
        <v>1.63</v>
      </c>
      <c r="O49" s="363">
        <v>1.18</v>
      </c>
      <c r="P49" s="363">
        <v>0.51</v>
      </c>
      <c r="Q49" s="363">
        <v>-0.19</v>
      </c>
      <c r="R49" s="363">
        <v>1.42</v>
      </c>
      <c r="S49" s="363">
        <v>1.01</v>
      </c>
      <c r="T49" s="363">
        <v>0.42</v>
      </c>
      <c r="U49" s="363">
        <v>0.5</v>
      </c>
      <c r="V49" s="363">
        <v>0.52563199999999999</v>
      </c>
      <c r="W49" s="363">
        <v>0.17</v>
      </c>
      <c r="X49" s="363">
        <v>0.722055</v>
      </c>
      <c r="Y49" s="363"/>
      <c r="Z49" s="363"/>
      <c r="AA49" s="363"/>
      <c r="AB49" s="363"/>
      <c r="AC49" s="363"/>
      <c r="AD49" s="363"/>
      <c r="AE49" s="363"/>
      <c r="AF49" s="363"/>
      <c r="AG49" s="363"/>
      <c r="AH49" s="343"/>
      <c r="AI49" s="336"/>
      <c r="AJ49" s="336"/>
      <c r="AK49" s="336"/>
      <c r="AL49" s="336"/>
      <c r="AM49" s="336"/>
      <c r="AN49" s="336"/>
      <c r="AO49" s="336"/>
      <c r="AP49" s="336"/>
      <c r="AQ49" s="336"/>
      <c r="AR49" s="336"/>
      <c r="AS49" s="336"/>
      <c r="AT49" s="336"/>
      <c r="AU49" s="336"/>
      <c r="AV49" s="336"/>
      <c r="AW49" s="336"/>
      <c r="AX49" s="336"/>
      <c r="AY49" s="336"/>
      <c r="AZ49" s="336"/>
      <c r="BA49" s="336"/>
      <c r="BB49" s="336"/>
      <c r="BC49" s="336"/>
      <c r="BD49" s="336"/>
      <c r="BE49" s="336"/>
      <c r="BF49" s="336"/>
    </row>
    <row r="50" spans="1:58" ht="14" outlineLevel="1">
      <c r="A50" s="336"/>
      <c r="B50" s="341"/>
      <c r="C50" s="351" t="s">
        <v>303</v>
      </c>
      <c r="D50" s="360">
        <f t="shared" si="0"/>
        <v>0.6238435</v>
      </c>
      <c r="E50" s="360">
        <f t="shared" si="1"/>
        <v>0.82564058333333312</v>
      </c>
      <c r="F50" s="360">
        <f t="shared" si="2"/>
        <v>-0.19</v>
      </c>
      <c r="G50" s="360">
        <f t="shared" si="3"/>
        <v>2.0099999999999998</v>
      </c>
      <c r="H50" s="360">
        <f t="shared" si="4"/>
        <v>0.48</v>
      </c>
      <c r="I50" s="360">
        <f t="shared" si="5"/>
        <v>1.24</v>
      </c>
      <c r="J50" s="360">
        <f t="shared" si="6"/>
        <v>0.63923704155706518</v>
      </c>
      <c r="K50" s="360">
        <f t="shared" si="7"/>
        <v>0.77423161416835073</v>
      </c>
      <c r="L50" s="362"/>
      <c r="M50" s="360">
        <v>2.0099999999999998</v>
      </c>
      <c r="N50" s="360">
        <v>1.63</v>
      </c>
      <c r="O50" s="360">
        <v>1.18</v>
      </c>
      <c r="P50" s="360">
        <v>0.51</v>
      </c>
      <c r="Q50" s="360">
        <v>-0.19</v>
      </c>
      <c r="R50" s="360">
        <v>1.42</v>
      </c>
      <c r="S50" s="360">
        <v>1.01</v>
      </c>
      <c r="T50" s="360">
        <v>0.42</v>
      </c>
      <c r="U50" s="360">
        <v>0.5</v>
      </c>
      <c r="V50" s="360">
        <v>0.52563199999999999</v>
      </c>
      <c r="W50" s="360">
        <v>0.17</v>
      </c>
      <c r="X50" s="360">
        <v>0.722055</v>
      </c>
      <c r="Y50" s="360"/>
      <c r="Z50" s="360"/>
      <c r="AA50" s="360"/>
      <c r="AB50" s="360"/>
      <c r="AC50" s="360"/>
      <c r="AD50" s="360"/>
      <c r="AE50" s="360"/>
      <c r="AF50" s="360"/>
      <c r="AG50" s="360"/>
      <c r="AH50" s="343"/>
      <c r="AI50" s="336"/>
      <c r="AJ50" s="336"/>
      <c r="AK50" s="336"/>
      <c r="AL50" s="336"/>
      <c r="AM50" s="336"/>
      <c r="AN50" s="336"/>
      <c r="AO50" s="336"/>
      <c r="AP50" s="336"/>
      <c r="AQ50" s="336"/>
      <c r="AR50" s="336"/>
      <c r="AS50" s="336"/>
      <c r="AT50" s="336"/>
      <c r="AU50" s="336"/>
      <c r="AV50" s="336"/>
      <c r="AW50" s="336"/>
      <c r="AX50" s="336"/>
      <c r="AY50" s="336"/>
      <c r="AZ50" s="336"/>
      <c r="BA50" s="336"/>
      <c r="BB50" s="336"/>
      <c r="BC50" s="336"/>
      <c r="BD50" s="336"/>
      <c r="BE50" s="336"/>
      <c r="BF50" s="336"/>
    </row>
    <row r="51" spans="1:58" ht="14">
      <c r="A51" s="336"/>
      <c r="B51" s="341"/>
      <c r="C51" s="351" t="s">
        <v>304</v>
      </c>
      <c r="D51" s="353" t="str">
        <f t="shared" si="0"/>
        <v/>
      </c>
      <c r="E51" s="353" t="str">
        <f t="shared" si="1"/>
        <v/>
      </c>
      <c r="F51" s="353" t="str">
        <f t="shared" si="2"/>
        <v/>
      </c>
      <c r="G51" s="353" t="str">
        <f t="shared" si="3"/>
        <v/>
      </c>
      <c r="H51" s="353" t="str">
        <f t="shared" si="4"/>
        <v/>
      </c>
      <c r="I51" s="353" t="str">
        <f t="shared" si="5"/>
        <v/>
      </c>
      <c r="J51" s="353" t="str">
        <f t="shared" si="6"/>
        <v/>
      </c>
      <c r="K51" s="353" t="str">
        <f t="shared" si="7"/>
        <v/>
      </c>
      <c r="L51" s="346"/>
      <c r="M51" s="353"/>
      <c r="N51" s="353"/>
      <c r="O51" s="353"/>
      <c r="P51" s="353"/>
      <c r="Q51" s="353"/>
      <c r="R51" s="353"/>
      <c r="S51" s="353"/>
      <c r="T51" s="353"/>
      <c r="U51" s="353"/>
      <c r="V51" s="353"/>
      <c r="W51" s="353"/>
      <c r="X51" s="353"/>
      <c r="Y51" s="353"/>
      <c r="Z51" s="353"/>
      <c r="AA51" s="353"/>
      <c r="AB51" s="353"/>
      <c r="AC51" s="353"/>
      <c r="AD51" s="353"/>
      <c r="AE51" s="353"/>
      <c r="AF51" s="353"/>
      <c r="AG51" s="353"/>
      <c r="AH51" s="343"/>
      <c r="AI51" s="336"/>
      <c r="AJ51" s="336"/>
      <c r="AK51" s="336"/>
      <c r="AL51" s="336"/>
      <c r="AM51" s="336"/>
      <c r="AN51" s="336"/>
      <c r="AO51" s="336"/>
      <c r="AP51" s="336"/>
      <c r="AQ51" s="336"/>
      <c r="AR51" s="336"/>
      <c r="AS51" s="336"/>
      <c r="AT51" s="336"/>
      <c r="AU51" s="336"/>
      <c r="AV51" s="336"/>
      <c r="AW51" s="336"/>
      <c r="AX51" s="336"/>
      <c r="AY51" s="336"/>
      <c r="AZ51" s="336"/>
      <c r="BA51" s="336"/>
      <c r="BB51" s="336"/>
      <c r="BC51" s="336"/>
      <c r="BD51" s="336"/>
      <c r="BE51" s="336"/>
      <c r="BF51" s="336"/>
    </row>
    <row r="52" spans="1:58" ht="14" outlineLevel="1">
      <c r="A52" s="336"/>
      <c r="B52" s="341"/>
      <c r="C52" s="354" t="s">
        <v>305</v>
      </c>
      <c r="D52" s="356">
        <f t="shared" si="0"/>
        <v>0.6238435</v>
      </c>
      <c r="E52" s="356">
        <f t="shared" si="1"/>
        <v>0.82230724999999982</v>
      </c>
      <c r="F52" s="356">
        <f t="shared" si="2"/>
        <v>-0.19</v>
      </c>
      <c r="G52" s="356">
        <f t="shared" si="3"/>
        <v>2</v>
      </c>
      <c r="H52" s="356">
        <f t="shared" si="4"/>
        <v>0.48</v>
      </c>
      <c r="I52" s="356">
        <f t="shared" si="5"/>
        <v>1.2374999999999998</v>
      </c>
      <c r="J52" s="356">
        <f t="shared" si="6"/>
        <v>0.63530821879965194</v>
      </c>
      <c r="K52" s="356">
        <f t="shared" si="7"/>
        <v>0.77259226256323543</v>
      </c>
      <c r="M52" s="363">
        <v>2</v>
      </c>
      <c r="N52" s="363">
        <v>1.62</v>
      </c>
      <c r="O52" s="363">
        <v>1.18</v>
      </c>
      <c r="P52" s="363">
        <v>0.51</v>
      </c>
      <c r="Q52" s="363">
        <v>-0.19</v>
      </c>
      <c r="R52" s="363">
        <v>1.41</v>
      </c>
      <c r="S52" s="363">
        <v>1</v>
      </c>
      <c r="T52" s="363">
        <v>0.42</v>
      </c>
      <c r="U52" s="363">
        <v>0.5</v>
      </c>
      <c r="V52" s="363">
        <v>0.52563199999999999</v>
      </c>
      <c r="W52" s="363">
        <v>0.17</v>
      </c>
      <c r="X52" s="363">
        <v>0.722055</v>
      </c>
      <c r="Y52" s="363"/>
      <c r="Z52" s="363"/>
      <c r="AA52" s="363"/>
      <c r="AB52" s="363"/>
      <c r="AC52" s="363"/>
      <c r="AD52" s="363"/>
      <c r="AE52" s="363"/>
      <c r="AF52" s="363"/>
      <c r="AG52" s="363"/>
      <c r="AH52" s="343"/>
      <c r="AI52" s="336"/>
      <c r="AJ52" s="336"/>
      <c r="AK52" s="336"/>
      <c r="AL52" s="336"/>
      <c r="AM52" s="336"/>
      <c r="AN52" s="336"/>
      <c r="AO52" s="336"/>
      <c r="AP52" s="336"/>
      <c r="AQ52" s="336"/>
      <c r="AR52" s="336"/>
      <c r="AS52" s="336"/>
      <c r="AT52" s="336"/>
      <c r="AU52" s="336"/>
      <c r="AV52" s="336"/>
      <c r="AW52" s="336"/>
      <c r="AX52" s="336"/>
      <c r="AY52" s="336"/>
      <c r="AZ52" s="336"/>
      <c r="BA52" s="336"/>
      <c r="BB52" s="336"/>
      <c r="BC52" s="336"/>
      <c r="BD52" s="336"/>
      <c r="BE52" s="336"/>
      <c r="BF52" s="336"/>
    </row>
    <row r="53" spans="1:58" ht="14" outlineLevel="1">
      <c r="A53" s="336"/>
      <c r="B53" s="341"/>
      <c r="C53" s="351" t="s">
        <v>306</v>
      </c>
      <c r="D53" s="360">
        <f t="shared" si="0"/>
        <v>0.6238435</v>
      </c>
      <c r="E53" s="360">
        <f t="shared" si="1"/>
        <v>0.82230724999999982</v>
      </c>
      <c r="F53" s="360">
        <f t="shared" si="2"/>
        <v>-0.19</v>
      </c>
      <c r="G53" s="360">
        <f t="shared" si="3"/>
        <v>2</v>
      </c>
      <c r="H53" s="360">
        <f t="shared" si="4"/>
        <v>0.48</v>
      </c>
      <c r="I53" s="360">
        <f t="shared" si="5"/>
        <v>1.2374999999999998</v>
      </c>
      <c r="J53" s="360">
        <f t="shared" si="6"/>
        <v>0.63530821879965194</v>
      </c>
      <c r="K53" s="360">
        <f t="shared" si="7"/>
        <v>0.77259226256323543</v>
      </c>
      <c r="L53" s="362"/>
      <c r="M53" s="360">
        <v>2</v>
      </c>
      <c r="N53" s="360">
        <v>1.62</v>
      </c>
      <c r="O53" s="360">
        <v>1.18</v>
      </c>
      <c r="P53" s="360">
        <v>0.51</v>
      </c>
      <c r="Q53" s="360">
        <v>-0.19</v>
      </c>
      <c r="R53" s="360">
        <v>1.41</v>
      </c>
      <c r="S53" s="360">
        <v>1</v>
      </c>
      <c r="T53" s="360">
        <v>0.42</v>
      </c>
      <c r="U53" s="360">
        <v>0.5</v>
      </c>
      <c r="V53" s="360">
        <v>0.52563199999999999</v>
      </c>
      <c r="W53" s="360">
        <v>0.17</v>
      </c>
      <c r="X53" s="360">
        <v>0.722055</v>
      </c>
      <c r="Y53" s="360"/>
      <c r="Z53" s="360"/>
      <c r="AA53" s="360"/>
      <c r="AB53" s="360"/>
      <c r="AC53" s="360"/>
      <c r="AD53" s="360"/>
      <c r="AE53" s="360"/>
      <c r="AF53" s="360"/>
      <c r="AG53" s="360"/>
      <c r="AH53" s="343"/>
      <c r="AI53" s="336"/>
      <c r="AJ53" s="336"/>
      <c r="AK53" s="336"/>
      <c r="AL53" s="336"/>
      <c r="AM53" s="336"/>
      <c r="AN53" s="336"/>
      <c r="AO53" s="336"/>
      <c r="AP53" s="336"/>
      <c r="AQ53" s="336"/>
      <c r="AR53" s="336"/>
      <c r="AS53" s="336"/>
      <c r="AT53" s="336"/>
      <c r="AU53" s="336"/>
      <c r="AV53" s="336"/>
      <c r="AW53" s="336"/>
      <c r="AX53" s="336"/>
      <c r="AY53" s="336"/>
      <c r="AZ53" s="336"/>
      <c r="BA53" s="336"/>
      <c r="BB53" s="336"/>
      <c r="BC53" s="336"/>
      <c r="BD53" s="336"/>
      <c r="BE53" s="336"/>
      <c r="BF53" s="336"/>
    </row>
    <row r="54" spans="1:58" ht="14">
      <c r="A54" s="336"/>
      <c r="B54" s="341"/>
      <c r="C54" s="351" t="s">
        <v>307</v>
      </c>
      <c r="D54" s="352">
        <f t="shared" si="0"/>
        <v>81639948.5</v>
      </c>
      <c r="E54" s="352">
        <f t="shared" si="1"/>
        <v>68030416.333333328</v>
      </c>
      <c r="F54" s="352">
        <f t="shared" si="2"/>
        <v>35230000</v>
      </c>
      <c r="G54" s="352">
        <f t="shared" si="3"/>
        <v>87235021</v>
      </c>
      <c r="H54" s="352">
        <f t="shared" si="4"/>
        <v>41282500</v>
      </c>
      <c r="I54" s="352">
        <f t="shared" si="5"/>
        <v>84326713.5</v>
      </c>
      <c r="J54" s="352">
        <f t="shared" si="6"/>
        <v>22936138.631334741</v>
      </c>
      <c r="K54" s="353">
        <f t="shared" si="7"/>
        <v>0.33714535155794079</v>
      </c>
      <c r="L54" s="346"/>
      <c r="M54" s="352">
        <v>85621282</v>
      </c>
      <c r="N54" s="352">
        <v>84896397</v>
      </c>
      <c r="O54" s="352">
        <v>84136819</v>
      </c>
      <c r="P54" s="352">
        <v>83295580</v>
      </c>
      <c r="Q54" s="352">
        <v>80303277</v>
      </c>
      <c r="R54" s="352">
        <v>82976620</v>
      </c>
      <c r="S54" s="352">
        <v>87235021</v>
      </c>
      <c r="T54" s="352">
        <v>78910000</v>
      </c>
      <c r="U54" s="352">
        <v>43300000</v>
      </c>
      <c r="V54" s="352">
        <v>35230000</v>
      </c>
      <c r="W54" s="352">
        <v>35230000</v>
      </c>
      <c r="X54" s="352">
        <v>35230000</v>
      </c>
      <c r="Y54" s="352"/>
      <c r="Z54" s="352"/>
      <c r="AA54" s="352"/>
      <c r="AB54" s="352"/>
      <c r="AC54" s="352"/>
      <c r="AD54" s="352"/>
      <c r="AE54" s="352"/>
      <c r="AF54" s="352"/>
      <c r="AG54" s="352"/>
      <c r="AH54" s="343"/>
      <c r="AI54" s="336"/>
      <c r="AJ54" s="336"/>
      <c r="AK54" s="336"/>
      <c r="AL54" s="336"/>
      <c r="AM54" s="336"/>
      <c r="AN54" s="336"/>
      <c r="AO54" s="336"/>
      <c r="AP54" s="336"/>
      <c r="AQ54" s="336"/>
      <c r="AR54" s="336"/>
      <c r="AS54" s="336"/>
      <c r="AT54" s="336"/>
      <c r="AU54" s="336"/>
      <c r="AV54" s="336"/>
      <c r="AW54" s="336"/>
      <c r="AX54" s="336"/>
      <c r="AY54" s="336"/>
      <c r="AZ54" s="336"/>
      <c r="BA54" s="336"/>
      <c r="BB54" s="336"/>
      <c r="BC54" s="336"/>
      <c r="BD54" s="336"/>
      <c r="BE54" s="336"/>
      <c r="BF54" s="336"/>
    </row>
    <row r="55" spans="1:58" ht="14">
      <c r="A55" s="336"/>
      <c r="B55" s="341"/>
      <c r="C55" s="351" t="s">
        <v>308</v>
      </c>
      <c r="D55" s="352">
        <f t="shared" si="0"/>
        <v>81961228.5</v>
      </c>
      <c r="E55" s="352">
        <f t="shared" si="1"/>
        <v>68251246.833333328</v>
      </c>
      <c r="F55" s="352">
        <f t="shared" si="2"/>
        <v>35230000</v>
      </c>
      <c r="G55" s="352">
        <f t="shared" si="3"/>
        <v>87674903</v>
      </c>
      <c r="H55" s="352">
        <f t="shared" si="4"/>
        <v>41286250</v>
      </c>
      <c r="I55" s="352">
        <f t="shared" si="5"/>
        <v>84704303</v>
      </c>
      <c r="J55" s="352">
        <f t="shared" si="6"/>
        <v>23106453.828744479</v>
      </c>
      <c r="K55" s="353">
        <f t="shared" si="7"/>
        <v>0.33854991521502115</v>
      </c>
      <c r="L55" s="346"/>
      <c r="M55" s="352">
        <v>85827437</v>
      </c>
      <c r="N55" s="352">
        <v>85184918</v>
      </c>
      <c r="O55" s="352">
        <v>84544098</v>
      </c>
      <c r="P55" s="352">
        <v>83894149</v>
      </c>
      <c r="Q55" s="352">
        <v>80303277</v>
      </c>
      <c r="R55" s="352">
        <v>83619180</v>
      </c>
      <c r="S55" s="352">
        <v>87674903</v>
      </c>
      <c r="T55" s="352">
        <v>78972000</v>
      </c>
      <c r="U55" s="352">
        <v>43305000</v>
      </c>
      <c r="V55" s="352">
        <v>35230000</v>
      </c>
      <c r="W55" s="352">
        <v>35230000</v>
      </c>
      <c r="X55" s="352">
        <v>35230000</v>
      </c>
      <c r="Y55" s="352"/>
      <c r="Z55" s="352"/>
      <c r="AA55" s="352"/>
      <c r="AB55" s="352"/>
      <c r="AC55" s="352"/>
      <c r="AD55" s="352"/>
      <c r="AE55" s="352"/>
      <c r="AF55" s="352"/>
      <c r="AG55" s="352"/>
      <c r="AH55" s="343"/>
      <c r="AI55" s="336"/>
      <c r="AJ55" s="336"/>
      <c r="AK55" s="336"/>
      <c r="AL55" s="336"/>
      <c r="AM55" s="336"/>
      <c r="AN55" s="336"/>
      <c r="AO55" s="336"/>
      <c r="AP55" s="336"/>
      <c r="AQ55" s="336"/>
      <c r="AR55" s="336"/>
      <c r="AS55" s="336"/>
      <c r="AT55" s="336"/>
      <c r="AU55" s="336"/>
      <c r="AV55" s="336"/>
      <c r="AW55" s="336"/>
      <c r="AX55" s="336"/>
      <c r="AY55" s="336"/>
      <c r="AZ55" s="336"/>
      <c r="BA55" s="336"/>
      <c r="BB55" s="336"/>
      <c r="BC55" s="336"/>
      <c r="BD55" s="336"/>
      <c r="BE55" s="336"/>
      <c r="BF55" s="336"/>
    </row>
    <row r="56" spans="1:58" ht="14">
      <c r="A56" s="336"/>
      <c r="B56" s="341"/>
      <c r="C56" s="351" t="s">
        <v>309</v>
      </c>
      <c r="D56" s="364" t="str">
        <f t="shared" si="0"/>
        <v/>
      </c>
      <c r="E56" s="364" t="str">
        <f t="shared" si="1"/>
        <v/>
      </c>
      <c r="F56" s="364" t="str">
        <f t="shared" si="2"/>
        <v/>
      </c>
      <c r="G56" s="364" t="str">
        <f t="shared" si="3"/>
        <v/>
      </c>
      <c r="H56" s="364" t="str">
        <f t="shared" si="4"/>
        <v/>
      </c>
      <c r="I56" s="364" t="str">
        <f t="shared" si="5"/>
        <v/>
      </c>
      <c r="J56" s="364" t="str">
        <f t="shared" si="6"/>
        <v/>
      </c>
      <c r="K56" s="353" t="str">
        <f t="shared" si="7"/>
        <v/>
      </c>
      <c r="L56" s="346"/>
      <c r="M56" s="364"/>
      <c r="N56" s="364"/>
      <c r="O56" s="364"/>
      <c r="P56" s="364"/>
      <c r="Q56" s="364"/>
      <c r="R56" s="364"/>
      <c r="S56" s="364"/>
      <c r="T56" s="364"/>
      <c r="U56" s="364"/>
      <c r="V56" s="364"/>
      <c r="W56" s="364"/>
      <c r="X56" s="364"/>
      <c r="Y56" s="364"/>
      <c r="Z56" s="364"/>
      <c r="AA56" s="364"/>
      <c r="AB56" s="364"/>
      <c r="AC56" s="364"/>
      <c r="AD56" s="364"/>
      <c r="AE56" s="364"/>
      <c r="AF56" s="364"/>
      <c r="AG56" s="364"/>
      <c r="AH56" s="343"/>
      <c r="AI56" s="336"/>
      <c r="AJ56" s="336"/>
      <c r="AK56" s="336"/>
      <c r="AL56" s="336"/>
      <c r="AM56" s="336"/>
      <c r="AN56" s="336"/>
      <c r="AO56" s="336"/>
      <c r="AP56" s="336"/>
      <c r="AQ56" s="336"/>
      <c r="AR56" s="336"/>
      <c r="AS56" s="336"/>
      <c r="AT56" s="336"/>
      <c r="AU56" s="336"/>
      <c r="AV56" s="336"/>
      <c r="AW56" s="336"/>
      <c r="AX56" s="336"/>
      <c r="AY56" s="336"/>
      <c r="AZ56" s="336"/>
      <c r="BA56" s="336"/>
      <c r="BB56" s="336"/>
      <c r="BC56" s="336"/>
      <c r="BD56" s="336"/>
      <c r="BE56" s="336"/>
      <c r="BF56" s="336"/>
    </row>
    <row r="57" spans="1:58" ht="14" outlineLevel="1">
      <c r="A57" s="336"/>
      <c r="B57" s="341"/>
      <c r="C57" s="354" t="s">
        <v>310</v>
      </c>
      <c r="D57" s="365" t="str">
        <f t="shared" si="0"/>
        <v/>
      </c>
      <c r="E57" s="365" t="str">
        <f t="shared" si="1"/>
        <v/>
      </c>
      <c r="F57" s="365" t="str">
        <f t="shared" si="2"/>
        <v/>
      </c>
      <c r="G57" s="365" t="str">
        <f t="shared" si="3"/>
        <v/>
      </c>
      <c r="H57" s="365" t="str">
        <f t="shared" si="4"/>
        <v/>
      </c>
      <c r="I57" s="365" t="str">
        <f t="shared" si="5"/>
        <v/>
      </c>
      <c r="J57" s="365" t="str">
        <f t="shared" si="6"/>
        <v/>
      </c>
      <c r="K57" s="356" t="str">
        <f t="shared" si="7"/>
        <v/>
      </c>
      <c r="M57" s="366"/>
      <c r="N57" s="366"/>
      <c r="O57" s="366"/>
      <c r="P57" s="366"/>
      <c r="Q57" s="366"/>
      <c r="R57" s="366"/>
      <c r="S57" s="366"/>
      <c r="T57" s="366"/>
      <c r="U57" s="366"/>
      <c r="V57" s="366"/>
      <c r="W57" s="366"/>
      <c r="X57" s="366"/>
      <c r="Y57" s="366"/>
      <c r="Z57" s="366"/>
      <c r="AA57" s="366"/>
      <c r="AB57" s="366"/>
      <c r="AC57" s="366"/>
      <c r="AD57" s="366"/>
      <c r="AE57" s="366"/>
      <c r="AF57" s="366"/>
      <c r="AG57" s="366"/>
      <c r="AH57" s="343"/>
      <c r="AI57" s="336"/>
      <c r="AJ57" s="336"/>
      <c r="AK57" s="336"/>
      <c r="AL57" s="336"/>
      <c r="AM57" s="336"/>
      <c r="AN57" s="336"/>
      <c r="AO57" s="336"/>
      <c r="AP57" s="336"/>
      <c r="AQ57" s="336"/>
      <c r="AR57" s="336"/>
      <c r="AS57" s="336"/>
      <c r="AT57" s="336"/>
      <c r="AU57" s="336"/>
      <c r="AV57" s="336"/>
      <c r="AW57" s="336"/>
      <c r="AX57" s="336"/>
      <c r="AY57" s="336"/>
      <c r="AZ57" s="336"/>
      <c r="BA57" s="336"/>
      <c r="BB57" s="336"/>
      <c r="BC57" s="336"/>
      <c r="BD57" s="336"/>
      <c r="BE57" s="336"/>
      <c r="BF57" s="336"/>
    </row>
    <row r="58" spans="1:58" ht="14" outlineLevel="2">
      <c r="A58" s="336"/>
      <c r="B58" s="341"/>
      <c r="C58" s="354" t="s">
        <v>311</v>
      </c>
      <c r="D58" s="356">
        <f t="shared" si="0"/>
        <v>2.78</v>
      </c>
      <c r="E58" s="356">
        <f t="shared" si="1"/>
        <v>2.78</v>
      </c>
      <c r="F58" s="356">
        <f t="shared" si="2"/>
        <v>2.78</v>
      </c>
      <c r="G58" s="356">
        <f t="shared" si="3"/>
        <v>2.78</v>
      </c>
      <c r="H58" s="356">
        <f t="shared" si="4"/>
        <v>2.78</v>
      </c>
      <c r="I58" s="356">
        <f t="shared" si="5"/>
        <v>2.78</v>
      </c>
      <c r="J58" s="356" t="str">
        <f t="shared" si="6"/>
        <v/>
      </c>
      <c r="K58" s="356" t="str">
        <f t="shared" si="7"/>
        <v/>
      </c>
      <c r="M58" s="363"/>
      <c r="N58" s="363"/>
      <c r="O58" s="363"/>
      <c r="P58" s="363"/>
      <c r="Q58" s="363"/>
      <c r="R58" s="363"/>
      <c r="S58" s="363"/>
      <c r="T58" s="363"/>
      <c r="U58" s="363">
        <v>2.78</v>
      </c>
      <c r="V58" s="363"/>
      <c r="W58" s="363"/>
      <c r="X58" s="363"/>
      <c r="Y58" s="363"/>
      <c r="Z58" s="363"/>
      <c r="AA58" s="363"/>
      <c r="AB58" s="363"/>
      <c r="AC58" s="363"/>
      <c r="AD58" s="363"/>
      <c r="AE58" s="363"/>
      <c r="AF58" s="363"/>
      <c r="AG58" s="363"/>
      <c r="AH58" s="343"/>
      <c r="AI58" s="336"/>
      <c r="AJ58" s="336"/>
      <c r="AK58" s="336"/>
      <c r="AL58" s="336"/>
      <c r="AM58" s="336"/>
      <c r="AN58" s="336"/>
      <c r="AO58" s="336"/>
      <c r="AP58" s="336"/>
      <c r="AQ58" s="336"/>
      <c r="AR58" s="336"/>
      <c r="AS58" s="336"/>
      <c r="AT58" s="336"/>
      <c r="AU58" s="336"/>
      <c r="AV58" s="336"/>
      <c r="AW58" s="336"/>
      <c r="AX58" s="336"/>
      <c r="AY58" s="336"/>
      <c r="AZ58" s="336"/>
      <c r="BA58" s="336"/>
      <c r="BB58" s="336"/>
      <c r="BC58" s="336"/>
      <c r="BD58" s="336"/>
      <c r="BE58" s="336"/>
      <c r="BF58" s="336"/>
    </row>
    <row r="59" spans="1:58" ht="14" outlineLevel="2">
      <c r="A59" s="336"/>
      <c r="B59" s="341"/>
      <c r="C59" s="354" t="s">
        <v>312</v>
      </c>
      <c r="D59" s="356">
        <f t="shared" si="0"/>
        <v>3.1063700248441188</v>
      </c>
      <c r="E59" s="356">
        <f t="shared" si="1"/>
        <v>3.4708394439616463</v>
      </c>
      <c r="F59" s="356">
        <f t="shared" si="2"/>
        <v>1.4755935800727036</v>
      </c>
      <c r="G59" s="356">
        <f t="shared" si="3"/>
        <v>6.2877855442435298</v>
      </c>
      <c r="H59" s="356">
        <f t="shared" si="4"/>
        <v>2.407750069830473</v>
      </c>
      <c r="I59" s="356">
        <f t="shared" si="5"/>
        <v>4.523777993355508</v>
      </c>
      <c r="J59" s="356">
        <f t="shared" si="6"/>
        <v>1.5322902888357042</v>
      </c>
      <c r="K59" s="356">
        <f t="shared" si="7"/>
        <v>0.4414754164159016</v>
      </c>
      <c r="M59" s="363">
        <v>5.6391757335128156</v>
      </c>
      <c r="N59" s="363">
        <v>4.9984082863119035</v>
      </c>
      <c r="O59" s="363">
        <v>4.3655678957033759</v>
      </c>
      <c r="P59" s="363">
        <v>2.3254661061047295</v>
      </c>
      <c r="Q59" s="363">
        <v>1.4755935800727036</v>
      </c>
      <c r="R59" s="363">
        <v>3.2475683210478743</v>
      </c>
      <c r="S59" s="363">
        <v>2.4351780577390545</v>
      </c>
      <c r="T59" s="363">
        <v>6.2877855442435298</v>
      </c>
      <c r="U59" s="363">
        <v>3.4390255166839858</v>
      </c>
      <c r="V59" s="363">
        <v>2.9651717286403634</v>
      </c>
      <c r="W59" s="363">
        <v>2.6432018166335509</v>
      </c>
      <c r="X59" s="363">
        <v>1.82793074084587</v>
      </c>
      <c r="Y59" s="363"/>
      <c r="Z59" s="363"/>
      <c r="AA59" s="363"/>
      <c r="AB59" s="363"/>
      <c r="AC59" s="363"/>
      <c r="AD59" s="363"/>
      <c r="AE59" s="363"/>
      <c r="AF59" s="363"/>
      <c r="AG59" s="363"/>
      <c r="AH59" s="343"/>
      <c r="AI59" s="336"/>
      <c r="AJ59" s="336"/>
      <c r="AK59" s="336"/>
      <c r="AL59" s="336"/>
      <c r="AM59" s="336"/>
      <c r="AN59" s="336"/>
      <c r="AO59" s="336"/>
      <c r="AP59" s="336"/>
      <c r="AQ59" s="336"/>
      <c r="AR59" s="336"/>
      <c r="AS59" s="336"/>
      <c r="AT59" s="336"/>
      <c r="AU59" s="336"/>
      <c r="AV59" s="336"/>
      <c r="AW59" s="336"/>
      <c r="AX59" s="336"/>
      <c r="AY59" s="336"/>
      <c r="AZ59" s="336"/>
      <c r="BA59" s="336"/>
      <c r="BB59" s="336"/>
      <c r="BC59" s="336"/>
      <c r="BD59" s="336"/>
      <c r="BE59" s="336"/>
      <c r="BF59" s="336"/>
    </row>
    <row r="60" spans="1:58" ht="14" outlineLevel="2">
      <c r="A60" s="336"/>
      <c r="B60" s="341"/>
      <c r="C60" s="354" t="s">
        <v>313</v>
      </c>
      <c r="D60" s="356">
        <f t="shared" si="0"/>
        <v>3.1063700248441188</v>
      </c>
      <c r="E60" s="356">
        <f t="shared" si="1"/>
        <v>3.4708394439616463</v>
      </c>
      <c r="F60" s="356">
        <f t="shared" si="2"/>
        <v>1.4755935800727036</v>
      </c>
      <c r="G60" s="356">
        <f t="shared" si="3"/>
        <v>6.2877855442435298</v>
      </c>
      <c r="H60" s="356">
        <f t="shared" si="4"/>
        <v>2.407750069830473</v>
      </c>
      <c r="I60" s="356">
        <f t="shared" si="5"/>
        <v>4.523777993355508</v>
      </c>
      <c r="J60" s="356">
        <f t="shared" si="6"/>
        <v>1.5322902888357042</v>
      </c>
      <c r="K60" s="356">
        <f t="shared" si="7"/>
        <v>0.4414754164159016</v>
      </c>
      <c r="M60" s="363">
        <v>5.6391757335128156</v>
      </c>
      <c r="N60" s="363">
        <v>4.9984082863119035</v>
      </c>
      <c r="O60" s="363">
        <v>4.3655678957033759</v>
      </c>
      <c r="P60" s="363">
        <v>2.3254661061047295</v>
      </c>
      <c r="Q60" s="363">
        <v>1.4755935800727036</v>
      </c>
      <c r="R60" s="363">
        <v>3.2475683210478743</v>
      </c>
      <c r="S60" s="363">
        <v>2.4351780577390545</v>
      </c>
      <c r="T60" s="363">
        <v>6.2877855442435298</v>
      </c>
      <c r="U60" s="363">
        <v>3.4390255166839858</v>
      </c>
      <c r="V60" s="363">
        <v>2.9651717286403634</v>
      </c>
      <c r="W60" s="363">
        <v>2.6432018166335509</v>
      </c>
      <c r="X60" s="363">
        <v>1.82793074084587</v>
      </c>
      <c r="Y60" s="363"/>
      <c r="Z60" s="363"/>
      <c r="AA60" s="363"/>
      <c r="AB60" s="363"/>
      <c r="AC60" s="363"/>
      <c r="AD60" s="363"/>
      <c r="AE60" s="363"/>
      <c r="AF60" s="363"/>
      <c r="AG60" s="363"/>
      <c r="AH60" s="343"/>
      <c r="AI60" s="336"/>
      <c r="AJ60" s="336"/>
      <c r="AK60" s="336"/>
      <c r="AL60" s="336"/>
      <c r="AM60" s="336"/>
      <c r="AN60" s="336"/>
      <c r="AO60" s="336"/>
      <c r="AP60" s="336"/>
      <c r="AQ60" s="336"/>
      <c r="AR60" s="336"/>
      <c r="AS60" s="336"/>
      <c r="AT60" s="336"/>
      <c r="AU60" s="336"/>
      <c r="AV60" s="336"/>
      <c r="AW60" s="336"/>
      <c r="AX60" s="336"/>
      <c r="AY60" s="336"/>
      <c r="AZ60" s="336"/>
      <c r="BA60" s="336"/>
      <c r="BB60" s="336"/>
      <c r="BC60" s="336"/>
      <c r="BD60" s="336"/>
      <c r="BE60" s="336"/>
      <c r="BF60" s="336"/>
    </row>
    <row r="61" spans="1:58" ht="14" outlineLevel="2">
      <c r="A61" s="336"/>
      <c r="B61" s="341"/>
      <c r="C61" s="354" t="s">
        <v>314</v>
      </c>
      <c r="D61" s="356">
        <f t="shared" si="0"/>
        <v>1.4405409086763641</v>
      </c>
      <c r="E61" s="356">
        <f t="shared" si="1"/>
        <v>1.507436462610716</v>
      </c>
      <c r="F61" s="356">
        <f t="shared" si="2"/>
        <v>0.85840088993917807</v>
      </c>
      <c r="G61" s="356">
        <f t="shared" si="3"/>
        <v>2.6132988758565889</v>
      </c>
      <c r="H61" s="356">
        <f t="shared" si="4"/>
        <v>1.0747495893588126</v>
      </c>
      <c r="I61" s="356">
        <f t="shared" si="5"/>
        <v>1.7658457570238189</v>
      </c>
      <c r="J61" s="356">
        <f t="shared" si="6"/>
        <v>0.54649724587635518</v>
      </c>
      <c r="K61" s="356">
        <f t="shared" si="7"/>
        <v>0.36253418265462506</v>
      </c>
      <c r="M61" s="363">
        <v>2.6132988758565889</v>
      </c>
      <c r="N61" s="363">
        <v>2.3441395280885713</v>
      </c>
      <c r="O61" s="363">
        <v>1.7653151351015541</v>
      </c>
      <c r="P61" s="363">
        <v>0.85840088993917807</v>
      </c>
      <c r="Q61" s="363">
        <v>1.0854600616111842</v>
      </c>
      <c r="R61" s="363">
        <v>1.7674376227906126</v>
      </c>
      <c r="S61" s="363">
        <v>1.3700117066516211</v>
      </c>
      <c r="T61" s="363">
        <v>1.0426181726016981</v>
      </c>
      <c r="U61" s="363">
        <v>1.5688683602771363</v>
      </c>
      <c r="V61" s="363">
        <v>1.5110701107011071</v>
      </c>
      <c r="W61" s="363">
        <v>1.1973602043712746</v>
      </c>
      <c r="X61" s="363">
        <v>0.96525688333806414</v>
      </c>
      <c r="Y61" s="363"/>
      <c r="Z61" s="363"/>
      <c r="AA61" s="363"/>
      <c r="AB61" s="363"/>
      <c r="AC61" s="363"/>
      <c r="AD61" s="363"/>
      <c r="AE61" s="363"/>
      <c r="AF61" s="363"/>
      <c r="AG61" s="363"/>
      <c r="AH61" s="343"/>
      <c r="AI61" s="336"/>
      <c r="AJ61" s="336"/>
      <c r="AK61" s="336"/>
      <c r="AL61" s="336"/>
      <c r="AM61" s="336"/>
      <c r="AN61" s="336"/>
      <c r="AO61" s="336"/>
      <c r="AP61" s="336"/>
      <c r="AQ61" s="336"/>
      <c r="AR61" s="336"/>
      <c r="AS61" s="336"/>
      <c r="AT61" s="336"/>
      <c r="AU61" s="336"/>
      <c r="AV61" s="336"/>
      <c r="AW61" s="336"/>
      <c r="AX61" s="336"/>
      <c r="AY61" s="336"/>
      <c r="AZ61" s="336"/>
      <c r="BA61" s="336"/>
      <c r="BB61" s="336"/>
      <c r="BC61" s="336"/>
      <c r="BD61" s="336"/>
      <c r="BE61" s="336"/>
      <c r="BF61" s="336"/>
    </row>
    <row r="62" spans="1:58" ht="14" outlineLevel="2">
      <c r="A62" s="336"/>
      <c r="B62" s="341"/>
      <c r="C62" s="354" t="s">
        <v>315</v>
      </c>
      <c r="D62" s="356">
        <f t="shared" si="0"/>
        <v>1.0186801021856373</v>
      </c>
      <c r="E62" s="356">
        <f t="shared" si="1"/>
        <v>1.1439466836976064</v>
      </c>
      <c r="F62" s="356">
        <f t="shared" si="2"/>
        <v>0.02</v>
      </c>
      <c r="G62" s="356">
        <f t="shared" si="3"/>
        <v>2.59</v>
      </c>
      <c r="H62" s="356">
        <f t="shared" si="4"/>
        <v>0.65249999999999997</v>
      </c>
      <c r="I62" s="356">
        <f t="shared" si="5"/>
        <v>1.6025</v>
      </c>
      <c r="J62" s="356">
        <f t="shared" si="6"/>
        <v>0.76418722582760501</v>
      </c>
      <c r="K62" s="356">
        <f t="shared" si="7"/>
        <v>0.66802696027537245</v>
      </c>
      <c r="M62" s="363">
        <v>2.59</v>
      </c>
      <c r="N62" s="363">
        <v>2.2400000000000002</v>
      </c>
      <c r="O62" s="363">
        <v>1.64</v>
      </c>
      <c r="P62" s="363">
        <v>0.82</v>
      </c>
      <c r="Q62" s="363">
        <v>0.02</v>
      </c>
      <c r="R62" s="363">
        <v>1.59</v>
      </c>
      <c r="S62" s="363">
        <v>1.22</v>
      </c>
      <c r="T62" s="363">
        <v>0.84</v>
      </c>
      <c r="U62" s="363">
        <v>0.69</v>
      </c>
      <c r="V62" s="363">
        <v>0.54</v>
      </c>
      <c r="W62" s="363">
        <v>1.1973602043712746</v>
      </c>
      <c r="X62" s="363">
        <v>0.34</v>
      </c>
      <c r="Y62" s="363"/>
      <c r="Z62" s="363"/>
      <c r="AA62" s="363"/>
      <c r="AB62" s="363"/>
      <c r="AC62" s="363"/>
      <c r="AD62" s="363"/>
      <c r="AE62" s="363"/>
      <c r="AF62" s="363"/>
      <c r="AG62" s="363"/>
      <c r="AH62" s="343"/>
      <c r="AI62" s="336"/>
      <c r="AJ62" s="336"/>
      <c r="AK62" s="336"/>
      <c r="AL62" s="336"/>
      <c r="AM62" s="336"/>
      <c r="AN62" s="336"/>
      <c r="AO62" s="336"/>
      <c r="AP62" s="336"/>
      <c r="AQ62" s="336"/>
      <c r="AR62" s="336"/>
      <c r="AS62" s="336"/>
      <c r="AT62" s="336"/>
      <c r="AU62" s="336"/>
      <c r="AV62" s="336"/>
      <c r="AW62" s="336"/>
      <c r="AX62" s="336"/>
      <c r="AY62" s="336"/>
      <c r="AZ62" s="336"/>
      <c r="BA62" s="336"/>
      <c r="BB62" s="336"/>
      <c r="BC62" s="336"/>
      <c r="BD62" s="336"/>
      <c r="BE62" s="336"/>
      <c r="BF62" s="336"/>
    </row>
    <row r="63" spans="1:58" ht="14" outlineLevel="2">
      <c r="A63" s="336"/>
      <c r="B63" s="341"/>
      <c r="C63" s="354" t="s">
        <v>316</v>
      </c>
      <c r="D63" s="356">
        <f t="shared" si="0"/>
        <v>3.1143109954364272</v>
      </c>
      <c r="E63" s="356">
        <f t="shared" si="1"/>
        <v>3.2827917026796194</v>
      </c>
      <c r="F63" s="356">
        <f t="shared" si="2"/>
        <v>1.4799022460814395</v>
      </c>
      <c r="G63" s="356">
        <f t="shared" si="3"/>
        <v>5.6824486090619253</v>
      </c>
      <c r="H63" s="356">
        <f t="shared" si="4"/>
        <v>2.4941285295028672</v>
      </c>
      <c r="I63" s="356">
        <f t="shared" si="5"/>
        <v>3.7106378117798116</v>
      </c>
      <c r="J63" s="356">
        <f t="shared" si="6"/>
        <v>1.247404354927107</v>
      </c>
      <c r="K63" s="356">
        <f t="shared" si="7"/>
        <v>0.37998279144817437</v>
      </c>
      <c r="M63" s="363">
        <v>5.6824486090619253</v>
      </c>
      <c r="N63" s="363">
        <v>5.1109516827849735</v>
      </c>
      <c r="O63" s="363">
        <v>4.3271382468353972</v>
      </c>
      <c r="P63" s="363">
        <v>2.6753236390776189</v>
      </c>
      <c r="Q63" s="363">
        <v>1.4799022460814395</v>
      </c>
      <c r="R63" s="363">
        <v>3.3745487578328319</v>
      </c>
      <c r="S63" s="363">
        <v>2.5457684281669524</v>
      </c>
      <c r="T63" s="363">
        <v>2.3392088335106114</v>
      </c>
      <c r="U63" s="363">
        <v>3.4780510333679713</v>
      </c>
      <c r="V63" s="363">
        <v>3.505137666761283</v>
      </c>
      <c r="W63" s="363">
        <v>2.8540732330400229</v>
      </c>
      <c r="X63" s="363">
        <v>2.0209480556344026</v>
      </c>
      <c r="Y63" s="363"/>
      <c r="Z63" s="363"/>
      <c r="AA63" s="363"/>
      <c r="AB63" s="363"/>
      <c r="AC63" s="363"/>
      <c r="AD63" s="363"/>
      <c r="AE63" s="363"/>
      <c r="AF63" s="363"/>
      <c r="AG63" s="363"/>
      <c r="AH63" s="343"/>
      <c r="AI63" s="336"/>
      <c r="AJ63" s="336"/>
      <c r="AK63" s="336"/>
      <c r="AL63" s="336"/>
      <c r="AM63" s="336"/>
      <c r="AN63" s="336"/>
      <c r="AO63" s="336"/>
      <c r="AP63" s="336"/>
      <c r="AQ63" s="336"/>
      <c r="AR63" s="336"/>
      <c r="AS63" s="336"/>
      <c r="AT63" s="336"/>
      <c r="AU63" s="336"/>
      <c r="AV63" s="336"/>
      <c r="AW63" s="336"/>
      <c r="AX63" s="336"/>
      <c r="AY63" s="336"/>
      <c r="AZ63" s="336"/>
      <c r="BA63" s="336"/>
      <c r="BB63" s="336"/>
      <c r="BC63" s="336"/>
      <c r="BD63" s="336"/>
      <c r="BE63" s="336"/>
      <c r="BF63" s="336"/>
    </row>
    <row r="64" spans="1:58" ht="14" outlineLevel="2">
      <c r="A64" s="336"/>
      <c r="B64" s="341"/>
      <c r="C64" s="354" t="s">
        <v>317</v>
      </c>
      <c r="D64" s="356">
        <f t="shared" si="0"/>
        <v>3.2000157284740234</v>
      </c>
      <c r="E64" s="356">
        <f t="shared" si="1"/>
        <v>3.5765545143503901</v>
      </c>
      <c r="F64" s="356">
        <f t="shared" si="2"/>
        <v>1.5350805671355106</v>
      </c>
      <c r="G64" s="356">
        <f t="shared" si="3"/>
        <v>6.3410449273160108</v>
      </c>
      <c r="H64" s="356">
        <f t="shared" si="4"/>
        <v>2.6210244942952512</v>
      </c>
      <c r="I64" s="356">
        <f t="shared" si="5"/>
        <v>4.6180380169998489</v>
      </c>
      <c r="J64" s="356">
        <f t="shared" si="6"/>
        <v>1.5295665655269621</v>
      </c>
      <c r="K64" s="356">
        <f t="shared" si="7"/>
        <v>0.42766482641039166</v>
      </c>
      <c r="M64" s="363">
        <v>5.7751695416466884</v>
      </c>
      <c r="N64" s="363">
        <v>5.1240056367724627</v>
      </c>
      <c r="O64" s="363">
        <v>4.4493821437423104</v>
      </c>
      <c r="P64" s="363">
        <v>2.6385630301822358</v>
      </c>
      <c r="Q64" s="363">
        <v>1.5350805671355106</v>
      </c>
      <c r="R64" s="363">
        <v>3.3033808750576124</v>
      </c>
      <c r="S64" s="363">
        <v>2.5684088866342973</v>
      </c>
      <c r="T64" s="363">
        <v>6.3410449273160108</v>
      </c>
      <c r="U64" s="363">
        <v>3.4994573374898974</v>
      </c>
      <c r="V64" s="363">
        <v>3.0966505818904344</v>
      </c>
      <c r="W64" s="363">
        <v>2.7610559182514902</v>
      </c>
      <c r="X64" s="363">
        <v>1.8264547260857225</v>
      </c>
      <c r="Y64" s="363"/>
      <c r="Z64" s="363"/>
      <c r="AA64" s="363"/>
      <c r="AB64" s="363"/>
      <c r="AC64" s="363"/>
      <c r="AD64" s="363"/>
      <c r="AE64" s="363"/>
      <c r="AF64" s="363"/>
      <c r="AG64" s="363"/>
      <c r="AH64" s="343"/>
      <c r="AI64" s="336"/>
      <c r="AJ64" s="336"/>
      <c r="AK64" s="336"/>
      <c r="AL64" s="336"/>
      <c r="AM64" s="336"/>
      <c r="AN64" s="336"/>
      <c r="AO64" s="336"/>
      <c r="AP64" s="336"/>
      <c r="AQ64" s="336"/>
      <c r="AR64" s="336"/>
      <c r="AS64" s="336"/>
      <c r="AT64" s="336"/>
      <c r="AU64" s="336"/>
      <c r="AV64" s="336"/>
      <c r="AW64" s="336"/>
      <c r="AX64" s="336"/>
      <c r="AY64" s="336"/>
      <c r="AZ64" s="336"/>
      <c r="BA64" s="336"/>
      <c r="BB64" s="336"/>
      <c r="BC64" s="336"/>
      <c r="BD64" s="336"/>
      <c r="BE64" s="336"/>
      <c r="BF64" s="336"/>
    </row>
    <row r="65" spans="1:58" ht="14" outlineLevel="2">
      <c r="A65" s="336"/>
      <c r="B65" s="341"/>
      <c r="C65" s="354" t="s">
        <v>318</v>
      </c>
      <c r="D65" s="356">
        <f t="shared" si="0"/>
        <v>1.4405409086763641</v>
      </c>
      <c r="E65" s="356">
        <f t="shared" si="1"/>
        <v>1.507436462610716</v>
      </c>
      <c r="F65" s="356">
        <f t="shared" si="2"/>
        <v>0.85840088993917807</v>
      </c>
      <c r="G65" s="356">
        <f t="shared" si="3"/>
        <v>2.6132988758565889</v>
      </c>
      <c r="H65" s="356">
        <f t="shared" si="4"/>
        <v>1.0747495893588126</v>
      </c>
      <c r="I65" s="356">
        <f t="shared" si="5"/>
        <v>1.7658457570238189</v>
      </c>
      <c r="J65" s="356">
        <f t="shared" si="6"/>
        <v>0.54649724587635518</v>
      </c>
      <c r="K65" s="356">
        <f t="shared" si="7"/>
        <v>0.36253418265462506</v>
      </c>
      <c r="M65" s="363">
        <v>2.6132988758565889</v>
      </c>
      <c r="N65" s="363">
        <v>2.3441395280885713</v>
      </c>
      <c r="O65" s="363">
        <v>1.7653151351015541</v>
      </c>
      <c r="P65" s="363">
        <v>0.85840088993917807</v>
      </c>
      <c r="Q65" s="363">
        <v>1.0854600616111842</v>
      </c>
      <c r="R65" s="363">
        <v>1.7674376227906126</v>
      </c>
      <c r="S65" s="363">
        <v>1.3700117066516211</v>
      </c>
      <c r="T65" s="363">
        <v>1.0426181726016981</v>
      </c>
      <c r="U65" s="363">
        <v>1.5688683602771363</v>
      </c>
      <c r="V65" s="363">
        <v>1.5110701107011071</v>
      </c>
      <c r="W65" s="363">
        <v>1.1973602043712746</v>
      </c>
      <c r="X65" s="363">
        <v>0.96525688333806414</v>
      </c>
      <c r="Y65" s="363"/>
      <c r="Z65" s="363"/>
      <c r="AA65" s="363"/>
      <c r="AB65" s="363"/>
      <c r="AC65" s="363"/>
      <c r="AD65" s="363"/>
      <c r="AE65" s="363"/>
      <c r="AF65" s="363"/>
      <c r="AG65" s="363"/>
      <c r="AH65" s="343"/>
      <c r="AI65" s="336"/>
      <c r="AJ65" s="336"/>
      <c r="AK65" s="336"/>
      <c r="AL65" s="336"/>
      <c r="AM65" s="336"/>
      <c r="AN65" s="336"/>
      <c r="AO65" s="336"/>
      <c r="AP65" s="336"/>
      <c r="AQ65" s="336"/>
      <c r="AR65" s="336"/>
      <c r="AS65" s="336"/>
      <c r="AT65" s="336"/>
      <c r="AU65" s="336"/>
      <c r="AV65" s="336"/>
      <c r="AW65" s="336"/>
      <c r="AX65" s="336"/>
      <c r="AY65" s="336"/>
      <c r="AZ65" s="336"/>
      <c r="BA65" s="336"/>
      <c r="BB65" s="336"/>
      <c r="BC65" s="336"/>
      <c r="BD65" s="336"/>
      <c r="BE65" s="336"/>
      <c r="BF65" s="336"/>
    </row>
    <row r="66" spans="1:58" ht="14" outlineLevel="2">
      <c r="A66" s="336"/>
      <c r="B66" s="341"/>
      <c r="C66" s="354" t="s">
        <v>319</v>
      </c>
      <c r="D66" s="356">
        <f t="shared" si="0"/>
        <v>1.0186801021856373</v>
      </c>
      <c r="E66" s="356">
        <f t="shared" si="1"/>
        <v>1.1439466836976064</v>
      </c>
      <c r="F66" s="356">
        <f t="shared" si="2"/>
        <v>0.02</v>
      </c>
      <c r="G66" s="356">
        <f t="shared" si="3"/>
        <v>2.59</v>
      </c>
      <c r="H66" s="356">
        <f t="shared" si="4"/>
        <v>0.65249999999999997</v>
      </c>
      <c r="I66" s="356">
        <f t="shared" si="5"/>
        <v>1.6025</v>
      </c>
      <c r="J66" s="356">
        <f t="shared" si="6"/>
        <v>0.76418722582760501</v>
      </c>
      <c r="K66" s="356">
        <f t="shared" si="7"/>
        <v>0.66802696027537245</v>
      </c>
      <c r="M66" s="363">
        <v>2.59</v>
      </c>
      <c r="N66" s="363">
        <v>2.2400000000000002</v>
      </c>
      <c r="O66" s="363">
        <v>1.64</v>
      </c>
      <c r="P66" s="363">
        <v>0.82</v>
      </c>
      <c r="Q66" s="363">
        <v>0.02</v>
      </c>
      <c r="R66" s="363">
        <v>1.59</v>
      </c>
      <c r="S66" s="363">
        <v>1.22</v>
      </c>
      <c r="T66" s="363">
        <v>0.84</v>
      </c>
      <c r="U66" s="363">
        <v>0.69</v>
      </c>
      <c r="V66" s="363">
        <v>0.54</v>
      </c>
      <c r="W66" s="363">
        <v>1.1973602043712746</v>
      </c>
      <c r="X66" s="363">
        <v>0.34</v>
      </c>
      <c r="Y66" s="363"/>
      <c r="Z66" s="363"/>
      <c r="AA66" s="363"/>
      <c r="AB66" s="363"/>
      <c r="AC66" s="363"/>
      <c r="AD66" s="363"/>
      <c r="AE66" s="363"/>
      <c r="AF66" s="363"/>
      <c r="AG66" s="363"/>
      <c r="AH66" s="343"/>
      <c r="AI66" s="336"/>
      <c r="AJ66" s="336"/>
      <c r="AK66" s="336"/>
      <c r="AL66" s="336"/>
      <c r="AM66" s="336"/>
      <c r="AN66" s="336"/>
      <c r="AO66" s="336"/>
      <c r="AP66" s="336"/>
      <c r="AQ66" s="336"/>
      <c r="AR66" s="336"/>
      <c r="AS66" s="336"/>
      <c r="AT66" s="336"/>
      <c r="AU66" s="336"/>
      <c r="AV66" s="336"/>
      <c r="AW66" s="336"/>
      <c r="AX66" s="336"/>
      <c r="AY66" s="336"/>
      <c r="AZ66" s="336"/>
      <c r="BA66" s="336"/>
      <c r="BB66" s="336"/>
      <c r="BC66" s="336"/>
      <c r="BD66" s="336"/>
      <c r="BE66" s="336"/>
      <c r="BF66" s="336"/>
    </row>
    <row r="67" spans="1:58" ht="14" outlineLevel="2">
      <c r="A67" s="336"/>
      <c r="B67" s="341"/>
      <c r="C67" s="354" t="s">
        <v>320</v>
      </c>
      <c r="D67" s="356">
        <f t="shared" si="0"/>
        <v>8.0894112099491622</v>
      </c>
      <c r="E67" s="356">
        <f t="shared" si="1"/>
        <v>8.4790611822488895</v>
      </c>
      <c r="F67" s="356">
        <f t="shared" si="2"/>
        <v>5.0635293501160605</v>
      </c>
      <c r="G67" s="356">
        <f t="shared" si="3"/>
        <v>13.767788498682537</v>
      </c>
      <c r="H67" s="356">
        <f t="shared" si="4"/>
        <v>6.3981255027465886</v>
      </c>
      <c r="I67" s="356">
        <f t="shared" si="5"/>
        <v>9.8067637558737779</v>
      </c>
      <c r="J67" s="356">
        <f t="shared" si="6"/>
        <v>2.7929476948422778</v>
      </c>
      <c r="K67" s="356">
        <f t="shared" si="7"/>
        <v>0.32939350652279503</v>
      </c>
      <c r="M67" s="363">
        <v>13.767788498682537</v>
      </c>
      <c r="N67" s="363">
        <v>12.576475098561462</v>
      </c>
      <c r="O67" s="363">
        <v>11.080276709558129</v>
      </c>
      <c r="P67" s="363">
        <v>6.9971864188049633</v>
      </c>
      <c r="Q67" s="363">
        <v>5.0635293501160605</v>
      </c>
      <c r="R67" s="363">
        <v>8.2373804670172568</v>
      </c>
      <c r="S67" s="363">
        <v>6.5343442695340075</v>
      </c>
      <c r="T67" s="363">
        <v>5.4442333991794563</v>
      </c>
      <c r="U67" s="363">
        <v>8.7343493822884195</v>
      </c>
      <c r="V67" s="363">
        <v>9.3822594379789948</v>
      </c>
      <c r="W67" s="363">
        <v>7.9414419528810676</v>
      </c>
      <c r="X67" s="363">
        <v>5.9894692023843312</v>
      </c>
      <c r="Y67" s="363"/>
      <c r="Z67" s="363"/>
      <c r="AA67" s="363"/>
      <c r="AB67" s="363"/>
      <c r="AC67" s="363"/>
      <c r="AD67" s="363"/>
      <c r="AE67" s="363"/>
      <c r="AF67" s="363"/>
      <c r="AG67" s="363"/>
      <c r="AH67" s="343"/>
      <c r="AI67" s="336"/>
      <c r="AJ67" s="336"/>
      <c r="AK67" s="336"/>
      <c r="AL67" s="336"/>
      <c r="AM67" s="336"/>
      <c r="AN67" s="336"/>
      <c r="AO67" s="336"/>
      <c r="AP67" s="336"/>
      <c r="AQ67" s="336"/>
      <c r="AR67" s="336"/>
      <c r="AS67" s="336"/>
      <c r="AT67" s="336"/>
      <c r="AU67" s="336"/>
      <c r="AV67" s="336"/>
      <c r="AW67" s="336"/>
      <c r="AX67" s="336"/>
      <c r="AY67" s="336"/>
      <c r="AZ67" s="336"/>
      <c r="BA67" s="336"/>
      <c r="BB67" s="336"/>
      <c r="BC67" s="336"/>
      <c r="BD67" s="336"/>
      <c r="BE67" s="336"/>
      <c r="BF67" s="336"/>
    </row>
    <row r="68" spans="1:58" ht="14" outlineLevel="2">
      <c r="A68" s="336"/>
      <c r="B68" s="341"/>
      <c r="C68" s="354" t="s">
        <v>321</v>
      </c>
      <c r="D68" s="356">
        <f t="shared" si="0"/>
        <v>1.39</v>
      </c>
      <c r="E68" s="356">
        <f t="shared" si="1"/>
        <v>1.39</v>
      </c>
      <c r="F68" s="356">
        <f t="shared" si="2"/>
        <v>0</v>
      </c>
      <c r="G68" s="356">
        <f t="shared" si="3"/>
        <v>2.78</v>
      </c>
      <c r="H68" s="356">
        <f t="shared" si="4"/>
        <v>0.69499999999999995</v>
      </c>
      <c r="I68" s="356">
        <f t="shared" si="5"/>
        <v>2.085</v>
      </c>
      <c r="J68" s="356">
        <f t="shared" si="6"/>
        <v>1.9657568516986019</v>
      </c>
      <c r="K68" s="356">
        <f t="shared" si="7"/>
        <v>1.4142135623730949</v>
      </c>
      <c r="M68" s="363"/>
      <c r="N68" s="363"/>
      <c r="O68" s="363"/>
      <c r="P68" s="363"/>
      <c r="Q68" s="363"/>
      <c r="R68" s="363"/>
      <c r="S68" s="363"/>
      <c r="T68" s="363">
        <v>0</v>
      </c>
      <c r="U68" s="363">
        <v>2.78</v>
      </c>
      <c r="V68" s="363"/>
      <c r="W68" s="363"/>
      <c r="X68" s="363"/>
      <c r="Y68" s="363"/>
      <c r="Z68" s="363"/>
      <c r="AA68" s="363"/>
      <c r="AB68" s="363"/>
      <c r="AC68" s="363"/>
      <c r="AD68" s="363"/>
      <c r="AE68" s="363"/>
      <c r="AF68" s="363"/>
      <c r="AG68" s="363"/>
      <c r="AH68" s="343"/>
      <c r="AI68" s="336"/>
      <c r="AJ68" s="336"/>
      <c r="AK68" s="336"/>
      <c r="AL68" s="336"/>
      <c r="AM68" s="336"/>
      <c r="AN68" s="336"/>
      <c r="AO68" s="336"/>
      <c r="AP68" s="336"/>
      <c r="AQ68" s="336"/>
      <c r="AR68" s="336"/>
      <c r="AS68" s="336"/>
      <c r="AT68" s="336"/>
      <c r="AU68" s="336"/>
      <c r="AV68" s="336"/>
      <c r="AW68" s="336"/>
      <c r="AX68" s="336"/>
      <c r="AY68" s="336"/>
      <c r="AZ68" s="336"/>
      <c r="BA68" s="336"/>
      <c r="BB68" s="336"/>
      <c r="BC68" s="336"/>
      <c r="BD68" s="336"/>
      <c r="BE68" s="336"/>
      <c r="BF68" s="336"/>
    </row>
    <row r="69" spans="1:58" ht="14" outlineLevel="1">
      <c r="A69" s="336"/>
      <c r="B69" s="341"/>
      <c r="C69" s="354" t="s">
        <v>322</v>
      </c>
      <c r="D69" s="365" t="str">
        <f t="shared" si="0"/>
        <v/>
      </c>
      <c r="E69" s="365" t="str">
        <f t="shared" si="1"/>
        <v/>
      </c>
      <c r="F69" s="365" t="str">
        <f t="shared" si="2"/>
        <v/>
      </c>
      <c r="G69" s="365" t="str">
        <f t="shared" si="3"/>
        <v/>
      </c>
      <c r="H69" s="365" t="str">
        <f t="shared" si="4"/>
        <v/>
      </c>
      <c r="I69" s="365" t="str">
        <f t="shared" si="5"/>
        <v/>
      </c>
      <c r="J69" s="365" t="str">
        <f t="shared" si="6"/>
        <v/>
      </c>
      <c r="K69" s="356" t="str">
        <f t="shared" si="7"/>
        <v/>
      </c>
      <c r="M69" s="366"/>
      <c r="N69" s="366"/>
      <c r="O69" s="366"/>
      <c r="P69" s="366"/>
      <c r="Q69" s="366"/>
      <c r="R69" s="366"/>
      <c r="S69" s="366"/>
      <c r="T69" s="366"/>
      <c r="U69" s="366"/>
      <c r="V69" s="366"/>
      <c r="W69" s="366"/>
      <c r="X69" s="366"/>
      <c r="Y69" s="366"/>
      <c r="Z69" s="366"/>
      <c r="AA69" s="366"/>
      <c r="AB69" s="366"/>
      <c r="AC69" s="366"/>
      <c r="AD69" s="366"/>
      <c r="AE69" s="366"/>
      <c r="AF69" s="366"/>
      <c r="AG69" s="366"/>
      <c r="AH69" s="343"/>
      <c r="AI69" s="336"/>
      <c r="AJ69" s="336"/>
      <c r="AK69" s="336"/>
      <c r="AL69" s="336"/>
      <c r="AM69" s="336"/>
      <c r="AN69" s="336"/>
      <c r="AO69" s="336"/>
      <c r="AP69" s="336"/>
      <c r="AQ69" s="336"/>
      <c r="AR69" s="336"/>
      <c r="AS69" s="336"/>
      <c r="AT69" s="336"/>
      <c r="AU69" s="336"/>
      <c r="AV69" s="336"/>
      <c r="AW69" s="336"/>
      <c r="AX69" s="336"/>
      <c r="AY69" s="336"/>
      <c r="AZ69" s="336"/>
      <c r="BA69" s="336"/>
      <c r="BB69" s="336"/>
      <c r="BC69" s="336"/>
      <c r="BD69" s="336"/>
      <c r="BE69" s="336"/>
      <c r="BF69" s="336"/>
    </row>
    <row r="70" spans="1:58" ht="14" outlineLevel="2">
      <c r="A70" s="336"/>
      <c r="B70" s="341"/>
      <c r="C70" s="354" t="s">
        <v>323</v>
      </c>
      <c r="D70" s="355">
        <f t="shared" si="0"/>
        <v>501420</v>
      </c>
      <c r="E70" s="355">
        <f t="shared" si="1"/>
        <v>589550</v>
      </c>
      <c r="F70" s="355">
        <f t="shared" si="2"/>
        <v>211009</v>
      </c>
      <c r="G70" s="355">
        <f t="shared" si="3"/>
        <v>1181654</v>
      </c>
      <c r="H70" s="355">
        <f t="shared" si="4"/>
        <v>366315</v>
      </c>
      <c r="I70" s="355">
        <f t="shared" si="5"/>
        <v>750795.25</v>
      </c>
      <c r="J70" s="355">
        <f t="shared" si="6"/>
        <v>319562.75088228687</v>
      </c>
      <c r="K70" s="356">
        <f t="shared" si="7"/>
        <v>0.54204520546567192</v>
      </c>
      <c r="M70" s="357">
        <v>1181654</v>
      </c>
      <c r="N70" s="357">
        <v>1071326</v>
      </c>
      <c r="O70" s="357">
        <v>936772</v>
      </c>
      <c r="P70" s="357">
        <v>587023</v>
      </c>
      <c r="Q70" s="357">
        <v>406618</v>
      </c>
      <c r="R70" s="357">
        <v>688803</v>
      </c>
      <c r="S70" s="357">
        <v>572898</v>
      </c>
      <c r="T70" s="357">
        <v>429942</v>
      </c>
      <c r="U70" s="357">
        <v>378241</v>
      </c>
      <c r="V70" s="357">
        <v>330537</v>
      </c>
      <c r="W70" s="357">
        <v>279777</v>
      </c>
      <c r="X70" s="357">
        <v>211009</v>
      </c>
      <c r="Y70" s="357"/>
      <c r="Z70" s="357"/>
      <c r="AA70" s="357"/>
      <c r="AB70" s="357"/>
      <c r="AC70" s="357"/>
      <c r="AD70" s="357"/>
      <c r="AE70" s="357"/>
      <c r="AF70" s="357"/>
      <c r="AG70" s="357"/>
      <c r="AH70" s="343"/>
      <c r="AI70" s="336"/>
      <c r="AJ70" s="336"/>
      <c r="AK70" s="336"/>
      <c r="AL70" s="336"/>
      <c r="AM70" s="336"/>
      <c r="AN70" s="336"/>
      <c r="AO70" s="336"/>
      <c r="AP70" s="336"/>
      <c r="AQ70" s="336"/>
      <c r="AR70" s="336"/>
      <c r="AS70" s="336"/>
      <c r="AT70" s="336"/>
      <c r="AU70" s="336"/>
      <c r="AV70" s="336"/>
      <c r="AW70" s="336"/>
      <c r="AX70" s="336"/>
      <c r="AY70" s="336"/>
      <c r="AZ70" s="336"/>
      <c r="BA70" s="336"/>
      <c r="BB70" s="336"/>
      <c r="BC70" s="336"/>
      <c r="BD70" s="336"/>
      <c r="BE70" s="336"/>
      <c r="BF70" s="336"/>
    </row>
    <row r="71" spans="1:58" ht="14" outlineLevel="2">
      <c r="A71" s="336"/>
      <c r="B71" s="341"/>
      <c r="C71" s="354" t="s">
        <v>324</v>
      </c>
      <c r="D71" s="355">
        <f t="shared" si="0"/>
        <v>-455720</v>
      </c>
      <c r="E71" s="355">
        <f t="shared" si="1"/>
        <v>-571096</v>
      </c>
      <c r="F71" s="355">
        <f t="shared" si="2"/>
        <v>-857456</v>
      </c>
      <c r="G71" s="355">
        <f t="shared" si="3"/>
        <v>-346858</v>
      </c>
      <c r="H71" s="355">
        <f t="shared" si="4"/>
        <v>-752578</v>
      </c>
      <c r="I71" s="355">
        <f t="shared" si="5"/>
        <v>-416241</v>
      </c>
      <c r="J71" s="355">
        <f t="shared" si="6"/>
        <v>210213.66303834773</v>
      </c>
      <c r="K71" s="356">
        <f t="shared" si="7"/>
        <v>-0.36808813761319942</v>
      </c>
      <c r="M71" s="357">
        <v>-857456</v>
      </c>
      <c r="N71" s="357">
        <v>-798462</v>
      </c>
      <c r="O71" s="357">
        <v>-706694</v>
      </c>
      <c r="P71" s="357">
        <v>-443628</v>
      </c>
      <c r="Q71" s="357">
        <v>-346858</v>
      </c>
      <c r="R71" s="357">
        <v>-455720</v>
      </c>
      <c r="S71" s="357">
        <v>-388854</v>
      </c>
      <c r="T71" s="357"/>
      <c r="U71" s="357"/>
      <c r="V71" s="357"/>
      <c r="W71" s="357"/>
      <c r="X71" s="357"/>
      <c r="Y71" s="357"/>
      <c r="Z71" s="357"/>
      <c r="AA71" s="357"/>
      <c r="AB71" s="357"/>
      <c r="AC71" s="357"/>
      <c r="AD71" s="357"/>
      <c r="AE71" s="357"/>
      <c r="AF71" s="357"/>
      <c r="AG71" s="357"/>
      <c r="AH71" s="343"/>
      <c r="AI71" s="336"/>
      <c r="AJ71" s="336"/>
      <c r="AK71" s="336"/>
      <c r="AL71" s="336"/>
      <c r="AM71" s="336"/>
      <c r="AN71" s="336"/>
      <c r="AO71" s="336"/>
      <c r="AP71" s="336"/>
      <c r="AQ71" s="336"/>
      <c r="AR71" s="336"/>
      <c r="AS71" s="336"/>
      <c r="AT71" s="336"/>
      <c r="AU71" s="336"/>
      <c r="AV71" s="336"/>
      <c r="AW71" s="336"/>
      <c r="AX71" s="336"/>
      <c r="AY71" s="336"/>
      <c r="AZ71" s="336"/>
      <c r="BA71" s="336"/>
      <c r="BB71" s="336"/>
      <c r="BC71" s="336"/>
      <c r="BD71" s="336"/>
      <c r="BE71" s="336"/>
      <c r="BF71" s="336"/>
    </row>
    <row r="72" spans="1:58" ht="14" outlineLevel="2">
      <c r="A72" s="336"/>
      <c r="B72" s="341"/>
      <c r="C72" s="354" t="s">
        <v>325</v>
      </c>
      <c r="D72" s="355">
        <f t="shared" si="0"/>
        <v>145465.5</v>
      </c>
      <c r="E72" s="355">
        <f t="shared" si="1"/>
        <v>156691.58333333334</v>
      </c>
      <c r="F72" s="355">
        <f t="shared" si="2"/>
        <v>36038</v>
      </c>
      <c r="G72" s="355">
        <f t="shared" si="3"/>
        <v>324198</v>
      </c>
      <c r="H72" s="355">
        <f t="shared" si="4"/>
        <v>69461.25</v>
      </c>
      <c r="I72" s="355">
        <f t="shared" si="5"/>
        <v>230829.25</v>
      </c>
      <c r="J72" s="355">
        <f t="shared" si="6"/>
        <v>93239.808457408595</v>
      </c>
      <c r="K72" s="356">
        <f t="shared" si="7"/>
        <v>0.59505307479762692</v>
      </c>
      <c r="M72" s="357">
        <v>324198</v>
      </c>
      <c r="N72" s="357">
        <v>272864</v>
      </c>
      <c r="O72" s="357">
        <v>230078</v>
      </c>
      <c r="P72" s="357">
        <v>143395</v>
      </c>
      <c r="Q72" s="357">
        <v>59760</v>
      </c>
      <c r="R72" s="357">
        <v>233083</v>
      </c>
      <c r="S72" s="357">
        <v>184044</v>
      </c>
      <c r="T72" s="357">
        <v>147536</v>
      </c>
      <c r="U72" s="357">
        <v>115662</v>
      </c>
      <c r="V72" s="357">
        <v>72102</v>
      </c>
      <c r="W72" s="357">
        <v>61539</v>
      </c>
      <c r="X72" s="357">
        <v>36038</v>
      </c>
      <c r="Y72" s="357"/>
      <c r="Z72" s="357"/>
      <c r="AA72" s="357"/>
      <c r="AB72" s="357"/>
      <c r="AC72" s="357"/>
      <c r="AD72" s="357"/>
      <c r="AE72" s="357"/>
      <c r="AF72" s="357"/>
      <c r="AG72" s="357"/>
      <c r="AH72" s="343"/>
      <c r="AI72" s="336"/>
      <c r="AJ72" s="336"/>
      <c r="AK72" s="336"/>
      <c r="AL72" s="336"/>
      <c r="AM72" s="336"/>
      <c r="AN72" s="336"/>
      <c r="AO72" s="336"/>
      <c r="AP72" s="336"/>
      <c r="AQ72" s="336"/>
      <c r="AR72" s="336"/>
      <c r="AS72" s="336"/>
      <c r="AT72" s="336"/>
      <c r="AU72" s="336"/>
      <c r="AV72" s="336"/>
      <c r="AW72" s="336"/>
      <c r="AX72" s="336"/>
      <c r="AY72" s="336"/>
      <c r="AZ72" s="336"/>
      <c r="BA72" s="336"/>
      <c r="BB72" s="336"/>
      <c r="BC72" s="336"/>
      <c r="BD72" s="336"/>
      <c r="BE72" s="336"/>
      <c r="BF72" s="336"/>
    </row>
    <row r="73" spans="1:58" ht="14" outlineLevel="2">
      <c r="A73" s="336"/>
      <c r="B73" s="341"/>
      <c r="C73" s="354" t="s">
        <v>326</v>
      </c>
      <c r="D73" s="355">
        <f t="shared" si="0"/>
        <v>84719.5</v>
      </c>
      <c r="E73" s="355">
        <f t="shared" si="1"/>
        <v>106313</v>
      </c>
      <c r="F73" s="355">
        <f t="shared" si="2"/>
        <v>34006</v>
      </c>
      <c r="G73" s="355">
        <f t="shared" si="3"/>
        <v>223754</v>
      </c>
      <c r="H73" s="355">
        <f t="shared" si="4"/>
        <v>64257.75</v>
      </c>
      <c r="I73" s="355">
        <f t="shared" si="5"/>
        <v>147124</v>
      </c>
      <c r="J73" s="355">
        <f t="shared" si="6"/>
        <v>61612.114893390601</v>
      </c>
      <c r="K73" s="356">
        <f t="shared" si="7"/>
        <v>0.57953509818545801</v>
      </c>
      <c r="M73" s="357">
        <v>223754</v>
      </c>
      <c r="N73" s="357">
        <v>199009</v>
      </c>
      <c r="O73" s="357">
        <v>148528</v>
      </c>
      <c r="P73" s="357">
        <v>71501</v>
      </c>
      <c r="Q73" s="357">
        <v>87166</v>
      </c>
      <c r="R73" s="357">
        <v>146656</v>
      </c>
      <c r="S73" s="357">
        <v>119513</v>
      </c>
      <c r="T73" s="357">
        <v>82273</v>
      </c>
      <c r="U73" s="357">
        <v>67932</v>
      </c>
      <c r="V73" s="357">
        <v>53235</v>
      </c>
      <c r="W73" s="357">
        <v>42183</v>
      </c>
      <c r="X73" s="357">
        <v>34006</v>
      </c>
      <c r="Y73" s="357"/>
      <c r="Z73" s="357"/>
      <c r="AA73" s="357"/>
      <c r="AB73" s="357"/>
      <c r="AC73" s="357"/>
      <c r="AD73" s="357"/>
      <c r="AE73" s="357"/>
      <c r="AF73" s="357"/>
      <c r="AG73" s="357"/>
      <c r="AH73" s="343"/>
      <c r="AI73" s="336"/>
      <c r="AJ73" s="336"/>
      <c r="AK73" s="336"/>
      <c r="AL73" s="336"/>
      <c r="AM73" s="336"/>
      <c r="AN73" s="336"/>
      <c r="AO73" s="336"/>
      <c r="AP73" s="336"/>
      <c r="AQ73" s="336"/>
      <c r="AR73" s="336"/>
      <c r="AS73" s="336"/>
      <c r="AT73" s="336"/>
      <c r="AU73" s="336"/>
      <c r="AV73" s="336"/>
      <c r="AW73" s="336"/>
      <c r="AX73" s="336"/>
      <c r="AY73" s="336"/>
      <c r="AZ73" s="336"/>
      <c r="BA73" s="336"/>
      <c r="BB73" s="336"/>
      <c r="BC73" s="336"/>
      <c r="BD73" s="336"/>
      <c r="BE73" s="336"/>
      <c r="BF73" s="336"/>
    </row>
    <row r="74" spans="1:58" ht="14" outlineLevel="2">
      <c r="A74" s="336"/>
      <c r="B74" s="341"/>
      <c r="C74" s="354" t="s">
        <v>327</v>
      </c>
      <c r="D74" s="356">
        <f t="shared" si="0"/>
        <v>0.84</v>
      </c>
      <c r="E74" s="356">
        <f t="shared" si="1"/>
        <v>1.1390909090909092</v>
      </c>
      <c r="F74" s="356">
        <f t="shared" si="2"/>
        <v>0.02</v>
      </c>
      <c r="G74" s="356">
        <f t="shared" si="3"/>
        <v>2.59</v>
      </c>
      <c r="H74" s="356">
        <f t="shared" si="4"/>
        <v>0.61499999999999999</v>
      </c>
      <c r="I74" s="356">
        <f t="shared" si="5"/>
        <v>1.615</v>
      </c>
      <c r="J74" s="356">
        <f t="shared" si="6"/>
        <v>0.80129213830480717</v>
      </c>
      <c r="K74" s="356">
        <f t="shared" si="7"/>
        <v>0.7034488045772449</v>
      </c>
      <c r="M74" s="363">
        <v>2.59</v>
      </c>
      <c r="N74" s="363">
        <v>2.2400000000000002</v>
      </c>
      <c r="O74" s="363">
        <v>1.64</v>
      </c>
      <c r="P74" s="363">
        <v>0.82</v>
      </c>
      <c r="Q74" s="363">
        <v>0.02</v>
      </c>
      <c r="R74" s="363">
        <v>1.59</v>
      </c>
      <c r="S74" s="363">
        <v>1.22</v>
      </c>
      <c r="T74" s="363">
        <v>0.84</v>
      </c>
      <c r="U74" s="363">
        <v>0.69</v>
      </c>
      <c r="V74" s="363">
        <v>0.54</v>
      </c>
      <c r="W74" s="363"/>
      <c r="X74" s="363">
        <v>0.34</v>
      </c>
      <c r="Y74" s="363"/>
      <c r="Z74" s="363"/>
      <c r="AA74" s="363"/>
      <c r="AB74" s="363"/>
      <c r="AC74" s="363"/>
      <c r="AD74" s="363"/>
      <c r="AE74" s="363"/>
      <c r="AF74" s="363"/>
      <c r="AG74" s="363"/>
      <c r="AH74" s="343"/>
      <c r="AI74" s="336"/>
      <c r="AJ74" s="336"/>
      <c r="AK74" s="336"/>
      <c r="AL74" s="336"/>
      <c r="AM74" s="336"/>
      <c r="AN74" s="336"/>
      <c r="AO74" s="336"/>
      <c r="AP74" s="336"/>
      <c r="AQ74" s="336"/>
      <c r="AR74" s="336"/>
      <c r="AS74" s="336"/>
      <c r="AT74" s="336"/>
      <c r="AU74" s="336"/>
      <c r="AV74" s="336"/>
      <c r="AW74" s="336"/>
      <c r="AX74" s="336"/>
      <c r="AY74" s="336"/>
      <c r="AZ74" s="336"/>
      <c r="BA74" s="336"/>
      <c r="BB74" s="336"/>
      <c r="BC74" s="336"/>
      <c r="BD74" s="336"/>
      <c r="BE74" s="336"/>
      <c r="BF74" s="336"/>
    </row>
    <row r="75" spans="1:58" ht="14" outlineLevel="2">
      <c r="A75" s="336"/>
      <c r="B75" s="341"/>
      <c r="C75" s="354" t="s">
        <v>328</v>
      </c>
      <c r="D75" s="367">
        <f t="shared" ref="D75:D104" si="8">IF(COUNT(L75:AG75)&gt;0,MEDIAN(L75:AG75),"")</f>
        <v>0.218</v>
      </c>
      <c r="E75" s="367">
        <f t="shared" ref="E75:E104" si="9">IF(COUNT(L75:AG75)&gt;0,AVERAGE(L75:AG75),"")</f>
        <v>0.26944444444444443</v>
      </c>
      <c r="F75" s="367">
        <f t="shared" ref="F75:F104" si="10">IF(COUNT(L75:AG75)&gt;0,MIN(L75:AG75),"")</f>
        <v>-4.7E-2</v>
      </c>
      <c r="G75" s="367">
        <f t="shared" ref="G75:G104" si="11">IF(COUNT(L75:AG75)&gt;0,MAX(L75:AG75),"")</f>
        <v>0.871</v>
      </c>
      <c r="H75" s="367">
        <f t="shared" ref="H75:H104" si="12">IF(COUNT(L75:AG75)&gt;0,QUARTILE(L75:AG75,1),"")</f>
        <v>0.19400000000000001</v>
      </c>
      <c r="I75" s="367">
        <f t="shared" ref="I75:I104" si="13">IF(COUNT(L75:AG75)&gt;0,QUARTILE(L75:AG75,3),"")</f>
        <v>0.28199999999999997</v>
      </c>
      <c r="J75" s="367">
        <f t="shared" ref="J75:J104" si="14">IF(COUNT(L75:AG75)&gt;1,STDEV(L75:AG75),"")</f>
        <v>0.25049306932084525</v>
      </c>
      <c r="K75" s="356">
        <f t="shared" ref="K75:K104" si="15">IF(COUNT(L75:AG75)&gt;1,STDEV(L75:AG75)/AVERAGE(L75:AG75),"")</f>
        <v>0.92966499954128134</v>
      </c>
      <c r="M75" s="368">
        <v>0.27700000000000002</v>
      </c>
      <c r="N75" s="368">
        <v>0.28199999999999997</v>
      </c>
      <c r="O75" s="368">
        <v>0.313</v>
      </c>
      <c r="P75" s="368">
        <v>0.109</v>
      </c>
      <c r="Q75" s="368">
        <v>-4.7E-2</v>
      </c>
      <c r="R75" s="368">
        <v>0.218</v>
      </c>
      <c r="S75" s="368"/>
      <c r="T75" s="368">
        <v>0.871</v>
      </c>
      <c r="U75" s="368">
        <v>0.20799999999999999</v>
      </c>
      <c r="V75" s="368">
        <v>0.19400000000000001</v>
      </c>
      <c r="W75" s="368"/>
      <c r="X75" s="368"/>
      <c r="Y75" s="368"/>
      <c r="Z75" s="368"/>
      <c r="AA75" s="368"/>
      <c r="AB75" s="368"/>
      <c r="AC75" s="368"/>
      <c r="AD75" s="368"/>
      <c r="AE75" s="368"/>
      <c r="AF75" s="368"/>
      <c r="AG75" s="368"/>
      <c r="AH75" s="343"/>
      <c r="AI75" s="336"/>
      <c r="AJ75" s="336"/>
      <c r="AK75" s="336"/>
      <c r="AL75" s="336"/>
      <c r="AM75" s="336"/>
      <c r="AN75" s="336"/>
      <c r="AO75" s="336"/>
      <c r="AP75" s="336"/>
      <c r="AQ75" s="336"/>
      <c r="AR75" s="336"/>
      <c r="AS75" s="336"/>
      <c r="AT75" s="336"/>
      <c r="AU75" s="336"/>
      <c r="AV75" s="336"/>
      <c r="AW75" s="336"/>
      <c r="AX75" s="336"/>
      <c r="AY75" s="336"/>
      <c r="AZ75" s="336"/>
      <c r="BA75" s="336"/>
      <c r="BB75" s="336"/>
      <c r="BC75" s="336"/>
      <c r="BD75" s="336"/>
      <c r="BE75" s="336"/>
      <c r="BF75" s="336"/>
    </row>
    <row r="76" spans="1:58" ht="14" outlineLevel="2">
      <c r="A76" s="336"/>
      <c r="B76" s="341"/>
      <c r="C76" s="354" t="s">
        <v>329</v>
      </c>
      <c r="D76" s="355">
        <f t="shared" si="8"/>
        <v>203966</v>
      </c>
      <c r="E76" s="355">
        <f t="shared" si="9"/>
        <v>230680.33333333334</v>
      </c>
      <c r="F76" s="355">
        <f t="shared" si="10"/>
        <v>71198</v>
      </c>
      <c r="G76" s="355">
        <f t="shared" si="11"/>
        <v>487710</v>
      </c>
      <c r="H76" s="355">
        <f t="shared" si="12"/>
        <v>122324.75</v>
      </c>
      <c r="I76" s="355">
        <f t="shared" si="13"/>
        <v>303091.25</v>
      </c>
      <c r="J76" s="355">
        <f t="shared" si="14"/>
        <v>136137.18343530162</v>
      </c>
      <c r="K76" s="356">
        <f t="shared" si="15"/>
        <v>0.59015513575916001</v>
      </c>
      <c r="M76" s="357">
        <v>487710</v>
      </c>
      <c r="N76" s="357">
        <v>435376</v>
      </c>
      <c r="O76" s="357">
        <v>365834</v>
      </c>
      <c r="P76" s="357">
        <v>224444</v>
      </c>
      <c r="Q76" s="357">
        <v>118841</v>
      </c>
      <c r="R76" s="357">
        <v>282177</v>
      </c>
      <c r="S76" s="357">
        <v>223200</v>
      </c>
      <c r="T76" s="357">
        <v>184732</v>
      </c>
      <c r="U76" s="357">
        <v>150617</v>
      </c>
      <c r="V76" s="357">
        <v>123486</v>
      </c>
      <c r="W76" s="357">
        <v>100549</v>
      </c>
      <c r="X76" s="357">
        <v>71198</v>
      </c>
      <c r="Y76" s="357"/>
      <c r="Z76" s="357"/>
      <c r="AA76" s="357"/>
      <c r="AB76" s="357"/>
      <c r="AC76" s="357"/>
      <c r="AD76" s="357"/>
      <c r="AE76" s="357"/>
      <c r="AF76" s="357"/>
      <c r="AG76" s="357"/>
      <c r="AH76" s="343"/>
      <c r="AI76" s="336"/>
      <c r="AJ76" s="336"/>
      <c r="AK76" s="336"/>
      <c r="AL76" s="336"/>
      <c r="AM76" s="336"/>
      <c r="AN76" s="336"/>
      <c r="AO76" s="336"/>
      <c r="AP76" s="336"/>
      <c r="AQ76" s="336"/>
      <c r="AR76" s="336"/>
      <c r="AS76" s="336"/>
      <c r="AT76" s="336"/>
      <c r="AU76" s="336"/>
      <c r="AV76" s="336"/>
      <c r="AW76" s="336"/>
      <c r="AX76" s="336"/>
      <c r="AY76" s="336"/>
      <c r="AZ76" s="336"/>
      <c r="BA76" s="336"/>
      <c r="BB76" s="336"/>
      <c r="BC76" s="336"/>
      <c r="BD76" s="336"/>
      <c r="BE76" s="336"/>
      <c r="BF76" s="336"/>
    </row>
    <row r="77" spans="1:58" ht="14">
      <c r="A77" s="336"/>
      <c r="B77" s="341"/>
      <c r="C77" s="351" t="s">
        <v>330</v>
      </c>
      <c r="D77" s="364" t="str">
        <f t="shared" si="8"/>
        <v/>
      </c>
      <c r="E77" s="364" t="str">
        <f t="shared" si="9"/>
        <v/>
      </c>
      <c r="F77" s="364" t="str">
        <f t="shared" si="10"/>
        <v/>
      </c>
      <c r="G77" s="364" t="str">
        <f t="shared" si="11"/>
        <v/>
      </c>
      <c r="H77" s="364" t="str">
        <f t="shared" si="12"/>
        <v/>
      </c>
      <c r="I77" s="364" t="str">
        <f t="shared" si="13"/>
        <v/>
      </c>
      <c r="J77" s="364" t="str">
        <f t="shared" si="14"/>
        <v/>
      </c>
      <c r="K77" s="353" t="str">
        <f t="shared" si="15"/>
        <v/>
      </c>
      <c r="L77" s="346"/>
      <c r="M77" s="364"/>
      <c r="N77" s="364"/>
      <c r="O77" s="364"/>
      <c r="P77" s="364"/>
      <c r="Q77" s="364"/>
      <c r="R77" s="364"/>
      <c r="S77" s="364"/>
      <c r="T77" s="364"/>
      <c r="U77" s="364"/>
      <c r="V77" s="364"/>
      <c r="W77" s="364"/>
      <c r="X77" s="364"/>
      <c r="Y77" s="364"/>
      <c r="Z77" s="364"/>
      <c r="AA77" s="364"/>
      <c r="AB77" s="364"/>
      <c r="AC77" s="364"/>
      <c r="AD77" s="364"/>
      <c r="AE77" s="364"/>
      <c r="AF77" s="364"/>
      <c r="AG77" s="364"/>
      <c r="AH77" s="343"/>
      <c r="AI77" s="336"/>
      <c r="AJ77" s="336"/>
      <c r="AK77" s="336"/>
      <c r="AL77" s="336"/>
      <c r="AM77" s="336"/>
      <c r="AN77" s="336"/>
      <c r="AO77" s="336"/>
      <c r="AP77" s="336"/>
      <c r="AQ77" s="336"/>
      <c r="AR77" s="336"/>
      <c r="AS77" s="336"/>
      <c r="AT77" s="336"/>
      <c r="AU77" s="336"/>
      <c r="AV77" s="336"/>
      <c r="AW77" s="336"/>
      <c r="AX77" s="336"/>
      <c r="AY77" s="336"/>
      <c r="AZ77" s="336"/>
      <c r="BA77" s="336"/>
      <c r="BB77" s="336"/>
      <c r="BC77" s="336"/>
      <c r="BD77" s="336"/>
      <c r="BE77" s="336"/>
      <c r="BF77" s="336"/>
    </row>
    <row r="78" spans="1:58" ht="14" outlineLevel="1">
      <c r="A78" s="336"/>
      <c r="B78" s="341"/>
      <c r="C78" s="354" t="s">
        <v>331</v>
      </c>
      <c r="D78" s="365" t="str">
        <f t="shared" si="8"/>
        <v/>
      </c>
      <c r="E78" s="365" t="str">
        <f t="shared" si="9"/>
        <v/>
      </c>
      <c r="F78" s="365" t="str">
        <f t="shared" si="10"/>
        <v/>
      </c>
      <c r="G78" s="365" t="str">
        <f t="shared" si="11"/>
        <v/>
      </c>
      <c r="H78" s="365" t="str">
        <f t="shared" si="12"/>
        <v/>
      </c>
      <c r="I78" s="365" t="str">
        <f t="shared" si="13"/>
        <v/>
      </c>
      <c r="J78" s="365" t="str">
        <f t="shared" si="14"/>
        <v/>
      </c>
      <c r="K78" s="356" t="str">
        <f t="shared" si="15"/>
        <v/>
      </c>
      <c r="M78" s="366"/>
      <c r="N78" s="366"/>
      <c r="O78" s="366"/>
      <c r="P78" s="366"/>
      <c r="Q78" s="366"/>
      <c r="R78" s="366"/>
      <c r="S78" s="366"/>
      <c r="T78" s="366"/>
      <c r="U78" s="366"/>
      <c r="V78" s="366"/>
      <c r="W78" s="366"/>
      <c r="X78" s="366"/>
      <c r="Y78" s="366"/>
      <c r="Z78" s="366"/>
      <c r="AA78" s="366"/>
      <c r="AB78" s="366"/>
      <c r="AC78" s="366"/>
      <c r="AD78" s="366"/>
      <c r="AE78" s="366"/>
      <c r="AF78" s="366"/>
      <c r="AG78" s="366"/>
      <c r="AH78" s="343"/>
      <c r="AI78" s="336"/>
      <c r="AJ78" s="336"/>
      <c r="AK78" s="336"/>
      <c r="AL78" s="336"/>
      <c r="AM78" s="336"/>
      <c r="AN78" s="336"/>
      <c r="AO78" s="336"/>
      <c r="AP78" s="336"/>
      <c r="AQ78" s="336"/>
      <c r="AR78" s="336"/>
      <c r="AS78" s="336"/>
      <c r="AT78" s="336"/>
      <c r="AU78" s="336"/>
      <c r="AV78" s="336"/>
      <c r="AW78" s="336"/>
      <c r="AX78" s="336"/>
      <c r="AY78" s="336"/>
      <c r="AZ78" s="336"/>
      <c r="BA78" s="336"/>
      <c r="BB78" s="336"/>
      <c r="BC78" s="336"/>
      <c r="BD78" s="336"/>
      <c r="BE78" s="336"/>
      <c r="BF78" s="336"/>
    </row>
    <row r="79" spans="1:58" ht="14" outlineLevel="2">
      <c r="A79" s="336"/>
      <c r="B79" s="341"/>
      <c r="C79" s="354" t="s">
        <v>332</v>
      </c>
      <c r="D79" s="355">
        <f t="shared" si="8"/>
        <v>204298.5</v>
      </c>
      <c r="E79" s="355">
        <f t="shared" si="9"/>
        <v>248748.83333333334</v>
      </c>
      <c r="F79" s="355">
        <f t="shared" si="10"/>
        <v>64398</v>
      </c>
      <c r="G79" s="355">
        <f t="shared" si="11"/>
        <v>496559</v>
      </c>
      <c r="H79" s="355">
        <f t="shared" si="12"/>
        <v>114987</v>
      </c>
      <c r="I79" s="355">
        <f t="shared" si="13"/>
        <v>383259.5</v>
      </c>
      <c r="J79" s="355">
        <f t="shared" si="14"/>
        <v>157587.06556396247</v>
      </c>
      <c r="K79" s="356">
        <f t="shared" si="15"/>
        <v>0.63351881274067945</v>
      </c>
      <c r="M79" s="357">
        <v>483996</v>
      </c>
      <c r="N79" s="357">
        <v>425789</v>
      </c>
      <c r="O79" s="357">
        <v>369083</v>
      </c>
      <c r="P79" s="357">
        <v>195093</v>
      </c>
      <c r="Q79" s="357">
        <v>118495</v>
      </c>
      <c r="R79" s="357">
        <v>271559</v>
      </c>
      <c r="S79" s="357">
        <v>213504</v>
      </c>
      <c r="T79" s="357">
        <v>496559</v>
      </c>
      <c r="U79" s="357">
        <v>148927</v>
      </c>
      <c r="V79" s="357">
        <v>104463</v>
      </c>
      <c r="W79" s="357">
        <v>93120</v>
      </c>
      <c r="X79" s="357">
        <v>64398</v>
      </c>
      <c r="Y79" s="357"/>
      <c r="Z79" s="357"/>
      <c r="AA79" s="357"/>
      <c r="AB79" s="357"/>
      <c r="AC79" s="357"/>
      <c r="AD79" s="357"/>
      <c r="AE79" s="357"/>
      <c r="AF79" s="357"/>
      <c r="AG79" s="357"/>
      <c r="AH79" s="343"/>
      <c r="AI79" s="336"/>
      <c r="AJ79" s="336"/>
      <c r="AK79" s="336"/>
      <c r="AL79" s="336"/>
      <c r="AM79" s="336"/>
      <c r="AN79" s="336"/>
      <c r="AO79" s="336"/>
      <c r="AP79" s="336"/>
      <c r="AQ79" s="336"/>
      <c r="AR79" s="336"/>
      <c r="AS79" s="336"/>
      <c r="AT79" s="336"/>
      <c r="AU79" s="336"/>
      <c r="AV79" s="336"/>
      <c r="AW79" s="336"/>
      <c r="AX79" s="336"/>
      <c r="AY79" s="336"/>
      <c r="AZ79" s="336"/>
      <c r="BA79" s="336"/>
      <c r="BB79" s="336"/>
      <c r="BC79" s="336"/>
      <c r="BD79" s="336"/>
      <c r="BE79" s="336"/>
      <c r="BF79" s="336"/>
    </row>
    <row r="80" spans="1:58" ht="14" outlineLevel="2">
      <c r="A80" s="336"/>
      <c r="B80" s="341"/>
      <c r="C80" s="354" t="s">
        <v>333</v>
      </c>
      <c r="D80" s="355">
        <f t="shared" si="8"/>
        <v>148970</v>
      </c>
      <c r="E80" s="355">
        <f t="shared" si="9"/>
        <v>188248</v>
      </c>
      <c r="F80" s="355">
        <f t="shared" si="10"/>
        <v>35590</v>
      </c>
      <c r="G80" s="355">
        <f t="shared" si="11"/>
        <v>464798</v>
      </c>
      <c r="H80" s="355">
        <f t="shared" si="12"/>
        <v>68484</v>
      </c>
      <c r="I80" s="355">
        <f t="shared" si="13"/>
        <v>277535.5</v>
      </c>
      <c r="J80" s="355">
        <f t="shared" si="14"/>
        <v>143703.44118287496</v>
      </c>
      <c r="K80" s="356">
        <f t="shared" si="15"/>
        <v>0.7633730036062798</v>
      </c>
      <c r="M80" s="357">
        <v>372883</v>
      </c>
      <c r="N80" s="357">
        <v>327858</v>
      </c>
      <c r="O80" s="357"/>
      <c r="P80" s="357">
        <v>148970</v>
      </c>
      <c r="Q80" s="357">
        <v>64663</v>
      </c>
      <c r="R80" s="357">
        <v>227213</v>
      </c>
      <c r="S80" s="357">
        <v>178244</v>
      </c>
      <c r="T80" s="357">
        <v>464798</v>
      </c>
      <c r="U80" s="357">
        <v>117425</v>
      </c>
      <c r="V80" s="357">
        <v>72305</v>
      </c>
      <c r="W80" s="357">
        <v>60779</v>
      </c>
      <c r="X80" s="357">
        <v>35590</v>
      </c>
      <c r="Y80" s="357"/>
      <c r="Z80" s="357"/>
      <c r="AA80" s="357"/>
      <c r="AB80" s="357"/>
      <c r="AC80" s="357"/>
      <c r="AD80" s="357"/>
      <c r="AE80" s="357"/>
      <c r="AF80" s="357"/>
      <c r="AG80" s="357"/>
      <c r="AH80" s="343"/>
      <c r="AI80" s="336"/>
      <c r="AJ80" s="336"/>
      <c r="AK80" s="336"/>
      <c r="AL80" s="336"/>
      <c r="AM80" s="336"/>
      <c r="AN80" s="336"/>
      <c r="AO80" s="336"/>
      <c r="AP80" s="336"/>
      <c r="AQ80" s="336"/>
      <c r="AR80" s="336"/>
      <c r="AS80" s="336"/>
      <c r="AT80" s="336"/>
      <c r="AU80" s="336"/>
      <c r="AV80" s="336"/>
      <c r="AW80" s="336"/>
      <c r="AX80" s="336"/>
      <c r="AY80" s="336"/>
      <c r="AZ80" s="336"/>
      <c r="BA80" s="336"/>
      <c r="BB80" s="336"/>
      <c r="BC80" s="336"/>
      <c r="BD80" s="336"/>
      <c r="BE80" s="336"/>
      <c r="BF80" s="336"/>
    </row>
    <row r="81" spans="1:58" ht="14" outlineLevel="2">
      <c r="A81" s="336"/>
      <c r="B81" s="341"/>
      <c r="C81" s="354" t="s">
        <v>334</v>
      </c>
      <c r="D81" s="355">
        <f t="shared" si="8"/>
        <v>155081</v>
      </c>
      <c r="E81" s="355">
        <f t="shared" si="9"/>
        <v>182986.16666666666</v>
      </c>
      <c r="F81" s="355">
        <f t="shared" si="10"/>
        <v>35344</v>
      </c>
      <c r="G81" s="355">
        <f t="shared" si="11"/>
        <v>464464</v>
      </c>
      <c r="H81" s="355">
        <f t="shared" si="12"/>
        <v>70036</v>
      </c>
      <c r="I81" s="355">
        <f t="shared" si="13"/>
        <v>252889.75</v>
      </c>
      <c r="J81" s="355">
        <f t="shared" si="14"/>
        <v>129222.91324742496</v>
      </c>
      <c r="K81" s="356">
        <f t="shared" si="15"/>
        <v>0.70618952023199366</v>
      </c>
      <c r="M81" s="357">
        <v>323650</v>
      </c>
      <c r="N81" s="357">
        <v>276376</v>
      </c>
      <c r="O81" s="357">
        <v>245061</v>
      </c>
      <c r="P81" s="357">
        <v>132293</v>
      </c>
      <c r="Q81" s="357">
        <v>64663</v>
      </c>
      <c r="R81" s="357">
        <v>226976</v>
      </c>
      <c r="S81" s="357">
        <v>177869</v>
      </c>
      <c r="T81" s="357">
        <v>464464</v>
      </c>
      <c r="U81" s="357">
        <v>117033</v>
      </c>
      <c r="V81" s="357">
        <v>71827</v>
      </c>
      <c r="W81" s="357">
        <v>60278</v>
      </c>
      <c r="X81" s="357">
        <v>35344</v>
      </c>
      <c r="Y81" s="357"/>
      <c r="Z81" s="357"/>
      <c r="AA81" s="357"/>
      <c r="AB81" s="357"/>
      <c r="AC81" s="357"/>
      <c r="AD81" s="357"/>
      <c r="AE81" s="357"/>
      <c r="AF81" s="357"/>
      <c r="AG81" s="357"/>
      <c r="AH81" s="343"/>
      <c r="AI81" s="336"/>
      <c r="AJ81" s="336"/>
      <c r="AK81" s="336"/>
      <c r="AL81" s="336"/>
      <c r="AM81" s="336"/>
      <c r="AN81" s="336"/>
      <c r="AO81" s="336"/>
      <c r="AP81" s="336"/>
      <c r="AQ81" s="336"/>
      <c r="AR81" s="336"/>
      <c r="AS81" s="336"/>
      <c r="AT81" s="336"/>
      <c r="AU81" s="336"/>
      <c r="AV81" s="336"/>
      <c r="AW81" s="336"/>
      <c r="AX81" s="336"/>
      <c r="AY81" s="336"/>
      <c r="AZ81" s="336"/>
      <c r="BA81" s="336"/>
      <c r="BB81" s="336"/>
      <c r="BC81" s="336"/>
      <c r="BD81" s="336"/>
      <c r="BE81" s="336"/>
      <c r="BF81" s="336"/>
    </row>
    <row r="82" spans="1:58" ht="14" outlineLevel="2">
      <c r="A82" s="336"/>
      <c r="B82" s="341"/>
      <c r="C82" s="354" t="s">
        <v>335</v>
      </c>
      <c r="D82" s="355">
        <f t="shared" si="8"/>
        <v>204298.5</v>
      </c>
      <c r="E82" s="355">
        <f t="shared" si="9"/>
        <v>248748.83333333334</v>
      </c>
      <c r="F82" s="355">
        <f t="shared" si="10"/>
        <v>64398</v>
      </c>
      <c r="G82" s="355">
        <f t="shared" si="11"/>
        <v>496559</v>
      </c>
      <c r="H82" s="355">
        <f t="shared" si="12"/>
        <v>114987</v>
      </c>
      <c r="I82" s="355">
        <f t="shared" si="13"/>
        <v>383259.5</v>
      </c>
      <c r="J82" s="355">
        <f t="shared" si="14"/>
        <v>157587.06556396247</v>
      </c>
      <c r="K82" s="356">
        <f t="shared" si="15"/>
        <v>0.63351881274067945</v>
      </c>
      <c r="M82" s="357">
        <v>483996</v>
      </c>
      <c r="N82" s="357">
        <v>425789</v>
      </c>
      <c r="O82" s="357">
        <v>369083</v>
      </c>
      <c r="P82" s="357">
        <v>195093</v>
      </c>
      <c r="Q82" s="357">
        <v>118495</v>
      </c>
      <c r="R82" s="357">
        <v>271559</v>
      </c>
      <c r="S82" s="357">
        <v>213504</v>
      </c>
      <c r="T82" s="357">
        <v>496559</v>
      </c>
      <c r="U82" s="357">
        <v>148927</v>
      </c>
      <c r="V82" s="357">
        <v>104463</v>
      </c>
      <c r="W82" s="357">
        <v>93120</v>
      </c>
      <c r="X82" s="357">
        <v>64398</v>
      </c>
      <c r="Y82" s="357"/>
      <c r="Z82" s="357"/>
      <c r="AA82" s="357"/>
      <c r="AB82" s="357"/>
      <c r="AC82" s="357"/>
      <c r="AD82" s="357"/>
      <c r="AE82" s="357"/>
      <c r="AF82" s="357"/>
      <c r="AG82" s="357"/>
      <c r="AH82" s="343"/>
      <c r="AI82" s="336"/>
      <c r="AJ82" s="336"/>
      <c r="AK82" s="336"/>
      <c r="AL82" s="336"/>
      <c r="AM82" s="336"/>
      <c r="AN82" s="336"/>
      <c r="AO82" s="336"/>
      <c r="AP82" s="336"/>
      <c r="AQ82" s="336"/>
      <c r="AR82" s="336"/>
      <c r="AS82" s="336"/>
      <c r="AT82" s="336"/>
      <c r="AU82" s="336"/>
      <c r="AV82" s="336"/>
      <c r="AW82" s="336"/>
      <c r="AX82" s="336"/>
      <c r="AY82" s="336"/>
      <c r="AZ82" s="336"/>
      <c r="BA82" s="336"/>
      <c r="BB82" s="336"/>
      <c r="BC82" s="336"/>
      <c r="BD82" s="336"/>
      <c r="BE82" s="336"/>
      <c r="BF82" s="336"/>
    </row>
    <row r="83" spans="1:58" ht="14" outlineLevel="2">
      <c r="A83" s="336"/>
      <c r="B83" s="341"/>
      <c r="C83" s="354" t="s">
        <v>336</v>
      </c>
      <c r="D83" s="355">
        <f t="shared" si="8"/>
        <v>4681</v>
      </c>
      <c r="E83" s="355">
        <f t="shared" si="9"/>
        <v>6831.666666666667</v>
      </c>
      <c r="F83" s="355">
        <f t="shared" si="10"/>
        <v>21</v>
      </c>
      <c r="G83" s="355">
        <f t="shared" si="11"/>
        <v>23115</v>
      </c>
      <c r="H83" s="355">
        <f t="shared" si="12"/>
        <v>878</v>
      </c>
      <c r="I83" s="355">
        <f t="shared" si="13"/>
        <v>7053</v>
      </c>
      <c r="J83" s="355">
        <f t="shared" si="14"/>
        <v>8178.5396465383719</v>
      </c>
      <c r="K83" s="356">
        <f t="shared" si="15"/>
        <v>1.1971514486272317</v>
      </c>
      <c r="M83" s="357">
        <v>23115</v>
      </c>
      <c r="N83" s="357">
        <v>17741</v>
      </c>
      <c r="O83" s="357">
        <v>5005</v>
      </c>
      <c r="P83" s="357">
        <v>878</v>
      </c>
      <c r="Q83" s="357">
        <v>2937</v>
      </c>
      <c r="R83" s="357">
        <v>7053</v>
      </c>
      <c r="S83" s="357">
        <v>4681</v>
      </c>
      <c r="T83" s="357">
        <v>54</v>
      </c>
      <c r="U83" s="357">
        <v>21</v>
      </c>
      <c r="V83" s="357"/>
      <c r="W83" s="357"/>
      <c r="X83" s="357"/>
      <c r="Y83" s="357"/>
      <c r="Z83" s="357"/>
      <c r="AA83" s="357"/>
      <c r="AB83" s="357"/>
      <c r="AC83" s="357"/>
      <c r="AD83" s="357"/>
      <c r="AE83" s="357"/>
      <c r="AF83" s="357"/>
      <c r="AG83" s="357"/>
      <c r="AH83" s="343"/>
      <c r="AI83" s="336"/>
      <c r="AJ83" s="336"/>
      <c r="AK83" s="336"/>
      <c r="AL83" s="336"/>
      <c r="AM83" s="336"/>
      <c r="AN83" s="336"/>
      <c r="AO83" s="336"/>
      <c r="AP83" s="336"/>
      <c r="AQ83" s="336"/>
      <c r="AR83" s="336"/>
      <c r="AS83" s="336"/>
      <c r="AT83" s="336"/>
      <c r="AU83" s="336"/>
      <c r="AV83" s="336"/>
      <c r="AW83" s="336"/>
      <c r="AX83" s="336"/>
      <c r="AY83" s="336"/>
      <c r="AZ83" s="336"/>
      <c r="BA83" s="336"/>
      <c r="BB83" s="336"/>
      <c r="BC83" s="336"/>
      <c r="BD83" s="336"/>
      <c r="BE83" s="336"/>
      <c r="BF83" s="336"/>
    </row>
    <row r="84" spans="1:58" ht="14" outlineLevel="2">
      <c r="A84" s="336"/>
      <c r="B84" s="341"/>
      <c r="C84" s="354" t="s">
        <v>337</v>
      </c>
      <c r="D84" s="355">
        <f t="shared" si="8"/>
        <v>127.65258069546233</v>
      </c>
      <c r="E84" s="355">
        <f t="shared" si="9"/>
        <v>925.17139907882245</v>
      </c>
      <c r="F84" s="355">
        <f t="shared" si="10"/>
        <v>-1.2453087167070218</v>
      </c>
      <c r="G84" s="355">
        <f t="shared" si="11"/>
        <v>3233.1440000000007</v>
      </c>
      <c r="H84" s="355">
        <f t="shared" si="12"/>
        <v>0</v>
      </c>
      <c r="I84" s="355">
        <f t="shared" si="13"/>
        <v>1682.4</v>
      </c>
      <c r="J84" s="355">
        <f t="shared" si="14"/>
        <v>1178.7813872466229</v>
      </c>
      <c r="K84" s="356">
        <f t="shared" si="15"/>
        <v>1.2741221663578399</v>
      </c>
      <c r="M84" s="357">
        <v>3233.1440000000007</v>
      </c>
      <c r="N84" s="357">
        <v>3017.1179999999995</v>
      </c>
      <c r="O84" s="357">
        <v>2217.9180000000001</v>
      </c>
      <c r="P84" s="357">
        <v>2863.1030000000001</v>
      </c>
      <c r="Q84" s="357">
        <v>1289.79</v>
      </c>
      <c r="R84" s="357">
        <v>1017.4059999999999</v>
      </c>
      <c r="S84" s="357">
        <v>2538.3691086765198</v>
      </c>
      <c r="T84" s="357">
        <v>1682.4</v>
      </c>
      <c r="U84" s="357">
        <v>544.33600000000001</v>
      </c>
      <c r="V84" s="357">
        <v>898.60799999999995</v>
      </c>
      <c r="W84" s="357">
        <v>127.65258069546233</v>
      </c>
      <c r="X84" s="357">
        <v>-1.2453087167070218</v>
      </c>
      <c r="Y84" s="357">
        <v>0</v>
      </c>
      <c r="Z84" s="357">
        <v>0</v>
      </c>
      <c r="AA84" s="357">
        <v>0</v>
      </c>
      <c r="AB84" s="357">
        <v>0</v>
      </c>
      <c r="AC84" s="357">
        <v>0</v>
      </c>
      <c r="AD84" s="357">
        <v>0</v>
      </c>
      <c r="AE84" s="357">
        <v>0</v>
      </c>
      <c r="AF84" s="357">
        <v>0</v>
      </c>
      <c r="AG84" s="357">
        <v>0</v>
      </c>
      <c r="AH84" s="343"/>
      <c r="AI84" s="336"/>
      <c r="AJ84" s="336"/>
      <c r="AK84" s="336"/>
      <c r="AL84" s="336"/>
      <c r="AM84" s="336"/>
      <c r="AN84" s="336"/>
      <c r="AO84" s="336"/>
      <c r="AP84" s="336"/>
      <c r="AQ84" s="336"/>
      <c r="AR84" s="336"/>
      <c r="AS84" s="336"/>
      <c r="AT84" s="336"/>
      <c r="AU84" s="336"/>
      <c r="AV84" s="336"/>
      <c r="AW84" s="336"/>
      <c r="AX84" s="336"/>
      <c r="AY84" s="336"/>
      <c r="AZ84" s="336"/>
      <c r="BA84" s="336"/>
      <c r="BB84" s="336"/>
      <c r="BC84" s="336"/>
      <c r="BD84" s="336"/>
      <c r="BE84" s="336"/>
      <c r="BF84" s="336"/>
    </row>
    <row r="85" spans="1:58" ht="14" outlineLevel="2">
      <c r="A85" s="336"/>
      <c r="B85" s="341"/>
      <c r="C85" s="354" t="s">
        <v>338</v>
      </c>
      <c r="D85" s="355">
        <f t="shared" si="8"/>
        <v>2617</v>
      </c>
      <c r="E85" s="355">
        <f t="shared" si="9"/>
        <v>4400.1904761904761</v>
      </c>
      <c r="F85" s="355">
        <f t="shared" si="10"/>
        <v>-52</v>
      </c>
      <c r="G85" s="355">
        <f t="shared" si="11"/>
        <v>26267</v>
      </c>
      <c r="H85" s="355">
        <f t="shared" si="12"/>
        <v>0</v>
      </c>
      <c r="I85" s="355">
        <f t="shared" si="13"/>
        <v>4777</v>
      </c>
      <c r="J85" s="355">
        <f t="shared" si="14"/>
        <v>6436.4524593835667</v>
      </c>
      <c r="K85" s="356">
        <f t="shared" si="15"/>
        <v>1.462766781168076</v>
      </c>
      <c r="M85" s="357">
        <v>11672</v>
      </c>
      <c r="N85" s="357">
        <v>10699</v>
      </c>
      <c r="O85" s="357">
        <v>7086</v>
      </c>
      <c r="P85" s="357">
        <v>26267</v>
      </c>
      <c r="Q85" s="357">
        <v>4777</v>
      </c>
      <c r="R85" s="357">
        <v>4667</v>
      </c>
      <c r="S85" s="357">
        <v>11681</v>
      </c>
      <c r="T85" s="357">
        <v>4206</v>
      </c>
      <c r="U85" s="357">
        <v>2617</v>
      </c>
      <c r="V85" s="357">
        <v>4632</v>
      </c>
      <c r="W85" s="357">
        <v>4152</v>
      </c>
      <c r="X85" s="357">
        <v>-52</v>
      </c>
      <c r="Y85" s="357">
        <v>0</v>
      </c>
      <c r="Z85" s="357">
        <v>0</v>
      </c>
      <c r="AA85" s="357">
        <v>0</v>
      </c>
      <c r="AB85" s="357">
        <v>0</v>
      </c>
      <c r="AC85" s="357">
        <v>0</v>
      </c>
      <c r="AD85" s="357">
        <v>0</v>
      </c>
      <c r="AE85" s="357">
        <v>0</v>
      </c>
      <c r="AF85" s="357">
        <v>0</v>
      </c>
      <c r="AG85" s="357">
        <v>0</v>
      </c>
      <c r="AH85" s="343"/>
      <c r="AI85" s="336"/>
      <c r="AJ85" s="336"/>
      <c r="AK85" s="336"/>
      <c r="AL85" s="336"/>
      <c r="AM85" s="336"/>
      <c r="AN85" s="336"/>
      <c r="AO85" s="336"/>
      <c r="AP85" s="336"/>
      <c r="AQ85" s="336"/>
      <c r="AR85" s="336"/>
      <c r="AS85" s="336"/>
      <c r="AT85" s="336"/>
      <c r="AU85" s="336"/>
      <c r="AV85" s="336"/>
      <c r="AW85" s="336"/>
      <c r="AX85" s="336"/>
      <c r="AY85" s="336"/>
      <c r="AZ85" s="336"/>
      <c r="BA85" s="336"/>
      <c r="BB85" s="336"/>
      <c r="BC85" s="336"/>
      <c r="BD85" s="336"/>
      <c r="BE85" s="336"/>
      <c r="BF85" s="336"/>
    </row>
    <row r="86" spans="1:58" ht="14" outlineLevel="2">
      <c r="A86" s="336"/>
      <c r="B86" s="341"/>
      <c r="C86" s="354" t="s">
        <v>339</v>
      </c>
      <c r="D86" s="355">
        <f t="shared" si="8"/>
        <v>2617</v>
      </c>
      <c r="E86" s="355">
        <f t="shared" si="9"/>
        <v>4400.1904761904761</v>
      </c>
      <c r="F86" s="355">
        <f t="shared" si="10"/>
        <v>-52</v>
      </c>
      <c r="G86" s="355">
        <f t="shared" si="11"/>
        <v>26267</v>
      </c>
      <c r="H86" s="355">
        <f t="shared" si="12"/>
        <v>0</v>
      </c>
      <c r="I86" s="355">
        <f t="shared" si="13"/>
        <v>4777</v>
      </c>
      <c r="J86" s="355">
        <f t="shared" si="14"/>
        <v>6436.4524593835667</v>
      </c>
      <c r="K86" s="356">
        <f t="shared" si="15"/>
        <v>1.462766781168076</v>
      </c>
      <c r="M86" s="357">
        <v>11672</v>
      </c>
      <c r="N86" s="357">
        <v>10699</v>
      </c>
      <c r="O86" s="357">
        <v>7086</v>
      </c>
      <c r="P86" s="357">
        <v>26267</v>
      </c>
      <c r="Q86" s="357">
        <v>4777</v>
      </c>
      <c r="R86" s="357">
        <v>4667</v>
      </c>
      <c r="S86" s="357">
        <v>11681</v>
      </c>
      <c r="T86" s="357">
        <v>4206</v>
      </c>
      <c r="U86" s="357">
        <v>2617</v>
      </c>
      <c r="V86" s="357">
        <v>4632</v>
      </c>
      <c r="W86" s="357">
        <v>4152</v>
      </c>
      <c r="X86" s="357">
        <v>-52</v>
      </c>
      <c r="Y86" s="357">
        <v>0</v>
      </c>
      <c r="Z86" s="357">
        <v>0</v>
      </c>
      <c r="AA86" s="357">
        <v>0</v>
      </c>
      <c r="AB86" s="357">
        <v>0</v>
      </c>
      <c r="AC86" s="357">
        <v>0</v>
      </c>
      <c r="AD86" s="357">
        <v>0</v>
      </c>
      <c r="AE86" s="357">
        <v>0</v>
      </c>
      <c r="AF86" s="357">
        <v>0</v>
      </c>
      <c r="AG86" s="357">
        <v>0</v>
      </c>
      <c r="AH86" s="343"/>
      <c r="AI86" s="336"/>
      <c r="AJ86" s="336"/>
      <c r="AK86" s="336"/>
      <c r="AL86" s="336"/>
      <c r="AM86" s="336"/>
      <c r="AN86" s="336"/>
      <c r="AO86" s="336"/>
      <c r="AP86" s="336"/>
      <c r="AQ86" s="336"/>
      <c r="AR86" s="336"/>
      <c r="AS86" s="336"/>
      <c r="AT86" s="336"/>
      <c r="AU86" s="336"/>
      <c r="AV86" s="336"/>
      <c r="AW86" s="336"/>
      <c r="AX86" s="336"/>
      <c r="AY86" s="336"/>
      <c r="AZ86" s="336"/>
      <c r="BA86" s="336"/>
      <c r="BB86" s="336"/>
      <c r="BC86" s="336"/>
      <c r="BD86" s="336"/>
      <c r="BE86" s="336"/>
      <c r="BF86" s="336"/>
    </row>
    <row r="87" spans="1:58" ht="14" outlineLevel="2">
      <c r="A87" s="336"/>
      <c r="B87" s="341"/>
      <c r="C87" s="354" t="s">
        <v>340</v>
      </c>
      <c r="D87" s="355">
        <f t="shared" si="8"/>
        <v>367856</v>
      </c>
      <c r="E87" s="355">
        <f t="shared" si="9"/>
        <v>432858.41666666669</v>
      </c>
      <c r="F87" s="355">
        <f t="shared" si="10"/>
        <v>174971</v>
      </c>
      <c r="G87" s="355">
        <f t="shared" si="11"/>
        <v>857456</v>
      </c>
      <c r="H87" s="355">
        <f t="shared" si="12"/>
        <v>261543</v>
      </c>
      <c r="I87" s="355">
        <f t="shared" si="13"/>
        <v>518463.5</v>
      </c>
      <c r="J87" s="355">
        <f t="shared" si="14"/>
        <v>232286.75294223506</v>
      </c>
      <c r="K87" s="356">
        <f t="shared" si="15"/>
        <v>0.53663448369796451</v>
      </c>
      <c r="M87" s="357">
        <v>857456</v>
      </c>
      <c r="N87" s="357">
        <v>798462</v>
      </c>
      <c r="O87" s="357">
        <v>706694</v>
      </c>
      <c r="P87" s="357">
        <v>443628</v>
      </c>
      <c r="Q87" s="357">
        <v>346858</v>
      </c>
      <c r="R87" s="357">
        <v>455720</v>
      </c>
      <c r="S87" s="357">
        <v>388854</v>
      </c>
      <c r="T87" s="357">
        <v>282406</v>
      </c>
      <c r="U87" s="357">
        <v>262579</v>
      </c>
      <c r="V87" s="357">
        <v>258435</v>
      </c>
      <c r="W87" s="357">
        <v>218238</v>
      </c>
      <c r="X87" s="357">
        <v>174971</v>
      </c>
      <c r="Y87" s="357"/>
      <c r="Z87" s="357"/>
      <c r="AA87" s="357"/>
      <c r="AB87" s="357"/>
      <c r="AC87" s="357"/>
      <c r="AD87" s="357"/>
      <c r="AE87" s="357"/>
      <c r="AF87" s="357"/>
      <c r="AG87" s="357"/>
      <c r="AH87" s="343"/>
      <c r="AI87" s="336"/>
      <c r="AJ87" s="336"/>
      <c r="AK87" s="336"/>
      <c r="AL87" s="336"/>
      <c r="AM87" s="336"/>
      <c r="AN87" s="336"/>
      <c r="AO87" s="336"/>
      <c r="AP87" s="336"/>
      <c r="AQ87" s="336"/>
      <c r="AR87" s="336"/>
      <c r="AS87" s="336"/>
      <c r="AT87" s="336"/>
      <c r="AU87" s="336"/>
      <c r="AV87" s="336"/>
      <c r="AW87" s="336"/>
      <c r="AX87" s="336"/>
      <c r="AY87" s="336"/>
      <c r="AZ87" s="336"/>
      <c r="BA87" s="336"/>
      <c r="BB87" s="336"/>
      <c r="BC87" s="336"/>
      <c r="BD87" s="336"/>
      <c r="BE87" s="336"/>
      <c r="BF87" s="336"/>
    </row>
    <row r="88" spans="1:58" ht="14" outlineLevel="2">
      <c r="A88" s="336"/>
      <c r="B88" s="341"/>
      <c r="C88" s="354" t="s">
        <v>341</v>
      </c>
      <c r="D88" s="355">
        <f t="shared" si="8"/>
        <v>105214.35149999999</v>
      </c>
      <c r="E88" s="355">
        <f t="shared" si="9"/>
        <v>115963.11807711351</v>
      </c>
      <c r="F88" s="355">
        <f t="shared" si="10"/>
        <v>34497.573244552063</v>
      </c>
      <c r="G88" s="355">
        <f t="shared" si="11"/>
        <v>229857.606</v>
      </c>
      <c r="H88" s="355">
        <f t="shared" si="12"/>
        <v>58297.695346249806</v>
      </c>
      <c r="I88" s="355">
        <f t="shared" si="13"/>
        <v>170299.70525</v>
      </c>
      <c r="J88" s="355">
        <f t="shared" si="14"/>
        <v>65541.80915190799</v>
      </c>
      <c r="K88" s="356">
        <f t="shared" si="15"/>
        <v>0.56519529863213747</v>
      </c>
      <c r="M88" s="357">
        <v>229857.606</v>
      </c>
      <c r="N88" s="357">
        <v>196458.53</v>
      </c>
      <c r="O88" s="357">
        <v>167905.00099999999</v>
      </c>
      <c r="P88" s="357">
        <v>117698.70299999999</v>
      </c>
      <c r="Q88" s="357">
        <v>42597.4</v>
      </c>
      <c r="R88" s="357">
        <v>177483.818</v>
      </c>
      <c r="S88" s="357">
        <v>139216.72921914357</v>
      </c>
      <c r="T88" s="357">
        <v>76770.8</v>
      </c>
      <c r="U88" s="357">
        <v>92730</v>
      </c>
      <c r="V88" s="357">
        <v>57916.493999999999</v>
      </c>
      <c r="W88" s="357">
        <v>58424.762461666403</v>
      </c>
      <c r="X88" s="357">
        <v>34497.573244552063</v>
      </c>
      <c r="Y88" s="357"/>
      <c r="Z88" s="357"/>
      <c r="AA88" s="357"/>
      <c r="AB88" s="357"/>
      <c r="AC88" s="357"/>
      <c r="AD88" s="357"/>
      <c r="AE88" s="357"/>
      <c r="AF88" s="357"/>
      <c r="AG88" s="357"/>
      <c r="AH88" s="343"/>
      <c r="AI88" s="336"/>
      <c r="AJ88" s="336"/>
      <c r="AK88" s="336"/>
      <c r="AL88" s="336"/>
      <c r="AM88" s="336"/>
      <c r="AN88" s="336"/>
      <c r="AO88" s="336"/>
      <c r="AP88" s="336"/>
      <c r="AQ88" s="336"/>
      <c r="AR88" s="336"/>
      <c r="AS88" s="336"/>
      <c r="AT88" s="336"/>
      <c r="AU88" s="336"/>
      <c r="AV88" s="336"/>
      <c r="AW88" s="336"/>
      <c r="AX88" s="336"/>
      <c r="AY88" s="336"/>
      <c r="AZ88" s="336"/>
      <c r="BA88" s="336"/>
      <c r="BB88" s="336"/>
      <c r="BC88" s="336"/>
      <c r="BD88" s="336"/>
      <c r="BE88" s="336"/>
      <c r="BF88" s="336"/>
    </row>
    <row r="89" spans="1:58" ht="14" outlineLevel="2">
      <c r="A89" s="336"/>
      <c r="B89" s="341"/>
      <c r="C89" s="354" t="s">
        <v>342</v>
      </c>
      <c r="D89" s="355">
        <f t="shared" si="8"/>
        <v>63424</v>
      </c>
      <c r="E89" s="355">
        <f t="shared" si="9"/>
        <v>77998.416666666672</v>
      </c>
      <c r="F89" s="355">
        <f t="shared" si="10"/>
        <v>-15204</v>
      </c>
      <c r="G89" s="355">
        <f t="shared" si="11"/>
        <v>178285</v>
      </c>
      <c r="H89" s="355">
        <f t="shared" si="12"/>
        <v>37921.25</v>
      </c>
      <c r="I89" s="355">
        <f t="shared" si="13"/>
        <v>117045.5</v>
      </c>
      <c r="J89" s="355">
        <f t="shared" si="14"/>
        <v>57466.267995721289</v>
      </c>
      <c r="K89" s="356">
        <f t="shared" si="15"/>
        <v>0.73676198122467806</v>
      </c>
      <c r="M89" s="357">
        <v>178285</v>
      </c>
      <c r="N89" s="357">
        <v>149029</v>
      </c>
      <c r="O89" s="357">
        <v>110923</v>
      </c>
      <c r="P89" s="357">
        <v>46301</v>
      </c>
      <c r="Q89" s="357">
        <v>-15204</v>
      </c>
      <c r="R89" s="357">
        <v>135413</v>
      </c>
      <c r="S89" s="357">
        <v>103162</v>
      </c>
      <c r="T89" s="357">
        <v>55601</v>
      </c>
      <c r="U89" s="357">
        <v>71247</v>
      </c>
      <c r="V89" s="357">
        <v>38130</v>
      </c>
      <c r="W89" s="357">
        <v>37295</v>
      </c>
      <c r="X89" s="357">
        <v>25799</v>
      </c>
      <c r="Y89" s="357"/>
      <c r="Z89" s="357"/>
      <c r="AA89" s="357"/>
      <c r="AB89" s="357"/>
      <c r="AC89" s="357"/>
      <c r="AD89" s="357"/>
      <c r="AE89" s="357"/>
      <c r="AF89" s="357"/>
      <c r="AG89" s="357"/>
      <c r="AH89" s="343"/>
      <c r="AI89" s="336"/>
      <c r="AJ89" s="336"/>
      <c r="AK89" s="336"/>
      <c r="AL89" s="336"/>
      <c r="AM89" s="336"/>
      <c r="AN89" s="336"/>
      <c r="AO89" s="336"/>
      <c r="AP89" s="336"/>
      <c r="AQ89" s="336"/>
      <c r="AR89" s="336"/>
      <c r="AS89" s="336"/>
      <c r="AT89" s="336"/>
      <c r="AU89" s="336"/>
      <c r="AV89" s="336"/>
      <c r="AW89" s="336"/>
      <c r="AX89" s="336"/>
      <c r="AY89" s="336"/>
      <c r="AZ89" s="336"/>
      <c r="BA89" s="336"/>
      <c r="BB89" s="336"/>
      <c r="BC89" s="336"/>
      <c r="BD89" s="336"/>
      <c r="BE89" s="336"/>
      <c r="BF89" s="336"/>
    </row>
    <row r="90" spans="1:58" ht="14" outlineLevel="1">
      <c r="A90" s="336"/>
      <c r="B90" s="341"/>
      <c r="C90" s="354" t="s">
        <v>343</v>
      </c>
      <c r="D90" s="365" t="str">
        <f t="shared" si="8"/>
        <v/>
      </c>
      <c r="E90" s="365" t="str">
        <f t="shared" si="9"/>
        <v/>
      </c>
      <c r="F90" s="365" t="str">
        <f t="shared" si="10"/>
        <v/>
      </c>
      <c r="G90" s="365" t="str">
        <f t="shared" si="11"/>
        <v/>
      </c>
      <c r="H90" s="365" t="str">
        <f t="shared" si="12"/>
        <v/>
      </c>
      <c r="I90" s="365" t="str">
        <f t="shared" si="13"/>
        <v/>
      </c>
      <c r="J90" s="365" t="str">
        <f t="shared" si="14"/>
        <v/>
      </c>
      <c r="K90" s="356" t="str">
        <f t="shared" si="15"/>
        <v/>
      </c>
      <c r="M90" s="366"/>
      <c r="N90" s="366"/>
      <c r="O90" s="366"/>
      <c r="P90" s="366"/>
      <c r="Q90" s="366"/>
      <c r="R90" s="366"/>
      <c r="S90" s="366"/>
      <c r="T90" s="366"/>
      <c r="U90" s="366"/>
      <c r="V90" s="366"/>
      <c r="W90" s="366"/>
      <c r="X90" s="366"/>
      <c r="Y90" s="366"/>
      <c r="Z90" s="366"/>
      <c r="AA90" s="366"/>
      <c r="AB90" s="366"/>
      <c r="AC90" s="366"/>
      <c r="AD90" s="366"/>
      <c r="AE90" s="366"/>
      <c r="AF90" s="366"/>
      <c r="AG90" s="366"/>
      <c r="AH90" s="343"/>
      <c r="AI90" s="336"/>
      <c r="AJ90" s="336"/>
      <c r="AK90" s="336"/>
      <c r="AL90" s="336"/>
      <c r="AM90" s="336"/>
      <c r="AN90" s="336"/>
      <c r="AO90" s="336"/>
      <c r="AP90" s="336"/>
      <c r="AQ90" s="336"/>
      <c r="AR90" s="336"/>
      <c r="AS90" s="336"/>
      <c r="AT90" s="336"/>
      <c r="AU90" s="336"/>
      <c r="AV90" s="336"/>
      <c r="AW90" s="336"/>
      <c r="AX90" s="336"/>
      <c r="AY90" s="336"/>
      <c r="AZ90" s="336"/>
      <c r="BA90" s="336"/>
      <c r="BB90" s="336"/>
      <c r="BC90" s="336"/>
      <c r="BD90" s="336"/>
      <c r="BE90" s="336"/>
      <c r="BF90" s="336"/>
    </row>
    <row r="91" spans="1:58" ht="14" outlineLevel="2">
      <c r="A91" s="336"/>
      <c r="B91" s="341"/>
      <c r="C91" s="354" t="s">
        <v>344</v>
      </c>
      <c r="D91" s="355">
        <f t="shared" si="8"/>
        <v>203966</v>
      </c>
      <c r="E91" s="355">
        <f t="shared" si="9"/>
        <v>230680.33333333334</v>
      </c>
      <c r="F91" s="355">
        <f t="shared" si="10"/>
        <v>71198</v>
      </c>
      <c r="G91" s="355">
        <f t="shared" si="11"/>
        <v>487710</v>
      </c>
      <c r="H91" s="355">
        <f t="shared" si="12"/>
        <v>122324.75</v>
      </c>
      <c r="I91" s="355">
        <f t="shared" si="13"/>
        <v>303091.25</v>
      </c>
      <c r="J91" s="355">
        <f t="shared" si="14"/>
        <v>136137.18343530162</v>
      </c>
      <c r="K91" s="356">
        <f t="shared" si="15"/>
        <v>0.59015513575916001</v>
      </c>
      <c r="M91" s="357">
        <v>487710</v>
      </c>
      <c r="N91" s="357">
        <v>435376</v>
      </c>
      <c r="O91" s="357">
        <v>365834</v>
      </c>
      <c r="P91" s="357">
        <v>224444</v>
      </c>
      <c r="Q91" s="357">
        <v>118841</v>
      </c>
      <c r="R91" s="357">
        <v>282177</v>
      </c>
      <c r="S91" s="357">
        <v>223200</v>
      </c>
      <c r="T91" s="357">
        <v>184732</v>
      </c>
      <c r="U91" s="357">
        <v>150617</v>
      </c>
      <c r="V91" s="357">
        <v>123486</v>
      </c>
      <c r="W91" s="357">
        <v>100549</v>
      </c>
      <c r="X91" s="357">
        <v>71198</v>
      </c>
      <c r="Y91" s="357"/>
      <c r="Z91" s="357"/>
      <c r="AA91" s="357"/>
      <c r="AB91" s="357"/>
      <c r="AC91" s="357"/>
      <c r="AD91" s="357"/>
      <c r="AE91" s="357"/>
      <c r="AF91" s="357"/>
      <c r="AG91" s="357"/>
      <c r="AH91" s="343"/>
      <c r="AI91" s="336"/>
      <c r="AJ91" s="336"/>
      <c r="AK91" s="336"/>
      <c r="AL91" s="336"/>
      <c r="AM91" s="336"/>
      <c r="AN91" s="336"/>
      <c r="AO91" s="336"/>
      <c r="AP91" s="336"/>
      <c r="AQ91" s="336"/>
      <c r="AR91" s="336"/>
      <c r="AS91" s="336"/>
      <c r="AT91" s="336"/>
      <c r="AU91" s="336"/>
      <c r="AV91" s="336"/>
      <c r="AW91" s="336"/>
      <c r="AX91" s="336"/>
      <c r="AY91" s="336"/>
      <c r="AZ91" s="336"/>
      <c r="BA91" s="336"/>
      <c r="BB91" s="336"/>
      <c r="BC91" s="336"/>
      <c r="BD91" s="336"/>
      <c r="BE91" s="336"/>
      <c r="BF91" s="336"/>
    </row>
    <row r="92" spans="1:58" ht="14" outlineLevel="2">
      <c r="A92" s="336"/>
      <c r="B92" s="341"/>
      <c r="C92" s="354" t="s">
        <v>345</v>
      </c>
      <c r="D92" s="355">
        <f t="shared" si="8"/>
        <v>174055</v>
      </c>
      <c r="E92" s="355">
        <f t="shared" si="9"/>
        <v>190686.5</v>
      </c>
      <c r="F92" s="355">
        <f t="shared" si="10"/>
        <v>35292</v>
      </c>
      <c r="G92" s="355">
        <f t="shared" si="11"/>
        <v>468670</v>
      </c>
      <c r="H92" s="355">
        <f t="shared" si="12"/>
        <v>74704.25</v>
      </c>
      <c r="I92" s="355">
        <f t="shared" si="13"/>
        <v>260879</v>
      </c>
      <c r="J92" s="355">
        <f t="shared" si="14"/>
        <v>130333.90786221506</v>
      </c>
      <c r="K92" s="356">
        <f t="shared" si="15"/>
        <v>0.6834983486624121</v>
      </c>
      <c r="M92" s="357">
        <v>335322</v>
      </c>
      <c r="N92" s="357">
        <v>287075</v>
      </c>
      <c r="O92" s="357">
        <v>252147</v>
      </c>
      <c r="P92" s="357">
        <v>158560</v>
      </c>
      <c r="Q92" s="357">
        <v>69440</v>
      </c>
      <c r="R92" s="357">
        <v>231643</v>
      </c>
      <c r="S92" s="357">
        <v>189550</v>
      </c>
      <c r="T92" s="357">
        <v>468670</v>
      </c>
      <c r="U92" s="357">
        <v>119650</v>
      </c>
      <c r="V92" s="357">
        <v>76459</v>
      </c>
      <c r="W92" s="357">
        <v>64430</v>
      </c>
      <c r="X92" s="357">
        <v>35292</v>
      </c>
      <c r="Y92" s="357"/>
      <c r="Z92" s="357"/>
      <c r="AA92" s="357"/>
      <c r="AB92" s="357"/>
      <c r="AC92" s="357"/>
      <c r="AD92" s="357"/>
      <c r="AE92" s="357"/>
      <c r="AF92" s="357"/>
      <c r="AG92" s="357"/>
      <c r="AH92" s="343"/>
      <c r="AI92" s="336"/>
      <c r="AJ92" s="336"/>
      <c r="AK92" s="336"/>
      <c r="AL92" s="336"/>
      <c r="AM92" s="336"/>
      <c r="AN92" s="336"/>
      <c r="AO92" s="336"/>
      <c r="AP92" s="336"/>
      <c r="AQ92" s="336"/>
      <c r="AR92" s="336"/>
      <c r="AS92" s="336"/>
      <c r="AT92" s="336"/>
      <c r="AU92" s="336"/>
      <c r="AV92" s="336"/>
      <c r="AW92" s="336"/>
      <c r="AX92" s="336"/>
      <c r="AY92" s="336"/>
      <c r="AZ92" s="336"/>
      <c r="BA92" s="336"/>
      <c r="BB92" s="336"/>
      <c r="BC92" s="336"/>
      <c r="BD92" s="336"/>
      <c r="BE92" s="336"/>
      <c r="BF92" s="336"/>
    </row>
    <row r="93" spans="1:58" ht="14" outlineLevel="2">
      <c r="A93" s="336"/>
      <c r="B93" s="341"/>
      <c r="C93" s="354" t="s">
        <v>346</v>
      </c>
      <c r="D93" s="355">
        <f t="shared" si="8"/>
        <v>223272.5</v>
      </c>
      <c r="E93" s="355">
        <f t="shared" si="9"/>
        <v>256449.16666666666</v>
      </c>
      <c r="F93" s="355">
        <f t="shared" si="10"/>
        <v>64346</v>
      </c>
      <c r="G93" s="355">
        <f t="shared" si="11"/>
        <v>500765</v>
      </c>
      <c r="H93" s="355">
        <f t="shared" si="12"/>
        <v>119727.75</v>
      </c>
      <c r="I93" s="355">
        <f t="shared" si="13"/>
        <v>391248.75</v>
      </c>
      <c r="J93" s="355">
        <f t="shared" si="14"/>
        <v>159247.66779844035</v>
      </c>
      <c r="K93" s="356">
        <f t="shared" si="15"/>
        <v>0.62097167196269709</v>
      </c>
      <c r="M93" s="357">
        <v>495668</v>
      </c>
      <c r="N93" s="357">
        <v>436488</v>
      </c>
      <c r="O93" s="357">
        <v>376169</v>
      </c>
      <c r="P93" s="357">
        <v>221360</v>
      </c>
      <c r="Q93" s="357">
        <v>123272</v>
      </c>
      <c r="R93" s="357">
        <v>276226</v>
      </c>
      <c r="S93" s="357">
        <v>225185</v>
      </c>
      <c r="T93" s="357">
        <v>500765</v>
      </c>
      <c r="U93" s="357">
        <v>151544</v>
      </c>
      <c r="V93" s="357">
        <v>109095</v>
      </c>
      <c r="W93" s="357">
        <v>97272</v>
      </c>
      <c r="X93" s="357">
        <v>64346</v>
      </c>
      <c r="Y93" s="357"/>
      <c r="Z93" s="357"/>
      <c r="AA93" s="357"/>
      <c r="AB93" s="357"/>
      <c r="AC93" s="357"/>
      <c r="AD93" s="357"/>
      <c r="AE93" s="357"/>
      <c r="AF93" s="357"/>
      <c r="AG93" s="357"/>
      <c r="AH93" s="343"/>
      <c r="AI93" s="336"/>
      <c r="AJ93" s="336"/>
      <c r="AK93" s="336"/>
      <c r="AL93" s="336"/>
      <c r="AM93" s="336"/>
      <c r="AN93" s="336"/>
      <c r="AO93" s="336"/>
      <c r="AP93" s="336"/>
      <c r="AQ93" s="336"/>
      <c r="AR93" s="336"/>
      <c r="AS93" s="336"/>
      <c r="AT93" s="336"/>
      <c r="AU93" s="336"/>
      <c r="AV93" s="336"/>
      <c r="AW93" s="336"/>
      <c r="AX93" s="336"/>
      <c r="AY93" s="336"/>
      <c r="AZ93" s="336"/>
      <c r="BA93" s="336"/>
      <c r="BB93" s="336"/>
      <c r="BC93" s="336"/>
      <c r="BD93" s="336"/>
      <c r="BE93" s="336"/>
      <c r="BF93" s="336"/>
    </row>
    <row r="94" spans="1:58" ht="14" outlineLevel="2">
      <c r="A94" s="336"/>
      <c r="B94" s="341"/>
      <c r="C94" s="354" t="s">
        <v>347</v>
      </c>
      <c r="D94" s="355">
        <f t="shared" si="8"/>
        <v>84719.5</v>
      </c>
      <c r="E94" s="355">
        <f t="shared" si="9"/>
        <v>106313</v>
      </c>
      <c r="F94" s="355">
        <f t="shared" si="10"/>
        <v>34006</v>
      </c>
      <c r="G94" s="355">
        <f t="shared" si="11"/>
        <v>223754</v>
      </c>
      <c r="H94" s="355">
        <f t="shared" si="12"/>
        <v>64257.75</v>
      </c>
      <c r="I94" s="355">
        <f t="shared" si="13"/>
        <v>147124</v>
      </c>
      <c r="J94" s="355">
        <f t="shared" si="14"/>
        <v>61612.114893390601</v>
      </c>
      <c r="K94" s="356">
        <f t="shared" si="15"/>
        <v>0.57953509818545801</v>
      </c>
      <c r="M94" s="357">
        <v>223754</v>
      </c>
      <c r="N94" s="357">
        <v>199009</v>
      </c>
      <c r="O94" s="357">
        <v>148528</v>
      </c>
      <c r="P94" s="357">
        <v>71501</v>
      </c>
      <c r="Q94" s="357">
        <v>87166</v>
      </c>
      <c r="R94" s="357">
        <v>146656</v>
      </c>
      <c r="S94" s="357">
        <v>119513</v>
      </c>
      <c r="T94" s="357">
        <v>82273</v>
      </c>
      <c r="U94" s="357">
        <v>67932</v>
      </c>
      <c r="V94" s="357">
        <v>53235</v>
      </c>
      <c r="W94" s="357">
        <v>42183</v>
      </c>
      <c r="X94" s="357">
        <v>34006</v>
      </c>
      <c r="Y94" s="357"/>
      <c r="Z94" s="357"/>
      <c r="AA94" s="357"/>
      <c r="AB94" s="357"/>
      <c r="AC94" s="357"/>
      <c r="AD94" s="357"/>
      <c r="AE94" s="357"/>
      <c r="AF94" s="357"/>
      <c r="AG94" s="357"/>
      <c r="AH94" s="343"/>
      <c r="AI94" s="336"/>
      <c r="AJ94" s="336"/>
      <c r="AK94" s="336"/>
      <c r="AL94" s="336"/>
      <c r="AM94" s="336"/>
      <c r="AN94" s="336"/>
      <c r="AO94" s="336"/>
      <c r="AP94" s="336"/>
      <c r="AQ94" s="336"/>
      <c r="AR94" s="336"/>
      <c r="AS94" s="336"/>
      <c r="AT94" s="336"/>
      <c r="AU94" s="336"/>
      <c r="AV94" s="336"/>
      <c r="AW94" s="336"/>
      <c r="AX94" s="336"/>
      <c r="AY94" s="336"/>
      <c r="AZ94" s="336"/>
      <c r="BA94" s="336"/>
      <c r="BB94" s="336"/>
      <c r="BC94" s="336"/>
      <c r="BD94" s="336"/>
      <c r="BE94" s="336"/>
      <c r="BF94" s="336"/>
    </row>
    <row r="95" spans="1:58" ht="14" outlineLevel="1">
      <c r="A95" s="336"/>
      <c r="B95" s="341"/>
      <c r="C95" s="354" t="s">
        <v>348</v>
      </c>
      <c r="D95" s="365" t="str">
        <f t="shared" si="8"/>
        <v/>
      </c>
      <c r="E95" s="365" t="str">
        <f t="shared" si="9"/>
        <v/>
      </c>
      <c r="F95" s="365" t="str">
        <f t="shared" si="10"/>
        <v/>
      </c>
      <c r="G95" s="365" t="str">
        <f t="shared" si="11"/>
        <v/>
      </c>
      <c r="H95" s="365" t="str">
        <f t="shared" si="12"/>
        <v/>
      </c>
      <c r="I95" s="365" t="str">
        <f t="shared" si="13"/>
        <v/>
      </c>
      <c r="J95" s="365" t="str">
        <f t="shared" si="14"/>
        <v/>
      </c>
      <c r="K95" s="356" t="str">
        <f t="shared" si="15"/>
        <v/>
      </c>
      <c r="M95" s="366"/>
      <c r="N95" s="366"/>
      <c r="O95" s="366"/>
      <c r="P95" s="366"/>
      <c r="Q95" s="366"/>
      <c r="R95" s="366"/>
      <c r="S95" s="366"/>
      <c r="T95" s="366"/>
      <c r="U95" s="366"/>
      <c r="V95" s="366"/>
      <c r="W95" s="366"/>
      <c r="X95" s="366"/>
      <c r="Y95" s="366"/>
      <c r="Z95" s="366"/>
      <c r="AA95" s="366"/>
      <c r="AB95" s="366"/>
      <c r="AC95" s="366"/>
      <c r="AD95" s="366"/>
      <c r="AE95" s="366"/>
      <c r="AF95" s="366"/>
      <c r="AG95" s="366"/>
      <c r="AH95" s="343"/>
      <c r="AI95" s="336"/>
      <c r="AJ95" s="336"/>
      <c r="AK95" s="336"/>
      <c r="AL95" s="336"/>
      <c r="AM95" s="336"/>
      <c r="AN95" s="336"/>
      <c r="AO95" s="336"/>
      <c r="AP95" s="336"/>
      <c r="AQ95" s="336"/>
      <c r="AR95" s="336"/>
      <c r="AS95" s="336"/>
      <c r="AT95" s="336"/>
      <c r="AU95" s="336"/>
      <c r="AV95" s="336"/>
      <c r="AW95" s="336"/>
      <c r="AX95" s="336"/>
      <c r="AY95" s="336"/>
      <c r="AZ95" s="336"/>
      <c r="BA95" s="336"/>
      <c r="BB95" s="336"/>
      <c r="BC95" s="336"/>
      <c r="BD95" s="336"/>
      <c r="BE95" s="336"/>
      <c r="BF95" s="336"/>
    </row>
    <row r="96" spans="1:58" ht="14" outlineLevel="2">
      <c r="A96" s="336"/>
      <c r="B96" s="341"/>
      <c r="C96" s="354" t="s">
        <v>349</v>
      </c>
      <c r="D96" s="355">
        <f t="shared" si="8"/>
        <v>277942</v>
      </c>
      <c r="E96" s="355">
        <f t="shared" si="9"/>
        <v>331201.8</v>
      </c>
      <c r="F96" s="355">
        <f t="shared" si="10"/>
        <v>143156</v>
      </c>
      <c r="G96" s="355">
        <f t="shared" si="11"/>
        <v>542817</v>
      </c>
      <c r="H96" s="355">
        <f t="shared" si="12"/>
        <v>222721</v>
      </c>
      <c r="I96" s="355">
        <f t="shared" si="13"/>
        <v>473800.75</v>
      </c>
      <c r="J96" s="355">
        <f t="shared" si="14"/>
        <v>154835.24062965912</v>
      </c>
      <c r="K96" s="356">
        <f t="shared" si="15"/>
        <v>0.46749516648055395</v>
      </c>
      <c r="M96" s="357">
        <v>542118</v>
      </c>
      <c r="N96" s="357">
        <v>490773</v>
      </c>
      <c r="O96" s="357">
        <v>422884</v>
      </c>
      <c r="P96" s="357">
        <v>229522</v>
      </c>
      <c r="Q96" s="357">
        <v>143156</v>
      </c>
      <c r="R96" s="357">
        <v>302155</v>
      </c>
      <c r="S96" s="357">
        <v>253729</v>
      </c>
      <c r="T96" s="357">
        <v>542817</v>
      </c>
      <c r="U96" s="357">
        <v>220454</v>
      </c>
      <c r="V96" s="357">
        <v>164410</v>
      </c>
      <c r="W96" s="357"/>
      <c r="X96" s="357"/>
      <c r="Y96" s="357"/>
      <c r="Z96" s="357"/>
      <c r="AA96" s="357"/>
      <c r="AB96" s="357"/>
      <c r="AC96" s="357"/>
      <c r="AD96" s="357"/>
      <c r="AE96" s="357"/>
      <c r="AF96" s="357"/>
      <c r="AG96" s="357"/>
      <c r="AH96" s="343"/>
      <c r="AI96" s="336"/>
      <c r="AJ96" s="336"/>
      <c r="AK96" s="336"/>
      <c r="AL96" s="336"/>
      <c r="AM96" s="336"/>
      <c r="AN96" s="336"/>
      <c r="AO96" s="336"/>
      <c r="AP96" s="336"/>
      <c r="AQ96" s="336"/>
      <c r="AR96" s="336"/>
      <c r="AS96" s="336"/>
      <c r="AT96" s="336"/>
      <c r="AU96" s="336"/>
      <c r="AV96" s="336"/>
      <c r="AW96" s="336"/>
      <c r="AX96" s="336"/>
      <c r="AY96" s="336"/>
      <c r="AZ96" s="336"/>
      <c r="BA96" s="336"/>
      <c r="BB96" s="336"/>
      <c r="BC96" s="336"/>
      <c r="BD96" s="336"/>
      <c r="BE96" s="336"/>
      <c r="BF96" s="336"/>
    </row>
    <row r="97" spans="1:58" ht="14" outlineLevel="2">
      <c r="A97" s="336"/>
      <c r="B97" s="341"/>
      <c r="C97" s="354" t="s">
        <v>350</v>
      </c>
      <c r="D97" s="355">
        <f t="shared" si="8"/>
        <v>237833</v>
      </c>
      <c r="E97" s="355">
        <f t="shared" si="9"/>
        <v>258476.2</v>
      </c>
      <c r="F97" s="355">
        <f t="shared" si="10"/>
        <v>89324</v>
      </c>
      <c r="G97" s="355">
        <f t="shared" si="11"/>
        <v>510722</v>
      </c>
      <c r="H97" s="355">
        <f t="shared" si="12"/>
        <v>172181.5</v>
      </c>
      <c r="I97" s="355">
        <f t="shared" si="13"/>
        <v>330735.5</v>
      </c>
      <c r="J97" s="355">
        <f t="shared" si="14"/>
        <v>127773.71369538849</v>
      </c>
      <c r="K97" s="356">
        <f t="shared" si="15"/>
        <v>0.49433454103468127</v>
      </c>
      <c r="M97" s="357">
        <v>381772</v>
      </c>
      <c r="N97" s="357">
        <v>341360</v>
      </c>
      <c r="O97" s="357">
        <v>298862</v>
      </c>
      <c r="P97" s="357">
        <v>166722</v>
      </c>
      <c r="Q97" s="357">
        <v>89324</v>
      </c>
      <c r="R97" s="357">
        <v>257572</v>
      </c>
      <c r="S97" s="357">
        <v>218094</v>
      </c>
      <c r="T97" s="357">
        <v>510722</v>
      </c>
      <c r="U97" s="357">
        <v>188560</v>
      </c>
      <c r="V97" s="357">
        <v>131774</v>
      </c>
      <c r="W97" s="357"/>
      <c r="X97" s="357"/>
      <c r="Y97" s="357"/>
      <c r="Z97" s="357"/>
      <c r="AA97" s="357"/>
      <c r="AB97" s="357"/>
      <c r="AC97" s="357"/>
      <c r="AD97" s="357"/>
      <c r="AE97" s="357"/>
      <c r="AF97" s="357"/>
      <c r="AG97" s="357"/>
      <c r="AH97" s="343"/>
      <c r="AI97" s="336"/>
      <c r="AJ97" s="336"/>
      <c r="AK97" s="336"/>
      <c r="AL97" s="336"/>
      <c r="AM97" s="336"/>
      <c r="AN97" s="336"/>
      <c r="AO97" s="336"/>
      <c r="AP97" s="336"/>
      <c r="AQ97" s="336"/>
      <c r="AR97" s="336"/>
      <c r="AS97" s="336"/>
      <c r="AT97" s="336"/>
      <c r="AU97" s="336"/>
      <c r="AV97" s="336"/>
      <c r="AW97" s="336"/>
      <c r="AX97" s="336"/>
      <c r="AY97" s="336"/>
      <c r="AZ97" s="336"/>
      <c r="BA97" s="336"/>
      <c r="BB97" s="336"/>
      <c r="BC97" s="336"/>
      <c r="BD97" s="336"/>
      <c r="BE97" s="336"/>
      <c r="BF97" s="336"/>
    </row>
    <row r="98" spans="1:58" ht="14" outlineLevel="2">
      <c r="A98" s="336"/>
      <c r="B98" s="341"/>
      <c r="C98" s="354" t="s">
        <v>351</v>
      </c>
      <c r="D98" s="355">
        <f t="shared" si="8"/>
        <v>98600.104998558498</v>
      </c>
      <c r="E98" s="355">
        <f t="shared" si="9"/>
        <v>107537.18700765973</v>
      </c>
      <c r="F98" s="355">
        <f t="shared" si="10"/>
        <v>3324</v>
      </c>
      <c r="G98" s="355">
        <f t="shared" si="11"/>
        <v>221900</v>
      </c>
      <c r="H98" s="355">
        <f t="shared" si="12"/>
        <v>68009.318997636758</v>
      </c>
      <c r="I98" s="355">
        <f t="shared" si="13"/>
        <v>137548.51002290874</v>
      </c>
      <c r="J98" s="355">
        <f t="shared" si="14"/>
        <v>66029.007331939763</v>
      </c>
      <c r="K98" s="356">
        <f t="shared" si="15"/>
        <v>0.6140109218891564</v>
      </c>
      <c r="M98" s="357">
        <v>221900</v>
      </c>
      <c r="N98" s="357">
        <v>190407.95999622301</v>
      </c>
      <c r="O98" s="357">
        <v>134407.60008549699</v>
      </c>
      <c r="P98" s="357">
        <v>68646</v>
      </c>
      <c r="Q98" s="357">
        <v>3324</v>
      </c>
      <c r="R98" s="357">
        <v>138595.48000204598</v>
      </c>
      <c r="S98" s="357">
        <v>114869.25999602699</v>
      </c>
      <c r="T98" s="357">
        <v>82330.950001090008</v>
      </c>
      <c r="U98" s="357">
        <v>67797.091996849005</v>
      </c>
      <c r="V98" s="357">
        <v>53093.527998865</v>
      </c>
      <c r="W98" s="357"/>
      <c r="X98" s="357"/>
      <c r="Y98" s="357"/>
      <c r="Z98" s="357"/>
      <c r="AA98" s="357"/>
      <c r="AB98" s="357"/>
      <c r="AC98" s="357"/>
      <c r="AD98" s="357"/>
      <c r="AE98" s="357"/>
      <c r="AF98" s="357"/>
      <c r="AG98" s="357"/>
      <c r="AH98" s="343"/>
      <c r="AI98" s="336"/>
      <c r="AJ98" s="336"/>
      <c r="AK98" s="336"/>
      <c r="AL98" s="336"/>
      <c r="AM98" s="336"/>
      <c r="AN98" s="336"/>
      <c r="AO98" s="336"/>
      <c r="AP98" s="336"/>
      <c r="AQ98" s="336"/>
      <c r="AR98" s="336"/>
      <c r="AS98" s="336"/>
      <c r="AT98" s="336"/>
      <c r="AU98" s="336"/>
      <c r="AV98" s="336"/>
      <c r="AW98" s="336"/>
      <c r="AX98" s="336"/>
      <c r="AY98" s="336"/>
      <c r="AZ98" s="336"/>
      <c r="BA98" s="336"/>
      <c r="BB98" s="336"/>
      <c r="BC98" s="336"/>
      <c r="BD98" s="336"/>
      <c r="BE98" s="336"/>
      <c r="BF98" s="336"/>
    </row>
    <row r="99" spans="1:58" ht="14" outlineLevel="2">
      <c r="A99" s="336"/>
      <c r="B99" s="341"/>
      <c r="C99" s="354" t="s">
        <v>352</v>
      </c>
      <c r="D99" s="356">
        <f t="shared" si="8"/>
        <v>1.032278</v>
      </c>
      <c r="E99" s="356">
        <f t="shared" si="9"/>
        <v>1.2269022999999999</v>
      </c>
      <c r="F99" s="356">
        <f t="shared" si="10"/>
        <v>2.9932000000000014E-2</v>
      </c>
      <c r="G99" s="356">
        <f t="shared" si="11"/>
        <v>2.5818319999999999</v>
      </c>
      <c r="H99" s="356">
        <f t="shared" si="12"/>
        <v>0.76654475</v>
      </c>
      <c r="I99" s="356">
        <f t="shared" si="13"/>
        <v>1.6301130000000001</v>
      </c>
      <c r="J99" s="356">
        <f t="shared" si="14"/>
        <v>0.79192549504427645</v>
      </c>
      <c r="K99" s="356">
        <f t="shared" si="15"/>
        <v>0.64546744679203594</v>
      </c>
      <c r="M99" s="363">
        <v>2.5818319999999999</v>
      </c>
      <c r="N99" s="363">
        <v>2.2498629999999999</v>
      </c>
      <c r="O99" s="363">
        <v>1.6402950000000001</v>
      </c>
      <c r="P99" s="363">
        <v>0.80989700000000009</v>
      </c>
      <c r="Q99" s="363">
        <v>2.9932000000000014E-2</v>
      </c>
      <c r="R99" s="363">
        <v>1.599567</v>
      </c>
      <c r="S99" s="363">
        <v>1.2245630000000001</v>
      </c>
      <c r="T99" s="363">
        <v>0.83999299999999999</v>
      </c>
      <c r="U99" s="363">
        <v>0.75209400000000004</v>
      </c>
      <c r="V99" s="363">
        <v>0.540987</v>
      </c>
      <c r="W99" s="363"/>
      <c r="X99" s="363"/>
      <c r="Y99" s="363"/>
      <c r="Z99" s="363"/>
      <c r="AA99" s="363"/>
      <c r="AB99" s="363"/>
      <c r="AC99" s="363"/>
      <c r="AD99" s="363"/>
      <c r="AE99" s="363"/>
      <c r="AF99" s="363"/>
      <c r="AG99" s="363"/>
      <c r="AH99" s="343"/>
      <c r="AI99" s="336"/>
      <c r="AJ99" s="336"/>
      <c r="AK99" s="336"/>
      <c r="AL99" s="336"/>
      <c r="AM99" s="336"/>
      <c r="AN99" s="336"/>
      <c r="AO99" s="336"/>
      <c r="AP99" s="336"/>
      <c r="AQ99" s="336"/>
      <c r="AR99" s="336"/>
      <c r="AS99" s="336"/>
      <c r="AT99" s="336"/>
      <c r="AU99" s="336"/>
      <c r="AV99" s="336"/>
      <c r="AW99" s="336"/>
      <c r="AX99" s="336"/>
      <c r="AY99" s="336"/>
      <c r="AZ99" s="336"/>
      <c r="BA99" s="336"/>
      <c r="BB99" s="336"/>
      <c r="BC99" s="336"/>
      <c r="BD99" s="336"/>
      <c r="BE99" s="336"/>
      <c r="BF99" s="336"/>
    </row>
    <row r="100" spans="1:58" ht="14">
      <c r="A100" s="336"/>
      <c r="B100" s="341"/>
      <c r="C100" s="351" t="s">
        <v>353</v>
      </c>
      <c r="D100" s="364" t="str">
        <f t="shared" si="8"/>
        <v/>
      </c>
      <c r="E100" s="364" t="str">
        <f t="shared" si="9"/>
        <v/>
      </c>
      <c r="F100" s="364" t="str">
        <f t="shared" si="10"/>
        <v/>
      </c>
      <c r="G100" s="364" t="str">
        <f t="shared" si="11"/>
        <v/>
      </c>
      <c r="H100" s="364" t="str">
        <f t="shared" si="12"/>
        <v/>
      </c>
      <c r="I100" s="364" t="str">
        <f t="shared" si="13"/>
        <v/>
      </c>
      <c r="J100" s="364" t="str">
        <f t="shared" si="14"/>
        <v/>
      </c>
      <c r="K100" s="353" t="str">
        <f t="shared" si="15"/>
        <v/>
      </c>
      <c r="L100" s="346"/>
      <c r="M100" s="364"/>
      <c r="N100" s="364"/>
      <c r="O100" s="364"/>
      <c r="P100" s="364"/>
      <c r="Q100" s="364"/>
      <c r="R100" s="364"/>
      <c r="S100" s="364"/>
      <c r="T100" s="364"/>
      <c r="U100" s="364"/>
      <c r="V100" s="364"/>
      <c r="W100" s="364"/>
      <c r="X100" s="364"/>
      <c r="Y100" s="364"/>
      <c r="Z100" s="364"/>
      <c r="AA100" s="364"/>
      <c r="AB100" s="364"/>
      <c r="AC100" s="364"/>
      <c r="AD100" s="364"/>
      <c r="AE100" s="364"/>
      <c r="AF100" s="364"/>
      <c r="AG100" s="364"/>
      <c r="AH100" s="343"/>
      <c r="AI100" s="336"/>
      <c r="AJ100" s="336"/>
      <c r="AK100" s="336"/>
      <c r="AL100" s="336"/>
      <c r="AM100" s="336"/>
      <c r="AN100" s="336"/>
      <c r="AO100" s="336"/>
      <c r="AP100" s="336"/>
      <c r="AQ100" s="336"/>
      <c r="AR100" s="336"/>
      <c r="AS100" s="336"/>
      <c r="AT100" s="336"/>
      <c r="AU100" s="336"/>
      <c r="AV100" s="336"/>
      <c r="AW100" s="336"/>
      <c r="AX100" s="336"/>
      <c r="AY100" s="336"/>
      <c r="AZ100" s="336"/>
      <c r="BA100" s="336"/>
      <c r="BB100" s="336"/>
      <c r="BC100" s="336"/>
      <c r="BD100" s="336"/>
      <c r="BE100" s="336"/>
      <c r="BF100" s="336"/>
    </row>
    <row r="101" spans="1:58" ht="14" outlineLevel="1">
      <c r="A101" s="336"/>
      <c r="B101" s="341"/>
      <c r="C101" s="354" t="s">
        <v>354</v>
      </c>
      <c r="D101" s="365" t="str">
        <f t="shared" si="8"/>
        <v/>
      </c>
      <c r="E101" s="365" t="str">
        <f t="shared" si="9"/>
        <v/>
      </c>
      <c r="F101" s="365" t="str">
        <f t="shared" si="10"/>
        <v/>
      </c>
      <c r="G101" s="365" t="str">
        <f t="shared" si="11"/>
        <v/>
      </c>
      <c r="H101" s="365" t="str">
        <f t="shared" si="12"/>
        <v/>
      </c>
      <c r="I101" s="365" t="str">
        <f t="shared" si="13"/>
        <v/>
      </c>
      <c r="J101" s="365" t="str">
        <f t="shared" si="14"/>
        <v/>
      </c>
      <c r="K101" s="356" t="str">
        <f t="shared" si="15"/>
        <v/>
      </c>
      <c r="M101" s="366" t="s">
        <v>355</v>
      </c>
      <c r="N101" s="366" t="s">
        <v>355</v>
      </c>
      <c r="O101" s="366" t="s">
        <v>355</v>
      </c>
      <c r="P101" s="366" t="s">
        <v>355</v>
      </c>
      <c r="Q101" s="366" t="s">
        <v>355</v>
      </c>
      <c r="R101" s="366" t="s">
        <v>355</v>
      </c>
      <c r="S101" s="366" t="s">
        <v>355</v>
      </c>
      <c r="T101" s="366" t="s">
        <v>355</v>
      </c>
      <c r="U101" s="366" t="s">
        <v>355</v>
      </c>
      <c r="V101" s="366" t="s">
        <v>355</v>
      </c>
      <c r="W101" s="366" t="s">
        <v>355</v>
      </c>
      <c r="X101" s="366" t="s">
        <v>355</v>
      </c>
      <c r="Y101" s="366" t="s">
        <v>355</v>
      </c>
      <c r="Z101" s="366" t="s">
        <v>355</v>
      </c>
      <c r="AA101" s="366" t="s">
        <v>355</v>
      </c>
      <c r="AB101" s="366" t="s">
        <v>355</v>
      </c>
      <c r="AC101" s="366" t="s">
        <v>355</v>
      </c>
      <c r="AD101" s="366" t="s">
        <v>355</v>
      </c>
      <c r="AE101" s="366" t="s">
        <v>355</v>
      </c>
      <c r="AF101" s="366" t="s">
        <v>355</v>
      </c>
      <c r="AG101" s="366" t="s">
        <v>355</v>
      </c>
      <c r="AH101" s="343"/>
      <c r="AI101" s="336"/>
      <c r="AJ101" s="336"/>
      <c r="AK101" s="336"/>
      <c r="AL101" s="336"/>
      <c r="AM101" s="336"/>
      <c r="AN101" s="336"/>
      <c r="AO101" s="336"/>
      <c r="AP101" s="336"/>
      <c r="AQ101" s="336"/>
      <c r="AR101" s="336"/>
      <c r="AS101" s="336"/>
      <c r="AT101" s="336"/>
      <c r="AU101" s="336"/>
      <c r="AV101" s="336"/>
      <c r="AW101" s="336"/>
      <c r="AX101" s="336"/>
      <c r="AY101" s="336"/>
      <c r="AZ101" s="336"/>
      <c r="BA101" s="336"/>
      <c r="BB101" s="336"/>
      <c r="BC101" s="336"/>
      <c r="BD101" s="336"/>
      <c r="BE101" s="336"/>
      <c r="BF101" s="336"/>
    </row>
    <row r="102" spans="1:58" ht="14" outlineLevel="1">
      <c r="A102" s="336"/>
      <c r="B102" s="341"/>
      <c r="C102" s="354" t="s">
        <v>356</v>
      </c>
      <c r="D102" s="365" t="str">
        <f t="shared" si="8"/>
        <v/>
      </c>
      <c r="E102" s="365" t="str">
        <f t="shared" si="9"/>
        <v/>
      </c>
      <c r="F102" s="365" t="str">
        <f t="shared" si="10"/>
        <v/>
      </c>
      <c r="G102" s="365" t="str">
        <f t="shared" si="11"/>
        <v/>
      </c>
      <c r="H102" s="365" t="str">
        <f t="shared" si="12"/>
        <v/>
      </c>
      <c r="I102" s="365" t="str">
        <f t="shared" si="13"/>
        <v/>
      </c>
      <c r="J102" s="365" t="str">
        <f t="shared" si="14"/>
        <v/>
      </c>
      <c r="K102" s="356" t="str">
        <f t="shared" si="15"/>
        <v/>
      </c>
      <c r="M102" s="366" t="s">
        <v>355</v>
      </c>
      <c r="N102" s="366" t="s">
        <v>355</v>
      </c>
      <c r="O102" s="366" t="s">
        <v>355</v>
      </c>
      <c r="P102" s="366" t="s">
        <v>355</v>
      </c>
      <c r="Q102" s="366" t="s">
        <v>355</v>
      </c>
      <c r="R102" s="366" t="s">
        <v>355</v>
      </c>
      <c r="S102" s="366" t="s">
        <v>355</v>
      </c>
      <c r="T102" s="366" t="s">
        <v>355</v>
      </c>
      <c r="U102" s="366" t="s">
        <v>355</v>
      </c>
      <c r="V102" s="366" t="s">
        <v>355</v>
      </c>
      <c r="W102" s="366" t="s">
        <v>355</v>
      </c>
      <c r="X102" s="366" t="s">
        <v>355</v>
      </c>
      <c r="Y102" s="366" t="s">
        <v>357</v>
      </c>
      <c r="Z102" s="366" t="s">
        <v>357</v>
      </c>
      <c r="AA102" s="366" t="s">
        <v>357</v>
      </c>
      <c r="AB102" s="366" t="s">
        <v>357</v>
      </c>
      <c r="AC102" s="366" t="s">
        <v>357</v>
      </c>
      <c r="AD102" s="366" t="s">
        <v>357</v>
      </c>
      <c r="AE102" s="366" t="s">
        <v>357</v>
      </c>
      <c r="AF102" s="366" t="s">
        <v>357</v>
      </c>
      <c r="AG102" s="366" t="s">
        <v>357</v>
      </c>
      <c r="AH102" s="343"/>
      <c r="AI102" s="336"/>
      <c r="AJ102" s="336"/>
      <c r="AK102" s="336"/>
      <c r="AL102" s="336"/>
      <c r="AM102" s="336"/>
      <c r="AN102" s="336"/>
      <c r="AO102" s="336"/>
      <c r="AP102" s="336"/>
      <c r="AQ102" s="336"/>
      <c r="AR102" s="336"/>
      <c r="AS102" s="336"/>
      <c r="AT102" s="336"/>
      <c r="AU102" s="336"/>
      <c r="AV102" s="336"/>
      <c r="AW102" s="336"/>
      <c r="AX102" s="336"/>
      <c r="AY102" s="336"/>
      <c r="AZ102" s="336"/>
      <c r="BA102" s="336"/>
      <c r="BB102" s="336"/>
      <c r="BC102" s="336"/>
      <c r="BD102" s="336"/>
      <c r="BE102" s="336"/>
      <c r="BF102" s="336"/>
    </row>
    <row r="103" spans="1:58" ht="14" outlineLevel="1">
      <c r="A103" s="336"/>
      <c r="B103" s="341"/>
      <c r="C103" s="354" t="s">
        <v>358</v>
      </c>
      <c r="D103" s="365" t="str">
        <f t="shared" si="8"/>
        <v/>
      </c>
      <c r="E103" s="365" t="str">
        <f t="shared" si="9"/>
        <v/>
      </c>
      <c r="F103" s="365" t="str">
        <f t="shared" si="10"/>
        <v/>
      </c>
      <c r="G103" s="365" t="str">
        <f t="shared" si="11"/>
        <v/>
      </c>
      <c r="H103" s="365" t="str">
        <f t="shared" si="12"/>
        <v/>
      </c>
      <c r="I103" s="365" t="str">
        <f t="shared" si="13"/>
        <v/>
      </c>
      <c r="J103" s="365" t="str">
        <f t="shared" si="14"/>
        <v/>
      </c>
      <c r="K103" s="356" t="str">
        <f t="shared" si="15"/>
        <v/>
      </c>
      <c r="M103" s="366" t="s">
        <v>357</v>
      </c>
      <c r="N103" s="366" t="s">
        <v>357</v>
      </c>
      <c r="O103" s="366" t="s">
        <v>357</v>
      </c>
      <c r="P103" s="366" t="s">
        <v>357</v>
      </c>
      <c r="Q103" s="366" t="s">
        <v>357</v>
      </c>
      <c r="R103" s="366" t="s">
        <v>357</v>
      </c>
      <c r="S103" s="366" t="s">
        <v>357</v>
      </c>
      <c r="T103" s="366" t="s">
        <v>357</v>
      </c>
      <c r="U103" s="366" t="s">
        <v>357</v>
      </c>
      <c r="V103" s="366" t="s">
        <v>357</v>
      </c>
      <c r="W103" s="366" t="s">
        <v>357</v>
      </c>
      <c r="X103" s="366" t="s">
        <v>357</v>
      </c>
      <c r="Y103" s="366" t="s">
        <v>355</v>
      </c>
      <c r="Z103" s="366" t="s">
        <v>355</v>
      </c>
      <c r="AA103" s="366" t="s">
        <v>355</v>
      </c>
      <c r="AB103" s="366" t="s">
        <v>355</v>
      </c>
      <c r="AC103" s="366" t="s">
        <v>355</v>
      </c>
      <c r="AD103" s="366" t="s">
        <v>355</v>
      </c>
      <c r="AE103" s="366" t="s">
        <v>355</v>
      </c>
      <c r="AF103" s="366" t="s">
        <v>355</v>
      </c>
      <c r="AG103" s="366" t="s">
        <v>355</v>
      </c>
      <c r="AH103" s="343"/>
      <c r="AI103" s="336"/>
      <c r="AJ103" s="336"/>
      <c r="AK103" s="336"/>
      <c r="AL103" s="336"/>
      <c r="AM103" s="336"/>
      <c r="AN103" s="336"/>
      <c r="AO103" s="336"/>
      <c r="AP103" s="336"/>
      <c r="AQ103" s="336"/>
      <c r="AR103" s="336"/>
      <c r="AS103" s="336"/>
      <c r="AT103" s="336"/>
      <c r="AU103" s="336"/>
      <c r="AV103" s="336"/>
      <c r="AW103" s="336"/>
      <c r="AX103" s="336"/>
      <c r="AY103" s="336"/>
      <c r="AZ103" s="336"/>
      <c r="BA103" s="336"/>
      <c r="BB103" s="336"/>
      <c r="BC103" s="336"/>
      <c r="BD103" s="336"/>
      <c r="BE103" s="336"/>
      <c r="BF103" s="336"/>
    </row>
    <row r="104" spans="1:58" ht="14" outlineLevel="1">
      <c r="A104" s="336"/>
      <c r="B104" s="341"/>
      <c r="C104" s="354" t="s">
        <v>359</v>
      </c>
      <c r="D104" s="365" t="str">
        <f t="shared" si="8"/>
        <v/>
      </c>
      <c r="E104" s="365" t="str">
        <f t="shared" si="9"/>
        <v/>
      </c>
      <c r="F104" s="365" t="str">
        <f t="shared" si="10"/>
        <v/>
      </c>
      <c r="G104" s="365" t="str">
        <f t="shared" si="11"/>
        <v/>
      </c>
      <c r="H104" s="365" t="str">
        <f t="shared" si="12"/>
        <v/>
      </c>
      <c r="I104" s="365" t="str">
        <f t="shared" si="13"/>
        <v/>
      </c>
      <c r="J104" s="365" t="str">
        <f t="shared" si="14"/>
        <v/>
      </c>
      <c r="K104" s="356" t="str">
        <f t="shared" si="15"/>
        <v/>
      </c>
      <c r="M104" s="366" t="s">
        <v>355</v>
      </c>
      <c r="N104" s="366" t="s">
        <v>355</v>
      </c>
      <c r="O104" s="366" t="s">
        <v>355</v>
      </c>
      <c r="P104" s="366" t="s">
        <v>355</v>
      </c>
      <c r="Q104" s="366" t="s">
        <v>355</v>
      </c>
      <c r="R104" s="366" t="s">
        <v>355</v>
      </c>
      <c r="S104" s="366" t="s">
        <v>355</v>
      </c>
      <c r="T104" s="366" t="s">
        <v>355</v>
      </c>
      <c r="U104" s="366" t="s">
        <v>355</v>
      </c>
      <c r="V104" s="366" t="s">
        <v>355</v>
      </c>
      <c r="W104" s="366" t="s">
        <v>355</v>
      </c>
      <c r="X104" s="366" t="s">
        <v>355</v>
      </c>
      <c r="Y104" s="366" t="s">
        <v>355</v>
      </c>
      <c r="Z104" s="366" t="s">
        <v>355</v>
      </c>
      <c r="AA104" s="366" t="s">
        <v>355</v>
      </c>
      <c r="AB104" s="366" t="s">
        <v>355</v>
      </c>
      <c r="AC104" s="366" t="s">
        <v>355</v>
      </c>
      <c r="AD104" s="366" t="s">
        <v>355</v>
      </c>
      <c r="AE104" s="366" t="s">
        <v>355</v>
      </c>
      <c r="AF104" s="366" t="s">
        <v>355</v>
      </c>
      <c r="AG104" s="366" t="s">
        <v>355</v>
      </c>
      <c r="AH104" s="343"/>
      <c r="AI104" s="336"/>
      <c r="AJ104" s="336"/>
      <c r="AK104" s="336"/>
      <c r="AL104" s="336"/>
      <c r="AM104" s="336"/>
      <c r="AN104" s="336"/>
      <c r="AO104" s="336"/>
      <c r="AP104" s="336"/>
      <c r="AQ104" s="336"/>
      <c r="AR104" s="336"/>
      <c r="AS104" s="336"/>
      <c r="AT104" s="336"/>
      <c r="AU104" s="336"/>
      <c r="AV104" s="336"/>
      <c r="AW104" s="336"/>
      <c r="AX104" s="336"/>
      <c r="AY104" s="336"/>
      <c r="AZ104" s="336"/>
      <c r="BA104" s="336"/>
      <c r="BB104" s="336"/>
      <c r="BC104" s="336"/>
      <c r="BD104" s="336"/>
      <c r="BE104" s="336"/>
      <c r="BF104" s="336"/>
    </row>
    <row r="105" spans="1:58">
      <c r="A105" s="336"/>
      <c r="B105" s="341"/>
      <c r="AH105" s="343"/>
      <c r="AI105" s="336"/>
      <c r="AJ105" s="336"/>
      <c r="AK105" s="336"/>
      <c r="AL105" s="336"/>
      <c r="AM105" s="336"/>
      <c r="AN105" s="336"/>
      <c r="AO105" s="336"/>
      <c r="AP105" s="336"/>
      <c r="AQ105" s="336"/>
      <c r="AR105" s="336"/>
      <c r="AS105" s="336"/>
      <c r="AT105" s="336"/>
      <c r="AU105" s="336"/>
      <c r="AV105" s="336"/>
      <c r="AW105" s="336"/>
      <c r="AX105" s="336"/>
      <c r="AY105" s="336"/>
      <c r="AZ105" s="336"/>
      <c r="BA105" s="336"/>
      <c r="BB105" s="336"/>
      <c r="BC105" s="336"/>
      <c r="BD105" s="336"/>
      <c r="BE105" s="336"/>
      <c r="BF105" s="336"/>
    </row>
    <row r="106" spans="1:58">
      <c r="A106" s="336"/>
      <c r="B106" s="341"/>
      <c r="C106" s="344" t="s">
        <v>360</v>
      </c>
      <c r="AH106" s="343"/>
      <c r="AI106" s="336"/>
      <c r="AJ106" s="336"/>
      <c r="AK106" s="336"/>
      <c r="AL106" s="336"/>
      <c r="AM106" s="336"/>
      <c r="AN106" s="336"/>
      <c r="AO106" s="336"/>
      <c r="AP106" s="336"/>
      <c r="AQ106" s="336"/>
      <c r="AR106" s="336"/>
      <c r="AS106" s="336"/>
      <c r="AT106" s="336"/>
      <c r="AU106" s="336"/>
      <c r="AV106" s="336"/>
      <c r="AW106" s="336"/>
      <c r="AX106" s="336"/>
      <c r="AY106" s="336"/>
      <c r="AZ106" s="336"/>
      <c r="BA106" s="336"/>
      <c r="BB106" s="336"/>
      <c r="BC106" s="336"/>
      <c r="BD106" s="336"/>
      <c r="BE106" s="336"/>
      <c r="BF106" s="336"/>
    </row>
    <row r="107" spans="1:58">
      <c r="A107" s="336"/>
      <c r="B107" s="341"/>
      <c r="AH107" s="343"/>
      <c r="AI107" s="336"/>
      <c r="AJ107" s="336"/>
      <c r="AK107" s="336"/>
      <c r="AL107" s="336"/>
      <c r="AM107" s="336"/>
      <c r="AN107" s="336"/>
      <c r="AO107" s="336"/>
      <c r="AP107" s="336"/>
      <c r="AQ107" s="336"/>
      <c r="AR107" s="336"/>
      <c r="AS107" s="336"/>
      <c r="AT107" s="336"/>
      <c r="AU107" s="336"/>
      <c r="AV107" s="336"/>
      <c r="AW107" s="336"/>
      <c r="AX107" s="336"/>
      <c r="AY107" s="336"/>
      <c r="AZ107" s="336"/>
      <c r="BA107" s="336"/>
      <c r="BB107" s="336"/>
      <c r="BC107" s="336"/>
      <c r="BD107" s="336"/>
      <c r="BE107" s="336"/>
      <c r="BF107" s="336"/>
    </row>
    <row r="108" spans="1:58">
      <c r="A108" s="336"/>
      <c r="B108" s="341"/>
      <c r="AH108" s="343"/>
      <c r="AI108" s="336"/>
      <c r="AJ108" s="336"/>
      <c r="AK108" s="336"/>
      <c r="AL108" s="336"/>
      <c r="AM108" s="336"/>
      <c r="AN108" s="336"/>
      <c r="AO108" s="336"/>
      <c r="AP108" s="336"/>
      <c r="AQ108" s="336"/>
      <c r="AR108" s="336"/>
      <c r="AS108" s="336"/>
      <c r="AT108" s="336"/>
      <c r="AU108" s="336"/>
      <c r="AV108" s="336"/>
      <c r="AW108" s="336"/>
      <c r="AX108" s="336"/>
      <c r="AY108" s="336"/>
      <c r="AZ108" s="336"/>
      <c r="BA108" s="336"/>
      <c r="BB108" s="336"/>
      <c r="BC108" s="336"/>
      <c r="BD108" s="336"/>
      <c r="BE108" s="336"/>
      <c r="BF108" s="336"/>
    </row>
    <row r="109" spans="1:58">
      <c r="A109" s="336"/>
      <c r="B109" s="369"/>
      <c r="C109" s="370"/>
      <c r="D109" s="370"/>
      <c r="E109" s="370"/>
      <c r="F109" s="370"/>
      <c r="G109" s="370"/>
      <c r="H109" s="370"/>
      <c r="I109" s="370"/>
      <c r="J109" s="370"/>
      <c r="K109" s="370"/>
      <c r="L109" s="370"/>
      <c r="M109" s="370"/>
      <c r="N109" s="370"/>
      <c r="O109" s="370"/>
      <c r="P109" s="370"/>
      <c r="Q109" s="370"/>
      <c r="R109" s="370"/>
      <c r="S109" s="370"/>
      <c r="T109" s="370"/>
      <c r="U109" s="370"/>
      <c r="V109" s="370"/>
      <c r="W109" s="370"/>
      <c r="X109" s="370"/>
      <c r="Y109" s="370"/>
      <c r="Z109" s="370"/>
      <c r="AA109" s="370"/>
      <c r="AB109" s="370"/>
      <c r="AC109" s="370"/>
      <c r="AD109" s="370"/>
      <c r="AE109" s="370"/>
      <c r="AF109" s="370"/>
      <c r="AG109" s="370"/>
      <c r="AH109" s="371"/>
      <c r="AI109" s="336"/>
      <c r="AJ109" s="336"/>
      <c r="AK109" s="336"/>
      <c r="AL109" s="336"/>
      <c r="AM109" s="336"/>
      <c r="AN109" s="336"/>
      <c r="AO109" s="336"/>
      <c r="AP109" s="336"/>
      <c r="AQ109" s="336"/>
      <c r="AR109" s="336"/>
      <c r="AS109" s="336"/>
      <c r="AT109" s="336"/>
      <c r="AU109" s="336"/>
      <c r="AV109" s="336"/>
      <c r="AW109" s="336"/>
      <c r="AX109" s="336"/>
      <c r="AY109" s="336"/>
      <c r="AZ109" s="336"/>
      <c r="BA109" s="336"/>
      <c r="BB109" s="336"/>
      <c r="BC109" s="336"/>
      <c r="BD109" s="336"/>
      <c r="BE109" s="336"/>
      <c r="BF109" s="336"/>
    </row>
    <row r="110" spans="1:58">
      <c r="A110" s="336"/>
      <c r="B110" s="336"/>
      <c r="C110" s="336"/>
      <c r="D110" s="336"/>
      <c r="E110" s="336"/>
      <c r="F110" s="336"/>
      <c r="G110" s="336"/>
      <c r="H110" s="336"/>
      <c r="I110" s="336"/>
      <c r="J110" s="336"/>
      <c r="K110" s="336"/>
      <c r="L110" s="336"/>
      <c r="M110" s="336"/>
      <c r="N110" s="336"/>
      <c r="O110" s="336"/>
      <c r="P110" s="336"/>
      <c r="Q110" s="336"/>
      <c r="R110" s="336"/>
      <c r="S110" s="336"/>
      <c r="T110" s="336"/>
      <c r="U110" s="336"/>
      <c r="V110" s="336"/>
      <c r="W110" s="336"/>
      <c r="X110" s="336"/>
      <c r="Y110" s="336"/>
      <c r="Z110" s="336"/>
      <c r="AA110" s="336"/>
      <c r="AB110" s="336"/>
      <c r="AC110" s="336"/>
      <c r="AD110" s="336"/>
      <c r="AE110" s="336"/>
      <c r="AF110" s="336"/>
      <c r="AG110" s="336"/>
      <c r="AH110" s="336"/>
      <c r="AI110" s="336"/>
      <c r="AJ110" s="336"/>
      <c r="AK110" s="336"/>
      <c r="AL110" s="336"/>
      <c r="AM110" s="336"/>
      <c r="AN110" s="336"/>
      <c r="AO110" s="336"/>
      <c r="AP110" s="336"/>
      <c r="AQ110" s="336"/>
      <c r="AR110" s="336"/>
      <c r="AS110" s="336"/>
      <c r="AT110" s="336"/>
      <c r="AU110" s="336"/>
      <c r="AV110" s="336"/>
      <c r="AW110" s="336"/>
      <c r="AX110" s="336"/>
      <c r="AY110" s="336"/>
      <c r="AZ110" s="336"/>
      <c r="BA110" s="336"/>
      <c r="BB110" s="336"/>
      <c r="BC110" s="336"/>
      <c r="BD110" s="336"/>
      <c r="BE110" s="336"/>
      <c r="BF110" s="336"/>
    </row>
  </sheetData>
  <mergeCells count="8">
    <mergeCell ref="J5:J6"/>
    <mergeCell ref="K5:K6"/>
    <mergeCell ref="D5:D6"/>
    <mergeCell ref="E5:E6"/>
    <mergeCell ref="F5:F6"/>
    <mergeCell ref="G5:G6"/>
    <mergeCell ref="H5:H6"/>
    <mergeCell ref="I5:I6"/>
  </mergeCells>
  <phoneticPr fontId="213" type="noConversion"/>
  <hyperlinks>
    <hyperlink ref="M5" r:id="rId1" xr:uid="{20BEDC19-AC9F-3543-BBA7-8D91EC53FE83}"/>
    <hyperlink ref="N5" r:id="rId2" xr:uid="{A46A32A1-3FAD-624E-89AA-121CDCC8139D}"/>
    <hyperlink ref="O5" r:id="rId3" xr:uid="{5DC5A9C5-3B55-7745-B946-37C23379782C}"/>
    <hyperlink ref="P5" r:id="rId4" xr:uid="{E40DAE59-CBFB-F94A-9271-DB0311063987}"/>
    <hyperlink ref="Q5" r:id="rId5" xr:uid="{D6A00D1E-4132-5641-AB2F-BD358E89A8CD}"/>
    <hyperlink ref="R5" r:id="rId6" xr:uid="{09DAF958-17CB-AA4E-8EA2-32F01074BB05}"/>
    <hyperlink ref="S5" r:id="rId7" xr:uid="{8CEB3D07-CE98-E74F-90A5-54DAD95FA53C}"/>
    <hyperlink ref="T5" r:id="rId8" xr:uid="{4C1F674D-8064-A044-A606-EEF5F392F478}"/>
    <hyperlink ref="U5" r:id="rId9" xr:uid="{EEAB7144-CED4-F748-83BE-B10264889623}"/>
    <hyperlink ref="V5" r:id="rId10" xr:uid="{6783A80D-F2E8-AD43-8ABD-9A693C95DA53}"/>
    <hyperlink ref="W5" r:id="rId11" xr:uid="{F6B76474-0636-824D-BF35-95CCF61BBF64}"/>
    <hyperlink ref="X5" r:id="rId12" xr:uid="{B323D310-8D3A-5B47-8367-C7ACCC8D42E5}"/>
    <hyperlink ref="Y5" r:id="rId13" xr:uid="{F6F26715-B482-DE44-B2BF-6553A5DDB913}"/>
    <hyperlink ref="Z5" r:id="rId14" xr:uid="{E8DD4224-F4F6-F344-93C9-F95E5A0D7D2F}"/>
    <hyperlink ref="AA5" r:id="rId15" xr:uid="{6E27CF58-5B03-6C42-893E-B496209B2668}"/>
    <hyperlink ref="AB5" r:id="rId16" xr:uid="{3600399D-D250-6D4F-B722-4C8474A545B8}"/>
    <hyperlink ref="AC5" r:id="rId17" xr:uid="{217DEC02-7BC1-874D-82FC-96EA0F62881D}"/>
    <hyperlink ref="AD5" r:id="rId18" xr:uid="{E9997895-2BEA-0B4B-A962-3B7E10F52F35}"/>
    <hyperlink ref="AE5" r:id="rId19" xr:uid="{E27FBCFB-B951-384A-91A3-F3BA2E4592DA}"/>
    <hyperlink ref="AF5" r:id="rId20" xr:uid="{9A0B22D1-6627-CC40-BBD4-F8B6862701AF}"/>
    <hyperlink ref="AG5" r:id="rId21" xr:uid="{C23B79A0-DEFD-9340-B031-DECB651F0BDC}"/>
    <hyperlink ref="M10" r:id="rId22" xr:uid="{9B935FA4-D44E-FF4B-8321-0B0DDAA1144B}"/>
    <hyperlink ref="N10" r:id="rId23" xr:uid="{296A344C-A312-AE4C-B88C-E376E2280A02}"/>
    <hyperlink ref="O10" r:id="rId24" xr:uid="{6F4E5E6F-401A-E346-840D-C95B0F13D443}"/>
    <hyperlink ref="P10" r:id="rId25" xr:uid="{819D76AA-DD09-E742-8CF7-4B549D12A769}"/>
    <hyperlink ref="Q10" r:id="rId26" xr:uid="{75BB0950-88FE-AC4C-968C-588F13CF1E6A}"/>
    <hyperlink ref="R10" r:id="rId27" xr:uid="{A48B017F-A08D-C84B-88B7-AF7B4D7EC0A5}"/>
    <hyperlink ref="S10" r:id="rId28" xr:uid="{D7C32CB3-B507-8544-8B30-3E561E4CEC69}"/>
    <hyperlink ref="T10" r:id="rId29" xr:uid="{6C8533BE-1F17-D14E-8440-FC87E27188DB}"/>
    <hyperlink ref="U10" r:id="rId30" xr:uid="{F253FB7A-6D4A-004A-8D44-0DB9850C29A1}"/>
    <hyperlink ref="V10" r:id="rId31" xr:uid="{7A1C1B84-A8E0-7A44-B976-85B62D66D2FB}"/>
    <hyperlink ref="W10" r:id="rId32" xr:uid="{1D69FC81-C9B6-8341-9FE0-5A14E32B0EDE}"/>
    <hyperlink ref="X10" r:id="rId33" xr:uid="{8255258B-6A96-D544-A246-865FDC10D9E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524AE-2FB8-8C41-96A9-2A0E37D7C95F}">
  <dimension ref="A1:AW241"/>
  <sheetViews>
    <sheetView topLeftCell="N218" zoomScale="90" zoomScaleNormal="90" workbookViewId="0">
      <selection activeCell="C3" sqref="C3:Y235"/>
    </sheetView>
  </sheetViews>
  <sheetFormatPr baseColWidth="10" defaultColWidth="8.83203125" defaultRowHeight="13" outlineLevelRow="6" outlineLevelCol="1"/>
  <cols>
    <col min="1" max="1" width="1.1640625" style="337" customWidth="1"/>
    <col min="2" max="2" width="1.83203125" style="337" customWidth="1"/>
    <col min="3" max="3" width="50.6640625" style="337" customWidth="1"/>
    <col min="4" max="11" width="12.6640625" style="337" customWidth="1" outlineLevel="1"/>
    <col min="12" max="12" width="2.5" style="337" customWidth="1"/>
    <col min="13" max="24" width="12.6640625" style="337" customWidth="1"/>
    <col min="25" max="25" width="1.83203125" style="337" customWidth="1"/>
    <col min="26" max="16384" width="8.83203125" style="337"/>
  </cols>
  <sheetData>
    <row r="1" spans="1:49" ht="6.75" customHeight="1">
      <c r="A1" s="336"/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6"/>
      <c r="AO1" s="336"/>
      <c r="AP1" s="336"/>
      <c r="AQ1" s="336"/>
      <c r="AR1" s="336"/>
      <c r="AS1" s="336"/>
      <c r="AT1" s="336"/>
      <c r="AU1" s="336"/>
      <c r="AV1" s="336"/>
      <c r="AW1" s="336"/>
    </row>
    <row r="2" spans="1:49" ht="40" customHeight="1">
      <c r="A2" s="336"/>
      <c r="B2" s="338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40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6"/>
      <c r="AL2" s="336"/>
      <c r="AM2" s="336"/>
      <c r="AN2" s="336"/>
      <c r="AO2" s="336"/>
      <c r="AP2" s="336"/>
      <c r="AQ2" s="336"/>
      <c r="AR2" s="336"/>
      <c r="AS2" s="336"/>
      <c r="AT2" s="336"/>
      <c r="AU2" s="336"/>
      <c r="AV2" s="336"/>
      <c r="AW2" s="336"/>
    </row>
    <row r="3" spans="1:49" ht="20">
      <c r="A3" s="336"/>
      <c r="B3" s="341"/>
      <c r="C3" s="342" t="s">
        <v>361</v>
      </c>
      <c r="Y3" s="343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  <c r="AW3" s="336"/>
    </row>
    <row r="4" spans="1:49" ht="23">
      <c r="A4" s="336"/>
      <c r="B4" s="341"/>
      <c r="C4" s="344" t="s">
        <v>222</v>
      </c>
      <c r="D4" s="345" t="s">
        <v>223</v>
      </c>
      <c r="E4" s="346"/>
      <c r="F4" s="346"/>
      <c r="G4" s="346"/>
      <c r="H4" s="346"/>
      <c r="I4" s="346"/>
      <c r="J4" s="346"/>
      <c r="K4" s="346"/>
      <c r="Y4" s="343"/>
      <c r="Z4" s="336"/>
      <c r="AA4" s="336"/>
      <c r="AB4" s="336"/>
      <c r="AC4" s="336"/>
      <c r="AD4" s="336"/>
      <c r="AE4" s="336"/>
      <c r="AF4" s="336"/>
      <c r="AG4" s="336"/>
      <c r="AH4" s="336"/>
      <c r="AI4" s="336"/>
      <c r="AJ4" s="336"/>
      <c r="AK4" s="336"/>
      <c r="AL4" s="336"/>
      <c r="AM4" s="336"/>
      <c r="AN4" s="336"/>
      <c r="AO4" s="336"/>
      <c r="AP4" s="336"/>
      <c r="AQ4" s="336"/>
      <c r="AR4" s="336"/>
      <c r="AS4" s="336"/>
      <c r="AT4" s="336"/>
      <c r="AU4" s="336"/>
      <c r="AV4" s="336"/>
      <c r="AW4" s="336"/>
    </row>
    <row r="5" spans="1:49" ht="15">
      <c r="A5" s="336"/>
      <c r="B5" s="341"/>
      <c r="C5" s="344" t="s">
        <v>224</v>
      </c>
      <c r="D5" s="436" t="s">
        <v>175</v>
      </c>
      <c r="E5" s="436" t="s">
        <v>178</v>
      </c>
      <c r="F5" s="436" t="s">
        <v>225</v>
      </c>
      <c r="G5" s="436" t="s">
        <v>226</v>
      </c>
      <c r="H5" s="436" t="s">
        <v>227</v>
      </c>
      <c r="I5" s="436" t="s">
        <v>228</v>
      </c>
      <c r="J5" s="436" t="s">
        <v>229</v>
      </c>
      <c r="K5" s="436" t="s">
        <v>230</v>
      </c>
      <c r="M5" s="347" t="s">
        <v>231</v>
      </c>
      <c r="N5" s="347" t="s">
        <v>232</v>
      </c>
      <c r="O5" s="347" t="s">
        <v>233</v>
      </c>
      <c r="P5" s="347" t="s">
        <v>234</v>
      </c>
      <c r="Q5" s="347" t="s">
        <v>235</v>
      </c>
      <c r="R5" s="347" t="s">
        <v>236</v>
      </c>
      <c r="S5" s="347" t="s">
        <v>237</v>
      </c>
      <c r="T5" s="347" t="s">
        <v>238</v>
      </c>
      <c r="U5" s="347" t="s">
        <v>239</v>
      </c>
      <c r="V5" s="347" t="s">
        <v>240</v>
      </c>
      <c r="W5" s="347" t="s">
        <v>241</v>
      </c>
      <c r="X5" s="347" t="s">
        <v>242</v>
      </c>
      <c r="Y5" s="343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  <c r="AL5" s="336"/>
      <c r="AM5" s="336"/>
      <c r="AN5" s="336"/>
      <c r="AO5" s="336"/>
      <c r="AP5" s="336"/>
      <c r="AQ5" s="336"/>
      <c r="AR5" s="336"/>
      <c r="AS5" s="336"/>
      <c r="AT5" s="336"/>
      <c r="AU5" s="336"/>
      <c r="AV5" s="336"/>
      <c r="AW5" s="336"/>
    </row>
    <row r="6" spans="1:49">
      <c r="A6" s="336"/>
      <c r="B6" s="341"/>
      <c r="D6" s="436"/>
      <c r="E6" s="436"/>
      <c r="F6" s="436"/>
      <c r="G6" s="436"/>
      <c r="H6" s="436"/>
      <c r="I6" s="436"/>
      <c r="J6" s="436"/>
      <c r="K6" s="436"/>
      <c r="Y6" s="343"/>
      <c r="Z6" s="336"/>
      <c r="AA6" s="336"/>
      <c r="AB6" s="336"/>
      <c r="AC6" s="336"/>
      <c r="AD6" s="336"/>
      <c r="AE6" s="336"/>
      <c r="AF6" s="336"/>
      <c r="AG6" s="336"/>
      <c r="AH6" s="336"/>
      <c r="AI6" s="336"/>
      <c r="AJ6" s="336"/>
      <c r="AK6" s="336"/>
      <c r="AL6" s="336"/>
      <c r="AM6" s="336"/>
      <c r="AN6" s="336"/>
      <c r="AO6" s="336"/>
      <c r="AP6" s="336"/>
      <c r="AQ6" s="336"/>
      <c r="AR6" s="336"/>
      <c r="AS6" s="336"/>
      <c r="AT6" s="336"/>
      <c r="AU6" s="336"/>
      <c r="AV6" s="336"/>
      <c r="AW6" s="336"/>
    </row>
    <row r="7" spans="1:49" ht="14">
      <c r="A7" s="336"/>
      <c r="B7" s="341"/>
      <c r="C7" s="344" t="s">
        <v>252</v>
      </c>
      <c r="D7" s="346"/>
      <c r="E7" s="346"/>
      <c r="F7" s="346"/>
      <c r="G7" s="346"/>
      <c r="H7" s="346"/>
      <c r="I7" s="346"/>
      <c r="J7" s="346"/>
      <c r="K7" s="346"/>
      <c r="M7" s="348"/>
      <c r="N7" s="348"/>
      <c r="O7" s="348"/>
      <c r="P7" s="348"/>
      <c r="Q7" s="348"/>
      <c r="R7" s="348"/>
      <c r="S7" s="348"/>
      <c r="T7" s="348"/>
      <c r="U7" s="348"/>
      <c r="V7" s="348"/>
      <c r="W7" s="348"/>
      <c r="X7" s="348"/>
      <c r="Y7" s="343"/>
      <c r="Z7" s="336"/>
      <c r="AA7" s="336"/>
      <c r="AB7" s="336"/>
      <c r="AC7" s="336"/>
      <c r="AD7" s="336"/>
      <c r="AE7" s="336"/>
      <c r="AF7" s="336"/>
      <c r="AG7" s="336"/>
      <c r="AH7" s="336"/>
      <c r="AI7" s="336"/>
      <c r="AJ7" s="336"/>
      <c r="AK7" s="336"/>
      <c r="AL7" s="336"/>
      <c r="AM7" s="336"/>
      <c r="AN7" s="336"/>
      <c r="AO7" s="336"/>
      <c r="AP7" s="336"/>
      <c r="AQ7" s="336"/>
      <c r="AR7" s="336"/>
      <c r="AS7" s="336"/>
      <c r="AT7" s="336"/>
      <c r="AU7" s="336"/>
      <c r="AV7" s="336"/>
      <c r="AW7" s="336"/>
    </row>
    <row r="8" spans="1:49">
      <c r="A8" s="336"/>
      <c r="B8" s="341"/>
      <c r="D8" s="346"/>
      <c r="E8" s="346"/>
      <c r="F8" s="346"/>
      <c r="G8" s="346"/>
      <c r="H8" s="346"/>
      <c r="I8" s="346"/>
      <c r="J8" s="346"/>
      <c r="K8" s="346"/>
      <c r="Y8" s="343"/>
      <c r="Z8" s="336"/>
      <c r="AA8" s="336"/>
      <c r="AB8" s="336"/>
      <c r="AC8" s="336"/>
      <c r="AD8" s="336"/>
      <c r="AE8" s="336"/>
      <c r="AF8" s="336"/>
      <c r="AG8" s="336"/>
      <c r="AH8" s="336"/>
      <c r="AI8" s="336"/>
      <c r="AJ8" s="336"/>
      <c r="AK8" s="336"/>
      <c r="AL8" s="336"/>
      <c r="AM8" s="336"/>
      <c r="AN8" s="336"/>
      <c r="AO8" s="336"/>
      <c r="AP8" s="336"/>
      <c r="AQ8" s="336"/>
      <c r="AR8" s="336"/>
      <c r="AS8" s="336"/>
      <c r="AT8" s="336"/>
      <c r="AU8" s="336"/>
      <c r="AV8" s="336"/>
      <c r="AW8" s="336"/>
    </row>
    <row r="9" spans="1:49">
      <c r="A9" s="336"/>
      <c r="B9" s="341"/>
      <c r="D9" s="346"/>
      <c r="E9" s="346"/>
      <c r="F9" s="346"/>
      <c r="G9" s="346"/>
      <c r="H9" s="346"/>
      <c r="I9" s="346"/>
      <c r="J9" s="346"/>
      <c r="K9" s="346"/>
      <c r="M9" s="349" t="s">
        <v>253</v>
      </c>
      <c r="N9" s="349" t="s">
        <v>253</v>
      </c>
      <c r="O9" s="349" t="s">
        <v>254</v>
      </c>
      <c r="P9" s="349" t="s">
        <v>255</v>
      </c>
      <c r="Q9" s="349" t="s">
        <v>256</v>
      </c>
      <c r="R9" s="349" t="s">
        <v>257</v>
      </c>
      <c r="S9" s="349" t="s">
        <v>258</v>
      </c>
      <c r="T9" s="349" t="s">
        <v>259</v>
      </c>
      <c r="U9" s="349" t="s">
        <v>260</v>
      </c>
      <c r="V9" s="349" t="s">
        <v>261</v>
      </c>
      <c r="W9" s="349" t="s">
        <v>262</v>
      </c>
      <c r="X9" s="349" t="s">
        <v>362</v>
      </c>
      <c r="Y9" s="343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6"/>
      <c r="AU9" s="336"/>
      <c r="AV9" s="336"/>
      <c r="AW9" s="336"/>
    </row>
    <row r="10" spans="1:49">
      <c r="A10" s="336"/>
      <c r="B10" s="341"/>
      <c r="D10" s="346"/>
      <c r="E10" s="346"/>
      <c r="F10" s="346"/>
      <c r="G10" s="346"/>
      <c r="H10" s="346"/>
      <c r="I10" s="346"/>
      <c r="J10" s="346"/>
      <c r="K10" s="346"/>
      <c r="M10" s="350" t="s">
        <v>264</v>
      </c>
      <c r="N10" s="350" t="s">
        <v>264</v>
      </c>
      <c r="O10" s="350" t="s">
        <v>264</v>
      </c>
      <c r="P10" s="350" t="s">
        <v>264</v>
      </c>
      <c r="Q10" s="350" t="s">
        <v>264</v>
      </c>
      <c r="R10" s="350" t="s">
        <v>264</v>
      </c>
      <c r="S10" s="350" t="s">
        <v>264</v>
      </c>
      <c r="T10" s="350" t="s">
        <v>264</v>
      </c>
      <c r="U10" s="350" t="s">
        <v>264</v>
      </c>
      <c r="V10" s="350" t="s">
        <v>264</v>
      </c>
      <c r="W10" s="350" t="s">
        <v>264</v>
      </c>
      <c r="X10" s="350" t="s">
        <v>264</v>
      </c>
      <c r="Y10" s="343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336"/>
      <c r="AU10" s="336"/>
      <c r="AV10" s="336"/>
      <c r="AW10" s="336"/>
    </row>
    <row r="11" spans="1:49" ht="14">
      <c r="A11" s="336"/>
      <c r="B11" s="341"/>
      <c r="C11" s="351" t="s">
        <v>363</v>
      </c>
      <c r="D11" s="352" t="str">
        <f t="shared" ref="D11:D74" si="0">IF(COUNT(L11:X11)&gt;0,MEDIAN(L11:X11),"")</f>
        <v/>
      </c>
      <c r="E11" s="352" t="str">
        <f t="shared" ref="E11:E74" si="1">IF(COUNT(L11:X11)&gt;0,AVERAGE(L11:X11),"")</f>
        <v/>
      </c>
      <c r="F11" s="352" t="str">
        <f t="shared" ref="F11:F74" si="2">IF(COUNT(L11:X11)&gt;0,MIN(L11:X11),"")</f>
        <v/>
      </c>
      <c r="G11" s="352" t="str">
        <f t="shared" ref="G11:G74" si="3">IF(COUNT(L11:X11)&gt;0,MAX(L11:X11),"")</f>
        <v/>
      </c>
      <c r="H11" s="352" t="str">
        <f t="shared" ref="H11:H74" si="4">IF(COUNT(L11:X11)&gt;0,QUARTILE(L11:X11,1),"")</f>
        <v/>
      </c>
      <c r="I11" s="352" t="str">
        <f t="shared" ref="I11:I74" si="5">IF(COUNT(L11:X11)&gt;0,QUARTILE(L11:X11,3),"")</f>
        <v/>
      </c>
      <c r="J11" s="352" t="str">
        <f t="shared" ref="J11:J74" si="6">IF(COUNT(L11:X11)&gt;1,STDEV(L11:X11),"")</f>
        <v/>
      </c>
      <c r="K11" s="353" t="str">
        <f t="shared" ref="K11:K74" si="7">IF(COUNT(L11:X11)&gt;1,STDEV(L11:X11)/AVERAGE(L11:X11),"")</f>
        <v/>
      </c>
      <c r="L11" s="346"/>
      <c r="M11" s="352"/>
      <c r="N11" s="352"/>
      <c r="O11" s="352"/>
      <c r="P11" s="352"/>
      <c r="Q11" s="352"/>
      <c r="R11" s="352"/>
      <c r="S11" s="352"/>
      <c r="T11" s="352"/>
      <c r="U11" s="352"/>
      <c r="V11" s="352"/>
      <c r="W11" s="352"/>
      <c r="X11" s="352"/>
      <c r="Y11" s="343"/>
      <c r="Z11" s="336"/>
      <c r="AA11" s="336"/>
      <c r="AB11" s="336"/>
      <c r="AC11" s="336"/>
      <c r="AD11" s="336"/>
      <c r="AE11" s="336"/>
      <c r="AF11" s="336"/>
      <c r="AG11" s="336"/>
      <c r="AH11" s="336"/>
      <c r="AI11" s="336"/>
      <c r="AJ11" s="336"/>
      <c r="AK11" s="336"/>
      <c r="AL11" s="336"/>
      <c r="AM11" s="336"/>
      <c r="AN11" s="336"/>
      <c r="AO11" s="336"/>
      <c r="AP11" s="336"/>
      <c r="AQ11" s="336"/>
      <c r="AR11" s="336"/>
      <c r="AS11" s="336"/>
      <c r="AT11" s="336"/>
      <c r="AU11" s="336"/>
      <c r="AV11" s="336"/>
      <c r="AW11" s="336"/>
    </row>
    <row r="12" spans="1:49" ht="14" outlineLevel="1">
      <c r="A12" s="336"/>
      <c r="B12" s="341"/>
      <c r="C12" s="354" t="s">
        <v>364</v>
      </c>
      <c r="D12" s="355" t="str">
        <f t="shared" si="0"/>
        <v/>
      </c>
      <c r="E12" s="355" t="str">
        <f t="shared" si="1"/>
        <v/>
      </c>
      <c r="F12" s="355" t="str">
        <f t="shared" si="2"/>
        <v/>
      </c>
      <c r="G12" s="355" t="str">
        <f t="shared" si="3"/>
        <v/>
      </c>
      <c r="H12" s="355" t="str">
        <f t="shared" si="4"/>
        <v/>
      </c>
      <c r="I12" s="355" t="str">
        <f t="shared" si="5"/>
        <v/>
      </c>
      <c r="J12" s="355" t="str">
        <f t="shared" si="6"/>
        <v/>
      </c>
      <c r="K12" s="356" t="str">
        <f t="shared" si="7"/>
        <v/>
      </c>
      <c r="M12" s="357"/>
      <c r="N12" s="357"/>
      <c r="O12" s="357"/>
      <c r="P12" s="357"/>
      <c r="Q12" s="357"/>
      <c r="R12" s="357"/>
      <c r="S12" s="357"/>
      <c r="T12" s="357"/>
      <c r="U12" s="357"/>
      <c r="V12" s="357"/>
      <c r="W12" s="357"/>
      <c r="X12" s="357"/>
      <c r="Y12" s="343"/>
      <c r="Z12" s="336"/>
      <c r="AA12" s="336"/>
      <c r="AB12" s="336"/>
      <c r="AC12" s="336"/>
      <c r="AD12" s="336"/>
      <c r="AE12" s="336"/>
      <c r="AF12" s="336"/>
      <c r="AG12" s="336"/>
      <c r="AH12" s="336"/>
      <c r="AI12" s="336"/>
      <c r="AJ12" s="336"/>
      <c r="AK12" s="336"/>
      <c r="AL12" s="336"/>
      <c r="AM12" s="336"/>
      <c r="AN12" s="336"/>
      <c r="AO12" s="336"/>
      <c r="AP12" s="336"/>
      <c r="AQ12" s="336"/>
      <c r="AR12" s="336"/>
      <c r="AS12" s="336"/>
      <c r="AT12" s="336"/>
      <c r="AU12" s="336"/>
      <c r="AV12" s="336"/>
      <c r="AW12" s="336"/>
    </row>
    <row r="13" spans="1:49" ht="14" outlineLevel="2">
      <c r="A13" s="336"/>
      <c r="B13" s="341"/>
      <c r="C13" s="354" t="s">
        <v>365</v>
      </c>
      <c r="D13" s="355" t="str">
        <f t="shared" si="0"/>
        <v/>
      </c>
      <c r="E13" s="355" t="str">
        <f t="shared" si="1"/>
        <v/>
      </c>
      <c r="F13" s="355" t="str">
        <f t="shared" si="2"/>
        <v/>
      </c>
      <c r="G13" s="355" t="str">
        <f t="shared" si="3"/>
        <v/>
      </c>
      <c r="H13" s="355" t="str">
        <f t="shared" si="4"/>
        <v/>
      </c>
      <c r="I13" s="355" t="str">
        <f t="shared" si="5"/>
        <v/>
      </c>
      <c r="J13" s="355" t="str">
        <f t="shared" si="6"/>
        <v/>
      </c>
      <c r="K13" s="356" t="str">
        <f t="shared" si="7"/>
        <v/>
      </c>
      <c r="M13" s="357"/>
      <c r="N13" s="357"/>
      <c r="O13" s="357"/>
      <c r="P13" s="357"/>
      <c r="Q13" s="357"/>
      <c r="R13" s="357"/>
      <c r="S13" s="357"/>
      <c r="T13" s="357"/>
      <c r="U13" s="357"/>
      <c r="V13" s="357"/>
      <c r="W13" s="357"/>
      <c r="X13" s="357"/>
      <c r="Y13" s="343"/>
      <c r="Z13" s="336"/>
      <c r="AA13" s="336"/>
      <c r="AB13" s="336"/>
      <c r="AC13" s="336"/>
      <c r="AD13" s="336"/>
      <c r="AE13" s="336"/>
      <c r="AF13" s="336"/>
      <c r="AG13" s="336"/>
      <c r="AH13" s="336"/>
      <c r="AI13" s="336"/>
      <c r="AJ13" s="336"/>
      <c r="AK13" s="336"/>
      <c r="AL13" s="336"/>
      <c r="AM13" s="336"/>
      <c r="AN13" s="336"/>
      <c r="AO13" s="336"/>
      <c r="AP13" s="336"/>
      <c r="AQ13" s="336"/>
      <c r="AR13" s="336"/>
      <c r="AS13" s="336"/>
      <c r="AT13" s="336"/>
      <c r="AU13" s="336"/>
      <c r="AV13" s="336"/>
      <c r="AW13" s="336"/>
    </row>
    <row r="14" spans="1:49" ht="14" outlineLevel="3">
      <c r="A14" s="336"/>
      <c r="B14" s="341"/>
      <c r="C14" s="354" t="s">
        <v>366</v>
      </c>
      <c r="D14" s="355">
        <f t="shared" si="0"/>
        <v>282636.5</v>
      </c>
      <c r="E14" s="355">
        <f t="shared" si="1"/>
        <v>245780.58333333334</v>
      </c>
      <c r="F14" s="355">
        <f t="shared" si="2"/>
        <v>31267</v>
      </c>
      <c r="G14" s="355">
        <f t="shared" si="3"/>
        <v>545909</v>
      </c>
      <c r="H14" s="355">
        <f t="shared" si="4"/>
        <v>42566.5</v>
      </c>
      <c r="I14" s="355">
        <f t="shared" si="5"/>
        <v>416444</v>
      </c>
      <c r="J14" s="355">
        <f t="shared" si="6"/>
        <v>187956.19100807811</v>
      </c>
      <c r="K14" s="356">
        <f t="shared" si="7"/>
        <v>0.76473164990892528</v>
      </c>
      <c r="M14" s="357">
        <v>293150</v>
      </c>
      <c r="N14" s="357">
        <v>275842</v>
      </c>
      <c r="O14" s="357">
        <v>409840</v>
      </c>
      <c r="P14" s="357">
        <v>545909</v>
      </c>
      <c r="Q14" s="357">
        <v>439478</v>
      </c>
      <c r="R14" s="357">
        <v>436256</v>
      </c>
      <c r="S14" s="357">
        <v>289431</v>
      </c>
      <c r="T14" s="357">
        <v>113080</v>
      </c>
      <c r="U14" s="357">
        <v>40393</v>
      </c>
      <c r="V14" s="357">
        <v>31430</v>
      </c>
      <c r="W14" s="357">
        <v>43291</v>
      </c>
      <c r="X14" s="357">
        <v>31267</v>
      </c>
      <c r="Y14" s="343"/>
      <c r="Z14" s="336"/>
      <c r="AA14" s="336"/>
      <c r="AB14" s="336"/>
      <c r="AC14" s="336"/>
      <c r="AD14" s="336"/>
      <c r="AE14" s="336"/>
      <c r="AF14" s="336"/>
      <c r="AG14" s="336"/>
      <c r="AH14" s="336"/>
      <c r="AI14" s="336"/>
      <c r="AJ14" s="336"/>
      <c r="AK14" s="336"/>
      <c r="AL14" s="336"/>
      <c r="AM14" s="336"/>
      <c r="AN14" s="336"/>
      <c r="AO14" s="336"/>
      <c r="AP14" s="336"/>
      <c r="AQ14" s="336"/>
      <c r="AR14" s="336"/>
      <c r="AS14" s="336"/>
      <c r="AT14" s="336"/>
      <c r="AU14" s="336"/>
      <c r="AV14" s="336"/>
      <c r="AW14" s="336"/>
    </row>
    <row r="15" spans="1:49" ht="14" outlineLevel="3">
      <c r="A15" s="336"/>
      <c r="B15" s="341"/>
      <c r="C15" s="354" t="s">
        <v>367</v>
      </c>
      <c r="D15" s="355" t="str">
        <f t="shared" si="0"/>
        <v/>
      </c>
      <c r="E15" s="355" t="str">
        <f t="shared" si="1"/>
        <v/>
      </c>
      <c r="F15" s="355" t="str">
        <f t="shared" si="2"/>
        <v/>
      </c>
      <c r="G15" s="355" t="str">
        <f t="shared" si="3"/>
        <v/>
      </c>
      <c r="H15" s="355" t="str">
        <f t="shared" si="4"/>
        <v/>
      </c>
      <c r="I15" s="355" t="str">
        <f t="shared" si="5"/>
        <v/>
      </c>
      <c r="J15" s="355" t="str">
        <f t="shared" si="6"/>
        <v/>
      </c>
      <c r="K15" s="356" t="str">
        <f t="shared" si="7"/>
        <v/>
      </c>
      <c r="M15" s="357"/>
      <c r="N15" s="357"/>
      <c r="O15" s="357"/>
      <c r="P15" s="357"/>
      <c r="Q15" s="357"/>
      <c r="R15" s="357"/>
      <c r="S15" s="357"/>
      <c r="T15" s="357"/>
      <c r="U15" s="357"/>
      <c r="V15" s="357"/>
      <c r="W15" s="357"/>
      <c r="X15" s="357"/>
      <c r="Y15" s="343"/>
      <c r="Z15" s="336"/>
      <c r="AA15" s="336"/>
      <c r="AB15" s="336"/>
      <c r="AC15" s="336"/>
      <c r="AD15" s="336"/>
      <c r="AE15" s="336"/>
      <c r="AF15" s="336"/>
      <c r="AG15" s="336"/>
      <c r="AH15" s="336"/>
      <c r="AI15" s="336"/>
      <c r="AJ15" s="336"/>
      <c r="AK15" s="336"/>
      <c r="AL15" s="336"/>
      <c r="AM15" s="336"/>
      <c r="AN15" s="336"/>
      <c r="AO15" s="336"/>
      <c r="AP15" s="336"/>
      <c r="AQ15" s="336"/>
      <c r="AR15" s="336"/>
      <c r="AS15" s="336"/>
      <c r="AT15" s="336"/>
      <c r="AU15" s="336"/>
      <c r="AV15" s="336"/>
      <c r="AW15" s="336"/>
    </row>
    <row r="16" spans="1:49" ht="14" outlineLevel="4">
      <c r="A16" s="336"/>
      <c r="B16" s="341"/>
      <c r="C16" s="354" t="s">
        <v>368</v>
      </c>
      <c r="D16" s="355">
        <f t="shared" si="0"/>
        <v>74901</v>
      </c>
      <c r="E16" s="355">
        <f t="shared" si="1"/>
        <v>63021.333333333336</v>
      </c>
      <c r="F16" s="355">
        <f t="shared" si="2"/>
        <v>0</v>
      </c>
      <c r="G16" s="355">
        <f t="shared" si="3"/>
        <v>114163</v>
      </c>
      <c r="H16" s="355">
        <f t="shared" si="4"/>
        <v>37450.5</v>
      </c>
      <c r="I16" s="355">
        <f t="shared" si="5"/>
        <v>94532</v>
      </c>
      <c r="J16" s="355">
        <f t="shared" si="6"/>
        <v>58001.228455381293</v>
      </c>
      <c r="K16" s="356">
        <f t="shared" si="7"/>
        <v>0.92034276946506932</v>
      </c>
      <c r="M16" s="357">
        <v>114163</v>
      </c>
      <c r="N16" s="357">
        <v>74901</v>
      </c>
      <c r="O16" s="357">
        <v>0</v>
      </c>
      <c r="P16" s="357"/>
      <c r="Q16" s="357"/>
      <c r="R16" s="357"/>
      <c r="S16" s="357"/>
      <c r="T16" s="357"/>
      <c r="U16" s="357"/>
      <c r="V16" s="357"/>
      <c r="W16" s="357"/>
      <c r="X16" s="357"/>
      <c r="Y16" s="343"/>
      <c r="Z16" s="336"/>
      <c r="AA16" s="336"/>
      <c r="AB16" s="336"/>
      <c r="AC16" s="336"/>
      <c r="AD16" s="336"/>
      <c r="AE16" s="336"/>
      <c r="AF16" s="336"/>
      <c r="AG16" s="336"/>
      <c r="AH16" s="336"/>
      <c r="AI16" s="336"/>
      <c r="AJ16" s="336"/>
      <c r="AK16" s="336"/>
      <c r="AL16" s="336"/>
      <c r="AM16" s="336"/>
      <c r="AN16" s="336"/>
      <c r="AO16" s="336"/>
      <c r="AP16" s="336"/>
      <c r="AQ16" s="336"/>
      <c r="AR16" s="336"/>
      <c r="AS16" s="336"/>
      <c r="AT16" s="336"/>
      <c r="AU16" s="336"/>
      <c r="AV16" s="336"/>
      <c r="AW16" s="336"/>
    </row>
    <row r="17" spans="1:49" ht="14" outlineLevel="4">
      <c r="A17" s="336"/>
      <c r="B17" s="341"/>
      <c r="C17" s="358" t="s">
        <v>369</v>
      </c>
      <c r="D17" s="359">
        <f t="shared" si="0"/>
        <v>74901</v>
      </c>
      <c r="E17" s="359">
        <f t="shared" si="1"/>
        <v>63021.333333333336</v>
      </c>
      <c r="F17" s="359">
        <f t="shared" si="2"/>
        <v>0</v>
      </c>
      <c r="G17" s="359">
        <f t="shared" si="3"/>
        <v>114163</v>
      </c>
      <c r="H17" s="359">
        <f t="shared" si="4"/>
        <v>37450.5</v>
      </c>
      <c r="I17" s="359">
        <f t="shared" si="5"/>
        <v>94532</v>
      </c>
      <c r="J17" s="359">
        <f t="shared" si="6"/>
        <v>58001.228455381293</v>
      </c>
      <c r="K17" s="360">
        <f t="shared" si="7"/>
        <v>0.92034276946506932</v>
      </c>
      <c r="L17" s="339"/>
      <c r="M17" s="361">
        <v>114163</v>
      </c>
      <c r="N17" s="361">
        <v>74901</v>
      </c>
      <c r="O17" s="361">
        <v>0</v>
      </c>
      <c r="P17" s="361"/>
      <c r="Q17" s="361"/>
      <c r="R17" s="361"/>
      <c r="S17" s="361"/>
      <c r="T17" s="361"/>
      <c r="U17" s="361"/>
      <c r="V17" s="361"/>
      <c r="W17" s="361"/>
      <c r="X17" s="361"/>
      <c r="Y17" s="343"/>
      <c r="Z17" s="336"/>
      <c r="AA17" s="336"/>
      <c r="AB17" s="336"/>
      <c r="AC17" s="336"/>
      <c r="AD17" s="336"/>
      <c r="AE17" s="336"/>
      <c r="AF17" s="336"/>
      <c r="AG17" s="336"/>
      <c r="AH17" s="336"/>
      <c r="AI17" s="336"/>
      <c r="AJ17" s="336"/>
      <c r="AK17" s="336"/>
      <c r="AL17" s="336"/>
      <c r="AM17" s="336"/>
      <c r="AN17" s="336"/>
      <c r="AO17" s="336"/>
      <c r="AP17" s="336"/>
      <c r="AQ17" s="336"/>
      <c r="AR17" s="336"/>
      <c r="AS17" s="336"/>
      <c r="AT17" s="336"/>
      <c r="AU17" s="336"/>
      <c r="AV17" s="336"/>
      <c r="AW17" s="336"/>
    </row>
    <row r="18" spans="1:49" ht="14" outlineLevel="3">
      <c r="A18" s="336"/>
      <c r="B18" s="341"/>
      <c r="C18" s="358" t="s">
        <v>370</v>
      </c>
      <c r="D18" s="359">
        <f t="shared" si="0"/>
        <v>320087</v>
      </c>
      <c r="E18" s="359">
        <f t="shared" si="1"/>
        <v>261535.91666666666</v>
      </c>
      <c r="F18" s="359">
        <f t="shared" si="2"/>
        <v>31267</v>
      </c>
      <c r="G18" s="359">
        <f t="shared" si="3"/>
        <v>545909</v>
      </c>
      <c r="H18" s="359">
        <f t="shared" si="4"/>
        <v>42566.5</v>
      </c>
      <c r="I18" s="359">
        <f t="shared" si="5"/>
        <v>416444</v>
      </c>
      <c r="J18" s="359">
        <f t="shared" si="6"/>
        <v>195305.43466788271</v>
      </c>
      <c r="K18" s="360">
        <f t="shared" si="7"/>
        <v>0.74676334003028666</v>
      </c>
      <c r="L18" s="339"/>
      <c r="M18" s="361">
        <v>407313</v>
      </c>
      <c r="N18" s="361">
        <v>350743</v>
      </c>
      <c r="O18" s="361">
        <v>409840</v>
      </c>
      <c r="P18" s="361">
        <v>545909</v>
      </c>
      <c r="Q18" s="361">
        <v>439478</v>
      </c>
      <c r="R18" s="361">
        <v>436256</v>
      </c>
      <c r="S18" s="361">
        <v>289431</v>
      </c>
      <c r="T18" s="361">
        <v>113080</v>
      </c>
      <c r="U18" s="361">
        <v>40393</v>
      </c>
      <c r="V18" s="361">
        <v>31430</v>
      </c>
      <c r="W18" s="361">
        <v>43291</v>
      </c>
      <c r="X18" s="361">
        <v>31267</v>
      </c>
      <c r="Y18" s="343"/>
      <c r="Z18" s="336"/>
      <c r="AA18" s="336"/>
      <c r="AB18" s="336"/>
      <c r="AC18" s="336"/>
      <c r="AD18" s="336"/>
      <c r="AE18" s="336"/>
      <c r="AF18" s="336"/>
      <c r="AG18" s="336"/>
      <c r="AH18" s="336"/>
      <c r="AI18" s="336"/>
      <c r="AJ18" s="336"/>
      <c r="AK18" s="336"/>
      <c r="AL18" s="336"/>
      <c r="AM18" s="336"/>
      <c r="AN18" s="336"/>
      <c r="AO18" s="336"/>
      <c r="AP18" s="336"/>
      <c r="AQ18" s="336"/>
      <c r="AR18" s="336"/>
      <c r="AS18" s="336"/>
      <c r="AT18" s="336"/>
      <c r="AU18" s="336"/>
      <c r="AV18" s="336"/>
      <c r="AW18" s="336"/>
    </row>
    <row r="19" spans="1:49" ht="14" outlineLevel="2">
      <c r="A19" s="336"/>
      <c r="B19" s="341"/>
      <c r="C19" s="354" t="s">
        <v>371</v>
      </c>
      <c r="D19" s="355">
        <f t="shared" si="0"/>
        <v>42539</v>
      </c>
      <c r="E19" s="355">
        <f t="shared" si="1"/>
        <v>34540.818181818184</v>
      </c>
      <c r="F19" s="355">
        <f t="shared" si="2"/>
        <v>499</v>
      </c>
      <c r="G19" s="355">
        <f t="shared" si="3"/>
        <v>76322</v>
      </c>
      <c r="H19" s="355">
        <f t="shared" si="4"/>
        <v>2518</v>
      </c>
      <c r="I19" s="355">
        <f t="shared" si="5"/>
        <v>57278</v>
      </c>
      <c r="J19" s="355">
        <f t="shared" si="6"/>
        <v>28460.131738339449</v>
      </c>
      <c r="K19" s="356">
        <f t="shared" si="7"/>
        <v>0.82395650237725038</v>
      </c>
      <c r="M19" s="357">
        <v>56524</v>
      </c>
      <c r="N19" s="357">
        <v>46279</v>
      </c>
      <c r="O19" s="357">
        <v>62659</v>
      </c>
      <c r="P19" s="357">
        <v>58032</v>
      </c>
      <c r="Q19" s="357">
        <v>76322</v>
      </c>
      <c r="R19" s="357">
        <v>42539</v>
      </c>
      <c r="S19" s="357">
        <v>30708</v>
      </c>
      <c r="T19" s="357">
        <v>499</v>
      </c>
      <c r="U19" s="357">
        <v>3074</v>
      </c>
      <c r="V19" s="357">
        <v>1962</v>
      </c>
      <c r="W19" s="357"/>
      <c r="X19" s="357">
        <v>1351</v>
      </c>
      <c r="Y19" s="343"/>
      <c r="Z19" s="336"/>
      <c r="AA19" s="336"/>
      <c r="AB19" s="336"/>
      <c r="AC19" s="336"/>
      <c r="AD19" s="336"/>
      <c r="AE19" s="336"/>
      <c r="AF19" s="336"/>
      <c r="AG19" s="336"/>
      <c r="AH19" s="336"/>
      <c r="AI19" s="336"/>
      <c r="AJ19" s="336"/>
      <c r="AK19" s="336"/>
      <c r="AL19" s="336"/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</row>
    <row r="20" spans="1:49" ht="14" outlineLevel="2">
      <c r="A20" s="336"/>
      <c r="B20" s="341"/>
      <c r="C20" s="354" t="s">
        <v>372</v>
      </c>
      <c r="D20" s="355">
        <f t="shared" si="0"/>
        <v>2852</v>
      </c>
      <c r="E20" s="355">
        <f t="shared" si="1"/>
        <v>3168.5</v>
      </c>
      <c r="F20" s="355">
        <f t="shared" si="2"/>
        <v>473</v>
      </c>
      <c r="G20" s="355">
        <f t="shared" si="3"/>
        <v>6146</v>
      </c>
      <c r="H20" s="355">
        <f t="shared" si="4"/>
        <v>1640.25</v>
      </c>
      <c r="I20" s="355">
        <f t="shared" si="5"/>
        <v>4788.25</v>
      </c>
      <c r="J20" s="355">
        <f t="shared" si="6"/>
        <v>1926.6308558064397</v>
      </c>
      <c r="K20" s="356">
        <f t="shared" si="7"/>
        <v>0.60805771052751767</v>
      </c>
      <c r="M20" s="357">
        <v>6146</v>
      </c>
      <c r="N20" s="357">
        <v>4677</v>
      </c>
      <c r="O20" s="357">
        <v>5266</v>
      </c>
      <c r="P20" s="357">
        <v>1155</v>
      </c>
      <c r="Q20" s="357">
        <v>473</v>
      </c>
      <c r="R20" s="357">
        <v>877</v>
      </c>
      <c r="S20" s="357">
        <v>5122</v>
      </c>
      <c r="T20" s="357">
        <v>2692</v>
      </c>
      <c r="U20" s="357">
        <v>1802</v>
      </c>
      <c r="V20" s="357">
        <v>4557</v>
      </c>
      <c r="W20" s="357">
        <v>3012</v>
      </c>
      <c r="X20" s="357">
        <v>2243</v>
      </c>
      <c r="Y20" s="343"/>
      <c r="Z20" s="336"/>
      <c r="AA20" s="336"/>
      <c r="AB20" s="336"/>
      <c r="AC20" s="336"/>
      <c r="AD20" s="336"/>
      <c r="AE20" s="336"/>
      <c r="AF20" s="336"/>
      <c r="AG20" s="336"/>
      <c r="AH20" s="336"/>
      <c r="AI20" s="336"/>
      <c r="AJ20" s="336"/>
      <c r="AK20" s="336"/>
      <c r="AL20" s="336"/>
      <c r="AM20" s="336"/>
      <c r="AN20" s="336"/>
      <c r="AO20" s="336"/>
      <c r="AP20" s="336"/>
      <c r="AQ20" s="336"/>
      <c r="AR20" s="336"/>
      <c r="AS20" s="336"/>
      <c r="AT20" s="336"/>
      <c r="AU20" s="336"/>
      <c r="AV20" s="336"/>
      <c r="AW20" s="336"/>
    </row>
    <row r="21" spans="1:49" ht="14" outlineLevel="2">
      <c r="A21" s="336"/>
      <c r="B21" s="341"/>
      <c r="C21" s="354" t="s">
        <v>373</v>
      </c>
      <c r="D21" s="355" t="str">
        <f t="shared" si="0"/>
        <v/>
      </c>
      <c r="E21" s="355" t="str">
        <f t="shared" si="1"/>
        <v/>
      </c>
      <c r="F21" s="355" t="str">
        <f t="shared" si="2"/>
        <v/>
      </c>
      <c r="G21" s="355" t="str">
        <f t="shared" si="3"/>
        <v/>
      </c>
      <c r="H21" s="355" t="str">
        <f t="shared" si="4"/>
        <v/>
      </c>
      <c r="I21" s="355" t="str">
        <f t="shared" si="5"/>
        <v/>
      </c>
      <c r="J21" s="355" t="str">
        <f t="shared" si="6"/>
        <v/>
      </c>
      <c r="K21" s="356" t="str">
        <f t="shared" si="7"/>
        <v/>
      </c>
      <c r="M21" s="357"/>
      <c r="N21" s="357"/>
      <c r="O21" s="357"/>
      <c r="P21" s="357"/>
      <c r="Q21" s="357"/>
      <c r="R21" s="357"/>
      <c r="S21" s="357"/>
      <c r="T21" s="357"/>
      <c r="U21" s="357"/>
      <c r="V21" s="357"/>
      <c r="W21" s="357"/>
      <c r="X21" s="357"/>
      <c r="Y21" s="343"/>
      <c r="Z21" s="336"/>
      <c r="AA21" s="336"/>
      <c r="AB21" s="336"/>
      <c r="AC21" s="336"/>
      <c r="AD21" s="336"/>
      <c r="AE21" s="336"/>
      <c r="AF21" s="336"/>
      <c r="AG21" s="336"/>
      <c r="AH21" s="336"/>
      <c r="AI21" s="336"/>
      <c r="AJ21" s="336"/>
      <c r="AK21" s="336"/>
      <c r="AL21" s="336"/>
      <c r="AM21" s="336"/>
      <c r="AN21" s="336"/>
      <c r="AO21" s="336"/>
      <c r="AP21" s="336"/>
      <c r="AQ21" s="336"/>
      <c r="AR21" s="336"/>
      <c r="AS21" s="336"/>
      <c r="AT21" s="336"/>
      <c r="AU21" s="336"/>
      <c r="AV21" s="336"/>
      <c r="AW21" s="336"/>
    </row>
    <row r="22" spans="1:49" ht="14" outlineLevel="3">
      <c r="A22" s="336"/>
      <c r="B22" s="341"/>
      <c r="C22" s="354" t="s">
        <v>374</v>
      </c>
      <c r="D22" s="355" t="str">
        <f t="shared" si="0"/>
        <v/>
      </c>
      <c r="E22" s="355" t="str">
        <f t="shared" si="1"/>
        <v/>
      </c>
      <c r="F22" s="355" t="str">
        <f t="shared" si="2"/>
        <v/>
      </c>
      <c r="G22" s="355" t="str">
        <f t="shared" si="3"/>
        <v/>
      </c>
      <c r="H22" s="355" t="str">
        <f t="shared" si="4"/>
        <v/>
      </c>
      <c r="I22" s="355" t="str">
        <f t="shared" si="5"/>
        <v/>
      </c>
      <c r="J22" s="355" t="str">
        <f t="shared" si="6"/>
        <v/>
      </c>
      <c r="K22" s="356" t="str">
        <f t="shared" si="7"/>
        <v/>
      </c>
      <c r="M22" s="357"/>
      <c r="N22" s="357"/>
      <c r="O22" s="357"/>
      <c r="P22" s="357"/>
      <c r="Q22" s="357"/>
      <c r="R22" s="357"/>
      <c r="S22" s="357"/>
      <c r="T22" s="357"/>
      <c r="U22" s="357"/>
      <c r="V22" s="357"/>
      <c r="W22" s="357"/>
      <c r="X22" s="357"/>
      <c r="Y22" s="343"/>
      <c r="Z22" s="336"/>
      <c r="AA22" s="336"/>
      <c r="AB22" s="336"/>
      <c r="AC22" s="336"/>
      <c r="AD22" s="336"/>
      <c r="AE22" s="336"/>
      <c r="AF22" s="336"/>
      <c r="AG22" s="336"/>
      <c r="AH22" s="336"/>
      <c r="AI22" s="336"/>
      <c r="AJ22" s="336"/>
      <c r="AK22" s="336"/>
      <c r="AL22" s="336"/>
      <c r="AM22" s="336"/>
      <c r="AN22" s="336"/>
      <c r="AO22" s="336"/>
      <c r="AP22" s="336"/>
      <c r="AQ22" s="336"/>
      <c r="AR22" s="336"/>
      <c r="AS22" s="336"/>
      <c r="AT22" s="336"/>
      <c r="AU22" s="336"/>
      <c r="AV22" s="336"/>
      <c r="AW22" s="336"/>
    </row>
    <row r="23" spans="1:49" ht="14" outlineLevel="4">
      <c r="A23" s="336"/>
      <c r="B23" s="341"/>
      <c r="C23" s="354" t="s">
        <v>375</v>
      </c>
      <c r="D23" s="355">
        <f t="shared" si="0"/>
        <v>32432</v>
      </c>
      <c r="E23" s="355">
        <f t="shared" si="1"/>
        <v>34235.166666666664</v>
      </c>
      <c r="F23" s="355">
        <f t="shared" si="2"/>
        <v>16135</v>
      </c>
      <c r="G23" s="355">
        <f t="shared" si="3"/>
        <v>77175</v>
      </c>
      <c r="H23" s="355">
        <f t="shared" si="4"/>
        <v>19699.5</v>
      </c>
      <c r="I23" s="355">
        <f t="shared" si="5"/>
        <v>42012.25</v>
      </c>
      <c r="J23" s="355">
        <f t="shared" si="6"/>
        <v>17335.090978775512</v>
      </c>
      <c r="K23" s="356">
        <f t="shared" si="7"/>
        <v>0.50635333975616237</v>
      </c>
      <c r="M23" s="357">
        <v>77175</v>
      </c>
      <c r="N23" s="357">
        <v>41890</v>
      </c>
      <c r="O23" s="357">
        <v>46242</v>
      </c>
      <c r="P23" s="357">
        <v>27257</v>
      </c>
      <c r="Q23" s="357">
        <v>16454</v>
      </c>
      <c r="R23" s="357">
        <v>42379</v>
      </c>
      <c r="S23" s="357">
        <v>39044</v>
      </c>
      <c r="T23" s="357">
        <v>37304</v>
      </c>
      <c r="U23" s="357">
        <v>27560</v>
      </c>
      <c r="V23" s="357">
        <v>19708</v>
      </c>
      <c r="W23" s="357">
        <v>19674</v>
      </c>
      <c r="X23" s="357">
        <v>16135</v>
      </c>
      <c r="Y23" s="343"/>
      <c r="Z23" s="336"/>
      <c r="AA23" s="336"/>
      <c r="AB23" s="336"/>
      <c r="AC23" s="336"/>
      <c r="AD23" s="336"/>
      <c r="AE23" s="336"/>
      <c r="AF23" s="336"/>
      <c r="AG23" s="336"/>
      <c r="AH23" s="336"/>
      <c r="AI23" s="336"/>
      <c r="AJ23" s="336"/>
      <c r="AK23" s="336"/>
      <c r="AL23" s="336"/>
      <c r="AM23" s="336"/>
      <c r="AN23" s="336"/>
      <c r="AO23" s="336"/>
      <c r="AP23" s="336"/>
      <c r="AQ23" s="336"/>
      <c r="AR23" s="336"/>
      <c r="AS23" s="336"/>
      <c r="AT23" s="336"/>
      <c r="AU23" s="336"/>
      <c r="AV23" s="336"/>
      <c r="AW23" s="336"/>
    </row>
    <row r="24" spans="1:49" ht="14" outlineLevel="4">
      <c r="A24" s="336"/>
      <c r="B24" s="341"/>
      <c r="C24" s="354" t="s">
        <v>376</v>
      </c>
      <c r="D24" s="355">
        <f t="shared" si="0"/>
        <v>-58</v>
      </c>
      <c r="E24" s="355">
        <f t="shared" si="1"/>
        <v>-194.25</v>
      </c>
      <c r="F24" s="355">
        <f t="shared" si="2"/>
        <v>-687</v>
      </c>
      <c r="G24" s="355">
        <f t="shared" si="3"/>
        <v>0</v>
      </c>
      <c r="H24" s="355">
        <f t="shared" si="4"/>
        <v>-363.75</v>
      </c>
      <c r="I24" s="355">
        <f t="shared" si="5"/>
        <v>-5.25</v>
      </c>
      <c r="J24" s="355">
        <f t="shared" si="6"/>
        <v>255.7108185573554</v>
      </c>
      <c r="K24" s="356">
        <f t="shared" si="7"/>
        <v>-1.3164006103338759</v>
      </c>
      <c r="M24" s="357">
        <v>-30</v>
      </c>
      <c r="N24" s="357">
        <v>0</v>
      </c>
      <c r="O24" s="357">
        <v>0</v>
      </c>
      <c r="P24" s="357">
        <v>0</v>
      </c>
      <c r="Q24" s="357">
        <v>-7</v>
      </c>
      <c r="R24" s="357">
        <v>-111</v>
      </c>
      <c r="S24" s="357">
        <v>-84</v>
      </c>
      <c r="T24" s="357">
        <v>-32</v>
      </c>
      <c r="U24" s="357">
        <v>-687</v>
      </c>
      <c r="V24" s="357">
        <v>-629</v>
      </c>
      <c r="W24" s="357">
        <v>-399</v>
      </c>
      <c r="X24" s="357">
        <v>-352</v>
      </c>
      <c r="Y24" s="343"/>
      <c r="Z24" s="336"/>
      <c r="AA24" s="336"/>
      <c r="AB24" s="336"/>
      <c r="AC24" s="336"/>
      <c r="AD24" s="336"/>
      <c r="AE24" s="336"/>
      <c r="AF24" s="336"/>
      <c r="AG24" s="336"/>
      <c r="AH24" s="336"/>
      <c r="AI24" s="336"/>
      <c r="AJ24" s="336"/>
      <c r="AK24" s="336"/>
      <c r="AL24" s="336"/>
      <c r="AM24" s="336"/>
      <c r="AN24" s="336"/>
      <c r="AO24" s="336"/>
      <c r="AP24" s="336"/>
      <c r="AQ24" s="336"/>
      <c r="AR24" s="336"/>
      <c r="AS24" s="336"/>
      <c r="AT24" s="336"/>
      <c r="AU24" s="336"/>
      <c r="AV24" s="336"/>
      <c r="AW24" s="336"/>
    </row>
    <row r="25" spans="1:49" ht="14" outlineLevel="4">
      <c r="A25" s="336"/>
      <c r="B25" s="341"/>
      <c r="C25" s="358" t="s">
        <v>377</v>
      </c>
      <c r="D25" s="359">
        <f t="shared" si="0"/>
        <v>32264.5</v>
      </c>
      <c r="E25" s="359">
        <f t="shared" si="1"/>
        <v>34040.916666666664</v>
      </c>
      <c r="F25" s="359">
        <f t="shared" si="2"/>
        <v>15783</v>
      </c>
      <c r="G25" s="359">
        <f t="shared" si="3"/>
        <v>77145</v>
      </c>
      <c r="H25" s="359">
        <f t="shared" si="4"/>
        <v>19226</v>
      </c>
      <c r="I25" s="359">
        <f t="shared" si="5"/>
        <v>41984.5</v>
      </c>
      <c r="J25" s="359">
        <f t="shared" si="6"/>
        <v>17458.907465861517</v>
      </c>
      <c r="K25" s="360">
        <f t="shared" si="7"/>
        <v>0.51288006245018425</v>
      </c>
      <c r="L25" s="339"/>
      <c r="M25" s="361">
        <v>77145</v>
      </c>
      <c r="N25" s="361">
        <v>41890</v>
      </c>
      <c r="O25" s="361">
        <v>46242</v>
      </c>
      <c r="P25" s="361">
        <v>27257</v>
      </c>
      <c r="Q25" s="361">
        <v>16447</v>
      </c>
      <c r="R25" s="361">
        <v>42268</v>
      </c>
      <c r="S25" s="361">
        <v>38960</v>
      </c>
      <c r="T25" s="361">
        <v>37272</v>
      </c>
      <c r="U25" s="361">
        <v>26873</v>
      </c>
      <c r="V25" s="361">
        <v>19079</v>
      </c>
      <c r="W25" s="361">
        <v>19275</v>
      </c>
      <c r="X25" s="361">
        <v>15783</v>
      </c>
      <c r="Y25" s="343"/>
      <c r="Z25" s="336"/>
      <c r="AA25" s="336"/>
      <c r="AB25" s="336"/>
      <c r="AC25" s="336"/>
      <c r="AD25" s="336"/>
      <c r="AE25" s="336"/>
      <c r="AF25" s="336"/>
      <c r="AG25" s="336"/>
      <c r="AH25" s="336"/>
      <c r="AI25" s="336"/>
      <c r="AJ25" s="336"/>
      <c r="AK25" s="336"/>
      <c r="AL25" s="336"/>
      <c r="AM25" s="336"/>
      <c r="AN25" s="336"/>
      <c r="AO25" s="336"/>
      <c r="AP25" s="336"/>
      <c r="AQ25" s="336"/>
      <c r="AR25" s="336"/>
      <c r="AS25" s="336"/>
      <c r="AT25" s="336"/>
      <c r="AU25" s="336"/>
      <c r="AV25" s="336"/>
      <c r="AW25" s="336"/>
    </row>
    <row r="26" spans="1:49" ht="14" outlineLevel="3">
      <c r="A26" s="336"/>
      <c r="B26" s="341"/>
      <c r="C26" s="354" t="s">
        <v>378</v>
      </c>
      <c r="D26" s="355">
        <f t="shared" si="0"/>
        <v>901.5</v>
      </c>
      <c r="E26" s="355">
        <f t="shared" si="1"/>
        <v>901.5</v>
      </c>
      <c r="F26" s="355">
        <f t="shared" si="2"/>
        <v>513</v>
      </c>
      <c r="G26" s="355">
        <f t="shared" si="3"/>
        <v>1290</v>
      </c>
      <c r="H26" s="355">
        <f t="shared" si="4"/>
        <v>707.25</v>
      </c>
      <c r="I26" s="355">
        <f t="shared" si="5"/>
        <v>1095.75</v>
      </c>
      <c r="J26" s="355">
        <f t="shared" si="6"/>
        <v>549.42196898194743</v>
      </c>
      <c r="K26" s="356">
        <f t="shared" si="7"/>
        <v>0.60945309925895441</v>
      </c>
      <c r="M26" s="357"/>
      <c r="N26" s="357"/>
      <c r="O26" s="357"/>
      <c r="P26" s="357"/>
      <c r="Q26" s="357"/>
      <c r="R26" s="357"/>
      <c r="S26" s="357"/>
      <c r="T26" s="357"/>
      <c r="U26" s="357"/>
      <c r="V26" s="357"/>
      <c r="W26" s="357">
        <v>1290</v>
      </c>
      <c r="X26" s="357">
        <v>513</v>
      </c>
      <c r="Y26" s="343"/>
      <c r="Z26" s="336"/>
      <c r="AA26" s="336"/>
      <c r="AB26" s="336"/>
      <c r="AC26" s="336"/>
      <c r="AD26" s="336"/>
      <c r="AE26" s="336"/>
      <c r="AF26" s="336"/>
      <c r="AG26" s="336"/>
      <c r="AH26" s="336"/>
      <c r="AI26" s="336"/>
      <c r="AJ26" s="336"/>
      <c r="AK26" s="336"/>
      <c r="AL26" s="336"/>
      <c r="AM26" s="336"/>
      <c r="AN26" s="336"/>
      <c r="AO26" s="336"/>
      <c r="AP26" s="336"/>
      <c r="AQ26" s="336"/>
      <c r="AR26" s="336"/>
      <c r="AS26" s="336"/>
      <c r="AT26" s="336"/>
      <c r="AU26" s="336"/>
      <c r="AV26" s="336"/>
      <c r="AW26" s="336"/>
    </row>
    <row r="27" spans="1:49" ht="14" outlineLevel="3">
      <c r="A27" s="336"/>
      <c r="B27" s="341"/>
      <c r="C27" s="354" t="s">
        <v>379</v>
      </c>
      <c r="D27" s="355">
        <f t="shared" si="0"/>
        <v>4183</v>
      </c>
      <c r="E27" s="355">
        <f t="shared" si="1"/>
        <v>3994.6</v>
      </c>
      <c r="F27" s="355">
        <f t="shared" si="2"/>
        <v>0</v>
      </c>
      <c r="G27" s="355">
        <f t="shared" si="3"/>
        <v>6947</v>
      </c>
      <c r="H27" s="355">
        <f t="shared" si="4"/>
        <v>2790.5</v>
      </c>
      <c r="I27" s="355">
        <f t="shared" si="5"/>
        <v>5468.5</v>
      </c>
      <c r="J27" s="355">
        <f t="shared" si="6"/>
        <v>2339.3231309742378</v>
      </c>
      <c r="K27" s="356">
        <f t="shared" si="7"/>
        <v>0.58562137159521299</v>
      </c>
      <c r="M27" s="357">
        <v>2616</v>
      </c>
      <c r="N27" s="357">
        <v>3314</v>
      </c>
      <c r="O27" s="357">
        <v>5471</v>
      </c>
      <c r="P27" s="357">
        <v>3673</v>
      </c>
      <c r="Q27" s="357">
        <v>5461</v>
      </c>
      <c r="R27" s="357">
        <v>947</v>
      </c>
      <c r="S27" s="357">
        <v>6824</v>
      </c>
      <c r="T27" s="357">
        <v>6947</v>
      </c>
      <c r="U27" s="357">
        <v>4693</v>
      </c>
      <c r="V27" s="357">
        <v>0</v>
      </c>
      <c r="W27" s="357"/>
      <c r="X27" s="357"/>
      <c r="Y27" s="343"/>
      <c r="Z27" s="336"/>
      <c r="AA27" s="336"/>
      <c r="AB27" s="336"/>
      <c r="AC27" s="336"/>
      <c r="AD27" s="336"/>
      <c r="AE27" s="336"/>
      <c r="AF27" s="336"/>
      <c r="AG27" s="336"/>
      <c r="AH27" s="336"/>
      <c r="AI27" s="336"/>
      <c r="AJ27" s="336"/>
      <c r="AK27" s="336"/>
      <c r="AL27" s="336"/>
      <c r="AM27" s="336"/>
      <c r="AN27" s="336"/>
      <c r="AO27" s="336"/>
      <c r="AP27" s="336"/>
      <c r="AQ27" s="336"/>
      <c r="AR27" s="336"/>
      <c r="AS27" s="336"/>
      <c r="AT27" s="336"/>
      <c r="AU27" s="336"/>
      <c r="AV27" s="336"/>
      <c r="AW27" s="336"/>
    </row>
    <row r="28" spans="1:49" ht="14" outlineLevel="3">
      <c r="A28" s="336"/>
      <c r="B28" s="341"/>
      <c r="C28" s="354" t="s">
        <v>380</v>
      </c>
      <c r="D28" s="355">
        <f t="shared" si="0"/>
        <v>2864</v>
      </c>
      <c r="E28" s="355">
        <f t="shared" si="1"/>
        <v>2659.4</v>
      </c>
      <c r="F28" s="355">
        <f t="shared" si="2"/>
        <v>1141</v>
      </c>
      <c r="G28" s="355">
        <f t="shared" si="3"/>
        <v>4940</v>
      </c>
      <c r="H28" s="355">
        <f t="shared" si="4"/>
        <v>1332</v>
      </c>
      <c r="I28" s="355">
        <f t="shared" si="5"/>
        <v>3020</v>
      </c>
      <c r="J28" s="355">
        <f t="shared" si="6"/>
        <v>1536.2746499242903</v>
      </c>
      <c r="K28" s="356">
        <f t="shared" si="7"/>
        <v>0.57767716399349112</v>
      </c>
      <c r="M28" s="357"/>
      <c r="N28" s="357"/>
      <c r="O28" s="357"/>
      <c r="P28" s="357"/>
      <c r="Q28" s="357"/>
      <c r="R28" s="357"/>
      <c r="S28" s="357"/>
      <c r="T28" s="357">
        <v>3020</v>
      </c>
      <c r="U28" s="357">
        <v>2864</v>
      </c>
      <c r="V28" s="357">
        <v>4940</v>
      </c>
      <c r="W28" s="357">
        <v>1141</v>
      </c>
      <c r="X28" s="357">
        <v>1332</v>
      </c>
      <c r="Y28" s="343"/>
      <c r="Z28" s="336"/>
      <c r="AA28" s="336"/>
      <c r="AB28" s="336"/>
      <c r="AC28" s="336"/>
      <c r="AD28" s="336"/>
      <c r="AE28" s="336"/>
      <c r="AF28" s="336"/>
      <c r="AG28" s="336"/>
      <c r="AH28" s="336"/>
      <c r="AI28" s="336"/>
      <c r="AJ28" s="336"/>
      <c r="AK28" s="336"/>
      <c r="AL28" s="336"/>
      <c r="AM28" s="336"/>
      <c r="AN28" s="336"/>
      <c r="AO28" s="336"/>
      <c r="AP28" s="336"/>
      <c r="AQ28" s="336"/>
      <c r="AR28" s="336"/>
      <c r="AS28" s="336"/>
      <c r="AT28" s="336"/>
      <c r="AU28" s="336"/>
      <c r="AV28" s="336"/>
      <c r="AW28" s="336"/>
    </row>
    <row r="29" spans="1:49" ht="14" outlineLevel="3">
      <c r="A29" s="336"/>
      <c r="B29" s="341"/>
      <c r="C29" s="354" t="s">
        <v>381</v>
      </c>
      <c r="D29" s="355">
        <f t="shared" si="0"/>
        <v>11810</v>
      </c>
      <c r="E29" s="355">
        <f t="shared" si="1"/>
        <v>11819.2</v>
      </c>
      <c r="F29" s="355">
        <f t="shared" si="2"/>
        <v>5825</v>
      </c>
      <c r="G29" s="355">
        <f t="shared" si="3"/>
        <v>16776</v>
      </c>
      <c r="H29" s="355">
        <f t="shared" si="4"/>
        <v>9310</v>
      </c>
      <c r="I29" s="355">
        <f t="shared" si="5"/>
        <v>14611</v>
      </c>
      <c r="J29" s="355">
        <f t="shared" si="6"/>
        <v>3737.1565185906293</v>
      </c>
      <c r="K29" s="356">
        <f t="shared" si="7"/>
        <v>0.31619369488549387</v>
      </c>
      <c r="M29" s="357">
        <v>16776</v>
      </c>
      <c r="N29" s="357">
        <v>11072</v>
      </c>
      <c r="O29" s="357">
        <v>14975</v>
      </c>
      <c r="P29" s="357">
        <v>13519</v>
      </c>
      <c r="Q29" s="357">
        <v>16754</v>
      </c>
      <c r="R29" s="357">
        <v>9226</v>
      </c>
      <c r="S29" s="357">
        <v>12548</v>
      </c>
      <c r="T29" s="357">
        <v>9562</v>
      </c>
      <c r="U29" s="357">
        <v>7935</v>
      </c>
      <c r="V29" s="357">
        <v>5825</v>
      </c>
      <c r="W29" s="357"/>
      <c r="X29" s="357"/>
      <c r="Y29" s="343"/>
      <c r="Z29" s="336"/>
      <c r="AA29" s="336"/>
      <c r="AB29" s="336"/>
      <c r="AC29" s="336"/>
      <c r="AD29" s="336"/>
      <c r="AE29" s="336"/>
      <c r="AF29" s="336"/>
      <c r="AG29" s="336"/>
      <c r="AH29" s="336"/>
      <c r="AI29" s="336"/>
      <c r="AJ29" s="336"/>
      <c r="AK29" s="336"/>
      <c r="AL29" s="336"/>
      <c r="AM29" s="336"/>
      <c r="AN29" s="336"/>
      <c r="AO29" s="336"/>
      <c r="AP29" s="336"/>
      <c r="AQ29" s="336"/>
      <c r="AR29" s="336"/>
      <c r="AS29" s="336"/>
      <c r="AT29" s="336"/>
      <c r="AU29" s="336"/>
      <c r="AV29" s="336"/>
      <c r="AW29" s="336"/>
    </row>
    <row r="30" spans="1:49" ht="14" outlineLevel="3">
      <c r="A30" s="336"/>
      <c r="B30" s="341"/>
      <c r="C30" s="358" t="s">
        <v>382</v>
      </c>
      <c r="D30" s="359">
        <f t="shared" si="0"/>
        <v>48445</v>
      </c>
      <c r="E30" s="359">
        <f t="shared" si="1"/>
        <v>48477.416666666664</v>
      </c>
      <c r="F30" s="359">
        <f t="shared" si="2"/>
        <v>17628</v>
      </c>
      <c r="G30" s="359">
        <f t="shared" si="3"/>
        <v>96537</v>
      </c>
      <c r="H30" s="359">
        <f t="shared" si="4"/>
        <v>36457.5</v>
      </c>
      <c r="I30" s="359">
        <f t="shared" si="5"/>
        <v>57183.75</v>
      </c>
      <c r="J30" s="359">
        <f t="shared" si="6"/>
        <v>21425.989530382507</v>
      </c>
      <c r="K30" s="360">
        <f t="shared" si="7"/>
        <v>0.44197878112418343</v>
      </c>
      <c r="L30" s="339"/>
      <c r="M30" s="361">
        <v>96537</v>
      </c>
      <c r="N30" s="361">
        <v>56276</v>
      </c>
      <c r="O30" s="361">
        <v>66688</v>
      </c>
      <c r="P30" s="361">
        <v>44449</v>
      </c>
      <c r="Q30" s="361">
        <v>38662</v>
      </c>
      <c r="R30" s="361">
        <v>52441</v>
      </c>
      <c r="S30" s="361">
        <v>58332</v>
      </c>
      <c r="T30" s="361">
        <v>56801</v>
      </c>
      <c r="U30" s="361">
        <v>42365</v>
      </c>
      <c r="V30" s="361">
        <v>29844</v>
      </c>
      <c r="W30" s="361">
        <v>21706</v>
      </c>
      <c r="X30" s="361">
        <v>17628</v>
      </c>
      <c r="Y30" s="343"/>
      <c r="Z30" s="336"/>
      <c r="AA30" s="336"/>
      <c r="AB30" s="336"/>
      <c r="AC30" s="336"/>
      <c r="AD30" s="336"/>
      <c r="AE30" s="336"/>
      <c r="AF30" s="336"/>
      <c r="AG30" s="336"/>
      <c r="AH30" s="336"/>
      <c r="AI30" s="336"/>
      <c r="AJ30" s="336"/>
      <c r="AK30" s="336"/>
      <c r="AL30" s="336"/>
      <c r="AM30" s="336"/>
      <c r="AN30" s="336"/>
      <c r="AO30" s="336"/>
      <c r="AP30" s="336"/>
      <c r="AQ30" s="336"/>
      <c r="AR30" s="336"/>
      <c r="AS30" s="336"/>
      <c r="AT30" s="336"/>
      <c r="AU30" s="336"/>
      <c r="AV30" s="336"/>
      <c r="AW30" s="336"/>
    </row>
    <row r="31" spans="1:49" ht="14" outlineLevel="2">
      <c r="A31" s="336"/>
      <c r="B31" s="341"/>
      <c r="C31" s="354" t="s">
        <v>383</v>
      </c>
      <c r="D31" s="355">
        <f t="shared" si="0"/>
        <v>6588.5</v>
      </c>
      <c r="E31" s="355">
        <f t="shared" si="1"/>
        <v>8728.4166666666661</v>
      </c>
      <c r="F31" s="355">
        <f t="shared" si="2"/>
        <v>3573</v>
      </c>
      <c r="G31" s="355">
        <f t="shared" si="3"/>
        <v>21499</v>
      </c>
      <c r="H31" s="355">
        <f t="shared" si="4"/>
        <v>4248.5</v>
      </c>
      <c r="I31" s="355">
        <f t="shared" si="5"/>
        <v>12128</v>
      </c>
      <c r="J31" s="355">
        <f t="shared" si="6"/>
        <v>5596.7319597054029</v>
      </c>
      <c r="K31" s="356">
        <f t="shared" si="7"/>
        <v>0.64120815646656837</v>
      </c>
      <c r="M31" s="357">
        <v>21499</v>
      </c>
      <c r="N31" s="357">
        <v>13842</v>
      </c>
      <c r="O31" s="357">
        <v>11078</v>
      </c>
      <c r="P31" s="357">
        <v>12869</v>
      </c>
      <c r="Q31" s="357">
        <v>11881</v>
      </c>
      <c r="R31" s="357">
        <v>8025</v>
      </c>
      <c r="S31" s="357">
        <v>4947</v>
      </c>
      <c r="T31" s="357">
        <v>3929</v>
      </c>
      <c r="U31" s="357">
        <v>3591</v>
      </c>
      <c r="V31" s="357">
        <v>5152</v>
      </c>
      <c r="W31" s="357">
        <v>4355</v>
      </c>
      <c r="X31" s="357">
        <v>3573</v>
      </c>
      <c r="Y31" s="343"/>
      <c r="Z31" s="336"/>
      <c r="AA31" s="336"/>
      <c r="AB31" s="336"/>
      <c r="AC31" s="336"/>
      <c r="AD31" s="336"/>
      <c r="AE31" s="336"/>
      <c r="AF31" s="336"/>
      <c r="AG31" s="336"/>
      <c r="AH31" s="336"/>
      <c r="AI31" s="336"/>
      <c r="AJ31" s="336"/>
      <c r="AK31" s="336"/>
      <c r="AL31" s="336"/>
      <c r="AM31" s="336"/>
      <c r="AN31" s="336"/>
      <c r="AO31" s="336"/>
      <c r="AP31" s="336"/>
      <c r="AQ31" s="336"/>
      <c r="AR31" s="336"/>
      <c r="AS31" s="336"/>
      <c r="AT31" s="336"/>
      <c r="AU31" s="336"/>
      <c r="AV31" s="336"/>
      <c r="AW31" s="336"/>
    </row>
    <row r="32" spans="1:49" ht="14" outlineLevel="2">
      <c r="A32" s="336"/>
      <c r="B32" s="341"/>
      <c r="C32" s="354" t="s">
        <v>384</v>
      </c>
      <c r="D32" s="355">
        <f t="shared" si="0"/>
        <v>2219.5</v>
      </c>
      <c r="E32" s="355">
        <f t="shared" si="1"/>
        <v>2219.5</v>
      </c>
      <c r="F32" s="355">
        <f t="shared" si="2"/>
        <v>1485</v>
      </c>
      <c r="G32" s="355">
        <f t="shared" si="3"/>
        <v>2954</v>
      </c>
      <c r="H32" s="355">
        <f t="shared" si="4"/>
        <v>1852.25</v>
      </c>
      <c r="I32" s="355">
        <f t="shared" si="5"/>
        <v>2586.75</v>
      </c>
      <c r="J32" s="355">
        <f t="shared" si="6"/>
        <v>1038.7398615630384</v>
      </c>
      <c r="K32" s="356">
        <f t="shared" si="7"/>
        <v>0.46800624535392582</v>
      </c>
      <c r="M32" s="357"/>
      <c r="N32" s="357"/>
      <c r="O32" s="357"/>
      <c r="P32" s="357"/>
      <c r="Q32" s="357"/>
      <c r="R32" s="357"/>
      <c r="S32" s="357"/>
      <c r="T32" s="357"/>
      <c r="U32" s="357"/>
      <c r="V32" s="357"/>
      <c r="W32" s="357">
        <v>2954</v>
      </c>
      <c r="X32" s="357">
        <v>1485</v>
      </c>
      <c r="Y32" s="343"/>
      <c r="Z32" s="336"/>
      <c r="AA32" s="336"/>
      <c r="AB32" s="336"/>
      <c r="AC32" s="336"/>
      <c r="AD32" s="336"/>
      <c r="AE32" s="336"/>
      <c r="AF32" s="336"/>
      <c r="AG32" s="336"/>
      <c r="AH32" s="336"/>
      <c r="AI32" s="336"/>
      <c r="AJ32" s="336"/>
      <c r="AK32" s="336"/>
      <c r="AL32" s="336"/>
      <c r="AM32" s="336"/>
      <c r="AN32" s="336"/>
      <c r="AO32" s="336"/>
      <c r="AP32" s="336"/>
      <c r="AQ32" s="336"/>
      <c r="AR32" s="336"/>
      <c r="AS32" s="336"/>
      <c r="AT32" s="336"/>
      <c r="AU32" s="336"/>
      <c r="AV32" s="336"/>
      <c r="AW32" s="336"/>
    </row>
    <row r="33" spans="1:49" ht="14" outlineLevel="2">
      <c r="A33" s="336"/>
      <c r="B33" s="341"/>
      <c r="C33" s="358" t="s">
        <v>385</v>
      </c>
      <c r="D33" s="359">
        <f t="shared" si="0"/>
        <v>430178.5</v>
      </c>
      <c r="E33" s="359">
        <f t="shared" si="1"/>
        <v>353942.58333333331</v>
      </c>
      <c r="F33" s="359">
        <f t="shared" si="2"/>
        <v>57547</v>
      </c>
      <c r="G33" s="359">
        <f t="shared" si="3"/>
        <v>662414</v>
      </c>
      <c r="H33" s="359">
        <f t="shared" si="4"/>
        <v>87248.25</v>
      </c>
      <c r="I33" s="359">
        <f t="shared" si="5"/>
        <v>558352.25</v>
      </c>
      <c r="J33" s="359">
        <f t="shared" si="6"/>
        <v>239398.85929152492</v>
      </c>
      <c r="K33" s="360">
        <f t="shared" si="7"/>
        <v>0.67637766848208181</v>
      </c>
      <c r="L33" s="339"/>
      <c r="M33" s="361">
        <v>588019</v>
      </c>
      <c r="N33" s="361">
        <v>471817</v>
      </c>
      <c r="O33" s="361">
        <v>555531</v>
      </c>
      <c r="P33" s="361">
        <v>662414</v>
      </c>
      <c r="Q33" s="361">
        <v>566816</v>
      </c>
      <c r="R33" s="361">
        <v>540138</v>
      </c>
      <c r="S33" s="361">
        <v>388540</v>
      </c>
      <c r="T33" s="361">
        <v>177001</v>
      </c>
      <c r="U33" s="361">
        <v>91225</v>
      </c>
      <c r="V33" s="361">
        <v>72945</v>
      </c>
      <c r="W33" s="361">
        <v>75318</v>
      </c>
      <c r="X33" s="361">
        <v>57547</v>
      </c>
      <c r="Y33" s="343"/>
      <c r="Z33" s="336"/>
      <c r="AA33" s="336"/>
      <c r="AB33" s="336"/>
      <c r="AC33" s="336"/>
      <c r="AD33" s="336"/>
      <c r="AE33" s="336"/>
      <c r="AF33" s="336"/>
      <c r="AG33" s="336"/>
      <c r="AH33" s="336"/>
      <c r="AI33" s="336"/>
      <c r="AJ33" s="336"/>
      <c r="AK33" s="336"/>
      <c r="AL33" s="336"/>
      <c r="AM33" s="336"/>
      <c r="AN33" s="336"/>
      <c r="AO33" s="336"/>
      <c r="AP33" s="336"/>
      <c r="AQ33" s="336"/>
      <c r="AR33" s="336"/>
      <c r="AS33" s="336"/>
      <c r="AT33" s="336"/>
      <c r="AU33" s="336"/>
      <c r="AV33" s="336"/>
      <c r="AW33" s="336"/>
    </row>
    <row r="34" spans="1:49" ht="14" outlineLevel="1">
      <c r="A34" s="336"/>
      <c r="B34" s="341"/>
      <c r="C34" s="354" t="s">
        <v>386</v>
      </c>
      <c r="D34" s="355" t="str">
        <f t="shared" si="0"/>
        <v/>
      </c>
      <c r="E34" s="355" t="str">
        <f t="shared" si="1"/>
        <v/>
      </c>
      <c r="F34" s="355" t="str">
        <f t="shared" si="2"/>
        <v/>
      </c>
      <c r="G34" s="355" t="str">
        <f t="shared" si="3"/>
        <v/>
      </c>
      <c r="H34" s="355" t="str">
        <f t="shared" si="4"/>
        <v/>
      </c>
      <c r="I34" s="355" t="str">
        <f t="shared" si="5"/>
        <v/>
      </c>
      <c r="J34" s="355" t="str">
        <f t="shared" si="6"/>
        <v/>
      </c>
      <c r="K34" s="356" t="str">
        <f t="shared" si="7"/>
        <v/>
      </c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357"/>
      <c r="X34" s="357"/>
      <c r="Y34" s="343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</row>
    <row r="35" spans="1:49" ht="14" outlineLevel="2">
      <c r="A35" s="336"/>
      <c r="B35" s="341"/>
      <c r="C35" s="354" t="s">
        <v>387</v>
      </c>
      <c r="D35" s="355" t="str">
        <f t="shared" si="0"/>
        <v/>
      </c>
      <c r="E35" s="355" t="str">
        <f t="shared" si="1"/>
        <v/>
      </c>
      <c r="F35" s="355" t="str">
        <f t="shared" si="2"/>
        <v/>
      </c>
      <c r="G35" s="355" t="str">
        <f t="shared" si="3"/>
        <v/>
      </c>
      <c r="H35" s="355" t="str">
        <f t="shared" si="4"/>
        <v/>
      </c>
      <c r="I35" s="355" t="str">
        <f t="shared" si="5"/>
        <v/>
      </c>
      <c r="J35" s="355" t="str">
        <f t="shared" si="6"/>
        <v/>
      </c>
      <c r="K35" s="356" t="str">
        <f t="shared" si="7"/>
        <v/>
      </c>
      <c r="M35" s="357"/>
      <c r="N35" s="357"/>
      <c r="O35" s="357"/>
      <c r="P35" s="357"/>
      <c r="Q35" s="357"/>
      <c r="R35" s="357"/>
      <c r="S35" s="357"/>
      <c r="T35" s="357"/>
      <c r="U35" s="357"/>
      <c r="V35" s="357"/>
      <c r="W35" s="357"/>
      <c r="X35" s="357"/>
      <c r="Y35" s="343"/>
      <c r="Z35" s="336"/>
      <c r="AA35" s="336"/>
      <c r="AB35" s="336"/>
      <c r="AC35" s="336"/>
      <c r="AD35" s="336"/>
      <c r="AE35" s="336"/>
      <c r="AF35" s="336"/>
      <c r="AG35" s="336"/>
      <c r="AH35" s="336"/>
      <c r="AI35" s="336"/>
      <c r="AJ35" s="336"/>
      <c r="AK35" s="336"/>
      <c r="AL35" s="336"/>
      <c r="AM35" s="336"/>
      <c r="AN35" s="336"/>
      <c r="AO35" s="336"/>
      <c r="AP35" s="336"/>
      <c r="AQ35" s="336"/>
      <c r="AR35" s="336"/>
      <c r="AS35" s="336"/>
      <c r="AT35" s="336"/>
      <c r="AU35" s="336"/>
      <c r="AV35" s="336"/>
      <c r="AW35" s="336"/>
    </row>
    <row r="36" spans="1:49" ht="14" outlineLevel="3">
      <c r="A36" s="336"/>
      <c r="B36" s="341"/>
      <c r="C36" s="354" t="s">
        <v>388</v>
      </c>
      <c r="D36" s="355" t="str">
        <f t="shared" si="0"/>
        <v/>
      </c>
      <c r="E36" s="355" t="str">
        <f t="shared" si="1"/>
        <v/>
      </c>
      <c r="F36" s="355" t="str">
        <f t="shared" si="2"/>
        <v/>
      </c>
      <c r="G36" s="355" t="str">
        <f t="shared" si="3"/>
        <v/>
      </c>
      <c r="H36" s="355" t="str">
        <f t="shared" si="4"/>
        <v/>
      </c>
      <c r="I36" s="355" t="str">
        <f t="shared" si="5"/>
        <v/>
      </c>
      <c r="J36" s="355" t="str">
        <f t="shared" si="6"/>
        <v/>
      </c>
      <c r="K36" s="356" t="str">
        <f t="shared" si="7"/>
        <v/>
      </c>
      <c r="M36" s="357"/>
      <c r="N36" s="357"/>
      <c r="O36" s="357"/>
      <c r="P36" s="357"/>
      <c r="Q36" s="357"/>
      <c r="R36" s="357"/>
      <c r="S36" s="357"/>
      <c r="T36" s="357"/>
      <c r="U36" s="357"/>
      <c r="V36" s="357"/>
      <c r="W36" s="357"/>
      <c r="X36" s="357"/>
      <c r="Y36" s="343"/>
      <c r="Z36" s="336"/>
      <c r="AA36" s="336"/>
      <c r="AB36" s="336"/>
      <c r="AC36" s="336"/>
      <c r="AD36" s="336"/>
      <c r="AE36" s="336"/>
      <c r="AF36" s="336"/>
      <c r="AG36" s="336"/>
      <c r="AH36" s="336"/>
      <c r="AI36" s="336"/>
      <c r="AJ36" s="336"/>
      <c r="AK36" s="336"/>
      <c r="AL36" s="336"/>
      <c r="AM36" s="336"/>
      <c r="AN36" s="336"/>
      <c r="AO36" s="336"/>
      <c r="AP36" s="336"/>
      <c r="AQ36" s="336"/>
      <c r="AR36" s="336"/>
      <c r="AS36" s="336"/>
      <c r="AT36" s="336"/>
      <c r="AU36" s="336"/>
      <c r="AV36" s="336"/>
      <c r="AW36" s="336"/>
    </row>
    <row r="37" spans="1:49" ht="14" outlineLevel="4">
      <c r="A37" s="336"/>
      <c r="B37" s="341"/>
      <c r="C37" s="354" t="s">
        <v>389</v>
      </c>
      <c r="D37" s="355" t="str">
        <f t="shared" si="0"/>
        <v/>
      </c>
      <c r="E37" s="355" t="str">
        <f t="shared" si="1"/>
        <v/>
      </c>
      <c r="F37" s="355" t="str">
        <f t="shared" si="2"/>
        <v/>
      </c>
      <c r="G37" s="355" t="str">
        <f t="shared" si="3"/>
        <v/>
      </c>
      <c r="H37" s="355" t="str">
        <f t="shared" si="4"/>
        <v/>
      </c>
      <c r="I37" s="355" t="str">
        <f t="shared" si="5"/>
        <v/>
      </c>
      <c r="J37" s="355" t="str">
        <f t="shared" si="6"/>
        <v/>
      </c>
      <c r="K37" s="356" t="str">
        <f t="shared" si="7"/>
        <v/>
      </c>
      <c r="M37" s="357"/>
      <c r="N37" s="357"/>
      <c r="O37" s="357"/>
      <c r="P37" s="357"/>
      <c r="Q37" s="357"/>
      <c r="R37" s="357"/>
      <c r="S37" s="357"/>
      <c r="T37" s="357"/>
      <c r="U37" s="357"/>
      <c r="V37" s="357"/>
      <c r="W37" s="357"/>
      <c r="X37" s="357"/>
      <c r="Y37" s="343"/>
      <c r="Z37" s="336"/>
      <c r="AA37" s="336"/>
      <c r="AB37" s="336"/>
      <c r="AC37" s="336"/>
      <c r="AD37" s="336"/>
      <c r="AE37" s="336"/>
      <c r="AF37" s="336"/>
      <c r="AG37" s="336"/>
      <c r="AH37" s="336"/>
      <c r="AI37" s="336"/>
      <c r="AJ37" s="336"/>
      <c r="AK37" s="336"/>
      <c r="AL37" s="336"/>
      <c r="AM37" s="336"/>
      <c r="AN37" s="336"/>
      <c r="AO37" s="336"/>
      <c r="AP37" s="336"/>
      <c r="AQ37" s="336"/>
      <c r="AR37" s="336"/>
      <c r="AS37" s="336"/>
      <c r="AT37" s="336"/>
      <c r="AU37" s="336"/>
      <c r="AV37" s="336"/>
      <c r="AW37" s="336"/>
    </row>
    <row r="38" spans="1:49" ht="14" outlineLevel="5">
      <c r="A38" s="336"/>
      <c r="B38" s="341"/>
      <c r="C38" s="354" t="s">
        <v>390</v>
      </c>
      <c r="D38" s="355">
        <f t="shared" si="0"/>
        <v>1125.5</v>
      </c>
      <c r="E38" s="355">
        <f t="shared" si="1"/>
        <v>1085.5833333333333</v>
      </c>
      <c r="F38" s="355">
        <f t="shared" si="2"/>
        <v>431</v>
      </c>
      <c r="G38" s="355">
        <f t="shared" si="3"/>
        <v>1341</v>
      </c>
      <c r="H38" s="355">
        <f t="shared" si="4"/>
        <v>910</v>
      </c>
      <c r="I38" s="355">
        <f t="shared" si="5"/>
        <v>1341</v>
      </c>
      <c r="J38" s="355">
        <f t="shared" si="6"/>
        <v>297.57396584969439</v>
      </c>
      <c r="K38" s="356">
        <f t="shared" si="7"/>
        <v>0.27411434637263626</v>
      </c>
      <c r="M38" s="357">
        <v>431</v>
      </c>
      <c r="N38" s="357">
        <v>1341</v>
      </c>
      <c r="O38" s="357">
        <v>1341</v>
      </c>
      <c r="P38" s="357">
        <v>1341</v>
      </c>
      <c r="Q38" s="357">
        <v>1341</v>
      </c>
      <c r="R38" s="357">
        <v>1341</v>
      </c>
      <c r="S38" s="357">
        <v>1341</v>
      </c>
      <c r="T38" s="357">
        <v>910</v>
      </c>
      <c r="U38" s="357">
        <v>910</v>
      </c>
      <c r="V38" s="357">
        <v>910</v>
      </c>
      <c r="W38" s="357">
        <v>910</v>
      </c>
      <c r="X38" s="357">
        <v>910</v>
      </c>
      <c r="Y38" s="343"/>
      <c r="Z38" s="336"/>
      <c r="AA38" s="336"/>
      <c r="AB38" s="336"/>
      <c r="AC38" s="336"/>
      <c r="AD38" s="336"/>
      <c r="AE38" s="336"/>
      <c r="AF38" s="336"/>
      <c r="AG38" s="336"/>
      <c r="AH38" s="336"/>
      <c r="AI38" s="336"/>
      <c r="AJ38" s="336"/>
      <c r="AK38" s="336"/>
      <c r="AL38" s="336"/>
      <c r="AM38" s="336"/>
      <c r="AN38" s="336"/>
      <c r="AO38" s="336"/>
      <c r="AP38" s="336"/>
      <c r="AQ38" s="336"/>
      <c r="AR38" s="336"/>
      <c r="AS38" s="336"/>
      <c r="AT38" s="336"/>
      <c r="AU38" s="336"/>
      <c r="AV38" s="336"/>
      <c r="AW38" s="336"/>
    </row>
    <row r="39" spans="1:49" ht="14" outlineLevel="5">
      <c r="A39" s="336"/>
      <c r="B39" s="341"/>
      <c r="C39" s="354" t="s">
        <v>391</v>
      </c>
      <c r="D39" s="355">
        <f t="shared" si="0"/>
        <v>5230</v>
      </c>
      <c r="E39" s="355">
        <f t="shared" si="1"/>
        <v>6235.25</v>
      </c>
      <c r="F39" s="355">
        <f t="shared" si="2"/>
        <v>2572</v>
      </c>
      <c r="G39" s="355">
        <f t="shared" si="3"/>
        <v>8632</v>
      </c>
      <c r="H39" s="355">
        <f t="shared" si="4"/>
        <v>5107</v>
      </c>
      <c r="I39" s="355">
        <f t="shared" si="5"/>
        <v>8589</v>
      </c>
      <c r="J39" s="355">
        <f t="shared" si="6"/>
        <v>2231.3732879103845</v>
      </c>
      <c r="K39" s="356">
        <f t="shared" si="7"/>
        <v>0.35786428578010254</v>
      </c>
      <c r="M39" s="357">
        <v>3482</v>
      </c>
      <c r="N39" s="357">
        <v>2572</v>
      </c>
      <c r="O39" s="357">
        <v>8589</v>
      </c>
      <c r="P39" s="357">
        <v>8589</v>
      </c>
      <c r="Q39" s="357">
        <v>8589</v>
      </c>
      <c r="R39" s="357">
        <v>8589</v>
      </c>
      <c r="S39" s="357">
        <v>8632</v>
      </c>
      <c r="T39" s="357">
        <v>5107</v>
      </c>
      <c r="U39" s="357">
        <v>5107</v>
      </c>
      <c r="V39" s="357">
        <v>5107</v>
      </c>
      <c r="W39" s="357">
        <v>5119</v>
      </c>
      <c r="X39" s="357">
        <v>5341</v>
      </c>
      <c r="Y39" s="343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6"/>
      <c r="AN39" s="336"/>
      <c r="AO39" s="336"/>
      <c r="AP39" s="336"/>
      <c r="AQ39" s="336"/>
      <c r="AR39" s="336"/>
      <c r="AS39" s="336"/>
      <c r="AT39" s="336"/>
      <c r="AU39" s="336"/>
      <c r="AV39" s="336"/>
      <c r="AW39" s="336"/>
    </row>
    <row r="40" spans="1:49" ht="14" outlineLevel="5">
      <c r="A40" s="336"/>
      <c r="B40" s="341"/>
      <c r="C40" s="354" t="s">
        <v>392</v>
      </c>
      <c r="D40" s="355">
        <f t="shared" si="0"/>
        <v>87404.5</v>
      </c>
      <c r="E40" s="355">
        <f t="shared" si="1"/>
        <v>136146.33333333334</v>
      </c>
      <c r="F40" s="355">
        <f t="shared" si="2"/>
        <v>19001</v>
      </c>
      <c r="G40" s="355">
        <f t="shared" si="3"/>
        <v>395353</v>
      </c>
      <c r="H40" s="355">
        <f t="shared" si="4"/>
        <v>40508.75</v>
      </c>
      <c r="I40" s="355">
        <f t="shared" si="5"/>
        <v>178197.5</v>
      </c>
      <c r="J40" s="355">
        <f t="shared" si="6"/>
        <v>129276.63956684893</v>
      </c>
      <c r="K40" s="356">
        <f t="shared" si="7"/>
        <v>0.949541837827795</v>
      </c>
      <c r="M40" s="357">
        <v>395353</v>
      </c>
      <c r="N40" s="357">
        <v>342725</v>
      </c>
      <c r="O40" s="357">
        <v>272360</v>
      </c>
      <c r="P40" s="357">
        <v>146810</v>
      </c>
      <c r="Q40" s="357">
        <v>115619</v>
      </c>
      <c r="R40" s="357">
        <v>97977</v>
      </c>
      <c r="S40" s="357">
        <v>76832</v>
      </c>
      <c r="T40" s="357">
        <v>60181</v>
      </c>
      <c r="U40" s="357">
        <v>41249</v>
      </c>
      <c r="V40" s="357">
        <v>38288</v>
      </c>
      <c r="W40" s="357">
        <v>27361</v>
      </c>
      <c r="X40" s="357">
        <v>19001</v>
      </c>
      <c r="Y40" s="343"/>
      <c r="Z40" s="336"/>
      <c r="AA40" s="336"/>
      <c r="AB40" s="336"/>
      <c r="AC40" s="336"/>
      <c r="AD40" s="336"/>
      <c r="AE40" s="336"/>
      <c r="AF40" s="336"/>
      <c r="AG40" s="336"/>
      <c r="AH40" s="336"/>
      <c r="AI40" s="336"/>
      <c r="AJ40" s="336"/>
      <c r="AK40" s="336"/>
      <c r="AL40" s="336"/>
      <c r="AM40" s="336"/>
      <c r="AN40" s="336"/>
      <c r="AO40" s="336"/>
      <c r="AP40" s="336"/>
      <c r="AQ40" s="336"/>
      <c r="AR40" s="336"/>
      <c r="AS40" s="336"/>
      <c r="AT40" s="336"/>
      <c r="AU40" s="336"/>
      <c r="AV40" s="336"/>
      <c r="AW40" s="336"/>
    </row>
    <row r="41" spans="1:49" ht="14" outlineLevel="5">
      <c r="A41" s="336"/>
      <c r="B41" s="341"/>
      <c r="C41" s="358" t="s">
        <v>393</v>
      </c>
      <c r="D41" s="359">
        <f t="shared" si="0"/>
        <v>97356</v>
      </c>
      <c r="E41" s="359">
        <f t="shared" si="1"/>
        <v>143467.16666666666</v>
      </c>
      <c r="F41" s="359">
        <f t="shared" si="2"/>
        <v>25252</v>
      </c>
      <c r="G41" s="359">
        <f t="shared" si="3"/>
        <v>399266</v>
      </c>
      <c r="H41" s="359">
        <f t="shared" si="4"/>
        <v>46525.75</v>
      </c>
      <c r="I41" s="359">
        <f t="shared" si="5"/>
        <v>188127.5</v>
      </c>
      <c r="J41" s="359">
        <f t="shared" si="6"/>
        <v>128666.48119977997</v>
      </c>
      <c r="K41" s="360">
        <f t="shared" si="7"/>
        <v>0.89683573035721287</v>
      </c>
      <c r="L41" s="339"/>
      <c r="M41" s="361">
        <v>399266</v>
      </c>
      <c r="N41" s="361">
        <v>346638</v>
      </c>
      <c r="O41" s="361">
        <v>282290</v>
      </c>
      <c r="P41" s="361">
        <v>156740</v>
      </c>
      <c r="Q41" s="361">
        <v>125549</v>
      </c>
      <c r="R41" s="361">
        <v>107907</v>
      </c>
      <c r="S41" s="361">
        <v>86805</v>
      </c>
      <c r="T41" s="361">
        <v>66198</v>
      </c>
      <c r="U41" s="361">
        <v>47266</v>
      </c>
      <c r="V41" s="361">
        <v>44305</v>
      </c>
      <c r="W41" s="361">
        <v>33390</v>
      </c>
      <c r="X41" s="361">
        <v>25252</v>
      </c>
      <c r="Y41" s="343"/>
      <c r="Z41" s="336"/>
      <c r="AA41" s="336"/>
      <c r="AB41" s="336"/>
      <c r="AC41" s="336"/>
      <c r="AD41" s="336"/>
      <c r="AE41" s="336"/>
      <c r="AF41" s="336"/>
      <c r="AG41" s="336"/>
      <c r="AH41" s="336"/>
      <c r="AI41" s="336"/>
      <c r="AJ41" s="336"/>
      <c r="AK41" s="336"/>
      <c r="AL41" s="336"/>
      <c r="AM41" s="336"/>
      <c r="AN41" s="336"/>
      <c r="AO41" s="336"/>
      <c r="AP41" s="336"/>
      <c r="AQ41" s="336"/>
      <c r="AR41" s="336"/>
      <c r="AS41" s="336"/>
      <c r="AT41" s="336"/>
      <c r="AU41" s="336"/>
      <c r="AV41" s="336"/>
      <c r="AW41" s="336"/>
    </row>
    <row r="42" spans="1:49" ht="14" outlineLevel="4">
      <c r="A42" s="336"/>
      <c r="B42" s="341"/>
      <c r="C42" s="354" t="s">
        <v>394</v>
      </c>
      <c r="D42" s="355" t="str">
        <f t="shared" si="0"/>
        <v/>
      </c>
      <c r="E42" s="355" t="str">
        <f t="shared" si="1"/>
        <v/>
      </c>
      <c r="F42" s="355" t="str">
        <f t="shared" si="2"/>
        <v/>
      </c>
      <c r="G42" s="355" t="str">
        <f t="shared" si="3"/>
        <v/>
      </c>
      <c r="H42" s="355" t="str">
        <f t="shared" si="4"/>
        <v/>
      </c>
      <c r="I42" s="355" t="str">
        <f t="shared" si="5"/>
        <v/>
      </c>
      <c r="J42" s="355" t="str">
        <f t="shared" si="6"/>
        <v/>
      </c>
      <c r="K42" s="356" t="str">
        <f t="shared" si="7"/>
        <v/>
      </c>
      <c r="M42" s="357"/>
      <c r="N42" s="357"/>
      <c r="O42" s="357"/>
      <c r="P42" s="357"/>
      <c r="Q42" s="357"/>
      <c r="R42" s="357"/>
      <c r="S42" s="357"/>
      <c r="T42" s="357"/>
      <c r="U42" s="357"/>
      <c r="V42" s="357"/>
      <c r="W42" s="357"/>
      <c r="X42" s="357"/>
      <c r="Y42" s="343"/>
      <c r="Z42" s="336"/>
      <c r="AA42" s="336"/>
      <c r="AB42" s="336"/>
      <c r="AC42" s="336"/>
      <c r="AD42" s="336"/>
      <c r="AE42" s="336"/>
      <c r="AF42" s="336"/>
      <c r="AG42" s="336"/>
      <c r="AH42" s="336"/>
      <c r="AI42" s="336"/>
      <c r="AJ42" s="336"/>
      <c r="AK42" s="336"/>
      <c r="AL42" s="336"/>
      <c r="AM42" s="336"/>
      <c r="AN42" s="336"/>
      <c r="AO42" s="336"/>
      <c r="AP42" s="336"/>
      <c r="AQ42" s="336"/>
      <c r="AR42" s="336"/>
      <c r="AS42" s="336"/>
      <c r="AT42" s="336"/>
      <c r="AU42" s="336"/>
      <c r="AV42" s="336"/>
      <c r="AW42" s="336"/>
    </row>
    <row r="43" spans="1:49" ht="14" outlineLevel="5">
      <c r="A43" s="336"/>
      <c r="B43" s="341"/>
      <c r="C43" s="354" t="s">
        <v>395</v>
      </c>
      <c r="D43" s="355">
        <f t="shared" si="0"/>
        <v>54548</v>
      </c>
      <c r="E43" s="355">
        <f t="shared" si="1"/>
        <v>72060</v>
      </c>
      <c r="F43" s="355">
        <f t="shared" si="2"/>
        <v>2309</v>
      </c>
      <c r="G43" s="355">
        <f t="shared" si="3"/>
        <v>206210</v>
      </c>
      <c r="H43" s="355">
        <f t="shared" si="4"/>
        <v>9973.5</v>
      </c>
      <c r="I43" s="355">
        <f t="shared" si="5"/>
        <v>114778.5</v>
      </c>
      <c r="J43" s="355">
        <f t="shared" si="6"/>
        <v>72375.228872867825</v>
      </c>
      <c r="K43" s="356">
        <f t="shared" si="7"/>
        <v>1.0043745333453764</v>
      </c>
      <c r="M43" s="357">
        <v>206210</v>
      </c>
      <c r="N43" s="357">
        <v>173606</v>
      </c>
      <c r="O43" s="357">
        <v>137345</v>
      </c>
      <c r="P43" s="357">
        <v>92212</v>
      </c>
      <c r="Q43" s="357">
        <v>72388</v>
      </c>
      <c r="R43" s="357">
        <v>54548</v>
      </c>
      <c r="S43" s="357">
        <v>31065</v>
      </c>
      <c r="T43" s="357">
        <v>16239</v>
      </c>
      <c r="U43" s="357">
        <v>3708</v>
      </c>
      <c r="V43" s="357">
        <v>3030</v>
      </c>
      <c r="W43" s="357">
        <v>2309</v>
      </c>
      <c r="X43" s="357"/>
      <c r="Y43" s="343"/>
      <c r="Z43" s="336"/>
      <c r="AA43" s="336"/>
      <c r="AB43" s="336"/>
      <c r="AC43" s="336"/>
      <c r="AD43" s="336"/>
      <c r="AE43" s="336"/>
      <c r="AF43" s="336"/>
      <c r="AG43" s="336"/>
      <c r="AH43" s="336"/>
      <c r="AI43" s="336"/>
      <c r="AJ43" s="336"/>
      <c r="AK43" s="336"/>
      <c r="AL43" s="336"/>
      <c r="AM43" s="336"/>
      <c r="AN43" s="336"/>
      <c r="AO43" s="336"/>
      <c r="AP43" s="336"/>
      <c r="AQ43" s="336"/>
      <c r="AR43" s="336"/>
      <c r="AS43" s="336"/>
      <c r="AT43" s="336"/>
      <c r="AU43" s="336"/>
      <c r="AV43" s="336"/>
      <c r="AW43" s="336"/>
    </row>
    <row r="44" spans="1:49" ht="14" outlineLevel="5">
      <c r="A44" s="336"/>
      <c r="B44" s="341"/>
      <c r="C44" s="354" t="s">
        <v>396</v>
      </c>
      <c r="D44" s="355">
        <f t="shared" si="0"/>
        <v>141</v>
      </c>
      <c r="E44" s="355">
        <f t="shared" si="1"/>
        <v>141</v>
      </c>
      <c r="F44" s="355">
        <f t="shared" si="2"/>
        <v>141</v>
      </c>
      <c r="G44" s="355">
        <f t="shared" si="3"/>
        <v>141</v>
      </c>
      <c r="H44" s="355">
        <f t="shared" si="4"/>
        <v>141</v>
      </c>
      <c r="I44" s="355">
        <f t="shared" si="5"/>
        <v>141</v>
      </c>
      <c r="J44" s="355" t="str">
        <f t="shared" si="6"/>
        <v/>
      </c>
      <c r="K44" s="356" t="str">
        <f t="shared" si="7"/>
        <v/>
      </c>
      <c r="M44" s="357"/>
      <c r="N44" s="357"/>
      <c r="O44" s="357"/>
      <c r="P44" s="357"/>
      <c r="Q44" s="357"/>
      <c r="R44" s="357"/>
      <c r="S44" s="357"/>
      <c r="T44" s="357"/>
      <c r="U44" s="357"/>
      <c r="V44" s="357"/>
      <c r="W44" s="357"/>
      <c r="X44" s="357">
        <v>141</v>
      </c>
      <c r="Y44" s="343"/>
      <c r="Z44" s="336"/>
      <c r="AA44" s="336"/>
      <c r="AB44" s="336"/>
      <c r="AC44" s="336"/>
      <c r="AD44" s="336"/>
      <c r="AE44" s="336"/>
      <c r="AF44" s="336"/>
      <c r="AG44" s="336"/>
      <c r="AH44" s="336"/>
      <c r="AI44" s="336"/>
      <c r="AJ44" s="336"/>
      <c r="AK44" s="336"/>
      <c r="AL44" s="336"/>
      <c r="AM44" s="336"/>
      <c r="AN44" s="336"/>
      <c r="AO44" s="336"/>
      <c r="AP44" s="336"/>
      <c r="AQ44" s="336"/>
      <c r="AR44" s="336"/>
      <c r="AS44" s="336"/>
      <c r="AT44" s="336"/>
      <c r="AU44" s="336"/>
      <c r="AV44" s="336"/>
      <c r="AW44" s="336"/>
    </row>
    <row r="45" spans="1:49" ht="14" outlineLevel="5">
      <c r="A45" s="336"/>
      <c r="B45" s="341"/>
      <c r="C45" s="358" t="s">
        <v>397</v>
      </c>
      <c r="D45" s="359">
        <f t="shared" si="0"/>
        <v>42806.5</v>
      </c>
      <c r="E45" s="359">
        <f t="shared" si="1"/>
        <v>66066.75</v>
      </c>
      <c r="F45" s="359">
        <f t="shared" si="2"/>
        <v>141</v>
      </c>
      <c r="G45" s="359">
        <f t="shared" si="3"/>
        <v>206210</v>
      </c>
      <c r="H45" s="359">
        <f t="shared" si="4"/>
        <v>3538.5</v>
      </c>
      <c r="I45" s="359">
        <f t="shared" si="5"/>
        <v>103495.25</v>
      </c>
      <c r="J45" s="359">
        <f t="shared" si="6"/>
        <v>72062.505417960841</v>
      </c>
      <c r="K45" s="360">
        <f t="shared" si="7"/>
        <v>1.0907529947812</v>
      </c>
      <c r="L45" s="339"/>
      <c r="M45" s="361">
        <v>206210</v>
      </c>
      <c r="N45" s="361">
        <v>173606</v>
      </c>
      <c r="O45" s="361">
        <v>137345</v>
      </c>
      <c r="P45" s="361">
        <v>92212</v>
      </c>
      <c r="Q45" s="361">
        <v>72388</v>
      </c>
      <c r="R45" s="361">
        <v>54548</v>
      </c>
      <c r="S45" s="361">
        <v>31065</v>
      </c>
      <c r="T45" s="361">
        <v>16239</v>
      </c>
      <c r="U45" s="361">
        <v>3708</v>
      </c>
      <c r="V45" s="361">
        <v>3030</v>
      </c>
      <c r="W45" s="361">
        <v>2309</v>
      </c>
      <c r="X45" s="361">
        <v>141</v>
      </c>
      <c r="Y45" s="343"/>
      <c r="Z45" s="336"/>
      <c r="AA45" s="336"/>
      <c r="AB45" s="336"/>
      <c r="AC45" s="336"/>
      <c r="AD45" s="336"/>
      <c r="AE45" s="336"/>
      <c r="AF45" s="336"/>
      <c r="AG45" s="336"/>
      <c r="AH45" s="336"/>
      <c r="AI45" s="336"/>
      <c r="AJ45" s="336"/>
      <c r="AK45" s="336"/>
      <c r="AL45" s="336"/>
      <c r="AM45" s="336"/>
      <c r="AN45" s="336"/>
      <c r="AO45" s="336"/>
      <c r="AP45" s="336"/>
      <c r="AQ45" s="336"/>
      <c r="AR45" s="336"/>
      <c r="AS45" s="336"/>
      <c r="AT45" s="336"/>
      <c r="AU45" s="336"/>
      <c r="AV45" s="336"/>
      <c r="AW45" s="336"/>
    </row>
    <row r="46" spans="1:49" ht="14" outlineLevel="4">
      <c r="A46" s="336"/>
      <c r="B46" s="341"/>
      <c r="C46" s="354" t="s">
        <v>398</v>
      </c>
      <c r="D46" s="355">
        <f t="shared" si="0"/>
        <v>7630.5</v>
      </c>
      <c r="E46" s="355">
        <f t="shared" si="1"/>
        <v>6953.333333333333</v>
      </c>
      <c r="F46" s="355">
        <f t="shared" si="2"/>
        <v>0</v>
      </c>
      <c r="G46" s="355">
        <f t="shared" si="3"/>
        <v>13974</v>
      </c>
      <c r="H46" s="355">
        <f t="shared" si="4"/>
        <v>3372.25</v>
      </c>
      <c r="I46" s="355">
        <f t="shared" si="5"/>
        <v>8760.75</v>
      </c>
      <c r="J46" s="355">
        <f t="shared" si="6"/>
        <v>4363.2083344365947</v>
      </c>
      <c r="K46" s="356">
        <f t="shared" si="7"/>
        <v>0.627498801692703</v>
      </c>
      <c r="M46" s="357">
        <v>8166</v>
      </c>
      <c r="N46" s="357">
        <v>13530</v>
      </c>
      <c r="O46" s="357">
        <v>13974</v>
      </c>
      <c r="P46" s="357">
        <v>8199</v>
      </c>
      <c r="Q46" s="357">
        <v>10158</v>
      </c>
      <c r="R46" s="357">
        <v>3416</v>
      </c>
      <c r="S46" s="357">
        <v>7095</v>
      </c>
      <c r="T46" s="357">
        <v>3241</v>
      </c>
      <c r="U46" s="357">
        <v>8295</v>
      </c>
      <c r="V46" s="357">
        <v>1991</v>
      </c>
      <c r="W46" s="357">
        <v>5375</v>
      </c>
      <c r="X46" s="357">
        <v>0</v>
      </c>
      <c r="Y46" s="343"/>
      <c r="Z46" s="336"/>
      <c r="AA46" s="336"/>
      <c r="AB46" s="336"/>
      <c r="AC46" s="336"/>
      <c r="AD46" s="336"/>
      <c r="AE46" s="336"/>
      <c r="AF46" s="336"/>
      <c r="AG46" s="336"/>
      <c r="AH46" s="336"/>
      <c r="AI46" s="336"/>
      <c r="AJ46" s="336"/>
      <c r="AK46" s="336"/>
      <c r="AL46" s="336"/>
      <c r="AM46" s="336"/>
      <c r="AN46" s="336"/>
      <c r="AO46" s="336"/>
      <c r="AP46" s="336"/>
      <c r="AQ46" s="336"/>
      <c r="AR46" s="336"/>
      <c r="AS46" s="336"/>
      <c r="AT46" s="336"/>
      <c r="AU46" s="336"/>
      <c r="AV46" s="336"/>
      <c r="AW46" s="336"/>
    </row>
    <row r="47" spans="1:49" ht="14" outlineLevel="4">
      <c r="A47" s="336"/>
      <c r="B47" s="341"/>
      <c r="C47" s="354" t="s">
        <v>399</v>
      </c>
      <c r="D47" s="355">
        <f t="shared" si="0"/>
        <v>190330</v>
      </c>
      <c r="E47" s="355">
        <f t="shared" si="1"/>
        <v>233333.71428571429</v>
      </c>
      <c r="F47" s="355">
        <f t="shared" si="2"/>
        <v>0</v>
      </c>
      <c r="G47" s="355">
        <f t="shared" si="3"/>
        <v>395174</v>
      </c>
      <c r="H47" s="355">
        <f t="shared" si="4"/>
        <v>159942.5</v>
      </c>
      <c r="I47" s="355">
        <f t="shared" si="5"/>
        <v>363973.5</v>
      </c>
      <c r="J47" s="355">
        <f t="shared" si="6"/>
        <v>146064.99459796917</v>
      </c>
      <c r="K47" s="356">
        <f t="shared" si="7"/>
        <v>0.62599181196384834</v>
      </c>
      <c r="M47" s="357">
        <v>395174</v>
      </c>
      <c r="N47" s="357">
        <v>381010</v>
      </c>
      <c r="O47" s="357">
        <v>346937</v>
      </c>
      <c r="P47" s="357">
        <v>190330</v>
      </c>
      <c r="Q47" s="357">
        <v>164252</v>
      </c>
      <c r="R47" s="357">
        <v>155633</v>
      </c>
      <c r="S47" s="357">
        <v>0</v>
      </c>
      <c r="T47" s="357"/>
      <c r="U47" s="357"/>
      <c r="V47" s="357"/>
      <c r="W47" s="357"/>
      <c r="X47" s="357"/>
      <c r="Y47" s="343"/>
      <c r="Z47" s="336"/>
      <c r="AA47" s="336"/>
      <c r="AB47" s="336"/>
      <c r="AC47" s="336"/>
      <c r="AD47" s="336"/>
      <c r="AE47" s="336"/>
      <c r="AF47" s="336"/>
      <c r="AG47" s="336"/>
      <c r="AH47" s="336"/>
      <c r="AI47" s="336"/>
      <c r="AJ47" s="336"/>
      <c r="AK47" s="336"/>
      <c r="AL47" s="336"/>
      <c r="AM47" s="336"/>
      <c r="AN47" s="336"/>
      <c r="AO47" s="336"/>
      <c r="AP47" s="336"/>
      <c r="AQ47" s="336"/>
      <c r="AR47" s="336"/>
      <c r="AS47" s="336"/>
      <c r="AT47" s="336"/>
      <c r="AU47" s="336"/>
      <c r="AV47" s="336"/>
      <c r="AW47" s="336"/>
    </row>
    <row r="48" spans="1:49" ht="14" outlineLevel="4">
      <c r="A48" s="336"/>
      <c r="B48" s="341"/>
      <c r="C48" s="354" t="s">
        <v>400</v>
      </c>
      <c r="D48" s="355">
        <f t="shared" si="0"/>
        <v>47859.5</v>
      </c>
      <c r="E48" s="355">
        <f t="shared" si="1"/>
        <v>72061.416666666672</v>
      </c>
      <c r="F48" s="355">
        <f t="shared" si="2"/>
        <v>15344</v>
      </c>
      <c r="G48" s="355">
        <f t="shared" si="3"/>
        <v>180467</v>
      </c>
      <c r="H48" s="355">
        <f t="shared" si="4"/>
        <v>32301.5</v>
      </c>
      <c r="I48" s="355">
        <f t="shared" si="5"/>
        <v>87394</v>
      </c>
      <c r="J48" s="355">
        <f t="shared" si="6"/>
        <v>60278.162043612945</v>
      </c>
      <c r="K48" s="356">
        <f t="shared" si="7"/>
        <v>0.8364831671633749</v>
      </c>
      <c r="M48" s="357">
        <v>180467</v>
      </c>
      <c r="N48" s="357">
        <v>179589</v>
      </c>
      <c r="O48" s="357">
        <v>143080</v>
      </c>
      <c r="P48" s="357">
        <v>68832</v>
      </c>
      <c r="Q48" s="357">
        <v>60302</v>
      </c>
      <c r="R48" s="357">
        <v>53231</v>
      </c>
      <c r="S48" s="357">
        <v>42488</v>
      </c>
      <c r="T48" s="357">
        <v>33877</v>
      </c>
      <c r="U48" s="357">
        <v>32956</v>
      </c>
      <c r="V48" s="357">
        <v>30338</v>
      </c>
      <c r="W48" s="357">
        <v>24233</v>
      </c>
      <c r="X48" s="357">
        <v>15344</v>
      </c>
      <c r="Y48" s="343"/>
      <c r="Z48" s="336"/>
      <c r="AA48" s="336"/>
      <c r="AB48" s="336"/>
      <c r="AC48" s="336"/>
      <c r="AD48" s="336"/>
      <c r="AE48" s="336"/>
      <c r="AF48" s="336"/>
      <c r="AG48" s="336"/>
      <c r="AH48" s="336"/>
      <c r="AI48" s="336"/>
      <c r="AJ48" s="336"/>
      <c r="AK48" s="336"/>
      <c r="AL48" s="336"/>
      <c r="AM48" s="336"/>
      <c r="AN48" s="336"/>
      <c r="AO48" s="336"/>
      <c r="AP48" s="336"/>
      <c r="AQ48" s="336"/>
      <c r="AR48" s="336"/>
      <c r="AS48" s="336"/>
      <c r="AT48" s="336"/>
      <c r="AU48" s="336"/>
      <c r="AV48" s="336"/>
      <c r="AW48" s="336"/>
    </row>
    <row r="49" spans="1:49" ht="14" outlineLevel="4">
      <c r="A49" s="336"/>
      <c r="B49" s="341"/>
      <c r="C49" s="358" t="s">
        <v>401</v>
      </c>
      <c r="D49" s="359">
        <f t="shared" si="0"/>
        <v>271094</v>
      </c>
      <c r="E49" s="359">
        <f t="shared" si="1"/>
        <v>424660</v>
      </c>
      <c r="F49" s="359">
        <f t="shared" si="2"/>
        <v>40737</v>
      </c>
      <c r="G49" s="359">
        <f t="shared" si="3"/>
        <v>1189283</v>
      </c>
      <c r="H49" s="359">
        <f t="shared" si="4"/>
        <v>89084.75</v>
      </c>
      <c r="I49" s="359">
        <f t="shared" si="5"/>
        <v>618141.25</v>
      </c>
      <c r="J49" s="359">
        <f t="shared" si="6"/>
        <v>421943.41773426533</v>
      </c>
      <c r="K49" s="360">
        <f t="shared" si="7"/>
        <v>0.99360292406693662</v>
      </c>
      <c r="L49" s="339"/>
      <c r="M49" s="361">
        <v>1189283</v>
      </c>
      <c r="N49" s="361">
        <v>1094373</v>
      </c>
      <c r="O49" s="361">
        <v>923626</v>
      </c>
      <c r="P49" s="361">
        <v>516313</v>
      </c>
      <c r="Q49" s="361">
        <v>432649</v>
      </c>
      <c r="R49" s="361">
        <v>374735</v>
      </c>
      <c r="S49" s="361">
        <v>167453</v>
      </c>
      <c r="T49" s="361">
        <v>119555</v>
      </c>
      <c r="U49" s="361">
        <v>92225</v>
      </c>
      <c r="V49" s="361">
        <v>79664</v>
      </c>
      <c r="W49" s="361">
        <v>65307</v>
      </c>
      <c r="X49" s="361">
        <v>40737</v>
      </c>
      <c r="Y49" s="343"/>
      <c r="Z49" s="336"/>
      <c r="AA49" s="336"/>
      <c r="AB49" s="336"/>
      <c r="AC49" s="336"/>
      <c r="AD49" s="336"/>
      <c r="AE49" s="336"/>
      <c r="AF49" s="336"/>
      <c r="AG49" s="336"/>
      <c r="AH49" s="336"/>
      <c r="AI49" s="336"/>
      <c r="AJ49" s="336"/>
      <c r="AK49" s="336"/>
      <c r="AL49" s="336"/>
      <c r="AM49" s="336"/>
      <c r="AN49" s="336"/>
      <c r="AO49" s="336"/>
      <c r="AP49" s="336"/>
      <c r="AQ49" s="336"/>
      <c r="AR49" s="336"/>
      <c r="AS49" s="336"/>
      <c r="AT49" s="336"/>
      <c r="AU49" s="336"/>
      <c r="AV49" s="336"/>
      <c r="AW49" s="336"/>
    </row>
    <row r="50" spans="1:49" ht="14" outlineLevel="3">
      <c r="A50" s="336"/>
      <c r="B50" s="341"/>
      <c r="C50" s="354" t="s">
        <v>402</v>
      </c>
      <c r="D50" s="355" t="str">
        <f t="shared" si="0"/>
        <v/>
      </c>
      <c r="E50" s="355" t="str">
        <f t="shared" si="1"/>
        <v/>
      </c>
      <c r="F50" s="355" t="str">
        <f t="shared" si="2"/>
        <v/>
      </c>
      <c r="G50" s="355" t="str">
        <f t="shared" si="3"/>
        <v/>
      </c>
      <c r="H50" s="355" t="str">
        <f t="shared" si="4"/>
        <v/>
      </c>
      <c r="I50" s="355" t="str">
        <f t="shared" si="5"/>
        <v/>
      </c>
      <c r="J50" s="355" t="str">
        <f t="shared" si="6"/>
        <v/>
      </c>
      <c r="K50" s="356" t="str">
        <f t="shared" si="7"/>
        <v/>
      </c>
      <c r="M50" s="357"/>
      <c r="N50" s="357"/>
      <c r="O50" s="357"/>
      <c r="P50" s="357"/>
      <c r="Q50" s="357"/>
      <c r="R50" s="357"/>
      <c r="S50" s="357"/>
      <c r="T50" s="357"/>
      <c r="U50" s="357"/>
      <c r="V50" s="357"/>
      <c r="W50" s="357"/>
      <c r="X50" s="357"/>
      <c r="Y50" s="343"/>
      <c r="Z50" s="336"/>
      <c r="AA50" s="336"/>
      <c r="AB50" s="336"/>
      <c r="AC50" s="336"/>
      <c r="AD50" s="336"/>
      <c r="AE50" s="336"/>
      <c r="AF50" s="336"/>
      <c r="AG50" s="336"/>
      <c r="AH50" s="336"/>
      <c r="AI50" s="336"/>
      <c r="AJ50" s="336"/>
      <c r="AK50" s="336"/>
      <c r="AL50" s="336"/>
      <c r="AM50" s="336"/>
      <c r="AN50" s="336"/>
      <c r="AO50" s="336"/>
      <c r="AP50" s="336"/>
      <c r="AQ50" s="336"/>
      <c r="AR50" s="336"/>
      <c r="AS50" s="336"/>
      <c r="AT50" s="336"/>
      <c r="AU50" s="336"/>
      <c r="AV50" s="336"/>
      <c r="AW50" s="336"/>
    </row>
    <row r="51" spans="1:49" ht="14" outlineLevel="4">
      <c r="A51" s="336"/>
      <c r="B51" s="341"/>
      <c r="C51" s="354" t="s">
        <v>403</v>
      </c>
      <c r="D51" s="355">
        <f t="shared" si="0"/>
        <v>-63353.5</v>
      </c>
      <c r="E51" s="355">
        <f t="shared" si="1"/>
        <v>-118425.58333333333</v>
      </c>
      <c r="F51" s="355">
        <f t="shared" si="2"/>
        <v>-370118</v>
      </c>
      <c r="G51" s="355">
        <f t="shared" si="3"/>
        <v>-6971</v>
      </c>
      <c r="H51" s="355">
        <f t="shared" si="4"/>
        <v>-171189.25</v>
      </c>
      <c r="I51" s="355">
        <f t="shared" si="5"/>
        <v>-29121.5</v>
      </c>
      <c r="J51" s="355">
        <f t="shared" si="6"/>
        <v>124709.10043738394</v>
      </c>
      <c r="K51" s="356">
        <f t="shared" si="7"/>
        <v>-1.0530587811112093</v>
      </c>
      <c r="M51" s="357">
        <v>-370118</v>
      </c>
      <c r="N51" s="357">
        <v>-322958</v>
      </c>
      <c r="O51" s="357">
        <v>-227869</v>
      </c>
      <c r="P51" s="357">
        <v>-152296</v>
      </c>
      <c r="Q51" s="357">
        <v>-107720</v>
      </c>
      <c r="R51" s="357">
        <v>-73621</v>
      </c>
      <c r="S51" s="357">
        <v>-53086</v>
      </c>
      <c r="T51" s="357">
        <v>-36228</v>
      </c>
      <c r="U51" s="357">
        <v>-30987</v>
      </c>
      <c r="V51" s="357">
        <v>-23525</v>
      </c>
      <c r="W51" s="357">
        <v>-15728</v>
      </c>
      <c r="X51" s="357">
        <v>-6971</v>
      </c>
      <c r="Y51" s="343"/>
      <c r="Z51" s="336"/>
      <c r="AA51" s="336"/>
      <c r="AB51" s="336"/>
      <c r="AC51" s="336"/>
      <c r="AD51" s="336"/>
      <c r="AE51" s="336"/>
      <c r="AF51" s="336"/>
      <c r="AG51" s="336"/>
      <c r="AH51" s="336"/>
      <c r="AI51" s="336"/>
      <c r="AJ51" s="336"/>
      <c r="AK51" s="336"/>
      <c r="AL51" s="336"/>
      <c r="AM51" s="336"/>
      <c r="AN51" s="336"/>
      <c r="AO51" s="336"/>
      <c r="AP51" s="336"/>
      <c r="AQ51" s="336"/>
      <c r="AR51" s="336"/>
      <c r="AS51" s="336"/>
      <c r="AT51" s="336"/>
      <c r="AU51" s="336"/>
      <c r="AV51" s="336"/>
      <c r="AW51" s="336"/>
    </row>
    <row r="52" spans="1:49" ht="14" outlineLevel="4">
      <c r="A52" s="336"/>
      <c r="B52" s="341"/>
      <c r="C52" s="358" t="s">
        <v>404</v>
      </c>
      <c r="D52" s="359">
        <f t="shared" si="0"/>
        <v>-63353.5</v>
      </c>
      <c r="E52" s="359">
        <f t="shared" si="1"/>
        <v>-118425.58333333333</v>
      </c>
      <c r="F52" s="359">
        <f t="shared" si="2"/>
        <v>-370118</v>
      </c>
      <c r="G52" s="359">
        <f t="shared" si="3"/>
        <v>-6971</v>
      </c>
      <c r="H52" s="359">
        <f t="shared" si="4"/>
        <v>-171189.25</v>
      </c>
      <c r="I52" s="359">
        <f t="shared" si="5"/>
        <v>-29121.5</v>
      </c>
      <c r="J52" s="359">
        <f t="shared" si="6"/>
        <v>124709.10043738394</v>
      </c>
      <c r="K52" s="360">
        <f t="shared" si="7"/>
        <v>-1.0530587811112093</v>
      </c>
      <c r="L52" s="339"/>
      <c r="M52" s="361">
        <v>-370118</v>
      </c>
      <c r="N52" s="361">
        <v>-322958</v>
      </c>
      <c r="O52" s="361">
        <v>-227869</v>
      </c>
      <c r="P52" s="361">
        <v>-152296</v>
      </c>
      <c r="Q52" s="361">
        <v>-107720</v>
      </c>
      <c r="R52" s="361">
        <v>-73621</v>
      </c>
      <c r="S52" s="361">
        <v>-53086</v>
      </c>
      <c r="T52" s="361">
        <v>-36228</v>
      </c>
      <c r="U52" s="361">
        <v>-30987</v>
      </c>
      <c r="V52" s="361">
        <v>-23525</v>
      </c>
      <c r="W52" s="361">
        <v>-15728</v>
      </c>
      <c r="X52" s="361">
        <v>-6971</v>
      </c>
      <c r="Y52" s="343"/>
      <c r="Z52" s="336"/>
      <c r="AA52" s="336"/>
      <c r="AB52" s="336"/>
      <c r="AC52" s="336"/>
      <c r="AD52" s="336"/>
      <c r="AE52" s="336"/>
      <c r="AF52" s="336"/>
      <c r="AG52" s="336"/>
      <c r="AH52" s="336"/>
      <c r="AI52" s="336"/>
      <c r="AJ52" s="336"/>
      <c r="AK52" s="336"/>
      <c r="AL52" s="336"/>
      <c r="AM52" s="336"/>
      <c r="AN52" s="336"/>
      <c r="AO52" s="336"/>
      <c r="AP52" s="336"/>
      <c r="AQ52" s="336"/>
      <c r="AR52" s="336"/>
      <c r="AS52" s="336"/>
      <c r="AT52" s="336"/>
      <c r="AU52" s="336"/>
      <c r="AV52" s="336"/>
      <c r="AW52" s="336"/>
    </row>
    <row r="53" spans="1:49" ht="14" outlineLevel="3">
      <c r="A53" s="336"/>
      <c r="B53" s="341"/>
      <c r="C53" s="358" t="s">
        <v>405</v>
      </c>
      <c r="D53" s="359">
        <f t="shared" si="0"/>
        <v>207740.5</v>
      </c>
      <c r="E53" s="359">
        <f t="shared" si="1"/>
        <v>306234.41666666669</v>
      </c>
      <c r="F53" s="359">
        <f t="shared" si="2"/>
        <v>33766</v>
      </c>
      <c r="G53" s="359">
        <f t="shared" si="3"/>
        <v>819165</v>
      </c>
      <c r="H53" s="359">
        <f t="shared" si="4"/>
        <v>59963.25</v>
      </c>
      <c r="I53" s="359">
        <f t="shared" si="5"/>
        <v>446952</v>
      </c>
      <c r="J53" s="359">
        <f t="shared" si="6"/>
        <v>299107.14999978256</v>
      </c>
      <c r="K53" s="360">
        <f t="shared" si="7"/>
        <v>0.97672610823935546</v>
      </c>
      <c r="L53" s="339"/>
      <c r="M53" s="361">
        <v>819165</v>
      </c>
      <c r="N53" s="361">
        <v>771415</v>
      </c>
      <c r="O53" s="361">
        <v>695757</v>
      </c>
      <c r="P53" s="361">
        <v>364017</v>
      </c>
      <c r="Q53" s="361">
        <v>324929</v>
      </c>
      <c r="R53" s="361">
        <v>301114</v>
      </c>
      <c r="S53" s="361">
        <v>114367</v>
      </c>
      <c r="T53" s="361">
        <v>83327</v>
      </c>
      <c r="U53" s="361">
        <v>61238</v>
      </c>
      <c r="V53" s="361">
        <v>56139</v>
      </c>
      <c r="W53" s="361">
        <v>49579</v>
      </c>
      <c r="X53" s="361">
        <v>33766</v>
      </c>
      <c r="Y53" s="343"/>
      <c r="Z53" s="336"/>
      <c r="AA53" s="336"/>
      <c r="AB53" s="336"/>
      <c r="AC53" s="336"/>
      <c r="AD53" s="336"/>
      <c r="AE53" s="336"/>
      <c r="AF53" s="336"/>
      <c r="AG53" s="336"/>
      <c r="AH53" s="336"/>
      <c r="AI53" s="336"/>
      <c r="AJ53" s="336"/>
      <c r="AK53" s="336"/>
      <c r="AL53" s="336"/>
      <c r="AM53" s="336"/>
      <c r="AN53" s="336"/>
      <c r="AO53" s="336"/>
      <c r="AP53" s="336"/>
      <c r="AQ53" s="336"/>
      <c r="AR53" s="336"/>
      <c r="AS53" s="336"/>
      <c r="AT53" s="336"/>
      <c r="AU53" s="336"/>
      <c r="AV53" s="336"/>
      <c r="AW53" s="336"/>
    </row>
    <row r="54" spans="1:49" ht="14" outlineLevel="2">
      <c r="A54" s="336"/>
      <c r="B54" s="341"/>
      <c r="C54" s="354" t="s">
        <v>406</v>
      </c>
      <c r="D54" s="355" t="str">
        <f t="shared" si="0"/>
        <v/>
      </c>
      <c r="E54" s="355" t="str">
        <f t="shared" si="1"/>
        <v/>
      </c>
      <c r="F54" s="355" t="str">
        <f t="shared" si="2"/>
        <v/>
      </c>
      <c r="G54" s="355" t="str">
        <f t="shared" si="3"/>
        <v/>
      </c>
      <c r="H54" s="355" t="str">
        <f t="shared" si="4"/>
        <v/>
      </c>
      <c r="I54" s="355" t="str">
        <f t="shared" si="5"/>
        <v/>
      </c>
      <c r="J54" s="355" t="str">
        <f t="shared" si="6"/>
        <v/>
      </c>
      <c r="K54" s="356" t="str">
        <f t="shared" si="7"/>
        <v/>
      </c>
      <c r="M54" s="357"/>
      <c r="N54" s="357"/>
      <c r="O54" s="357"/>
      <c r="P54" s="357"/>
      <c r="Q54" s="357"/>
      <c r="R54" s="357"/>
      <c r="S54" s="357"/>
      <c r="T54" s="357"/>
      <c r="U54" s="357"/>
      <c r="V54" s="357"/>
      <c r="W54" s="357"/>
      <c r="X54" s="357"/>
      <c r="Y54" s="343"/>
      <c r="Z54" s="336"/>
      <c r="AA54" s="336"/>
      <c r="AB54" s="336"/>
      <c r="AC54" s="336"/>
      <c r="AD54" s="336"/>
      <c r="AE54" s="336"/>
      <c r="AF54" s="336"/>
      <c r="AG54" s="336"/>
      <c r="AH54" s="336"/>
      <c r="AI54" s="336"/>
      <c r="AJ54" s="336"/>
      <c r="AK54" s="336"/>
      <c r="AL54" s="336"/>
      <c r="AM54" s="336"/>
      <c r="AN54" s="336"/>
      <c r="AO54" s="336"/>
      <c r="AP54" s="336"/>
      <c r="AQ54" s="336"/>
      <c r="AR54" s="336"/>
      <c r="AS54" s="336"/>
      <c r="AT54" s="336"/>
      <c r="AU54" s="336"/>
      <c r="AV54" s="336"/>
      <c r="AW54" s="336"/>
    </row>
    <row r="55" spans="1:49" ht="14" outlineLevel="3">
      <c r="A55" s="336"/>
      <c r="B55" s="341"/>
      <c r="C55" s="354" t="s">
        <v>407</v>
      </c>
      <c r="D55" s="355" t="str">
        <f t="shared" si="0"/>
        <v/>
      </c>
      <c r="E55" s="355" t="str">
        <f t="shared" si="1"/>
        <v/>
      </c>
      <c r="F55" s="355" t="str">
        <f t="shared" si="2"/>
        <v/>
      </c>
      <c r="G55" s="355" t="str">
        <f t="shared" si="3"/>
        <v/>
      </c>
      <c r="H55" s="355" t="str">
        <f t="shared" si="4"/>
        <v/>
      </c>
      <c r="I55" s="355" t="str">
        <f t="shared" si="5"/>
        <v/>
      </c>
      <c r="J55" s="355" t="str">
        <f t="shared" si="6"/>
        <v/>
      </c>
      <c r="K55" s="356" t="str">
        <f t="shared" si="7"/>
        <v/>
      </c>
      <c r="M55" s="357"/>
      <c r="N55" s="357"/>
      <c r="O55" s="357"/>
      <c r="P55" s="357"/>
      <c r="Q55" s="357"/>
      <c r="R55" s="357"/>
      <c r="S55" s="357"/>
      <c r="T55" s="357"/>
      <c r="U55" s="357"/>
      <c r="V55" s="357"/>
      <c r="W55" s="357"/>
      <c r="X55" s="357"/>
      <c r="Y55" s="343"/>
      <c r="Z55" s="336"/>
      <c r="AA55" s="336"/>
      <c r="AB55" s="336"/>
      <c r="AC55" s="336"/>
      <c r="AD55" s="336"/>
      <c r="AE55" s="336"/>
      <c r="AF55" s="336"/>
      <c r="AG55" s="336"/>
      <c r="AH55" s="336"/>
      <c r="AI55" s="336"/>
      <c r="AJ55" s="336"/>
      <c r="AK55" s="336"/>
      <c r="AL55" s="336"/>
      <c r="AM55" s="336"/>
      <c r="AN55" s="336"/>
      <c r="AO55" s="336"/>
      <c r="AP55" s="336"/>
      <c r="AQ55" s="336"/>
      <c r="AR55" s="336"/>
      <c r="AS55" s="336"/>
      <c r="AT55" s="336"/>
      <c r="AU55" s="336"/>
      <c r="AV55" s="336"/>
      <c r="AW55" s="336"/>
    </row>
    <row r="56" spans="1:49" ht="14" outlineLevel="4">
      <c r="A56" s="336"/>
      <c r="B56" s="341"/>
      <c r="C56" s="354" t="s">
        <v>408</v>
      </c>
      <c r="D56" s="355">
        <f t="shared" si="0"/>
        <v>213667</v>
      </c>
      <c r="E56" s="355">
        <f t="shared" si="1"/>
        <v>324140.25</v>
      </c>
      <c r="F56" s="355">
        <f t="shared" si="2"/>
        <v>157210</v>
      </c>
      <c r="G56" s="355">
        <f t="shared" si="3"/>
        <v>720633</v>
      </c>
      <c r="H56" s="355">
        <f t="shared" si="4"/>
        <v>176981</v>
      </c>
      <c r="I56" s="355">
        <f t="shared" si="5"/>
        <v>347099.25</v>
      </c>
      <c r="J56" s="355">
        <f t="shared" si="6"/>
        <v>236056.53777860661</v>
      </c>
      <c r="K56" s="356">
        <f t="shared" si="7"/>
        <v>0.7282543213272854</v>
      </c>
      <c r="M56" s="357">
        <v>720633</v>
      </c>
      <c r="N56" s="357">
        <v>717502</v>
      </c>
      <c r="O56" s="357">
        <v>702690</v>
      </c>
      <c r="P56" s="357">
        <v>228569</v>
      </c>
      <c r="Q56" s="357">
        <v>227821</v>
      </c>
      <c r="R56" s="357">
        <v>227821</v>
      </c>
      <c r="S56" s="357">
        <v>199513</v>
      </c>
      <c r="T56" s="357">
        <v>176981</v>
      </c>
      <c r="U56" s="357">
        <v>176981</v>
      </c>
      <c r="V56" s="357">
        <v>176981</v>
      </c>
      <c r="W56" s="357">
        <v>176981</v>
      </c>
      <c r="X56" s="357">
        <v>157210</v>
      </c>
      <c r="Y56" s="343"/>
      <c r="Z56" s="336"/>
      <c r="AA56" s="336"/>
      <c r="AB56" s="336"/>
      <c r="AC56" s="336"/>
      <c r="AD56" s="336"/>
      <c r="AE56" s="336"/>
      <c r="AF56" s="336"/>
      <c r="AG56" s="336"/>
      <c r="AH56" s="336"/>
      <c r="AI56" s="336"/>
      <c r="AJ56" s="336"/>
      <c r="AK56" s="336"/>
      <c r="AL56" s="336"/>
      <c r="AM56" s="336"/>
      <c r="AN56" s="336"/>
      <c r="AO56" s="336"/>
      <c r="AP56" s="336"/>
      <c r="AQ56" s="336"/>
      <c r="AR56" s="336"/>
      <c r="AS56" s="336"/>
      <c r="AT56" s="336"/>
      <c r="AU56" s="336"/>
      <c r="AV56" s="336"/>
      <c r="AW56" s="336"/>
    </row>
    <row r="57" spans="1:49" ht="14" outlineLevel="4">
      <c r="A57" s="336"/>
      <c r="B57" s="341"/>
      <c r="C57" s="354" t="s">
        <v>409</v>
      </c>
      <c r="D57" s="355" t="str">
        <f t="shared" si="0"/>
        <v/>
      </c>
      <c r="E57" s="355" t="str">
        <f t="shared" si="1"/>
        <v/>
      </c>
      <c r="F57" s="355" t="str">
        <f t="shared" si="2"/>
        <v/>
      </c>
      <c r="G57" s="355" t="str">
        <f t="shared" si="3"/>
        <v/>
      </c>
      <c r="H57" s="355" t="str">
        <f t="shared" si="4"/>
        <v/>
      </c>
      <c r="I57" s="355" t="str">
        <f t="shared" si="5"/>
        <v/>
      </c>
      <c r="J57" s="355" t="str">
        <f t="shared" si="6"/>
        <v/>
      </c>
      <c r="K57" s="356" t="str">
        <f t="shared" si="7"/>
        <v/>
      </c>
      <c r="M57" s="357"/>
      <c r="N57" s="357"/>
      <c r="O57" s="357"/>
      <c r="P57" s="357"/>
      <c r="Q57" s="357"/>
      <c r="R57" s="357"/>
      <c r="S57" s="357"/>
      <c r="T57" s="357"/>
      <c r="U57" s="357"/>
      <c r="V57" s="357"/>
      <c r="W57" s="357"/>
      <c r="X57" s="357"/>
      <c r="Y57" s="343"/>
      <c r="Z57" s="336"/>
      <c r="AA57" s="336"/>
      <c r="AB57" s="336"/>
      <c r="AC57" s="336"/>
      <c r="AD57" s="336"/>
      <c r="AE57" s="336"/>
      <c r="AF57" s="336"/>
      <c r="AG57" s="336"/>
      <c r="AH57" s="336"/>
      <c r="AI57" s="336"/>
      <c r="AJ57" s="336"/>
      <c r="AK57" s="336"/>
      <c r="AL57" s="336"/>
      <c r="AM57" s="336"/>
      <c r="AN57" s="336"/>
      <c r="AO57" s="336"/>
      <c r="AP57" s="336"/>
      <c r="AQ57" s="336"/>
      <c r="AR57" s="336"/>
      <c r="AS57" s="336"/>
      <c r="AT57" s="336"/>
      <c r="AU57" s="336"/>
      <c r="AV57" s="336"/>
      <c r="AW57" s="336"/>
    </row>
    <row r="58" spans="1:49" ht="14" outlineLevel="5">
      <c r="A58" s="336"/>
      <c r="B58" s="341"/>
      <c r="C58" s="354" t="s">
        <v>410</v>
      </c>
      <c r="D58" s="355">
        <f t="shared" si="0"/>
        <v>146450</v>
      </c>
      <c r="E58" s="355">
        <f t="shared" si="1"/>
        <v>146450</v>
      </c>
      <c r="F58" s="355">
        <f t="shared" si="2"/>
        <v>146300</v>
      </c>
      <c r="G58" s="355">
        <f t="shared" si="3"/>
        <v>146600</v>
      </c>
      <c r="H58" s="355">
        <f t="shared" si="4"/>
        <v>146300</v>
      </c>
      <c r="I58" s="355">
        <f t="shared" si="5"/>
        <v>146600</v>
      </c>
      <c r="J58" s="355">
        <f t="shared" si="6"/>
        <v>156.66989036012805</v>
      </c>
      <c r="K58" s="356">
        <f t="shared" si="7"/>
        <v>1.0697841608748929E-3</v>
      </c>
      <c r="M58" s="357">
        <v>146600</v>
      </c>
      <c r="N58" s="357">
        <v>146600</v>
      </c>
      <c r="O58" s="357">
        <v>146600</v>
      </c>
      <c r="P58" s="357">
        <v>146600</v>
      </c>
      <c r="Q58" s="357">
        <v>146600</v>
      </c>
      <c r="R58" s="357">
        <v>146600</v>
      </c>
      <c r="S58" s="357">
        <v>146300</v>
      </c>
      <c r="T58" s="357">
        <v>146300</v>
      </c>
      <c r="U58" s="357">
        <v>146300</v>
      </c>
      <c r="V58" s="357">
        <v>146300</v>
      </c>
      <c r="W58" s="357">
        <v>146300</v>
      </c>
      <c r="X58" s="357">
        <v>146300</v>
      </c>
      <c r="Y58" s="343"/>
      <c r="Z58" s="336"/>
      <c r="AA58" s="336"/>
      <c r="AB58" s="336"/>
      <c r="AC58" s="336"/>
      <c r="AD58" s="336"/>
      <c r="AE58" s="336"/>
      <c r="AF58" s="336"/>
      <c r="AG58" s="336"/>
      <c r="AH58" s="336"/>
      <c r="AI58" s="336"/>
      <c r="AJ58" s="336"/>
      <c r="AK58" s="336"/>
      <c r="AL58" s="336"/>
      <c r="AM58" s="336"/>
      <c r="AN58" s="336"/>
      <c r="AO58" s="336"/>
      <c r="AP58" s="336"/>
      <c r="AQ58" s="336"/>
      <c r="AR58" s="336"/>
      <c r="AS58" s="336"/>
      <c r="AT58" s="336"/>
      <c r="AU58" s="336"/>
      <c r="AV58" s="336"/>
      <c r="AW58" s="336"/>
    </row>
    <row r="59" spans="1:49" ht="14" outlineLevel="5">
      <c r="A59" s="336"/>
      <c r="B59" s="341"/>
      <c r="C59" s="354" t="s">
        <v>411</v>
      </c>
      <c r="D59" s="355">
        <f t="shared" si="0"/>
        <v>37660</v>
      </c>
      <c r="E59" s="355">
        <f t="shared" si="1"/>
        <v>89827.363636363632</v>
      </c>
      <c r="F59" s="355">
        <f t="shared" si="2"/>
        <v>8950</v>
      </c>
      <c r="G59" s="355">
        <f t="shared" si="3"/>
        <v>274708</v>
      </c>
      <c r="H59" s="355">
        <f t="shared" si="4"/>
        <v>8950</v>
      </c>
      <c r="I59" s="355">
        <f t="shared" si="5"/>
        <v>153108</v>
      </c>
      <c r="J59" s="355">
        <f t="shared" si="6"/>
        <v>117938.25843234478</v>
      </c>
      <c r="K59" s="356">
        <f t="shared" si="7"/>
        <v>1.3129435581542703</v>
      </c>
      <c r="M59" s="357">
        <v>274708</v>
      </c>
      <c r="N59" s="357">
        <v>274708</v>
      </c>
      <c r="O59" s="357">
        <v>268058</v>
      </c>
      <c r="P59" s="357">
        <v>38158</v>
      </c>
      <c r="Q59" s="357">
        <v>37660</v>
      </c>
      <c r="R59" s="357">
        <v>37660</v>
      </c>
      <c r="S59" s="357">
        <v>21349</v>
      </c>
      <c r="T59" s="357">
        <v>8950</v>
      </c>
      <c r="U59" s="357">
        <v>8950</v>
      </c>
      <c r="V59" s="357">
        <v>8950</v>
      </c>
      <c r="W59" s="357">
        <v>8950</v>
      </c>
      <c r="X59" s="357"/>
      <c r="Y59" s="343"/>
      <c r="Z59" s="336"/>
      <c r="AA59" s="336"/>
      <c r="AB59" s="336"/>
      <c r="AC59" s="336"/>
      <c r="AD59" s="336"/>
      <c r="AE59" s="336"/>
      <c r="AF59" s="336"/>
      <c r="AG59" s="336"/>
      <c r="AH59" s="336"/>
      <c r="AI59" s="336"/>
      <c r="AJ59" s="336"/>
      <c r="AK59" s="336"/>
      <c r="AL59" s="336"/>
      <c r="AM59" s="336"/>
      <c r="AN59" s="336"/>
      <c r="AO59" s="336"/>
      <c r="AP59" s="336"/>
      <c r="AQ59" s="336"/>
      <c r="AR59" s="336"/>
      <c r="AS59" s="336"/>
      <c r="AT59" s="336"/>
      <c r="AU59" s="336"/>
      <c r="AV59" s="336"/>
      <c r="AW59" s="336"/>
    </row>
    <row r="60" spans="1:49" ht="14" outlineLevel="5">
      <c r="A60" s="336"/>
      <c r="B60" s="341"/>
      <c r="C60" s="354" t="s">
        <v>412</v>
      </c>
      <c r="D60" s="355">
        <f t="shared" si="0"/>
        <v>175182</v>
      </c>
      <c r="E60" s="355">
        <f t="shared" si="1"/>
        <v>180174.08333333334</v>
      </c>
      <c r="F60" s="355">
        <f t="shared" si="2"/>
        <v>169300</v>
      </c>
      <c r="G60" s="355">
        <f t="shared" si="3"/>
        <v>199043</v>
      </c>
      <c r="H60" s="355">
        <f t="shared" si="4"/>
        <v>174033</v>
      </c>
      <c r="I60" s="355">
        <f t="shared" si="5"/>
        <v>181089.75</v>
      </c>
      <c r="J60" s="355">
        <f t="shared" si="6"/>
        <v>11445.986747711529</v>
      </c>
      <c r="K60" s="356">
        <f t="shared" si="7"/>
        <v>6.3527376057386328E-2</v>
      </c>
      <c r="M60" s="357">
        <v>199043</v>
      </c>
      <c r="N60" s="357">
        <v>199043</v>
      </c>
      <c r="O60" s="357">
        <v>198813</v>
      </c>
      <c r="P60" s="357">
        <v>174033</v>
      </c>
      <c r="Q60" s="357">
        <v>174033</v>
      </c>
      <c r="R60" s="357">
        <v>174033</v>
      </c>
      <c r="S60" s="357">
        <v>173063</v>
      </c>
      <c r="T60" s="357">
        <v>175182</v>
      </c>
      <c r="U60" s="357">
        <v>175182</v>
      </c>
      <c r="V60" s="357">
        <v>175182</v>
      </c>
      <c r="W60" s="357">
        <v>175182</v>
      </c>
      <c r="X60" s="357">
        <v>169300</v>
      </c>
      <c r="Y60" s="343"/>
      <c r="Z60" s="336"/>
      <c r="AA60" s="336"/>
      <c r="AB60" s="336"/>
      <c r="AC60" s="336"/>
      <c r="AD60" s="336"/>
      <c r="AE60" s="336"/>
      <c r="AF60" s="336"/>
      <c r="AG60" s="336"/>
      <c r="AH60" s="336"/>
      <c r="AI60" s="336"/>
      <c r="AJ60" s="336"/>
      <c r="AK60" s="336"/>
      <c r="AL60" s="336"/>
      <c r="AM60" s="336"/>
      <c r="AN60" s="336"/>
      <c r="AO60" s="336"/>
      <c r="AP60" s="336"/>
      <c r="AQ60" s="336"/>
      <c r="AR60" s="336"/>
      <c r="AS60" s="336"/>
      <c r="AT60" s="336"/>
      <c r="AU60" s="336"/>
      <c r="AV60" s="336"/>
      <c r="AW60" s="336"/>
    </row>
    <row r="61" spans="1:49" ht="14" outlineLevel="5">
      <c r="A61" s="336"/>
      <c r="B61" s="341"/>
      <c r="C61" s="354" t="s">
        <v>413</v>
      </c>
      <c r="D61" s="355">
        <f t="shared" si="0"/>
        <v>17435</v>
      </c>
      <c r="E61" s="355">
        <f t="shared" si="1"/>
        <v>15082</v>
      </c>
      <c r="F61" s="355">
        <f t="shared" si="2"/>
        <v>4017</v>
      </c>
      <c r="G61" s="355">
        <f t="shared" si="3"/>
        <v>17435</v>
      </c>
      <c r="H61" s="355">
        <f t="shared" si="4"/>
        <v>16910</v>
      </c>
      <c r="I61" s="355">
        <f t="shared" si="5"/>
        <v>17435</v>
      </c>
      <c r="J61" s="355">
        <f t="shared" si="6"/>
        <v>5427.9474942191546</v>
      </c>
      <c r="K61" s="356">
        <f t="shared" si="7"/>
        <v>0.35989573625640858</v>
      </c>
      <c r="M61" s="357"/>
      <c r="N61" s="357"/>
      <c r="O61" s="357"/>
      <c r="P61" s="357"/>
      <c r="Q61" s="357"/>
      <c r="R61" s="357"/>
      <c r="S61" s="357">
        <v>4017</v>
      </c>
      <c r="T61" s="357">
        <v>17435</v>
      </c>
      <c r="U61" s="357">
        <v>17435</v>
      </c>
      <c r="V61" s="357">
        <v>17435</v>
      </c>
      <c r="W61" s="357">
        <v>17435</v>
      </c>
      <c r="X61" s="357">
        <v>16735</v>
      </c>
      <c r="Y61" s="343"/>
      <c r="Z61" s="336"/>
      <c r="AA61" s="336"/>
      <c r="AB61" s="336"/>
      <c r="AC61" s="336"/>
      <c r="AD61" s="336"/>
      <c r="AE61" s="336"/>
      <c r="AF61" s="336"/>
      <c r="AG61" s="336"/>
      <c r="AH61" s="336"/>
      <c r="AI61" s="336"/>
      <c r="AJ61" s="336"/>
      <c r="AK61" s="336"/>
      <c r="AL61" s="336"/>
      <c r="AM61" s="336"/>
      <c r="AN61" s="336"/>
      <c r="AO61" s="336"/>
      <c r="AP61" s="336"/>
      <c r="AQ61" s="336"/>
      <c r="AR61" s="336"/>
      <c r="AS61" s="336"/>
      <c r="AT61" s="336"/>
      <c r="AU61" s="336"/>
      <c r="AV61" s="336"/>
      <c r="AW61" s="336"/>
    </row>
    <row r="62" spans="1:49" ht="14" outlineLevel="5">
      <c r="A62" s="336"/>
      <c r="B62" s="341"/>
      <c r="C62" s="358" t="s">
        <v>414</v>
      </c>
      <c r="D62" s="359">
        <f t="shared" si="0"/>
        <v>353080</v>
      </c>
      <c r="E62" s="359">
        <f t="shared" si="1"/>
        <v>416506.83333333331</v>
      </c>
      <c r="F62" s="359">
        <f t="shared" si="2"/>
        <v>332335</v>
      </c>
      <c r="G62" s="359">
        <f t="shared" si="3"/>
        <v>620351</v>
      </c>
      <c r="H62" s="359">
        <f t="shared" si="4"/>
        <v>347867</v>
      </c>
      <c r="I62" s="359">
        <f t="shared" si="5"/>
        <v>422461</v>
      </c>
      <c r="J62" s="359">
        <f t="shared" si="6"/>
        <v>121764.02345358857</v>
      </c>
      <c r="K62" s="360">
        <f t="shared" si="7"/>
        <v>0.29234580013754535</v>
      </c>
      <c r="L62" s="339"/>
      <c r="M62" s="361">
        <v>620351</v>
      </c>
      <c r="N62" s="361">
        <v>620351</v>
      </c>
      <c r="O62" s="361">
        <v>613471</v>
      </c>
      <c r="P62" s="361">
        <v>358791</v>
      </c>
      <c r="Q62" s="361">
        <v>358293</v>
      </c>
      <c r="R62" s="361">
        <v>358293</v>
      </c>
      <c r="S62" s="361">
        <v>344729</v>
      </c>
      <c r="T62" s="361">
        <v>347867</v>
      </c>
      <c r="U62" s="361">
        <v>347867</v>
      </c>
      <c r="V62" s="361">
        <v>347867</v>
      </c>
      <c r="W62" s="361">
        <v>347867</v>
      </c>
      <c r="X62" s="361">
        <v>332335</v>
      </c>
      <c r="Y62" s="343"/>
      <c r="Z62" s="336"/>
      <c r="AA62" s="336"/>
      <c r="AB62" s="336"/>
      <c r="AC62" s="336"/>
      <c r="AD62" s="336"/>
      <c r="AE62" s="336"/>
      <c r="AF62" s="336"/>
      <c r="AG62" s="336"/>
      <c r="AH62" s="336"/>
      <c r="AI62" s="336"/>
      <c r="AJ62" s="336"/>
      <c r="AK62" s="336"/>
      <c r="AL62" s="336"/>
      <c r="AM62" s="336"/>
      <c r="AN62" s="336"/>
      <c r="AO62" s="336"/>
      <c r="AP62" s="336"/>
      <c r="AQ62" s="336"/>
      <c r="AR62" s="336"/>
      <c r="AS62" s="336"/>
      <c r="AT62" s="336"/>
      <c r="AU62" s="336"/>
      <c r="AV62" s="336"/>
      <c r="AW62" s="336"/>
    </row>
    <row r="63" spans="1:49" ht="14" outlineLevel="4">
      <c r="A63" s="336"/>
      <c r="B63" s="341"/>
      <c r="C63" s="358" t="s">
        <v>415</v>
      </c>
      <c r="D63" s="359">
        <f t="shared" si="0"/>
        <v>565178</v>
      </c>
      <c r="E63" s="359">
        <f t="shared" si="1"/>
        <v>740647.08333333337</v>
      </c>
      <c r="F63" s="359">
        <f t="shared" si="2"/>
        <v>489545</v>
      </c>
      <c r="G63" s="359">
        <f t="shared" si="3"/>
        <v>1340984</v>
      </c>
      <c r="H63" s="359">
        <f t="shared" si="4"/>
        <v>524848</v>
      </c>
      <c r="I63" s="359">
        <f t="shared" si="5"/>
        <v>769560.25</v>
      </c>
      <c r="J63" s="359">
        <f t="shared" si="6"/>
        <v>357699.42394302826</v>
      </c>
      <c r="K63" s="360">
        <f t="shared" si="7"/>
        <v>0.4829552859820595</v>
      </c>
      <c r="L63" s="339"/>
      <c r="M63" s="361">
        <v>1340984</v>
      </c>
      <c r="N63" s="361">
        <v>1337853</v>
      </c>
      <c r="O63" s="361">
        <v>1316161</v>
      </c>
      <c r="P63" s="361">
        <v>587360</v>
      </c>
      <c r="Q63" s="361">
        <v>586114</v>
      </c>
      <c r="R63" s="361">
        <v>586114</v>
      </c>
      <c r="S63" s="361">
        <v>544242</v>
      </c>
      <c r="T63" s="361">
        <v>524848</v>
      </c>
      <c r="U63" s="361">
        <v>524848</v>
      </c>
      <c r="V63" s="361">
        <v>524848</v>
      </c>
      <c r="W63" s="361">
        <v>524848</v>
      </c>
      <c r="X63" s="361">
        <v>489545</v>
      </c>
      <c r="Y63" s="343"/>
      <c r="Z63" s="336"/>
      <c r="AA63" s="336"/>
      <c r="AB63" s="336"/>
      <c r="AC63" s="336"/>
      <c r="AD63" s="336"/>
      <c r="AE63" s="336"/>
      <c r="AF63" s="336"/>
      <c r="AG63" s="336"/>
      <c r="AH63" s="336"/>
      <c r="AI63" s="336"/>
      <c r="AJ63" s="336"/>
      <c r="AK63" s="336"/>
      <c r="AL63" s="336"/>
      <c r="AM63" s="336"/>
      <c r="AN63" s="336"/>
      <c r="AO63" s="336"/>
      <c r="AP63" s="336"/>
      <c r="AQ63" s="336"/>
      <c r="AR63" s="336"/>
      <c r="AS63" s="336"/>
      <c r="AT63" s="336"/>
      <c r="AU63" s="336"/>
      <c r="AV63" s="336"/>
      <c r="AW63" s="336"/>
    </row>
    <row r="64" spans="1:49" ht="14" outlineLevel="3">
      <c r="A64" s="336"/>
      <c r="B64" s="341"/>
      <c r="C64" s="354" t="s">
        <v>416</v>
      </c>
      <c r="D64" s="355" t="str">
        <f t="shared" si="0"/>
        <v/>
      </c>
      <c r="E64" s="355" t="str">
        <f t="shared" si="1"/>
        <v/>
      </c>
      <c r="F64" s="355" t="str">
        <f t="shared" si="2"/>
        <v/>
      </c>
      <c r="G64" s="355" t="str">
        <f t="shared" si="3"/>
        <v/>
      </c>
      <c r="H64" s="355" t="str">
        <f t="shared" si="4"/>
        <v/>
      </c>
      <c r="I64" s="355" t="str">
        <f t="shared" si="5"/>
        <v/>
      </c>
      <c r="J64" s="355" t="str">
        <f t="shared" si="6"/>
        <v/>
      </c>
      <c r="K64" s="356" t="str">
        <f t="shared" si="7"/>
        <v/>
      </c>
      <c r="M64" s="357"/>
      <c r="N64" s="357"/>
      <c r="O64" s="357"/>
      <c r="P64" s="357"/>
      <c r="Q64" s="357"/>
      <c r="R64" s="357"/>
      <c r="S64" s="357"/>
      <c r="T64" s="357"/>
      <c r="U64" s="357"/>
      <c r="V64" s="357"/>
      <c r="W64" s="357"/>
      <c r="X64" s="357"/>
      <c r="Y64" s="343"/>
      <c r="Z64" s="336"/>
      <c r="AA64" s="336"/>
      <c r="AB64" s="336"/>
      <c r="AC64" s="336"/>
      <c r="AD64" s="336"/>
      <c r="AE64" s="336"/>
      <c r="AF64" s="336"/>
      <c r="AG64" s="336"/>
      <c r="AH64" s="336"/>
      <c r="AI64" s="336"/>
      <c r="AJ64" s="336"/>
      <c r="AK64" s="336"/>
      <c r="AL64" s="336"/>
      <c r="AM64" s="336"/>
      <c r="AN64" s="336"/>
      <c r="AO64" s="336"/>
      <c r="AP64" s="336"/>
      <c r="AQ64" s="336"/>
      <c r="AR64" s="336"/>
      <c r="AS64" s="336"/>
      <c r="AT64" s="336"/>
      <c r="AU64" s="336"/>
      <c r="AV64" s="336"/>
      <c r="AW64" s="336"/>
    </row>
    <row r="65" spans="1:49" ht="14" outlineLevel="4">
      <c r="A65" s="336"/>
      <c r="B65" s="341"/>
      <c r="C65" s="354" t="s">
        <v>417</v>
      </c>
      <c r="D65" s="355" t="str">
        <f t="shared" si="0"/>
        <v/>
      </c>
      <c r="E65" s="355" t="str">
        <f t="shared" si="1"/>
        <v/>
      </c>
      <c r="F65" s="355" t="str">
        <f t="shared" si="2"/>
        <v/>
      </c>
      <c r="G65" s="355" t="str">
        <f t="shared" si="3"/>
        <v/>
      </c>
      <c r="H65" s="355" t="str">
        <f t="shared" si="4"/>
        <v/>
      </c>
      <c r="I65" s="355" t="str">
        <f t="shared" si="5"/>
        <v/>
      </c>
      <c r="J65" s="355" t="str">
        <f t="shared" si="6"/>
        <v/>
      </c>
      <c r="K65" s="356" t="str">
        <f t="shared" si="7"/>
        <v/>
      </c>
      <c r="M65" s="357"/>
      <c r="N65" s="357"/>
      <c r="O65" s="357"/>
      <c r="P65" s="357"/>
      <c r="Q65" s="357"/>
      <c r="R65" s="357"/>
      <c r="S65" s="357"/>
      <c r="T65" s="357"/>
      <c r="U65" s="357"/>
      <c r="V65" s="357"/>
      <c r="W65" s="357"/>
      <c r="X65" s="357"/>
      <c r="Y65" s="343"/>
      <c r="Z65" s="336"/>
      <c r="AA65" s="336"/>
      <c r="AB65" s="336"/>
      <c r="AC65" s="336"/>
      <c r="AD65" s="336"/>
      <c r="AE65" s="336"/>
      <c r="AF65" s="336"/>
      <c r="AG65" s="336"/>
      <c r="AH65" s="336"/>
      <c r="AI65" s="336"/>
      <c r="AJ65" s="336"/>
      <c r="AK65" s="336"/>
      <c r="AL65" s="336"/>
      <c r="AM65" s="336"/>
      <c r="AN65" s="336"/>
      <c r="AO65" s="336"/>
      <c r="AP65" s="336"/>
      <c r="AQ65" s="336"/>
      <c r="AR65" s="336"/>
      <c r="AS65" s="336"/>
      <c r="AT65" s="336"/>
      <c r="AU65" s="336"/>
      <c r="AV65" s="336"/>
      <c r="AW65" s="336"/>
    </row>
    <row r="66" spans="1:49" ht="14" outlineLevel="5">
      <c r="A66" s="336"/>
      <c r="B66" s="341"/>
      <c r="C66" s="354" t="s">
        <v>418</v>
      </c>
      <c r="D66" s="355">
        <f t="shared" si="0"/>
        <v>0</v>
      </c>
      <c r="E66" s="355">
        <f t="shared" si="1"/>
        <v>0</v>
      </c>
      <c r="F66" s="355">
        <f t="shared" si="2"/>
        <v>0</v>
      </c>
      <c r="G66" s="355">
        <f t="shared" si="3"/>
        <v>0</v>
      </c>
      <c r="H66" s="355">
        <f t="shared" si="4"/>
        <v>0</v>
      </c>
      <c r="I66" s="355">
        <f t="shared" si="5"/>
        <v>0</v>
      </c>
      <c r="J66" s="355">
        <f t="shared" si="6"/>
        <v>0</v>
      </c>
      <c r="K66" s="356" t="e">
        <f t="shared" si="7"/>
        <v>#DIV/0!</v>
      </c>
      <c r="M66" s="357"/>
      <c r="N66" s="357"/>
      <c r="O66" s="357"/>
      <c r="P66" s="357">
        <v>0</v>
      </c>
      <c r="Q66" s="357"/>
      <c r="R66" s="357"/>
      <c r="S66" s="357"/>
      <c r="T66" s="357">
        <v>0</v>
      </c>
      <c r="U66" s="357">
        <v>0</v>
      </c>
      <c r="V66" s="357">
        <v>0</v>
      </c>
      <c r="W66" s="357">
        <v>0</v>
      </c>
      <c r="X66" s="357">
        <v>0</v>
      </c>
      <c r="Y66" s="343"/>
      <c r="Z66" s="336"/>
      <c r="AA66" s="336"/>
      <c r="AB66" s="336"/>
      <c r="AC66" s="336"/>
      <c r="AD66" s="336"/>
      <c r="AE66" s="336"/>
      <c r="AF66" s="336"/>
      <c r="AG66" s="336"/>
      <c r="AH66" s="336"/>
      <c r="AI66" s="336"/>
      <c r="AJ66" s="336"/>
      <c r="AK66" s="336"/>
      <c r="AL66" s="336"/>
      <c r="AM66" s="336"/>
      <c r="AN66" s="336"/>
      <c r="AO66" s="336"/>
      <c r="AP66" s="336"/>
      <c r="AQ66" s="336"/>
      <c r="AR66" s="336"/>
      <c r="AS66" s="336"/>
      <c r="AT66" s="336"/>
      <c r="AU66" s="336"/>
      <c r="AV66" s="336"/>
      <c r="AW66" s="336"/>
    </row>
    <row r="67" spans="1:49" ht="14" outlineLevel="5">
      <c r="A67" s="336"/>
      <c r="B67" s="341"/>
      <c r="C67" s="354" t="s">
        <v>419</v>
      </c>
      <c r="D67" s="355" t="str">
        <f t="shared" si="0"/>
        <v/>
      </c>
      <c r="E67" s="355" t="str">
        <f t="shared" si="1"/>
        <v/>
      </c>
      <c r="F67" s="355" t="str">
        <f t="shared" si="2"/>
        <v/>
      </c>
      <c r="G67" s="355" t="str">
        <f t="shared" si="3"/>
        <v/>
      </c>
      <c r="H67" s="355" t="str">
        <f t="shared" si="4"/>
        <v/>
      </c>
      <c r="I67" s="355" t="str">
        <f t="shared" si="5"/>
        <v/>
      </c>
      <c r="J67" s="355" t="str">
        <f t="shared" si="6"/>
        <v/>
      </c>
      <c r="K67" s="356" t="str">
        <f t="shared" si="7"/>
        <v/>
      </c>
      <c r="M67" s="357"/>
      <c r="N67" s="357"/>
      <c r="O67" s="357"/>
      <c r="P67" s="357"/>
      <c r="Q67" s="357"/>
      <c r="R67" s="357"/>
      <c r="S67" s="357"/>
      <c r="T67" s="357"/>
      <c r="U67" s="357"/>
      <c r="V67" s="357"/>
      <c r="W67" s="357"/>
      <c r="X67" s="357"/>
      <c r="Y67" s="343"/>
      <c r="Z67" s="336"/>
      <c r="AA67" s="336"/>
      <c r="AB67" s="336"/>
      <c r="AC67" s="336"/>
      <c r="AD67" s="336"/>
      <c r="AE67" s="336"/>
      <c r="AF67" s="336"/>
      <c r="AG67" s="336"/>
      <c r="AH67" s="336"/>
      <c r="AI67" s="336"/>
      <c r="AJ67" s="336"/>
      <c r="AK67" s="336"/>
      <c r="AL67" s="336"/>
      <c r="AM67" s="336"/>
      <c r="AN67" s="336"/>
      <c r="AO67" s="336"/>
      <c r="AP67" s="336"/>
      <c r="AQ67" s="336"/>
      <c r="AR67" s="336"/>
      <c r="AS67" s="336"/>
      <c r="AT67" s="336"/>
      <c r="AU67" s="336"/>
      <c r="AV67" s="336"/>
      <c r="AW67" s="336"/>
    </row>
    <row r="68" spans="1:49" ht="14" outlineLevel="6">
      <c r="A68" s="336"/>
      <c r="B68" s="341"/>
      <c r="C68" s="354" t="s">
        <v>420</v>
      </c>
      <c r="D68" s="355">
        <f t="shared" si="0"/>
        <v>0</v>
      </c>
      <c r="E68" s="355">
        <f t="shared" si="1"/>
        <v>0</v>
      </c>
      <c r="F68" s="355">
        <f t="shared" si="2"/>
        <v>0</v>
      </c>
      <c r="G68" s="355">
        <f t="shared" si="3"/>
        <v>0</v>
      </c>
      <c r="H68" s="355">
        <f t="shared" si="4"/>
        <v>0</v>
      </c>
      <c r="I68" s="355">
        <f t="shared" si="5"/>
        <v>0</v>
      </c>
      <c r="J68" s="355">
        <f t="shared" si="6"/>
        <v>0</v>
      </c>
      <c r="K68" s="356" t="e">
        <f t="shared" si="7"/>
        <v>#DIV/0!</v>
      </c>
      <c r="M68" s="357">
        <v>0</v>
      </c>
      <c r="N68" s="357">
        <v>0</v>
      </c>
      <c r="O68" s="357">
        <v>0</v>
      </c>
      <c r="P68" s="357">
        <v>0</v>
      </c>
      <c r="Q68" s="357"/>
      <c r="R68" s="357"/>
      <c r="S68" s="357">
        <v>0</v>
      </c>
      <c r="T68" s="357"/>
      <c r="U68" s="357">
        <v>0</v>
      </c>
      <c r="V68" s="357">
        <v>0</v>
      </c>
      <c r="W68" s="357">
        <v>0</v>
      </c>
      <c r="X68" s="357">
        <v>0</v>
      </c>
      <c r="Y68" s="343"/>
      <c r="Z68" s="336"/>
      <c r="AA68" s="336"/>
      <c r="AB68" s="336"/>
      <c r="AC68" s="336"/>
      <c r="AD68" s="336"/>
      <c r="AE68" s="336"/>
      <c r="AF68" s="336"/>
      <c r="AG68" s="336"/>
      <c r="AH68" s="336"/>
      <c r="AI68" s="336"/>
      <c r="AJ68" s="336"/>
      <c r="AK68" s="336"/>
      <c r="AL68" s="336"/>
      <c r="AM68" s="336"/>
      <c r="AN68" s="336"/>
      <c r="AO68" s="336"/>
      <c r="AP68" s="336"/>
      <c r="AQ68" s="336"/>
      <c r="AR68" s="336"/>
      <c r="AS68" s="336"/>
      <c r="AT68" s="336"/>
      <c r="AU68" s="336"/>
      <c r="AV68" s="336"/>
      <c r="AW68" s="336"/>
    </row>
    <row r="69" spans="1:49" ht="14" outlineLevel="6">
      <c r="A69" s="336"/>
      <c r="B69" s="341"/>
      <c r="C69" s="354" t="s">
        <v>421</v>
      </c>
      <c r="D69" s="355">
        <f t="shared" si="0"/>
        <v>-12258</v>
      </c>
      <c r="E69" s="355">
        <f t="shared" si="1"/>
        <v>-27925.81818181818</v>
      </c>
      <c r="F69" s="355">
        <f t="shared" si="2"/>
        <v>-113987</v>
      </c>
      <c r="G69" s="355">
        <f t="shared" si="3"/>
        <v>-1167</v>
      </c>
      <c r="H69" s="355">
        <f t="shared" si="4"/>
        <v>-31658</v>
      </c>
      <c r="I69" s="355">
        <f t="shared" si="5"/>
        <v>-5058.5</v>
      </c>
      <c r="J69" s="355">
        <f t="shared" si="6"/>
        <v>36643.448046869664</v>
      </c>
      <c r="K69" s="356">
        <f t="shared" si="7"/>
        <v>-1.3121709741248448</v>
      </c>
      <c r="M69" s="357">
        <v>-113987</v>
      </c>
      <c r="N69" s="357">
        <v>-78689</v>
      </c>
      <c r="O69" s="357">
        <v>-43161</v>
      </c>
      <c r="P69" s="357">
        <v>-20155</v>
      </c>
      <c r="Q69" s="357">
        <v>-16311</v>
      </c>
      <c r="R69" s="357">
        <v>-12258</v>
      </c>
      <c r="S69" s="357">
        <v>-8615</v>
      </c>
      <c r="T69" s="357">
        <v>-5837</v>
      </c>
      <c r="U69" s="357">
        <v>-4280</v>
      </c>
      <c r="V69" s="357">
        <v>-2724</v>
      </c>
      <c r="W69" s="357">
        <v>-1167</v>
      </c>
      <c r="X69" s="357"/>
      <c r="Y69" s="343"/>
      <c r="Z69" s="336"/>
      <c r="AA69" s="336"/>
      <c r="AB69" s="336"/>
      <c r="AC69" s="336"/>
      <c r="AD69" s="336"/>
      <c r="AE69" s="336"/>
      <c r="AF69" s="336"/>
      <c r="AG69" s="336"/>
      <c r="AH69" s="336"/>
      <c r="AI69" s="336"/>
      <c r="AJ69" s="336"/>
      <c r="AK69" s="336"/>
      <c r="AL69" s="336"/>
      <c r="AM69" s="336"/>
      <c r="AN69" s="336"/>
      <c r="AO69" s="336"/>
      <c r="AP69" s="336"/>
      <c r="AQ69" s="336"/>
      <c r="AR69" s="336"/>
      <c r="AS69" s="336"/>
      <c r="AT69" s="336"/>
      <c r="AU69" s="336"/>
      <c r="AV69" s="336"/>
      <c r="AW69" s="336"/>
    </row>
    <row r="70" spans="1:49" ht="14" outlineLevel="6">
      <c r="A70" s="336"/>
      <c r="B70" s="341"/>
      <c r="C70" s="354" t="s">
        <v>422</v>
      </c>
      <c r="D70" s="355">
        <f t="shared" si="0"/>
        <v>-105776.5</v>
      </c>
      <c r="E70" s="355">
        <f t="shared" si="1"/>
        <v>-106385.41666666667</v>
      </c>
      <c r="F70" s="355">
        <f t="shared" si="2"/>
        <v>-183046</v>
      </c>
      <c r="G70" s="355">
        <f t="shared" si="3"/>
        <v>-25395</v>
      </c>
      <c r="H70" s="355">
        <f t="shared" si="4"/>
        <v>-141585</v>
      </c>
      <c r="I70" s="355">
        <f t="shared" si="5"/>
        <v>-72326.5</v>
      </c>
      <c r="J70" s="355">
        <f t="shared" si="6"/>
        <v>49581.361267861968</v>
      </c>
      <c r="K70" s="356">
        <f t="shared" si="7"/>
        <v>-0.46605411551108866</v>
      </c>
      <c r="M70" s="357">
        <v>-183046</v>
      </c>
      <c r="N70" s="357">
        <v>-169155</v>
      </c>
      <c r="O70" s="357">
        <v>-153243</v>
      </c>
      <c r="P70" s="357">
        <v>-137699</v>
      </c>
      <c r="Q70" s="357">
        <v>-124907</v>
      </c>
      <c r="R70" s="357">
        <v>-112114</v>
      </c>
      <c r="S70" s="357">
        <v>-99439</v>
      </c>
      <c r="T70" s="357">
        <v>-89901</v>
      </c>
      <c r="U70" s="357">
        <v>-76055</v>
      </c>
      <c r="V70" s="357">
        <v>-61141</v>
      </c>
      <c r="W70" s="357">
        <v>-44530</v>
      </c>
      <c r="X70" s="357">
        <v>-25395</v>
      </c>
      <c r="Y70" s="343"/>
      <c r="Z70" s="336"/>
      <c r="AA70" s="336"/>
      <c r="AB70" s="336"/>
      <c r="AC70" s="336"/>
      <c r="AD70" s="336"/>
      <c r="AE70" s="336"/>
      <c r="AF70" s="336"/>
      <c r="AG70" s="336"/>
      <c r="AH70" s="336"/>
      <c r="AI70" s="336"/>
      <c r="AJ70" s="336"/>
      <c r="AK70" s="336"/>
      <c r="AL70" s="336"/>
      <c r="AM70" s="336"/>
      <c r="AN70" s="336"/>
      <c r="AO70" s="336"/>
      <c r="AP70" s="336"/>
      <c r="AQ70" s="336"/>
      <c r="AR70" s="336"/>
      <c r="AS70" s="336"/>
      <c r="AT70" s="336"/>
      <c r="AU70" s="336"/>
      <c r="AV70" s="336"/>
      <c r="AW70" s="336"/>
    </row>
    <row r="71" spans="1:49" ht="14" outlineLevel="6">
      <c r="A71" s="336"/>
      <c r="B71" s="341"/>
      <c r="C71" s="354" t="s">
        <v>423</v>
      </c>
      <c r="D71" s="355">
        <f t="shared" si="0"/>
        <v>-8695.5</v>
      </c>
      <c r="E71" s="355">
        <f t="shared" si="1"/>
        <v>-8915</v>
      </c>
      <c r="F71" s="355">
        <f t="shared" si="2"/>
        <v>-16472</v>
      </c>
      <c r="G71" s="355">
        <f t="shared" si="3"/>
        <v>-2345</v>
      </c>
      <c r="H71" s="355">
        <f t="shared" si="4"/>
        <v>-12848.25</v>
      </c>
      <c r="I71" s="355">
        <f t="shared" si="5"/>
        <v>-4461</v>
      </c>
      <c r="J71" s="355">
        <f t="shared" si="6"/>
        <v>5599.9402853959073</v>
      </c>
      <c r="K71" s="356">
        <f t="shared" si="7"/>
        <v>-0.6281480970718909</v>
      </c>
      <c r="M71" s="357"/>
      <c r="N71" s="357"/>
      <c r="O71" s="357"/>
      <c r="P71" s="357"/>
      <c r="Q71" s="357"/>
      <c r="R71" s="357"/>
      <c r="S71" s="357">
        <v>-2345</v>
      </c>
      <c r="T71" s="357">
        <v>-16472</v>
      </c>
      <c r="U71" s="357">
        <v>-13670</v>
      </c>
      <c r="V71" s="357">
        <v>-10383</v>
      </c>
      <c r="W71" s="357">
        <v>-7008</v>
      </c>
      <c r="X71" s="357">
        <v>-3612</v>
      </c>
      <c r="Y71" s="343"/>
      <c r="Z71" s="336"/>
      <c r="AA71" s="336"/>
      <c r="AB71" s="336"/>
      <c r="AC71" s="336"/>
      <c r="AD71" s="336"/>
      <c r="AE71" s="336"/>
      <c r="AF71" s="336"/>
      <c r="AG71" s="336"/>
      <c r="AH71" s="336"/>
      <c r="AI71" s="336"/>
      <c r="AJ71" s="336"/>
      <c r="AK71" s="336"/>
      <c r="AL71" s="336"/>
      <c r="AM71" s="336"/>
      <c r="AN71" s="336"/>
      <c r="AO71" s="336"/>
      <c r="AP71" s="336"/>
      <c r="AQ71" s="336"/>
      <c r="AR71" s="336"/>
      <c r="AS71" s="336"/>
      <c r="AT71" s="336"/>
      <c r="AU71" s="336"/>
      <c r="AV71" s="336"/>
      <c r="AW71" s="336"/>
    </row>
    <row r="72" spans="1:49" ht="14" outlineLevel="6">
      <c r="A72" s="336"/>
      <c r="B72" s="341"/>
      <c r="C72" s="358" t="s">
        <v>424</v>
      </c>
      <c r="D72" s="359">
        <f t="shared" si="0"/>
        <v>-118291</v>
      </c>
      <c r="E72" s="359">
        <f t="shared" si="1"/>
        <v>-136441.58333333334</v>
      </c>
      <c r="F72" s="359">
        <f t="shared" si="2"/>
        <v>-297033</v>
      </c>
      <c r="G72" s="359">
        <f t="shared" si="3"/>
        <v>-29007</v>
      </c>
      <c r="H72" s="359">
        <f t="shared" si="4"/>
        <v>-167491.5</v>
      </c>
      <c r="I72" s="359">
        <f t="shared" si="5"/>
        <v>-89065.75</v>
      </c>
      <c r="J72" s="359">
        <f t="shared" si="6"/>
        <v>78572.994330643472</v>
      </c>
      <c r="K72" s="360">
        <f t="shared" si="7"/>
        <v>-0.5758727831432876</v>
      </c>
      <c r="L72" s="339"/>
      <c r="M72" s="361">
        <v>-297033</v>
      </c>
      <c r="N72" s="361">
        <v>-247844</v>
      </c>
      <c r="O72" s="361">
        <v>-196404</v>
      </c>
      <c r="P72" s="361">
        <v>-157854</v>
      </c>
      <c r="Q72" s="361">
        <v>-141218</v>
      </c>
      <c r="R72" s="361">
        <v>-124372</v>
      </c>
      <c r="S72" s="361">
        <v>-110399</v>
      </c>
      <c r="T72" s="361">
        <v>-112210</v>
      </c>
      <c r="U72" s="361">
        <v>-94005</v>
      </c>
      <c r="V72" s="361">
        <v>-74248</v>
      </c>
      <c r="W72" s="361">
        <v>-52705</v>
      </c>
      <c r="X72" s="361">
        <v>-29007</v>
      </c>
      <c r="Y72" s="343"/>
      <c r="Z72" s="336"/>
      <c r="AA72" s="336"/>
      <c r="AB72" s="336"/>
      <c r="AC72" s="336"/>
      <c r="AD72" s="336"/>
      <c r="AE72" s="336"/>
      <c r="AF72" s="336"/>
      <c r="AG72" s="336"/>
      <c r="AH72" s="336"/>
      <c r="AI72" s="336"/>
      <c r="AJ72" s="336"/>
      <c r="AK72" s="336"/>
      <c r="AL72" s="336"/>
      <c r="AM72" s="336"/>
      <c r="AN72" s="336"/>
      <c r="AO72" s="336"/>
      <c r="AP72" s="336"/>
      <c r="AQ72" s="336"/>
      <c r="AR72" s="336"/>
      <c r="AS72" s="336"/>
      <c r="AT72" s="336"/>
      <c r="AU72" s="336"/>
      <c r="AV72" s="336"/>
      <c r="AW72" s="336"/>
    </row>
    <row r="73" spans="1:49" ht="14" outlineLevel="5">
      <c r="A73" s="336"/>
      <c r="B73" s="341"/>
      <c r="C73" s="358" t="s">
        <v>425</v>
      </c>
      <c r="D73" s="359">
        <f t="shared" si="0"/>
        <v>-118291</v>
      </c>
      <c r="E73" s="359">
        <f t="shared" si="1"/>
        <v>-136441.58333333334</v>
      </c>
      <c r="F73" s="359">
        <f t="shared" si="2"/>
        <v>-297033</v>
      </c>
      <c r="G73" s="359">
        <f t="shared" si="3"/>
        <v>-29007</v>
      </c>
      <c r="H73" s="359">
        <f t="shared" si="4"/>
        <v>-167491.5</v>
      </c>
      <c r="I73" s="359">
        <f t="shared" si="5"/>
        <v>-89065.75</v>
      </c>
      <c r="J73" s="359">
        <f t="shared" si="6"/>
        <v>78572.994330643472</v>
      </c>
      <c r="K73" s="360">
        <f t="shared" si="7"/>
        <v>-0.5758727831432876</v>
      </c>
      <c r="L73" s="339"/>
      <c r="M73" s="361">
        <v>-297033</v>
      </c>
      <c r="N73" s="361">
        <v>-247844</v>
      </c>
      <c r="O73" s="361">
        <v>-196404</v>
      </c>
      <c r="P73" s="361">
        <v>-157854</v>
      </c>
      <c r="Q73" s="361">
        <v>-141218</v>
      </c>
      <c r="R73" s="361">
        <v>-124372</v>
      </c>
      <c r="S73" s="361">
        <v>-110399</v>
      </c>
      <c r="T73" s="361">
        <v>-112210</v>
      </c>
      <c r="U73" s="361">
        <v>-94005</v>
      </c>
      <c r="V73" s="361">
        <v>-74248</v>
      </c>
      <c r="W73" s="361">
        <v>-52705</v>
      </c>
      <c r="X73" s="361">
        <v>-29007</v>
      </c>
      <c r="Y73" s="343"/>
      <c r="Z73" s="336"/>
      <c r="AA73" s="336"/>
      <c r="AB73" s="336"/>
      <c r="AC73" s="336"/>
      <c r="AD73" s="336"/>
      <c r="AE73" s="336"/>
      <c r="AF73" s="336"/>
      <c r="AG73" s="336"/>
      <c r="AH73" s="336"/>
      <c r="AI73" s="336"/>
      <c r="AJ73" s="336"/>
      <c r="AK73" s="336"/>
      <c r="AL73" s="336"/>
      <c r="AM73" s="336"/>
      <c r="AN73" s="336"/>
      <c r="AO73" s="336"/>
      <c r="AP73" s="336"/>
      <c r="AQ73" s="336"/>
      <c r="AR73" s="336"/>
      <c r="AS73" s="336"/>
      <c r="AT73" s="336"/>
      <c r="AU73" s="336"/>
      <c r="AV73" s="336"/>
      <c r="AW73" s="336"/>
    </row>
    <row r="74" spans="1:49" ht="14" outlineLevel="4">
      <c r="A74" s="336"/>
      <c r="B74" s="341"/>
      <c r="C74" s="358" t="s">
        <v>426</v>
      </c>
      <c r="D74" s="359">
        <f t="shared" si="0"/>
        <v>-118291</v>
      </c>
      <c r="E74" s="359">
        <f t="shared" si="1"/>
        <v>-136441.58333333334</v>
      </c>
      <c r="F74" s="359">
        <f t="shared" si="2"/>
        <v>-297033</v>
      </c>
      <c r="G74" s="359">
        <f t="shared" si="3"/>
        <v>-29007</v>
      </c>
      <c r="H74" s="359">
        <f t="shared" si="4"/>
        <v>-167491.5</v>
      </c>
      <c r="I74" s="359">
        <f t="shared" si="5"/>
        <v>-89065.75</v>
      </c>
      <c r="J74" s="359">
        <f t="shared" si="6"/>
        <v>78572.994330643472</v>
      </c>
      <c r="K74" s="360">
        <f t="shared" si="7"/>
        <v>-0.5758727831432876</v>
      </c>
      <c r="L74" s="339"/>
      <c r="M74" s="361">
        <v>-297033</v>
      </c>
      <c r="N74" s="361">
        <v>-247844</v>
      </c>
      <c r="O74" s="361">
        <v>-196404</v>
      </c>
      <c r="P74" s="361">
        <v>-157854</v>
      </c>
      <c r="Q74" s="361">
        <v>-141218</v>
      </c>
      <c r="R74" s="361">
        <v>-124372</v>
      </c>
      <c r="S74" s="361">
        <v>-110399</v>
      </c>
      <c r="T74" s="361">
        <v>-112210</v>
      </c>
      <c r="U74" s="361">
        <v>-94005</v>
      </c>
      <c r="V74" s="361">
        <v>-74248</v>
      </c>
      <c r="W74" s="361">
        <v>-52705</v>
      </c>
      <c r="X74" s="361">
        <v>-29007</v>
      </c>
      <c r="Y74" s="343"/>
      <c r="Z74" s="336"/>
      <c r="AA74" s="336"/>
      <c r="AB74" s="336"/>
      <c r="AC74" s="336"/>
      <c r="AD74" s="336"/>
      <c r="AE74" s="336"/>
      <c r="AF74" s="336"/>
      <c r="AG74" s="336"/>
      <c r="AH74" s="336"/>
      <c r="AI74" s="336"/>
      <c r="AJ74" s="336"/>
      <c r="AK74" s="336"/>
      <c r="AL74" s="336"/>
      <c r="AM74" s="336"/>
      <c r="AN74" s="336"/>
      <c r="AO74" s="336"/>
      <c r="AP74" s="336"/>
      <c r="AQ74" s="336"/>
      <c r="AR74" s="336"/>
      <c r="AS74" s="336"/>
      <c r="AT74" s="336"/>
      <c r="AU74" s="336"/>
      <c r="AV74" s="336"/>
      <c r="AW74" s="336"/>
    </row>
    <row r="75" spans="1:49" ht="14" outlineLevel="3">
      <c r="A75" s="336"/>
      <c r="B75" s="341"/>
      <c r="C75" s="358" t="s">
        <v>427</v>
      </c>
      <c r="D75" s="359">
        <f t="shared" ref="D75:D138" si="8">IF(COUNT(L75:X75)&gt;0,MEDIAN(L75:X75),"")</f>
        <v>455569</v>
      </c>
      <c r="E75" s="359">
        <f t="shared" ref="E75:E138" si="9">IF(COUNT(L75:X75)&gt;0,AVERAGE(L75:X75),"")</f>
        <v>604205.5</v>
      </c>
      <c r="F75" s="359">
        <f t="shared" ref="F75:F138" si="10">IF(COUNT(L75:X75)&gt;0,MIN(L75:X75),"")</f>
        <v>412638</v>
      </c>
      <c r="G75" s="359">
        <f t="shared" ref="G75:G138" si="11">IF(COUNT(L75:X75)&gt;0,MAX(L75:X75),"")</f>
        <v>1119757</v>
      </c>
      <c r="H75" s="359">
        <f t="shared" ref="H75:H138" si="12">IF(COUNT(L75:X75)&gt;0,QUARTILE(L75:X75,1),"")</f>
        <v>433093</v>
      </c>
      <c r="I75" s="359">
        <f t="shared" ref="I75:I138" si="13">IF(COUNT(L75:X75)&gt;0,QUARTILE(L75:X75,3),"")</f>
        <v>615095</v>
      </c>
      <c r="J75" s="359">
        <f t="shared" ref="J75:J138" si="14">IF(COUNT(L75:X75)&gt;1,STDEV(L75:X75),"")</f>
        <v>290582.69428840576</v>
      </c>
      <c r="K75" s="360">
        <f t="shared" ref="K75:K138" si="15">IF(COUNT(L75:X75)&gt;1,STDEV(L75:X75)/AVERAGE(L75:X75),"")</f>
        <v>0.48093354709350672</v>
      </c>
      <c r="L75" s="339"/>
      <c r="M75" s="361">
        <v>1043951</v>
      </c>
      <c r="N75" s="361">
        <v>1090009</v>
      </c>
      <c r="O75" s="361">
        <v>1119757</v>
      </c>
      <c r="P75" s="361">
        <v>429506</v>
      </c>
      <c r="Q75" s="361">
        <v>444896</v>
      </c>
      <c r="R75" s="361">
        <v>461742</v>
      </c>
      <c r="S75" s="361">
        <v>433843</v>
      </c>
      <c r="T75" s="361">
        <v>412638</v>
      </c>
      <c r="U75" s="361">
        <v>430843</v>
      </c>
      <c r="V75" s="361">
        <v>450600</v>
      </c>
      <c r="W75" s="361">
        <v>472143</v>
      </c>
      <c r="X75" s="361">
        <v>460538</v>
      </c>
      <c r="Y75" s="343"/>
      <c r="Z75" s="336"/>
      <c r="AA75" s="336"/>
      <c r="AB75" s="336"/>
      <c r="AC75" s="336"/>
      <c r="AD75" s="336"/>
      <c r="AE75" s="336"/>
      <c r="AF75" s="336"/>
      <c r="AG75" s="336"/>
      <c r="AH75" s="336"/>
      <c r="AI75" s="336"/>
      <c r="AJ75" s="336"/>
      <c r="AK75" s="336"/>
      <c r="AL75" s="336"/>
      <c r="AM75" s="336"/>
      <c r="AN75" s="336"/>
      <c r="AO75" s="336"/>
      <c r="AP75" s="336"/>
      <c r="AQ75" s="336"/>
      <c r="AR75" s="336"/>
      <c r="AS75" s="336"/>
      <c r="AT75" s="336"/>
      <c r="AU75" s="336"/>
      <c r="AV75" s="336"/>
      <c r="AW75" s="336"/>
    </row>
    <row r="76" spans="1:49" ht="14" outlineLevel="2">
      <c r="A76" s="336"/>
      <c r="B76" s="341"/>
      <c r="C76" s="354" t="s">
        <v>428</v>
      </c>
      <c r="D76" s="355" t="str">
        <f t="shared" si="8"/>
        <v/>
      </c>
      <c r="E76" s="355" t="str">
        <f t="shared" si="9"/>
        <v/>
      </c>
      <c r="F76" s="355" t="str">
        <f t="shared" si="10"/>
        <v/>
      </c>
      <c r="G76" s="355" t="str">
        <f t="shared" si="11"/>
        <v/>
      </c>
      <c r="H76" s="355" t="str">
        <f t="shared" si="12"/>
        <v/>
      </c>
      <c r="I76" s="355" t="str">
        <f t="shared" si="13"/>
        <v/>
      </c>
      <c r="J76" s="355" t="str">
        <f t="shared" si="14"/>
        <v/>
      </c>
      <c r="K76" s="356" t="str">
        <f t="shared" si="15"/>
        <v/>
      </c>
      <c r="M76" s="357"/>
      <c r="N76" s="357"/>
      <c r="O76" s="357"/>
      <c r="P76" s="357"/>
      <c r="Q76" s="357"/>
      <c r="R76" s="357"/>
      <c r="S76" s="357"/>
      <c r="T76" s="357"/>
      <c r="U76" s="357"/>
      <c r="V76" s="357"/>
      <c r="W76" s="357"/>
      <c r="X76" s="357"/>
      <c r="Y76" s="343"/>
      <c r="Z76" s="336"/>
      <c r="AA76" s="336"/>
      <c r="AB76" s="336"/>
      <c r="AC76" s="336"/>
      <c r="AD76" s="336"/>
      <c r="AE76" s="336"/>
      <c r="AF76" s="336"/>
      <c r="AG76" s="336"/>
      <c r="AH76" s="336"/>
      <c r="AI76" s="336"/>
      <c r="AJ76" s="336"/>
      <c r="AK76" s="336"/>
      <c r="AL76" s="336"/>
      <c r="AM76" s="336"/>
      <c r="AN76" s="336"/>
      <c r="AO76" s="336"/>
      <c r="AP76" s="336"/>
      <c r="AQ76" s="336"/>
      <c r="AR76" s="336"/>
      <c r="AS76" s="336"/>
      <c r="AT76" s="336"/>
      <c r="AU76" s="336"/>
      <c r="AV76" s="336"/>
      <c r="AW76" s="336"/>
    </row>
    <row r="77" spans="1:49" ht="14" outlineLevel="3">
      <c r="A77" s="336"/>
      <c r="B77" s="341"/>
      <c r="C77" s="354" t="s">
        <v>429</v>
      </c>
      <c r="D77" s="355" t="str">
        <f t="shared" si="8"/>
        <v/>
      </c>
      <c r="E77" s="355" t="str">
        <f t="shared" si="9"/>
        <v/>
      </c>
      <c r="F77" s="355" t="str">
        <f t="shared" si="10"/>
        <v/>
      </c>
      <c r="G77" s="355" t="str">
        <f t="shared" si="11"/>
        <v/>
      </c>
      <c r="H77" s="355" t="str">
        <f t="shared" si="12"/>
        <v/>
      </c>
      <c r="I77" s="355" t="str">
        <f t="shared" si="13"/>
        <v/>
      </c>
      <c r="J77" s="355" t="str">
        <f t="shared" si="14"/>
        <v/>
      </c>
      <c r="K77" s="356" t="str">
        <f t="shared" si="15"/>
        <v/>
      </c>
      <c r="M77" s="357"/>
      <c r="N77" s="357"/>
      <c r="O77" s="357"/>
      <c r="P77" s="357"/>
      <c r="Q77" s="357"/>
      <c r="R77" s="357"/>
      <c r="S77" s="357"/>
      <c r="T77" s="357"/>
      <c r="U77" s="357"/>
      <c r="V77" s="357"/>
      <c r="W77" s="357"/>
      <c r="X77" s="357"/>
      <c r="Y77" s="343"/>
      <c r="Z77" s="336"/>
      <c r="AA77" s="336"/>
      <c r="AB77" s="336"/>
      <c r="AC77" s="336"/>
      <c r="AD77" s="336"/>
      <c r="AE77" s="336"/>
      <c r="AF77" s="336"/>
      <c r="AG77" s="336"/>
      <c r="AH77" s="336"/>
      <c r="AI77" s="336"/>
      <c r="AJ77" s="336"/>
      <c r="AK77" s="336"/>
      <c r="AL77" s="336"/>
      <c r="AM77" s="336"/>
      <c r="AN77" s="336"/>
      <c r="AO77" s="336"/>
      <c r="AP77" s="336"/>
      <c r="AQ77" s="336"/>
      <c r="AR77" s="336"/>
      <c r="AS77" s="336"/>
      <c r="AT77" s="336"/>
      <c r="AU77" s="336"/>
      <c r="AV77" s="336"/>
      <c r="AW77" s="336"/>
    </row>
    <row r="78" spans="1:49" ht="14" outlineLevel="4">
      <c r="A78" s="336"/>
      <c r="B78" s="341"/>
      <c r="C78" s="354" t="s">
        <v>430</v>
      </c>
      <c r="D78" s="355" t="str">
        <f t="shared" si="8"/>
        <v/>
      </c>
      <c r="E78" s="355" t="str">
        <f t="shared" si="9"/>
        <v/>
      </c>
      <c r="F78" s="355" t="str">
        <f t="shared" si="10"/>
        <v/>
      </c>
      <c r="G78" s="355" t="str">
        <f t="shared" si="11"/>
        <v/>
      </c>
      <c r="H78" s="355" t="str">
        <f t="shared" si="12"/>
        <v/>
      </c>
      <c r="I78" s="355" t="str">
        <f t="shared" si="13"/>
        <v/>
      </c>
      <c r="J78" s="355" t="str">
        <f t="shared" si="14"/>
        <v/>
      </c>
      <c r="K78" s="356" t="str">
        <f t="shared" si="15"/>
        <v/>
      </c>
      <c r="M78" s="357"/>
      <c r="N78" s="357"/>
      <c r="O78" s="357"/>
      <c r="P78" s="357"/>
      <c r="Q78" s="357"/>
      <c r="R78" s="357"/>
      <c r="S78" s="357"/>
      <c r="T78" s="357"/>
      <c r="U78" s="357"/>
      <c r="V78" s="357"/>
      <c r="W78" s="357"/>
      <c r="X78" s="357"/>
      <c r="Y78" s="343"/>
      <c r="Z78" s="336"/>
      <c r="AA78" s="336"/>
      <c r="AB78" s="336"/>
      <c r="AC78" s="336"/>
      <c r="AD78" s="336"/>
      <c r="AE78" s="336"/>
      <c r="AF78" s="336"/>
      <c r="AG78" s="336"/>
      <c r="AH78" s="336"/>
      <c r="AI78" s="336"/>
      <c r="AJ78" s="336"/>
      <c r="AK78" s="336"/>
      <c r="AL78" s="336"/>
      <c r="AM78" s="336"/>
      <c r="AN78" s="336"/>
      <c r="AO78" s="336"/>
      <c r="AP78" s="336"/>
      <c r="AQ78" s="336"/>
      <c r="AR78" s="336"/>
      <c r="AS78" s="336"/>
      <c r="AT78" s="336"/>
      <c r="AU78" s="336"/>
      <c r="AV78" s="336"/>
      <c r="AW78" s="336"/>
    </row>
    <row r="79" spans="1:49" ht="14" outlineLevel="5">
      <c r="A79" s="336"/>
      <c r="B79" s="341"/>
      <c r="C79" s="354" t="s">
        <v>431</v>
      </c>
      <c r="D79" s="355">
        <f t="shared" si="8"/>
        <v>50886</v>
      </c>
      <c r="E79" s="355">
        <f t="shared" si="9"/>
        <v>38851.333333333336</v>
      </c>
      <c r="F79" s="355">
        <f t="shared" si="10"/>
        <v>0</v>
      </c>
      <c r="G79" s="355">
        <f t="shared" si="11"/>
        <v>65668</v>
      </c>
      <c r="H79" s="355">
        <f t="shared" si="12"/>
        <v>25443</v>
      </c>
      <c r="I79" s="355">
        <f t="shared" si="13"/>
        <v>58277</v>
      </c>
      <c r="J79" s="355">
        <f t="shared" si="14"/>
        <v>34448.460884825225</v>
      </c>
      <c r="K79" s="356">
        <f t="shared" si="15"/>
        <v>0.88667383920307896</v>
      </c>
      <c r="M79" s="357">
        <v>65668</v>
      </c>
      <c r="N79" s="357">
        <v>50886</v>
      </c>
      <c r="O79" s="357">
        <v>0</v>
      </c>
      <c r="P79" s="357"/>
      <c r="Q79" s="357"/>
      <c r="R79" s="357"/>
      <c r="S79" s="357"/>
      <c r="T79" s="357"/>
      <c r="U79" s="357"/>
      <c r="V79" s="357"/>
      <c r="W79" s="357"/>
      <c r="X79" s="357"/>
      <c r="Y79" s="343"/>
      <c r="Z79" s="336"/>
      <c r="AA79" s="336"/>
      <c r="AB79" s="336"/>
      <c r="AC79" s="336"/>
      <c r="AD79" s="336"/>
      <c r="AE79" s="336"/>
      <c r="AF79" s="336"/>
      <c r="AG79" s="336"/>
      <c r="AH79" s="336"/>
      <c r="AI79" s="336"/>
      <c r="AJ79" s="336"/>
      <c r="AK79" s="336"/>
      <c r="AL79" s="336"/>
      <c r="AM79" s="336"/>
      <c r="AN79" s="336"/>
      <c r="AO79" s="336"/>
      <c r="AP79" s="336"/>
      <c r="AQ79" s="336"/>
      <c r="AR79" s="336"/>
      <c r="AS79" s="336"/>
      <c r="AT79" s="336"/>
      <c r="AU79" s="336"/>
      <c r="AV79" s="336"/>
      <c r="AW79" s="336"/>
    </row>
    <row r="80" spans="1:49" ht="14" outlineLevel="5">
      <c r="A80" s="336"/>
      <c r="B80" s="341"/>
      <c r="C80" s="358" t="s">
        <v>432</v>
      </c>
      <c r="D80" s="359">
        <f t="shared" si="8"/>
        <v>50886</v>
      </c>
      <c r="E80" s="359">
        <f t="shared" si="9"/>
        <v>38851.333333333336</v>
      </c>
      <c r="F80" s="359">
        <f t="shared" si="10"/>
        <v>0</v>
      </c>
      <c r="G80" s="359">
        <f t="shared" si="11"/>
        <v>65668</v>
      </c>
      <c r="H80" s="359">
        <f t="shared" si="12"/>
        <v>25443</v>
      </c>
      <c r="I80" s="359">
        <f t="shared" si="13"/>
        <v>58277</v>
      </c>
      <c r="J80" s="359">
        <f t="shared" si="14"/>
        <v>34448.460884825225</v>
      </c>
      <c r="K80" s="360">
        <f t="shared" si="15"/>
        <v>0.88667383920307896</v>
      </c>
      <c r="L80" s="339"/>
      <c r="M80" s="361">
        <v>65668</v>
      </c>
      <c r="N80" s="361">
        <v>50886</v>
      </c>
      <c r="O80" s="361">
        <v>0</v>
      </c>
      <c r="P80" s="361"/>
      <c r="Q80" s="361"/>
      <c r="R80" s="361"/>
      <c r="S80" s="361"/>
      <c r="T80" s="361"/>
      <c r="U80" s="361"/>
      <c r="V80" s="361"/>
      <c r="W80" s="361"/>
      <c r="X80" s="361"/>
      <c r="Y80" s="343"/>
      <c r="Z80" s="336"/>
      <c r="AA80" s="336"/>
      <c r="AB80" s="336"/>
      <c r="AC80" s="336"/>
      <c r="AD80" s="336"/>
      <c r="AE80" s="336"/>
      <c r="AF80" s="336"/>
      <c r="AG80" s="336"/>
      <c r="AH80" s="336"/>
      <c r="AI80" s="336"/>
      <c r="AJ80" s="336"/>
      <c r="AK80" s="336"/>
      <c r="AL80" s="336"/>
      <c r="AM80" s="336"/>
      <c r="AN80" s="336"/>
      <c r="AO80" s="336"/>
      <c r="AP80" s="336"/>
      <c r="AQ80" s="336"/>
      <c r="AR80" s="336"/>
      <c r="AS80" s="336"/>
      <c r="AT80" s="336"/>
      <c r="AU80" s="336"/>
      <c r="AV80" s="336"/>
      <c r="AW80" s="336"/>
    </row>
    <row r="81" spans="1:49" ht="14" outlineLevel="4">
      <c r="A81" s="336"/>
      <c r="B81" s="341"/>
      <c r="C81" s="358" t="s">
        <v>433</v>
      </c>
      <c r="D81" s="359">
        <f t="shared" si="8"/>
        <v>50886</v>
      </c>
      <c r="E81" s="359">
        <f t="shared" si="9"/>
        <v>38851.333333333336</v>
      </c>
      <c r="F81" s="359">
        <f t="shared" si="10"/>
        <v>0</v>
      </c>
      <c r="G81" s="359">
        <f t="shared" si="11"/>
        <v>65668</v>
      </c>
      <c r="H81" s="359">
        <f t="shared" si="12"/>
        <v>25443</v>
      </c>
      <c r="I81" s="359">
        <f t="shared" si="13"/>
        <v>58277</v>
      </c>
      <c r="J81" s="359">
        <f t="shared" si="14"/>
        <v>34448.460884825225</v>
      </c>
      <c r="K81" s="360">
        <f t="shared" si="15"/>
        <v>0.88667383920307896</v>
      </c>
      <c r="L81" s="339"/>
      <c r="M81" s="361">
        <v>65668</v>
      </c>
      <c r="N81" s="361">
        <v>50886</v>
      </c>
      <c r="O81" s="361">
        <v>0</v>
      </c>
      <c r="P81" s="361"/>
      <c r="Q81" s="361"/>
      <c r="R81" s="361"/>
      <c r="S81" s="361"/>
      <c r="T81" s="361"/>
      <c r="U81" s="361"/>
      <c r="V81" s="361"/>
      <c r="W81" s="361"/>
      <c r="X81" s="361"/>
      <c r="Y81" s="343"/>
      <c r="Z81" s="336"/>
      <c r="AA81" s="336"/>
      <c r="AB81" s="336"/>
      <c r="AC81" s="336"/>
      <c r="AD81" s="336"/>
      <c r="AE81" s="336"/>
      <c r="AF81" s="336"/>
      <c r="AG81" s="336"/>
      <c r="AH81" s="336"/>
      <c r="AI81" s="336"/>
      <c r="AJ81" s="336"/>
      <c r="AK81" s="336"/>
      <c r="AL81" s="336"/>
      <c r="AM81" s="336"/>
      <c r="AN81" s="336"/>
      <c r="AO81" s="336"/>
      <c r="AP81" s="336"/>
      <c r="AQ81" s="336"/>
      <c r="AR81" s="336"/>
      <c r="AS81" s="336"/>
      <c r="AT81" s="336"/>
      <c r="AU81" s="336"/>
      <c r="AV81" s="336"/>
      <c r="AW81" s="336"/>
    </row>
    <row r="82" spans="1:49" ht="14" outlineLevel="3">
      <c r="A82" s="336"/>
      <c r="B82" s="341"/>
      <c r="C82" s="354" t="s">
        <v>434</v>
      </c>
      <c r="D82" s="355">
        <f t="shared" si="8"/>
        <v>75650</v>
      </c>
      <c r="E82" s="355">
        <f t="shared" si="9"/>
        <v>59426.333333333336</v>
      </c>
      <c r="F82" s="355">
        <f t="shared" si="10"/>
        <v>25122</v>
      </c>
      <c r="G82" s="355">
        <f t="shared" si="11"/>
        <v>77507</v>
      </c>
      <c r="H82" s="355">
        <f t="shared" si="12"/>
        <v>50386</v>
      </c>
      <c r="I82" s="355">
        <f t="shared" si="13"/>
        <v>76578.5</v>
      </c>
      <c r="J82" s="355">
        <f t="shared" si="14"/>
        <v>29722.93014380199</v>
      </c>
      <c r="K82" s="356">
        <f t="shared" si="15"/>
        <v>0.50016429546612873</v>
      </c>
      <c r="M82" s="357">
        <v>75650</v>
      </c>
      <c r="N82" s="357">
        <v>77507</v>
      </c>
      <c r="O82" s="357">
        <v>25122</v>
      </c>
      <c r="P82" s="357"/>
      <c r="Q82" s="357"/>
      <c r="R82" s="357"/>
      <c r="S82" s="357"/>
      <c r="T82" s="357"/>
      <c r="U82" s="357"/>
      <c r="V82" s="357"/>
      <c r="W82" s="357"/>
      <c r="X82" s="357"/>
      <c r="Y82" s="343"/>
      <c r="Z82" s="336"/>
      <c r="AA82" s="336"/>
      <c r="AB82" s="336"/>
      <c r="AC82" s="336"/>
      <c r="AD82" s="336"/>
      <c r="AE82" s="336"/>
      <c r="AF82" s="336"/>
      <c r="AG82" s="336"/>
      <c r="AH82" s="336"/>
      <c r="AI82" s="336"/>
      <c r="AJ82" s="336"/>
      <c r="AK82" s="336"/>
      <c r="AL82" s="336"/>
      <c r="AM82" s="336"/>
      <c r="AN82" s="336"/>
      <c r="AO82" s="336"/>
      <c r="AP82" s="336"/>
      <c r="AQ82" s="336"/>
      <c r="AR82" s="336"/>
      <c r="AS82" s="336"/>
      <c r="AT82" s="336"/>
      <c r="AU82" s="336"/>
      <c r="AV82" s="336"/>
      <c r="AW82" s="336"/>
    </row>
    <row r="83" spans="1:49" ht="14" outlineLevel="3">
      <c r="A83" s="336"/>
      <c r="B83" s="341"/>
      <c r="C83" s="358" t="s">
        <v>435</v>
      </c>
      <c r="D83" s="359">
        <f t="shared" si="8"/>
        <v>25122</v>
      </c>
      <c r="E83" s="359">
        <f t="shared" si="9"/>
        <v>62718.6</v>
      </c>
      <c r="F83" s="359">
        <f t="shared" si="10"/>
        <v>0</v>
      </c>
      <c r="G83" s="359">
        <f t="shared" si="11"/>
        <v>141318</v>
      </c>
      <c r="H83" s="359">
        <f t="shared" si="12"/>
        <v>18760</v>
      </c>
      <c r="I83" s="359">
        <f t="shared" si="13"/>
        <v>128393</v>
      </c>
      <c r="J83" s="359">
        <f t="shared" si="14"/>
        <v>66652.978416571903</v>
      </c>
      <c r="K83" s="360">
        <f t="shared" si="15"/>
        <v>1.0627306479508776</v>
      </c>
      <c r="L83" s="339"/>
      <c r="M83" s="361">
        <v>141318</v>
      </c>
      <c r="N83" s="361">
        <v>128393</v>
      </c>
      <c r="O83" s="361">
        <v>25122</v>
      </c>
      <c r="P83" s="361">
        <v>18760</v>
      </c>
      <c r="Q83" s="361">
        <v>0</v>
      </c>
      <c r="R83" s="361"/>
      <c r="S83" s="361"/>
      <c r="T83" s="361"/>
      <c r="U83" s="361"/>
      <c r="V83" s="361"/>
      <c r="W83" s="361"/>
      <c r="X83" s="361"/>
      <c r="Y83" s="343"/>
      <c r="Z83" s="336"/>
      <c r="AA83" s="336"/>
      <c r="AB83" s="336"/>
      <c r="AC83" s="336"/>
      <c r="AD83" s="336"/>
      <c r="AE83" s="336"/>
      <c r="AF83" s="336"/>
      <c r="AG83" s="336"/>
      <c r="AH83" s="336"/>
      <c r="AI83" s="336"/>
      <c r="AJ83" s="336"/>
      <c r="AK83" s="336"/>
      <c r="AL83" s="336"/>
      <c r="AM83" s="336"/>
      <c r="AN83" s="336"/>
      <c r="AO83" s="336"/>
      <c r="AP83" s="336"/>
      <c r="AQ83" s="336"/>
      <c r="AR83" s="336"/>
      <c r="AS83" s="336"/>
      <c r="AT83" s="336"/>
      <c r="AU83" s="336"/>
      <c r="AV83" s="336"/>
      <c r="AW83" s="336"/>
    </row>
    <row r="84" spans="1:49" ht="14" outlineLevel="2">
      <c r="A84" s="336"/>
      <c r="B84" s="341"/>
      <c r="C84" s="354" t="s">
        <v>436</v>
      </c>
      <c r="D84" s="355" t="str">
        <f t="shared" si="8"/>
        <v/>
      </c>
      <c r="E84" s="355" t="str">
        <f t="shared" si="9"/>
        <v/>
      </c>
      <c r="F84" s="355" t="str">
        <f t="shared" si="10"/>
        <v/>
      </c>
      <c r="G84" s="355" t="str">
        <f t="shared" si="11"/>
        <v/>
      </c>
      <c r="H84" s="355" t="str">
        <f t="shared" si="12"/>
        <v/>
      </c>
      <c r="I84" s="355" t="str">
        <f t="shared" si="13"/>
        <v/>
      </c>
      <c r="J84" s="355" t="str">
        <f t="shared" si="14"/>
        <v/>
      </c>
      <c r="K84" s="356" t="str">
        <f t="shared" si="15"/>
        <v/>
      </c>
      <c r="M84" s="357"/>
      <c r="N84" s="357"/>
      <c r="O84" s="357"/>
      <c r="P84" s="357"/>
      <c r="Q84" s="357"/>
      <c r="R84" s="357"/>
      <c r="S84" s="357"/>
      <c r="T84" s="357"/>
      <c r="U84" s="357"/>
      <c r="V84" s="357"/>
      <c r="W84" s="357"/>
      <c r="X84" s="357"/>
      <c r="Y84" s="343"/>
      <c r="Z84" s="336"/>
      <c r="AA84" s="336"/>
      <c r="AB84" s="336"/>
      <c r="AC84" s="336"/>
      <c r="AD84" s="336"/>
      <c r="AE84" s="336"/>
      <c r="AF84" s="336"/>
      <c r="AG84" s="336"/>
      <c r="AH84" s="336"/>
      <c r="AI84" s="336"/>
      <c r="AJ84" s="336"/>
      <c r="AK84" s="336"/>
      <c r="AL84" s="336"/>
      <c r="AM84" s="336"/>
      <c r="AN84" s="336"/>
      <c r="AO84" s="336"/>
      <c r="AP84" s="336"/>
      <c r="AQ84" s="336"/>
      <c r="AR84" s="336"/>
      <c r="AS84" s="336"/>
      <c r="AT84" s="336"/>
      <c r="AU84" s="336"/>
      <c r="AV84" s="336"/>
      <c r="AW84" s="336"/>
    </row>
    <row r="85" spans="1:49" ht="14" outlineLevel="3">
      <c r="A85" s="336"/>
      <c r="B85" s="341"/>
      <c r="C85" s="354" t="s">
        <v>437</v>
      </c>
      <c r="D85" s="355">
        <f t="shared" si="8"/>
        <v>2839.5</v>
      </c>
      <c r="E85" s="355">
        <f t="shared" si="9"/>
        <v>2839.5</v>
      </c>
      <c r="F85" s="355">
        <f t="shared" si="10"/>
        <v>2007</v>
      </c>
      <c r="G85" s="355">
        <f t="shared" si="11"/>
        <v>3672</v>
      </c>
      <c r="H85" s="355">
        <f t="shared" si="12"/>
        <v>2423.25</v>
      </c>
      <c r="I85" s="355">
        <f t="shared" si="13"/>
        <v>3255.75</v>
      </c>
      <c r="J85" s="355">
        <f t="shared" si="14"/>
        <v>1177.3327906756017</v>
      </c>
      <c r="K85" s="356">
        <f t="shared" si="15"/>
        <v>0.41462679720922757</v>
      </c>
      <c r="M85" s="357"/>
      <c r="N85" s="357"/>
      <c r="O85" s="357"/>
      <c r="P85" s="357"/>
      <c r="Q85" s="357"/>
      <c r="R85" s="357"/>
      <c r="S85" s="357"/>
      <c r="T85" s="357"/>
      <c r="U85" s="357"/>
      <c r="V85" s="357"/>
      <c r="W85" s="357">
        <v>2007</v>
      </c>
      <c r="X85" s="357">
        <v>3672</v>
      </c>
      <c r="Y85" s="343"/>
      <c r="Z85" s="336"/>
      <c r="AA85" s="336"/>
      <c r="AB85" s="336"/>
      <c r="AC85" s="336"/>
      <c r="AD85" s="336"/>
      <c r="AE85" s="336"/>
      <c r="AF85" s="336"/>
      <c r="AG85" s="336"/>
      <c r="AH85" s="336"/>
      <c r="AI85" s="336"/>
      <c r="AJ85" s="336"/>
      <c r="AK85" s="336"/>
      <c r="AL85" s="336"/>
      <c r="AM85" s="336"/>
      <c r="AN85" s="336"/>
      <c r="AO85" s="336"/>
      <c r="AP85" s="336"/>
      <c r="AQ85" s="336"/>
      <c r="AR85" s="336"/>
      <c r="AS85" s="336"/>
      <c r="AT85" s="336"/>
      <c r="AU85" s="336"/>
      <c r="AV85" s="336"/>
      <c r="AW85" s="336"/>
    </row>
    <row r="86" spans="1:49" ht="14" outlineLevel="3">
      <c r="A86" s="336"/>
      <c r="B86" s="341"/>
      <c r="C86" s="358" t="s">
        <v>438</v>
      </c>
      <c r="D86" s="359">
        <f t="shared" si="8"/>
        <v>2839.5</v>
      </c>
      <c r="E86" s="359">
        <f t="shared" si="9"/>
        <v>2839.5</v>
      </c>
      <c r="F86" s="359">
        <f t="shared" si="10"/>
        <v>2007</v>
      </c>
      <c r="G86" s="359">
        <f t="shared" si="11"/>
        <v>3672</v>
      </c>
      <c r="H86" s="359">
        <f t="shared" si="12"/>
        <v>2423.25</v>
      </c>
      <c r="I86" s="359">
        <f t="shared" si="13"/>
        <v>3255.75</v>
      </c>
      <c r="J86" s="359">
        <f t="shared" si="14"/>
        <v>1177.3327906756017</v>
      </c>
      <c r="K86" s="360">
        <f t="shared" si="15"/>
        <v>0.41462679720922757</v>
      </c>
      <c r="L86" s="339"/>
      <c r="M86" s="361"/>
      <c r="N86" s="361"/>
      <c r="O86" s="361"/>
      <c r="P86" s="361"/>
      <c r="Q86" s="361"/>
      <c r="R86" s="361"/>
      <c r="S86" s="361"/>
      <c r="T86" s="361"/>
      <c r="U86" s="361"/>
      <c r="V86" s="361"/>
      <c r="W86" s="361">
        <v>2007</v>
      </c>
      <c r="X86" s="361">
        <v>3672</v>
      </c>
      <c r="Y86" s="343"/>
      <c r="Z86" s="336"/>
      <c r="AA86" s="336"/>
      <c r="AB86" s="336"/>
      <c r="AC86" s="336"/>
      <c r="AD86" s="336"/>
      <c r="AE86" s="336"/>
      <c r="AF86" s="336"/>
      <c r="AG86" s="336"/>
      <c r="AH86" s="336"/>
      <c r="AI86" s="336"/>
      <c r="AJ86" s="336"/>
      <c r="AK86" s="336"/>
      <c r="AL86" s="336"/>
      <c r="AM86" s="336"/>
      <c r="AN86" s="336"/>
      <c r="AO86" s="336"/>
      <c r="AP86" s="336"/>
      <c r="AQ86" s="336"/>
      <c r="AR86" s="336"/>
      <c r="AS86" s="336"/>
      <c r="AT86" s="336"/>
      <c r="AU86" s="336"/>
      <c r="AV86" s="336"/>
      <c r="AW86" s="336"/>
    </row>
    <row r="87" spans="1:49" ht="14" outlineLevel="2">
      <c r="A87" s="336"/>
      <c r="B87" s="341"/>
      <c r="C87" s="354" t="s">
        <v>439</v>
      </c>
      <c r="D87" s="355">
        <f t="shared" si="8"/>
        <v>414841</v>
      </c>
      <c r="E87" s="355">
        <f t="shared" si="9"/>
        <v>385668.63636363635</v>
      </c>
      <c r="F87" s="355">
        <f t="shared" si="10"/>
        <v>260</v>
      </c>
      <c r="G87" s="355">
        <f t="shared" si="11"/>
        <v>539264</v>
      </c>
      <c r="H87" s="355">
        <f t="shared" si="12"/>
        <v>409094.5</v>
      </c>
      <c r="I87" s="355">
        <f t="shared" si="13"/>
        <v>487192.5</v>
      </c>
      <c r="J87" s="355">
        <f t="shared" si="14"/>
        <v>169846.85375965768</v>
      </c>
      <c r="K87" s="356">
        <f t="shared" si="15"/>
        <v>0.44039581585139259</v>
      </c>
      <c r="M87" s="357">
        <v>470197</v>
      </c>
      <c r="N87" s="357">
        <v>504188</v>
      </c>
      <c r="O87" s="357">
        <v>454565</v>
      </c>
      <c r="P87" s="357">
        <v>539264</v>
      </c>
      <c r="Q87" s="357">
        <v>511200</v>
      </c>
      <c r="R87" s="357">
        <v>412293</v>
      </c>
      <c r="S87" s="357">
        <v>414841</v>
      </c>
      <c r="T87" s="357">
        <v>407782</v>
      </c>
      <c r="U87" s="357">
        <v>410407</v>
      </c>
      <c r="V87" s="357">
        <v>117358</v>
      </c>
      <c r="W87" s="357">
        <v>260</v>
      </c>
      <c r="X87" s="357"/>
      <c r="Y87" s="343"/>
      <c r="Z87" s="336"/>
      <c r="AA87" s="336"/>
      <c r="AB87" s="336"/>
      <c r="AC87" s="336"/>
      <c r="AD87" s="336"/>
      <c r="AE87" s="336"/>
      <c r="AF87" s="336"/>
      <c r="AG87" s="336"/>
      <c r="AH87" s="336"/>
      <c r="AI87" s="336"/>
      <c r="AJ87" s="336"/>
      <c r="AK87" s="336"/>
      <c r="AL87" s="336"/>
      <c r="AM87" s="336"/>
      <c r="AN87" s="336"/>
      <c r="AO87" s="336"/>
      <c r="AP87" s="336"/>
      <c r="AQ87" s="336"/>
      <c r="AR87" s="336"/>
      <c r="AS87" s="336"/>
      <c r="AT87" s="336"/>
      <c r="AU87" s="336"/>
      <c r="AV87" s="336"/>
      <c r="AW87" s="336"/>
    </row>
    <row r="88" spans="1:49" ht="14" outlineLevel="2">
      <c r="A88" s="336"/>
      <c r="B88" s="341"/>
      <c r="C88" s="354" t="s">
        <v>440</v>
      </c>
      <c r="D88" s="355">
        <f t="shared" si="8"/>
        <v>3266</v>
      </c>
      <c r="E88" s="355">
        <f t="shared" si="9"/>
        <v>4438.416666666667</v>
      </c>
      <c r="F88" s="355">
        <f t="shared" si="10"/>
        <v>1825</v>
      </c>
      <c r="G88" s="355">
        <f t="shared" si="11"/>
        <v>11717</v>
      </c>
      <c r="H88" s="355">
        <f t="shared" si="12"/>
        <v>1992.25</v>
      </c>
      <c r="I88" s="355">
        <f t="shared" si="13"/>
        <v>6694.25</v>
      </c>
      <c r="J88" s="355">
        <f t="shared" si="14"/>
        <v>3160.2788558875141</v>
      </c>
      <c r="K88" s="356">
        <f t="shared" si="15"/>
        <v>0.71202843113441672</v>
      </c>
      <c r="M88" s="357">
        <v>7058</v>
      </c>
      <c r="N88" s="357">
        <v>3871</v>
      </c>
      <c r="O88" s="357">
        <v>3857</v>
      </c>
      <c r="P88" s="357">
        <v>2022</v>
      </c>
      <c r="Q88" s="357">
        <v>1896</v>
      </c>
      <c r="R88" s="357">
        <v>1903</v>
      </c>
      <c r="S88" s="357">
        <v>1825</v>
      </c>
      <c r="T88" s="357">
        <v>11717</v>
      </c>
      <c r="U88" s="357">
        <v>7729</v>
      </c>
      <c r="V88" s="357">
        <v>2135</v>
      </c>
      <c r="W88" s="357">
        <v>2675</v>
      </c>
      <c r="X88" s="357">
        <v>6573</v>
      </c>
      <c r="Y88" s="343"/>
      <c r="Z88" s="336"/>
      <c r="AA88" s="336"/>
      <c r="AB88" s="336"/>
      <c r="AC88" s="336"/>
      <c r="AD88" s="336"/>
      <c r="AE88" s="336"/>
      <c r="AF88" s="336"/>
      <c r="AG88" s="336"/>
      <c r="AH88" s="336"/>
      <c r="AI88" s="336"/>
      <c r="AJ88" s="336"/>
      <c r="AK88" s="336"/>
      <c r="AL88" s="336"/>
      <c r="AM88" s="336"/>
      <c r="AN88" s="336"/>
      <c r="AO88" s="336"/>
      <c r="AP88" s="336"/>
      <c r="AQ88" s="336"/>
      <c r="AR88" s="336"/>
      <c r="AS88" s="336"/>
      <c r="AT88" s="336"/>
      <c r="AU88" s="336"/>
      <c r="AV88" s="336"/>
      <c r="AW88" s="336"/>
    </row>
    <row r="89" spans="1:49" ht="14" outlineLevel="2">
      <c r="A89" s="336"/>
      <c r="B89" s="341"/>
      <c r="C89" s="358" t="s">
        <v>441</v>
      </c>
      <c r="D89" s="359">
        <f t="shared" si="8"/>
        <v>1070964</v>
      </c>
      <c r="E89" s="359">
        <f t="shared" si="9"/>
        <v>1295013.9166666667</v>
      </c>
      <c r="F89" s="359">
        <f t="shared" si="10"/>
        <v>504549</v>
      </c>
      <c r="G89" s="359">
        <f t="shared" si="11"/>
        <v>2497876</v>
      </c>
      <c r="H89" s="359">
        <f t="shared" si="12"/>
        <v>839220.75</v>
      </c>
      <c r="I89" s="359">
        <f t="shared" si="13"/>
        <v>1589941.25</v>
      </c>
      <c r="J89" s="359">
        <f t="shared" si="14"/>
        <v>735109.94216232828</v>
      </c>
      <c r="K89" s="360">
        <f t="shared" si="15"/>
        <v>0.56764636480083763</v>
      </c>
      <c r="L89" s="339"/>
      <c r="M89" s="361">
        <v>2481689</v>
      </c>
      <c r="N89" s="361">
        <v>2497876</v>
      </c>
      <c r="O89" s="361">
        <v>2299058</v>
      </c>
      <c r="P89" s="361">
        <v>1353569</v>
      </c>
      <c r="Q89" s="361">
        <v>1282921</v>
      </c>
      <c r="R89" s="361">
        <v>1177052</v>
      </c>
      <c r="S89" s="361">
        <v>964876</v>
      </c>
      <c r="T89" s="361">
        <v>915464</v>
      </c>
      <c r="U89" s="361">
        <v>910217</v>
      </c>
      <c r="V89" s="361">
        <v>626232</v>
      </c>
      <c r="W89" s="361">
        <v>526664</v>
      </c>
      <c r="X89" s="361">
        <v>504549</v>
      </c>
      <c r="Y89" s="343"/>
      <c r="Z89" s="336"/>
      <c r="AA89" s="336"/>
      <c r="AB89" s="336"/>
      <c r="AC89" s="336"/>
      <c r="AD89" s="336"/>
      <c r="AE89" s="336"/>
      <c r="AF89" s="336"/>
      <c r="AG89" s="336"/>
      <c r="AH89" s="336"/>
      <c r="AI89" s="336"/>
      <c r="AJ89" s="336"/>
      <c r="AK89" s="336"/>
      <c r="AL89" s="336"/>
      <c r="AM89" s="336"/>
      <c r="AN89" s="336"/>
      <c r="AO89" s="336"/>
      <c r="AP89" s="336"/>
      <c r="AQ89" s="336"/>
      <c r="AR89" s="336"/>
      <c r="AS89" s="336"/>
      <c r="AT89" s="336"/>
      <c r="AU89" s="336"/>
      <c r="AV89" s="336"/>
      <c r="AW89" s="336"/>
    </row>
    <row r="90" spans="1:49" ht="14" outlineLevel="1">
      <c r="A90" s="336"/>
      <c r="B90" s="341"/>
      <c r="C90" s="351" t="s">
        <v>442</v>
      </c>
      <c r="D90" s="359">
        <f t="shared" si="8"/>
        <v>1535303</v>
      </c>
      <c r="E90" s="359">
        <f t="shared" si="9"/>
        <v>1648956.5</v>
      </c>
      <c r="F90" s="359">
        <f t="shared" si="10"/>
        <v>562096</v>
      </c>
      <c r="G90" s="359">
        <f t="shared" si="11"/>
        <v>3069708</v>
      </c>
      <c r="H90" s="359">
        <f t="shared" si="12"/>
        <v>925875.75</v>
      </c>
      <c r="I90" s="359">
        <f t="shared" si="13"/>
        <v>2225634.5</v>
      </c>
      <c r="J90" s="359">
        <f t="shared" si="14"/>
        <v>924018.44613617379</v>
      </c>
      <c r="K90" s="360">
        <f t="shared" si="15"/>
        <v>0.5603655682464479</v>
      </c>
      <c r="L90" s="362"/>
      <c r="M90" s="359">
        <v>3069708</v>
      </c>
      <c r="N90" s="359">
        <v>2969693</v>
      </c>
      <c r="O90" s="359">
        <v>2854589</v>
      </c>
      <c r="P90" s="359">
        <v>2015983</v>
      </c>
      <c r="Q90" s="359">
        <v>1849737</v>
      </c>
      <c r="R90" s="359">
        <v>1717190</v>
      </c>
      <c r="S90" s="359">
        <v>1353416</v>
      </c>
      <c r="T90" s="359">
        <v>1092465</v>
      </c>
      <c r="U90" s="359">
        <v>1001442</v>
      </c>
      <c r="V90" s="359">
        <v>699177</v>
      </c>
      <c r="W90" s="359">
        <v>601982</v>
      </c>
      <c r="X90" s="359">
        <v>562096</v>
      </c>
      <c r="Y90" s="343"/>
      <c r="Z90" s="336"/>
      <c r="AA90" s="336"/>
      <c r="AB90" s="336"/>
      <c r="AC90" s="336"/>
      <c r="AD90" s="336"/>
      <c r="AE90" s="336"/>
      <c r="AF90" s="336"/>
      <c r="AG90" s="336"/>
      <c r="AH90" s="336"/>
      <c r="AI90" s="336"/>
      <c r="AJ90" s="336"/>
      <c r="AK90" s="336"/>
      <c r="AL90" s="336"/>
      <c r="AM90" s="336"/>
      <c r="AN90" s="336"/>
      <c r="AO90" s="336"/>
      <c r="AP90" s="336"/>
      <c r="AQ90" s="336"/>
      <c r="AR90" s="336"/>
      <c r="AS90" s="336"/>
      <c r="AT90" s="336"/>
      <c r="AU90" s="336"/>
      <c r="AV90" s="336"/>
      <c r="AW90" s="336"/>
    </row>
    <row r="91" spans="1:49" ht="14">
      <c r="A91" s="336"/>
      <c r="B91" s="341"/>
      <c r="C91" s="351" t="s">
        <v>443</v>
      </c>
      <c r="D91" s="352" t="str">
        <f t="shared" si="8"/>
        <v/>
      </c>
      <c r="E91" s="352" t="str">
        <f t="shared" si="9"/>
        <v/>
      </c>
      <c r="F91" s="352" t="str">
        <f t="shared" si="10"/>
        <v/>
      </c>
      <c r="G91" s="352" t="str">
        <f t="shared" si="11"/>
        <v/>
      </c>
      <c r="H91" s="352" t="str">
        <f t="shared" si="12"/>
        <v/>
      </c>
      <c r="I91" s="352" t="str">
        <f t="shared" si="13"/>
        <v/>
      </c>
      <c r="J91" s="352" t="str">
        <f t="shared" si="14"/>
        <v/>
      </c>
      <c r="K91" s="353" t="str">
        <f t="shared" si="15"/>
        <v/>
      </c>
      <c r="L91" s="346"/>
      <c r="M91" s="352"/>
      <c r="N91" s="352"/>
      <c r="O91" s="352"/>
      <c r="P91" s="352"/>
      <c r="Q91" s="352"/>
      <c r="R91" s="352"/>
      <c r="S91" s="352"/>
      <c r="T91" s="352"/>
      <c r="U91" s="352"/>
      <c r="V91" s="352"/>
      <c r="W91" s="352"/>
      <c r="X91" s="352"/>
      <c r="Y91" s="343"/>
      <c r="Z91" s="336"/>
      <c r="AA91" s="336"/>
      <c r="AB91" s="336"/>
      <c r="AC91" s="336"/>
      <c r="AD91" s="336"/>
      <c r="AE91" s="336"/>
      <c r="AF91" s="336"/>
      <c r="AG91" s="336"/>
      <c r="AH91" s="336"/>
      <c r="AI91" s="336"/>
      <c r="AJ91" s="336"/>
      <c r="AK91" s="336"/>
      <c r="AL91" s="336"/>
      <c r="AM91" s="336"/>
      <c r="AN91" s="336"/>
      <c r="AO91" s="336"/>
      <c r="AP91" s="336"/>
      <c r="AQ91" s="336"/>
      <c r="AR91" s="336"/>
      <c r="AS91" s="336"/>
      <c r="AT91" s="336"/>
      <c r="AU91" s="336"/>
      <c r="AV91" s="336"/>
      <c r="AW91" s="336"/>
    </row>
    <row r="92" spans="1:49" ht="14" outlineLevel="1">
      <c r="A92" s="336"/>
      <c r="B92" s="341"/>
      <c r="C92" s="354" t="s">
        <v>444</v>
      </c>
      <c r="D92" s="355" t="str">
        <f t="shared" si="8"/>
        <v/>
      </c>
      <c r="E92" s="355" t="str">
        <f t="shared" si="9"/>
        <v/>
      </c>
      <c r="F92" s="355" t="str">
        <f t="shared" si="10"/>
        <v/>
      </c>
      <c r="G92" s="355" t="str">
        <f t="shared" si="11"/>
        <v/>
      </c>
      <c r="H92" s="355" t="str">
        <f t="shared" si="12"/>
        <v/>
      </c>
      <c r="I92" s="355" t="str">
        <f t="shared" si="13"/>
        <v/>
      </c>
      <c r="J92" s="355" t="str">
        <f t="shared" si="14"/>
        <v/>
      </c>
      <c r="K92" s="356" t="str">
        <f t="shared" si="15"/>
        <v/>
      </c>
      <c r="M92" s="357"/>
      <c r="N92" s="357"/>
      <c r="O92" s="357"/>
      <c r="P92" s="357"/>
      <c r="Q92" s="357"/>
      <c r="R92" s="357"/>
      <c r="S92" s="357"/>
      <c r="T92" s="357"/>
      <c r="U92" s="357"/>
      <c r="V92" s="357"/>
      <c r="W92" s="357"/>
      <c r="X92" s="357"/>
      <c r="Y92" s="343"/>
      <c r="Z92" s="336"/>
      <c r="AA92" s="336"/>
      <c r="AB92" s="336"/>
      <c r="AC92" s="336"/>
      <c r="AD92" s="336"/>
      <c r="AE92" s="336"/>
      <c r="AF92" s="336"/>
      <c r="AG92" s="336"/>
      <c r="AH92" s="336"/>
      <c r="AI92" s="336"/>
      <c r="AJ92" s="336"/>
      <c r="AK92" s="336"/>
      <c r="AL92" s="336"/>
      <c r="AM92" s="336"/>
      <c r="AN92" s="336"/>
      <c r="AO92" s="336"/>
      <c r="AP92" s="336"/>
      <c r="AQ92" s="336"/>
      <c r="AR92" s="336"/>
      <c r="AS92" s="336"/>
      <c r="AT92" s="336"/>
      <c r="AU92" s="336"/>
      <c r="AV92" s="336"/>
      <c r="AW92" s="336"/>
    </row>
    <row r="93" spans="1:49" ht="14" outlineLevel="2">
      <c r="A93" s="336"/>
      <c r="B93" s="341"/>
      <c r="C93" s="354" t="s">
        <v>445</v>
      </c>
      <c r="D93" s="355" t="str">
        <f t="shared" si="8"/>
        <v/>
      </c>
      <c r="E93" s="355" t="str">
        <f t="shared" si="9"/>
        <v/>
      </c>
      <c r="F93" s="355" t="str">
        <f t="shared" si="10"/>
        <v/>
      </c>
      <c r="G93" s="355" t="str">
        <f t="shared" si="11"/>
        <v/>
      </c>
      <c r="H93" s="355" t="str">
        <f t="shared" si="12"/>
        <v/>
      </c>
      <c r="I93" s="355" t="str">
        <f t="shared" si="13"/>
        <v/>
      </c>
      <c r="J93" s="355" t="str">
        <f t="shared" si="14"/>
        <v/>
      </c>
      <c r="K93" s="356" t="str">
        <f t="shared" si="15"/>
        <v/>
      </c>
      <c r="M93" s="357"/>
      <c r="N93" s="357"/>
      <c r="O93" s="357"/>
      <c r="P93" s="357"/>
      <c r="Q93" s="357"/>
      <c r="R93" s="357"/>
      <c r="S93" s="357"/>
      <c r="T93" s="357"/>
      <c r="U93" s="357"/>
      <c r="V93" s="357"/>
      <c r="W93" s="357"/>
      <c r="X93" s="357"/>
      <c r="Y93" s="343"/>
      <c r="Z93" s="336"/>
      <c r="AA93" s="336"/>
      <c r="AB93" s="336"/>
      <c r="AC93" s="336"/>
      <c r="AD93" s="336"/>
      <c r="AE93" s="336"/>
      <c r="AF93" s="336"/>
      <c r="AG93" s="336"/>
      <c r="AH93" s="336"/>
      <c r="AI93" s="336"/>
      <c r="AJ93" s="336"/>
      <c r="AK93" s="336"/>
      <c r="AL93" s="336"/>
      <c r="AM93" s="336"/>
      <c r="AN93" s="336"/>
      <c r="AO93" s="336"/>
      <c r="AP93" s="336"/>
      <c r="AQ93" s="336"/>
      <c r="AR93" s="336"/>
      <c r="AS93" s="336"/>
      <c r="AT93" s="336"/>
      <c r="AU93" s="336"/>
      <c r="AV93" s="336"/>
      <c r="AW93" s="336"/>
    </row>
    <row r="94" spans="1:49" ht="14" outlineLevel="3">
      <c r="A94" s="336"/>
      <c r="B94" s="341"/>
      <c r="C94" s="354" t="s">
        <v>446</v>
      </c>
      <c r="D94" s="355" t="str">
        <f t="shared" si="8"/>
        <v/>
      </c>
      <c r="E94" s="355" t="str">
        <f t="shared" si="9"/>
        <v/>
      </c>
      <c r="F94" s="355" t="str">
        <f t="shared" si="10"/>
        <v/>
      </c>
      <c r="G94" s="355" t="str">
        <f t="shared" si="11"/>
        <v/>
      </c>
      <c r="H94" s="355" t="str">
        <f t="shared" si="12"/>
        <v/>
      </c>
      <c r="I94" s="355" t="str">
        <f t="shared" si="13"/>
        <v/>
      </c>
      <c r="J94" s="355" t="str">
        <f t="shared" si="14"/>
        <v/>
      </c>
      <c r="K94" s="356" t="str">
        <f t="shared" si="15"/>
        <v/>
      </c>
      <c r="M94" s="357"/>
      <c r="N94" s="357"/>
      <c r="O94" s="357"/>
      <c r="P94" s="357"/>
      <c r="Q94" s="357"/>
      <c r="R94" s="357"/>
      <c r="S94" s="357"/>
      <c r="T94" s="357"/>
      <c r="U94" s="357"/>
      <c r="V94" s="357"/>
      <c r="W94" s="357"/>
      <c r="X94" s="357"/>
      <c r="Y94" s="343"/>
      <c r="Z94" s="336"/>
      <c r="AA94" s="336"/>
      <c r="AB94" s="336"/>
      <c r="AC94" s="336"/>
      <c r="AD94" s="336"/>
      <c r="AE94" s="336"/>
      <c r="AF94" s="336"/>
      <c r="AG94" s="336"/>
      <c r="AH94" s="336"/>
      <c r="AI94" s="336"/>
      <c r="AJ94" s="336"/>
      <c r="AK94" s="336"/>
      <c r="AL94" s="336"/>
      <c r="AM94" s="336"/>
      <c r="AN94" s="336"/>
      <c r="AO94" s="336"/>
      <c r="AP94" s="336"/>
      <c r="AQ94" s="336"/>
      <c r="AR94" s="336"/>
      <c r="AS94" s="336"/>
      <c r="AT94" s="336"/>
      <c r="AU94" s="336"/>
      <c r="AV94" s="336"/>
      <c r="AW94" s="336"/>
    </row>
    <row r="95" spans="1:49" ht="14" outlineLevel="4">
      <c r="A95" s="336"/>
      <c r="B95" s="341"/>
      <c r="C95" s="354" t="s">
        <v>447</v>
      </c>
      <c r="D95" s="355">
        <f t="shared" si="8"/>
        <v>26127.5</v>
      </c>
      <c r="E95" s="355">
        <f t="shared" si="9"/>
        <v>25799</v>
      </c>
      <c r="F95" s="355">
        <f t="shared" si="10"/>
        <v>19388</v>
      </c>
      <c r="G95" s="355">
        <f t="shared" si="11"/>
        <v>32887</v>
      </c>
      <c r="H95" s="355">
        <f t="shared" si="12"/>
        <v>23157.75</v>
      </c>
      <c r="I95" s="355">
        <f t="shared" si="13"/>
        <v>28542.25</v>
      </c>
      <c r="J95" s="355">
        <f t="shared" si="14"/>
        <v>4143.1328945398536</v>
      </c>
      <c r="K95" s="356">
        <f t="shared" si="15"/>
        <v>0.16059277082599532</v>
      </c>
      <c r="M95" s="357">
        <v>32887</v>
      </c>
      <c r="N95" s="357">
        <v>23788</v>
      </c>
      <c r="O95" s="357">
        <v>20578</v>
      </c>
      <c r="P95" s="357">
        <v>27892</v>
      </c>
      <c r="Q95" s="357">
        <v>19388</v>
      </c>
      <c r="R95" s="357">
        <v>21267</v>
      </c>
      <c r="S95" s="357">
        <v>30428</v>
      </c>
      <c r="T95" s="357">
        <v>28648</v>
      </c>
      <c r="U95" s="357">
        <v>28507</v>
      </c>
      <c r="V95" s="357">
        <v>23950</v>
      </c>
      <c r="W95" s="357">
        <v>26738</v>
      </c>
      <c r="X95" s="357">
        <v>25517</v>
      </c>
      <c r="Y95" s="343"/>
      <c r="Z95" s="336"/>
      <c r="AA95" s="336"/>
      <c r="AB95" s="336"/>
      <c r="AC95" s="336"/>
      <c r="AD95" s="336"/>
      <c r="AE95" s="336"/>
      <c r="AF95" s="336"/>
      <c r="AG95" s="336"/>
      <c r="AH95" s="336"/>
      <c r="AI95" s="336"/>
      <c r="AJ95" s="336"/>
      <c r="AK95" s="336"/>
      <c r="AL95" s="336"/>
      <c r="AM95" s="336"/>
      <c r="AN95" s="336"/>
      <c r="AO95" s="336"/>
      <c r="AP95" s="336"/>
      <c r="AQ95" s="336"/>
      <c r="AR95" s="336"/>
      <c r="AS95" s="336"/>
      <c r="AT95" s="336"/>
      <c r="AU95" s="336"/>
      <c r="AV95" s="336"/>
      <c r="AW95" s="336"/>
    </row>
    <row r="96" spans="1:49" ht="14" outlineLevel="4">
      <c r="A96" s="336"/>
      <c r="B96" s="341"/>
      <c r="C96" s="354" t="s">
        <v>448</v>
      </c>
      <c r="D96" s="355" t="str">
        <f t="shared" si="8"/>
        <v/>
      </c>
      <c r="E96" s="355" t="str">
        <f t="shared" si="9"/>
        <v/>
      </c>
      <c r="F96" s="355" t="str">
        <f t="shared" si="10"/>
        <v/>
      </c>
      <c r="G96" s="355" t="str">
        <f t="shared" si="11"/>
        <v/>
      </c>
      <c r="H96" s="355" t="str">
        <f t="shared" si="12"/>
        <v/>
      </c>
      <c r="I96" s="355" t="str">
        <f t="shared" si="13"/>
        <v/>
      </c>
      <c r="J96" s="355" t="str">
        <f t="shared" si="14"/>
        <v/>
      </c>
      <c r="K96" s="356" t="str">
        <f t="shared" si="15"/>
        <v/>
      </c>
      <c r="M96" s="357"/>
      <c r="N96" s="357"/>
      <c r="O96" s="357"/>
      <c r="P96" s="357"/>
      <c r="Q96" s="357"/>
      <c r="R96" s="357"/>
      <c r="S96" s="357"/>
      <c r="T96" s="357"/>
      <c r="U96" s="357"/>
      <c r="V96" s="357"/>
      <c r="W96" s="357"/>
      <c r="X96" s="357"/>
      <c r="Y96" s="343"/>
      <c r="Z96" s="336"/>
      <c r="AA96" s="336"/>
      <c r="AB96" s="336"/>
      <c r="AC96" s="336"/>
      <c r="AD96" s="336"/>
      <c r="AE96" s="336"/>
      <c r="AF96" s="336"/>
      <c r="AG96" s="336"/>
      <c r="AH96" s="336"/>
      <c r="AI96" s="336"/>
      <c r="AJ96" s="336"/>
      <c r="AK96" s="336"/>
      <c r="AL96" s="336"/>
      <c r="AM96" s="336"/>
      <c r="AN96" s="336"/>
      <c r="AO96" s="336"/>
      <c r="AP96" s="336"/>
      <c r="AQ96" s="336"/>
      <c r="AR96" s="336"/>
      <c r="AS96" s="336"/>
      <c r="AT96" s="336"/>
      <c r="AU96" s="336"/>
      <c r="AV96" s="336"/>
      <c r="AW96" s="336"/>
    </row>
    <row r="97" spans="1:49" ht="14" outlineLevel="5">
      <c r="A97" s="336"/>
      <c r="B97" s="341"/>
      <c r="C97" s="354" t="s">
        <v>449</v>
      </c>
      <c r="D97" s="355">
        <f t="shared" si="8"/>
        <v>25616.5</v>
      </c>
      <c r="E97" s="355">
        <f t="shared" si="9"/>
        <v>24247.8</v>
      </c>
      <c r="F97" s="355">
        <f t="shared" si="10"/>
        <v>0</v>
      </c>
      <c r="G97" s="355">
        <f t="shared" si="11"/>
        <v>55556</v>
      </c>
      <c r="H97" s="355">
        <f t="shared" si="12"/>
        <v>11129.5</v>
      </c>
      <c r="I97" s="355">
        <f t="shared" si="13"/>
        <v>31720.5</v>
      </c>
      <c r="J97" s="355">
        <f t="shared" si="14"/>
        <v>17312.230633604417</v>
      </c>
      <c r="K97" s="356">
        <f t="shared" si="15"/>
        <v>0.71397119052468339</v>
      </c>
      <c r="M97" s="357">
        <v>55556</v>
      </c>
      <c r="N97" s="357">
        <v>41294</v>
      </c>
      <c r="O97" s="357">
        <v>31940</v>
      </c>
      <c r="P97" s="357">
        <v>20302</v>
      </c>
      <c r="Q97" s="357">
        <v>0</v>
      </c>
      <c r="R97" s="357">
        <v>26468</v>
      </c>
      <c r="S97" s="357">
        <v>24765</v>
      </c>
      <c r="T97" s="357">
        <v>31062</v>
      </c>
      <c r="U97" s="357">
        <v>8072</v>
      </c>
      <c r="V97" s="357">
        <v>3019</v>
      </c>
      <c r="W97" s="357"/>
      <c r="X97" s="357"/>
      <c r="Y97" s="343"/>
      <c r="Z97" s="336"/>
      <c r="AA97" s="336"/>
      <c r="AB97" s="336"/>
      <c r="AC97" s="336"/>
      <c r="AD97" s="336"/>
      <c r="AE97" s="336"/>
      <c r="AF97" s="336"/>
      <c r="AG97" s="336"/>
      <c r="AH97" s="336"/>
      <c r="AI97" s="336"/>
      <c r="AJ97" s="336"/>
      <c r="AK97" s="336"/>
      <c r="AL97" s="336"/>
      <c r="AM97" s="336"/>
      <c r="AN97" s="336"/>
      <c r="AO97" s="336"/>
      <c r="AP97" s="336"/>
      <c r="AQ97" s="336"/>
      <c r="AR97" s="336"/>
      <c r="AS97" s="336"/>
      <c r="AT97" s="336"/>
      <c r="AU97" s="336"/>
      <c r="AV97" s="336"/>
      <c r="AW97" s="336"/>
    </row>
    <row r="98" spans="1:49" ht="14" outlineLevel="5">
      <c r="A98" s="336"/>
      <c r="B98" s="341"/>
      <c r="C98" s="358" t="s">
        <v>450</v>
      </c>
      <c r="D98" s="359">
        <f t="shared" si="8"/>
        <v>25616.5</v>
      </c>
      <c r="E98" s="359">
        <f t="shared" si="9"/>
        <v>24247.8</v>
      </c>
      <c r="F98" s="359">
        <f t="shared" si="10"/>
        <v>0</v>
      </c>
      <c r="G98" s="359">
        <f t="shared" si="11"/>
        <v>55556</v>
      </c>
      <c r="H98" s="359">
        <f t="shared" si="12"/>
        <v>11129.5</v>
      </c>
      <c r="I98" s="359">
        <f t="shared" si="13"/>
        <v>31720.5</v>
      </c>
      <c r="J98" s="359">
        <f t="shared" si="14"/>
        <v>17312.230633604417</v>
      </c>
      <c r="K98" s="360">
        <f t="shared" si="15"/>
        <v>0.71397119052468339</v>
      </c>
      <c r="L98" s="339"/>
      <c r="M98" s="361">
        <v>55556</v>
      </c>
      <c r="N98" s="361">
        <v>41294</v>
      </c>
      <c r="O98" s="361">
        <v>31940</v>
      </c>
      <c r="P98" s="361">
        <v>20302</v>
      </c>
      <c r="Q98" s="361">
        <v>0</v>
      </c>
      <c r="R98" s="361">
        <v>26468</v>
      </c>
      <c r="S98" s="361">
        <v>24765</v>
      </c>
      <c r="T98" s="361">
        <v>31062</v>
      </c>
      <c r="U98" s="361">
        <v>8072</v>
      </c>
      <c r="V98" s="361">
        <v>3019</v>
      </c>
      <c r="W98" s="361"/>
      <c r="X98" s="361"/>
      <c r="Y98" s="343"/>
      <c r="Z98" s="336"/>
      <c r="AA98" s="336"/>
      <c r="AB98" s="336"/>
      <c r="AC98" s="336"/>
      <c r="AD98" s="336"/>
      <c r="AE98" s="336"/>
      <c r="AF98" s="336"/>
      <c r="AG98" s="336"/>
      <c r="AH98" s="336"/>
      <c r="AI98" s="336"/>
      <c r="AJ98" s="336"/>
      <c r="AK98" s="336"/>
      <c r="AL98" s="336"/>
      <c r="AM98" s="336"/>
      <c r="AN98" s="336"/>
      <c r="AO98" s="336"/>
      <c r="AP98" s="336"/>
      <c r="AQ98" s="336"/>
      <c r="AR98" s="336"/>
      <c r="AS98" s="336"/>
      <c r="AT98" s="336"/>
      <c r="AU98" s="336"/>
      <c r="AV98" s="336"/>
      <c r="AW98" s="336"/>
    </row>
    <row r="99" spans="1:49" ht="14" outlineLevel="4">
      <c r="A99" s="336"/>
      <c r="B99" s="341"/>
      <c r="C99" s="358" t="s">
        <v>451</v>
      </c>
      <c r="D99" s="359">
        <f t="shared" si="8"/>
        <v>47964.5</v>
      </c>
      <c r="E99" s="359">
        <f t="shared" si="9"/>
        <v>46005.5</v>
      </c>
      <c r="F99" s="359">
        <f t="shared" si="10"/>
        <v>19388</v>
      </c>
      <c r="G99" s="359">
        <f t="shared" si="11"/>
        <v>88443</v>
      </c>
      <c r="H99" s="359">
        <f t="shared" si="12"/>
        <v>26911.25</v>
      </c>
      <c r="I99" s="359">
        <f t="shared" si="13"/>
        <v>56322.25</v>
      </c>
      <c r="J99" s="359">
        <f t="shared" si="14"/>
        <v>20086.234144082584</v>
      </c>
      <c r="K99" s="360">
        <f t="shared" si="15"/>
        <v>0.43660506122273607</v>
      </c>
      <c r="L99" s="339"/>
      <c r="M99" s="361">
        <v>88443</v>
      </c>
      <c r="N99" s="361">
        <v>65082</v>
      </c>
      <c r="O99" s="361">
        <v>52518</v>
      </c>
      <c r="P99" s="361">
        <v>48194</v>
      </c>
      <c r="Q99" s="361">
        <v>19388</v>
      </c>
      <c r="R99" s="361">
        <v>47735</v>
      </c>
      <c r="S99" s="361">
        <v>55193</v>
      </c>
      <c r="T99" s="361">
        <v>59710</v>
      </c>
      <c r="U99" s="361">
        <v>36579</v>
      </c>
      <c r="V99" s="361">
        <v>26969</v>
      </c>
      <c r="W99" s="361">
        <v>26738</v>
      </c>
      <c r="X99" s="361">
        <v>25517</v>
      </c>
      <c r="Y99" s="343"/>
      <c r="Z99" s="336"/>
      <c r="AA99" s="336"/>
      <c r="AB99" s="336"/>
      <c r="AC99" s="336"/>
      <c r="AD99" s="336"/>
      <c r="AE99" s="336"/>
      <c r="AF99" s="336"/>
      <c r="AG99" s="336"/>
      <c r="AH99" s="336"/>
      <c r="AI99" s="336"/>
      <c r="AJ99" s="336"/>
      <c r="AK99" s="336"/>
      <c r="AL99" s="336"/>
      <c r="AM99" s="336"/>
      <c r="AN99" s="336"/>
      <c r="AO99" s="336"/>
      <c r="AP99" s="336"/>
      <c r="AQ99" s="336"/>
      <c r="AR99" s="336"/>
      <c r="AS99" s="336"/>
      <c r="AT99" s="336"/>
      <c r="AU99" s="336"/>
      <c r="AV99" s="336"/>
      <c r="AW99" s="336"/>
    </row>
    <row r="100" spans="1:49" ht="14" outlineLevel="3">
      <c r="A100" s="336"/>
      <c r="B100" s="341"/>
      <c r="C100" s="354" t="s">
        <v>452</v>
      </c>
      <c r="D100" s="355">
        <f t="shared" si="8"/>
        <v>26832.5</v>
      </c>
      <c r="E100" s="355">
        <f t="shared" si="9"/>
        <v>33646.083333333336</v>
      </c>
      <c r="F100" s="355">
        <f t="shared" si="10"/>
        <v>4862</v>
      </c>
      <c r="G100" s="355">
        <f t="shared" si="11"/>
        <v>67895</v>
      </c>
      <c r="H100" s="355">
        <f t="shared" si="12"/>
        <v>17359.25</v>
      </c>
      <c r="I100" s="355">
        <f t="shared" si="13"/>
        <v>55360.25</v>
      </c>
      <c r="J100" s="355">
        <f t="shared" si="14"/>
        <v>23575.77089247014</v>
      </c>
      <c r="K100" s="356">
        <f t="shared" si="15"/>
        <v>0.70069882009456685</v>
      </c>
      <c r="M100" s="357">
        <v>67895</v>
      </c>
      <c r="N100" s="357">
        <v>66299</v>
      </c>
      <c r="O100" s="357">
        <v>66993</v>
      </c>
      <c r="P100" s="357">
        <v>51714</v>
      </c>
      <c r="Q100" s="357">
        <v>22042</v>
      </c>
      <c r="R100" s="357">
        <v>31623</v>
      </c>
      <c r="S100" s="357">
        <v>32384</v>
      </c>
      <c r="T100" s="357">
        <v>18590</v>
      </c>
      <c r="U100" s="357">
        <v>19190</v>
      </c>
      <c r="V100" s="357">
        <v>13667</v>
      </c>
      <c r="W100" s="357">
        <v>8494</v>
      </c>
      <c r="X100" s="357">
        <v>4862</v>
      </c>
      <c r="Y100" s="343"/>
      <c r="Z100" s="336"/>
      <c r="AA100" s="336"/>
      <c r="AB100" s="336"/>
      <c r="AC100" s="336"/>
      <c r="AD100" s="336"/>
      <c r="AE100" s="336"/>
      <c r="AF100" s="336"/>
      <c r="AG100" s="336"/>
      <c r="AH100" s="336"/>
      <c r="AI100" s="336"/>
      <c r="AJ100" s="336"/>
      <c r="AK100" s="336"/>
      <c r="AL100" s="336"/>
      <c r="AM100" s="336"/>
      <c r="AN100" s="336"/>
      <c r="AO100" s="336"/>
      <c r="AP100" s="336"/>
      <c r="AQ100" s="336"/>
      <c r="AR100" s="336"/>
      <c r="AS100" s="336"/>
      <c r="AT100" s="336"/>
      <c r="AU100" s="336"/>
      <c r="AV100" s="336"/>
      <c r="AW100" s="336"/>
    </row>
    <row r="101" spans="1:49" ht="14" outlineLevel="3">
      <c r="A101" s="336"/>
      <c r="B101" s="341"/>
      <c r="C101" s="358" t="s">
        <v>453</v>
      </c>
      <c r="D101" s="359">
        <f t="shared" si="8"/>
        <v>78829</v>
      </c>
      <c r="E101" s="359">
        <f t="shared" si="9"/>
        <v>79651.583333333328</v>
      </c>
      <c r="F101" s="359">
        <f t="shared" si="10"/>
        <v>30379</v>
      </c>
      <c r="G101" s="359">
        <f t="shared" si="11"/>
        <v>156338</v>
      </c>
      <c r="H101" s="359">
        <f t="shared" si="12"/>
        <v>41231.5</v>
      </c>
      <c r="I101" s="359">
        <f t="shared" si="13"/>
        <v>104808.75</v>
      </c>
      <c r="J101" s="359">
        <f t="shared" si="14"/>
        <v>41092.942962947556</v>
      </c>
      <c r="K101" s="360">
        <f t="shared" si="15"/>
        <v>0.51590867680530594</v>
      </c>
      <c r="L101" s="339"/>
      <c r="M101" s="361">
        <v>156338</v>
      </c>
      <c r="N101" s="361">
        <v>131381</v>
      </c>
      <c r="O101" s="361">
        <v>119511</v>
      </c>
      <c r="P101" s="361">
        <v>99908</v>
      </c>
      <c r="Q101" s="361">
        <v>41430</v>
      </c>
      <c r="R101" s="361">
        <v>79358</v>
      </c>
      <c r="S101" s="361">
        <v>87577</v>
      </c>
      <c r="T101" s="361">
        <v>78300</v>
      </c>
      <c r="U101" s="361">
        <v>55769</v>
      </c>
      <c r="V101" s="361">
        <v>40636</v>
      </c>
      <c r="W101" s="361">
        <v>35232</v>
      </c>
      <c r="X101" s="361">
        <v>30379</v>
      </c>
      <c r="Y101" s="343"/>
      <c r="Z101" s="336"/>
      <c r="AA101" s="336"/>
      <c r="AB101" s="336"/>
      <c r="AC101" s="336"/>
      <c r="AD101" s="336"/>
      <c r="AE101" s="336"/>
      <c r="AF101" s="336"/>
      <c r="AG101" s="336"/>
      <c r="AH101" s="336"/>
      <c r="AI101" s="336"/>
      <c r="AJ101" s="336"/>
      <c r="AK101" s="336"/>
      <c r="AL101" s="336"/>
      <c r="AM101" s="336"/>
      <c r="AN101" s="336"/>
      <c r="AO101" s="336"/>
      <c r="AP101" s="336"/>
      <c r="AQ101" s="336"/>
      <c r="AR101" s="336"/>
      <c r="AS101" s="336"/>
      <c r="AT101" s="336"/>
      <c r="AU101" s="336"/>
      <c r="AV101" s="336"/>
      <c r="AW101" s="336"/>
    </row>
    <row r="102" spans="1:49" ht="14" outlineLevel="2">
      <c r="A102" s="336"/>
      <c r="B102" s="341"/>
      <c r="C102" s="354" t="s">
        <v>454</v>
      </c>
      <c r="D102" s="355" t="str">
        <f t="shared" si="8"/>
        <v/>
      </c>
      <c r="E102" s="355" t="str">
        <f t="shared" si="9"/>
        <v/>
      </c>
      <c r="F102" s="355" t="str">
        <f t="shared" si="10"/>
        <v/>
      </c>
      <c r="G102" s="355" t="str">
        <f t="shared" si="11"/>
        <v/>
      </c>
      <c r="H102" s="355" t="str">
        <f t="shared" si="12"/>
        <v/>
      </c>
      <c r="I102" s="355" t="str">
        <f t="shared" si="13"/>
        <v/>
      </c>
      <c r="J102" s="355" t="str">
        <f t="shared" si="14"/>
        <v/>
      </c>
      <c r="K102" s="356" t="str">
        <f t="shared" si="15"/>
        <v/>
      </c>
      <c r="M102" s="357"/>
      <c r="N102" s="357"/>
      <c r="O102" s="357"/>
      <c r="P102" s="357"/>
      <c r="Q102" s="357"/>
      <c r="R102" s="357"/>
      <c r="S102" s="357"/>
      <c r="T102" s="357"/>
      <c r="U102" s="357"/>
      <c r="V102" s="357"/>
      <c r="W102" s="357"/>
      <c r="X102" s="357"/>
      <c r="Y102" s="343"/>
      <c r="Z102" s="336"/>
      <c r="AA102" s="336"/>
      <c r="AB102" s="336"/>
      <c r="AC102" s="336"/>
      <c r="AD102" s="336"/>
      <c r="AE102" s="336"/>
      <c r="AF102" s="336"/>
      <c r="AG102" s="336"/>
      <c r="AH102" s="336"/>
      <c r="AI102" s="336"/>
      <c r="AJ102" s="336"/>
      <c r="AK102" s="336"/>
      <c r="AL102" s="336"/>
      <c r="AM102" s="336"/>
      <c r="AN102" s="336"/>
      <c r="AO102" s="336"/>
      <c r="AP102" s="336"/>
      <c r="AQ102" s="336"/>
      <c r="AR102" s="336"/>
      <c r="AS102" s="336"/>
      <c r="AT102" s="336"/>
      <c r="AU102" s="336"/>
      <c r="AV102" s="336"/>
      <c r="AW102" s="336"/>
    </row>
    <row r="103" spans="1:49" ht="14" outlineLevel="3">
      <c r="A103" s="336"/>
      <c r="B103" s="341"/>
      <c r="C103" s="354" t="s">
        <v>455</v>
      </c>
      <c r="D103" s="355" t="str">
        <f t="shared" si="8"/>
        <v/>
      </c>
      <c r="E103" s="355" t="str">
        <f t="shared" si="9"/>
        <v/>
      </c>
      <c r="F103" s="355" t="str">
        <f t="shared" si="10"/>
        <v/>
      </c>
      <c r="G103" s="355" t="str">
        <f t="shared" si="11"/>
        <v/>
      </c>
      <c r="H103" s="355" t="str">
        <f t="shared" si="12"/>
        <v/>
      </c>
      <c r="I103" s="355" t="str">
        <f t="shared" si="13"/>
        <v/>
      </c>
      <c r="J103" s="355" t="str">
        <f t="shared" si="14"/>
        <v/>
      </c>
      <c r="K103" s="356" t="str">
        <f t="shared" si="15"/>
        <v/>
      </c>
      <c r="M103" s="357"/>
      <c r="N103" s="357"/>
      <c r="O103" s="357"/>
      <c r="P103" s="357"/>
      <c r="Q103" s="357"/>
      <c r="R103" s="357"/>
      <c r="S103" s="357"/>
      <c r="T103" s="357"/>
      <c r="U103" s="357"/>
      <c r="V103" s="357"/>
      <c r="W103" s="357"/>
      <c r="X103" s="357"/>
      <c r="Y103" s="343"/>
      <c r="Z103" s="336"/>
      <c r="AA103" s="336"/>
      <c r="AB103" s="336"/>
      <c r="AC103" s="336"/>
      <c r="AD103" s="336"/>
      <c r="AE103" s="336"/>
      <c r="AF103" s="336"/>
      <c r="AG103" s="336"/>
      <c r="AH103" s="336"/>
      <c r="AI103" s="336"/>
      <c r="AJ103" s="336"/>
      <c r="AK103" s="336"/>
      <c r="AL103" s="336"/>
      <c r="AM103" s="336"/>
      <c r="AN103" s="336"/>
      <c r="AO103" s="336"/>
      <c r="AP103" s="336"/>
      <c r="AQ103" s="336"/>
      <c r="AR103" s="336"/>
      <c r="AS103" s="336"/>
      <c r="AT103" s="336"/>
      <c r="AU103" s="336"/>
      <c r="AV103" s="336"/>
      <c r="AW103" s="336"/>
    </row>
    <row r="104" spans="1:49" ht="14" outlineLevel="4">
      <c r="A104" s="336"/>
      <c r="B104" s="341"/>
      <c r="C104" s="354" t="s">
        <v>456</v>
      </c>
      <c r="D104" s="355" t="str">
        <f t="shared" si="8"/>
        <v/>
      </c>
      <c r="E104" s="355" t="str">
        <f t="shared" si="9"/>
        <v/>
      </c>
      <c r="F104" s="355" t="str">
        <f t="shared" si="10"/>
        <v/>
      </c>
      <c r="G104" s="355" t="str">
        <f t="shared" si="11"/>
        <v/>
      </c>
      <c r="H104" s="355" t="str">
        <f t="shared" si="12"/>
        <v/>
      </c>
      <c r="I104" s="355" t="str">
        <f t="shared" si="13"/>
        <v/>
      </c>
      <c r="J104" s="355" t="str">
        <f t="shared" si="14"/>
        <v/>
      </c>
      <c r="K104" s="356" t="str">
        <f t="shared" si="15"/>
        <v/>
      </c>
      <c r="M104" s="357"/>
      <c r="N104" s="357"/>
      <c r="O104" s="357"/>
      <c r="P104" s="357"/>
      <c r="Q104" s="357"/>
      <c r="R104" s="357"/>
      <c r="S104" s="357"/>
      <c r="T104" s="357"/>
      <c r="U104" s="357"/>
      <c r="V104" s="357"/>
      <c r="W104" s="357"/>
      <c r="X104" s="357"/>
      <c r="Y104" s="343"/>
      <c r="Z104" s="336"/>
      <c r="AA104" s="336"/>
      <c r="AB104" s="336"/>
      <c r="AC104" s="336"/>
      <c r="AD104" s="336"/>
      <c r="AE104" s="336"/>
      <c r="AF104" s="336"/>
      <c r="AG104" s="336"/>
      <c r="AH104" s="336"/>
      <c r="AI104" s="336"/>
      <c r="AJ104" s="336"/>
      <c r="AK104" s="336"/>
      <c r="AL104" s="336"/>
      <c r="AM104" s="336"/>
      <c r="AN104" s="336"/>
      <c r="AO104" s="336"/>
      <c r="AP104" s="336"/>
      <c r="AQ104" s="336"/>
      <c r="AR104" s="336"/>
      <c r="AS104" s="336"/>
      <c r="AT104" s="336"/>
      <c r="AU104" s="336"/>
      <c r="AV104" s="336"/>
      <c r="AW104" s="336"/>
    </row>
    <row r="105" spans="1:49" ht="14" outlineLevel="5">
      <c r="A105" s="336"/>
      <c r="B105" s="341"/>
      <c r="C105" s="354" t="s">
        <v>457</v>
      </c>
      <c r="D105" s="355" t="str">
        <f t="shared" si="8"/>
        <v/>
      </c>
      <c r="E105" s="355" t="str">
        <f t="shared" si="9"/>
        <v/>
      </c>
      <c r="F105" s="355" t="str">
        <f t="shared" si="10"/>
        <v/>
      </c>
      <c r="G105" s="355" t="str">
        <f t="shared" si="11"/>
        <v/>
      </c>
      <c r="H105" s="355" t="str">
        <f t="shared" si="12"/>
        <v/>
      </c>
      <c r="I105" s="355" t="str">
        <f t="shared" si="13"/>
        <v/>
      </c>
      <c r="J105" s="355" t="str">
        <f t="shared" si="14"/>
        <v/>
      </c>
      <c r="K105" s="356" t="str">
        <f t="shared" si="15"/>
        <v/>
      </c>
      <c r="M105" s="357"/>
      <c r="N105" s="357"/>
      <c r="O105" s="357"/>
      <c r="P105" s="357"/>
      <c r="Q105" s="357"/>
      <c r="R105" s="357"/>
      <c r="S105" s="357"/>
      <c r="T105" s="357"/>
      <c r="U105" s="357"/>
      <c r="V105" s="357"/>
      <c r="W105" s="357"/>
      <c r="X105" s="357"/>
      <c r="Y105" s="343"/>
      <c r="Z105" s="336"/>
      <c r="AA105" s="336"/>
      <c r="AB105" s="336"/>
      <c r="AC105" s="336"/>
      <c r="AD105" s="336"/>
      <c r="AE105" s="336"/>
      <c r="AF105" s="336"/>
      <c r="AG105" s="336"/>
      <c r="AH105" s="336"/>
      <c r="AI105" s="336"/>
      <c r="AJ105" s="336"/>
      <c r="AK105" s="336"/>
      <c r="AL105" s="336"/>
      <c r="AM105" s="336"/>
      <c r="AN105" s="336"/>
      <c r="AO105" s="336"/>
      <c r="AP105" s="336"/>
      <c r="AQ105" s="336"/>
      <c r="AR105" s="336"/>
      <c r="AS105" s="336"/>
      <c r="AT105" s="336"/>
      <c r="AU105" s="336"/>
      <c r="AV105" s="336"/>
      <c r="AW105" s="336"/>
    </row>
    <row r="106" spans="1:49" ht="14" outlineLevel="6">
      <c r="A106" s="336"/>
      <c r="B106" s="341"/>
      <c r="C106" s="354" t="s">
        <v>458</v>
      </c>
      <c r="D106" s="355">
        <f t="shared" si="8"/>
        <v>19125</v>
      </c>
      <c r="E106" s="355">
        <f t="shared" si="9"/>
        <v>19416.666666666668</v>
      </c>
      <c r="F106" s="355">
        <f t="shared" si="10"/>
        <v>17500</v>
      </c>
      <c r="G106" s="355">
        <f t="shared" si="11"/>
        <v>22500</v>
      </c>
      <c r="H106" s="355">
        <f t="shared" si="12"/>
        <v>17500</v>
      </c>
      <c r="I106" s="355">
        <f t="shared" si="13"/>
        <v>20750</v>
      </c>
      <c r="J106" s="355">
        <f t="shared" si="14"/>
        <v>2194.6905628508766</v>
      </c>
      <c r="K106" s="356">
        <f t="shared" si="15"/>
        <v>0.1130312736232211</v>
      </c>
      <c r="M106" s="357">
        <v>22500</v>
      </c>
      <c r="N106" s="357">
        <v>20750</v>
      </c>
      <c r="O106" s="357">
        <v>20750</v>
      </c>
      <c r="P106" s="357">
        <v>17500</v>
      </c>
      <c r="Q106" s="357">
        <v>17500</v>
      </c>
      <c r="R106" s="357">
        <v>17500</v>
      </c>
      <c r="S106" s="357"/>
      <c r="T106" s="357"/>
      <c r="U106" s="357"/>
      <c r="V106" s="357"/>
      <c r="W106" s="357"/>
      <c r="X106" s="357"/>
      <c r="Y106" s="343"/>
      <c r="Z106" s="336"/>
      <c r="AA106" s="336"/>
      <c r="AB106" s="336"/>
      <c r="AC106" s="336"/>
      <c r="AD106" s="336"/>
      <c r="AE106" s="336"/>
      <c r="AF106" s="336"/>
      <c r="AG106" s="336"/>
      <c r="AH106" s="336"/>
      <c r="AI106" s="336"/>
      <c r="AJ106" s="336"/>
      <c r="AK106" s="336"/>
      <c r="AL106" s="336"/>
      <c r="AM106" s="336"/>
      <c r="AN106" s="336"/>
      <c r="AO106" s="336"/>
      <c r="AP106" s="336"/>
      <c r="AQ106" s="336"/>
      <c r="AR106" s="336"/>
      <c r="AS106" s="336"/>
      <c r="AT106" s="336"/>
      <c r="AU106" s="336"/>
      <c r="AV106" s="336"/>
      <c r="AW106" s="336"/>
    </row>
    <row r="107" spans="1:49" ht="14" outlineLevel="6">
      <c r="A107" s="336"/>
      <c r="B107" s="341"/>
      <c r="C107" s="358" t="s">
        <v>459</v>
      </c>
      <c r="D107" s="359">
        <f t="shared" si="8"/>
        <v>14750</v>
      </c>
      <c r="E107" s="359">
        <f t="shared" si="9"/>
        <v>13447.5</v>
      </c>
      <c r="F107" s="359">
        <f t="shared" si="10"/>
        <v>3900</v>
      </c>
      <c r="G107" s="359">
        <f t="shared" si="11"/>
        <v>22500</v>
      </c>
      <c r="H107" s="359">
        <f t="shared" si="12"/>
        <v>7185</v>
      </c>
      <c r="I107" s="359">
        <f t="shared" si="13"/>
        <v>18312.5</v>
      </c>
      <c r="J107" s="359">
        <f t="shared" si="14"/>
        <v>6706.9866896055082</v>
      </c>
      <c r="K107" s="360">
        <f t="shared" si="15"/>
        <v>0.49875342551444568</v>
      </c>
      <c r="L107" s="339"/>
      <c r="M107" s="361">
        <v>22500</v>
      </c>
      <c r="N107" s="361">
        <v>20750</v>
      </c>
      <c r="O107" s="361">
        <v>20750</v>
      </c>
      <c r="P107" s="361">
        <v>17500</v>
      </c>
      <c r="Q107" s="361">
        <v>17500</v>
      </c>
      <c r="R107" s="361">
        <v>17500</v>
      </c>
      <c r="S107" s="361">
        <v>12000</v>
      </c>
      <c r="T107" s="361">
        <v>7185</v>
      </c>
      <c r="U107" s="361">
        <v>7185</v>
      </c>
      <c r="V107" s="361">
        <v>5100</v>
      </c>
      <c r="W107" s="361">
        <v>3900</v>
      </c>
      <c r="X107" s="361">
        <v>9500</v>
      </c>
      <c r="Y107" s="343"/>
      <c r="Z107" s="336"/>
      <c r="AA107" s="336"/>
      <c r="AB107" s="336"/>
      <c r="AC107" s="336"/>
      <c r="AD107" s="336"/>
      <c r="AE107" s="336"/>
      <c r="AF107" s="336"/>
      <c r="AG107" s="336"/>
      <c r="AH107" s="336"/>
      <c r="AI107" s="336"/>
      <c r="AJ107" s="336"/>
      <c r="AK107" s="336"/>
      <c r="AL107" s="336"/>
      <c r="AM107" s="336"/>
      <c r="AN107" s="336"/>
      <c r="AO107" s="336"/>
      <c r="AP107" s="336"/>
      <c r="AQ107" s="336"/>
      <c r="AR107" s="336"/>
      <c r="AS107" s="336"/>
      <c r="AT107" s="336"/>
      <c r="AU107" s="336"/>
      <c r="AV107" s="336"/>
      <c r="AW107" s="336"/>
    </row>
    <row r="108" spans="1:49" ht="14" outlineLevel="5">
      <c r="A108" s="336"/>
      <c r="B108" s="341"/>
      <c r="C108" s="354" t="s">
        <v>460</v>
      </c>
      <c r="D108" s="355">
        <f t="shared" si="8"/>
        <v>1162</v>
      </c>
      <c r="E108" s="355">
        <f t="shared" si="9"/>
        <v>1162</v>
      </c>
      <c r="F108" s="355">
        <f t="shared" si="10"/>
        <v>1162</v>
      </c>
      <c r="G108" s="355">
        <f t="shared" si="11"/>
        <v>1162</v>
      </c>
      <c r="H108" s="355">
        <f t="shared" si="12"/>
        <v>1162</v>
      </c>
      <c r="I108" s="355">
        <f t="shared" si="13"/>
        <v>1162</v>
      </c>
      <c r="J108" s="355" t="str">
        <f t="shared" si="14"/>
        <v/>
      </c>
      <c r="K108" s="356" t="str">
        <f t="shared" si="15"/>
        <v/>
      </c>
      <c r="M108" s="357"/>
      <c r="N108" s="357"/>
      <c r="O108" s="357"/>
      <c r="P108" s="357"/>
      <c r="Q108" s="357"/>
      <c r="R108" s="357"/>
      <c r="S108" s="357"/>
      <c r="T108" s="357"/>
      <c r="U108" s="357"/>
      <c r="V108" s="357"/>
      <c r="W108" s="357"/>
      <c r="X108" s="357">
        <v>1162</v>
      </c>
      <c r="Y108" s="343"/>
      <c r="Z108" s="336"/>
      <c r="AA108" s="336"/>
      <c r="AB108" s="336"/>
      <c r="AC108" s="336"/>
      <c r="AD108" s="336"/>
      <c r="AE108" s="336"/>
      <c r="AF108" s="336"/>
      <c r="AG108" s="336"/>
      <c r="AH108" s="336"/>
      <c r="AI108" s="336"/>
      <c r="AJ108" s="336"/>
      <c r="AK108" s="336"/>
      <c r="AL108" s="336"/>
      <c r="AM108" s="336"/>
      <c r="AN108" s="336"/>
      <c r="AO108" s="336"/>
      <c r="AP108" s="336"/>
      <c r="AQ108" s="336"/>
      <c r="AR108" s="336"/>
      <c r="AS108" s="336"/>
      <c r="AT108" s="336"/>
      <c r="AU108" s="336"/>
      <c r="AV108" s="336"/>
      <c r="AW108" s="336"/>
    </row>
    <row r="109" spans="1:49" ht="14" outlineLevel="5">
      <c r="A109" s="336"/>
      <c r="B109" s="341"/>
      <c r="C109" s="358" t="s">
        <v>461</v>
      </c>
      <c r="D109" s="359">
        <f t="shared" si="8"/>
        <v>14750</v>
      </c>
      <c r="E109" s="359">
        <f t="shared" si="9"/>
        <v>13544.333333333334</v>
      </c>
      <c r="F109" s="359">
        <f t="shared" si="10"/>
        <v>3900</v>
      </c>
      <c r="G109" s="359">
        <f t="shared" si="11"/>
        <v>22500</v>
      </c>
      <c r="H109" s="359">
        <f t="shared" si="12"/>
        <v>7185</v>
      </c>
      <c r="I109" s="359">
        <f t="shared" si="13"/>
        <v>18312.5</v>
      </c>
      <c r="J109" s="359">
        <f t="shared" si="14"/>
        <v>6652.9836687737088</v>
      </c>
      <c r="K109" s="360">
        <f t="shared" si="15"/>
        <v>0.4912005268210845</v>
      </c>
      <c r="L109" s="339"/>
      <c r="M109" s="361">
        <v>22500</v>
      </c>
      <c r="N109" s="361">
        <v>20750</v>
      </c>
      <c r="O109" s="361">
        <v>20750</v>
      </c>
      <c r="P109" s="361">
        <v>17500</v>
      </c>
      <c r="Q109" s="361">
        <v>17500</v>
      </c>
      <c r="R109" s="361">
        <v>17500</v>
      </c>
      <c r="S109" s="361">
        <v>12000</v>
      </c>
      <c r="T109" s="361">
        <v>7185</v>
      </c>
      <c r="U109" s="361">
        <v>7185</v>
      </c>
      <c r="V109" s="361">
        <v>5100</v>
      </c>
      <c r="W109" s="361">
        <v>3900</v>
      </c>
      <c r="X109" s="361">
        <v>10662</v>
      </c>
      <c r="Y109" s="343"/>
      <c r="Z109" s="336"/>
      <c r="AA109" s="336"/>
      <c r="AB109" s="336"/>
      <c r="AC109" s="336"/>
      <c r="AD109" s="336"/>
      <c r="AE109" s="336"/>
      <c r="AF109" s="336"/>
      <c r="AG109" s="336"/>
      <c r="AH109" s="336"/>
      <c r="AI109" s="336"/>
      <c r="AJ109" s="336"/>
      <c r="AK109" s="336"/>
      <c r="AL109" s="336"/>
      <c r="AM109" s="336"/>
      <c r="AN109" s="336"/>
      <c r="AO109" s="336"/>
      <c r="AP109" s="336"/>
      <c r="AQ109" s="336"/>
      <c r="AR109" s="336"/>
      <c r="AS109" s="336"/>
      <c r="AT109" s="336"/>
      <c r="AU109" s="336"/>
      <c r="AV109" s="336"/>
      <c r="AW109" s="336"/>
    </row>
    <row r="110" spans="1:49" ht="14" outlineLevel="4">
      <c r="A110" s="336"/>
      <c r="B110" s="341"/>
      <c r="C110" s="358" t="s">
        <v>462</v>
      </c>
      <c r="D110" s="359">
        <f t="shared" si="8"/>
        <v>14750</v>
      </c>
      <c r="E110" s="359">
        <f t="shared" si="9"/>
        <v>13544.333333333334</v>
      </c>
      <c r="F110" s="359">
        <f t="shared" si="10"/>
        <v>3900</v>
      </c>
      <c r="G110" s="359">
        <f t="shared" si="11"/>
        <v>22500</v>
      </c>
      <c r="H110" s="359">
        <f t="shared" si="12"/>
        <v>7185</v>
      </c>
      <c r="I110" s="359">
        <f t="shared" si="13"/>
        <v>18312.5</v>
      </c>
      <c r="J110" s="359">
        <f t="shared" si="14"/>
        <v>6652.9836687737088</v>
      </c>
      <c r="K110" s="360">
        <f t="shared" si="15"/>
        <v>0.4912005268210845</v>
      </c>
      <c r="L110" s="339"/>
      <c r="M110" s="361">
        <v>22500</v>
      </c>
      <c r="N110" s="361">
        <v>20750</v>
      </c>
      <c r="O110" s="361">
        <v>20750</v>
      </c>
      <c r="P110" s="361">
        <v>17500</v>
      </c>
      <c r="Q110" s="361">
        <v>17500</v>
      </c>
      <c r="R110" s="361">
        <v>17500</v>
      </c>
      <c r="S110" s="361">
        <v>12000</v>
      </c>
      <c r="T110" s="361">
        <v>7185</v>
      </c>
      <c r="U110" s="361">
        <v>7185</v>
      </c>
      <c r="V110" s="361">
        <v>5100</v>
      </c>
      <c r="W110" s="361">
        <v>3900</v>
      </c>
      <c r="X110" s="361">
        <v>10662</v>
      </c>
      <c r="Y110" s="343"/>
      <c r="Z110" s="336"/>
      <c r="AA110" s="336"/>
      <c r="AB110" s="336"/>
      <c r="AC110" s="336"/>
      <c r="AD110" s="336"/>
      <c r="AE110" s="336"/>
      <c r="AF110" s="336"/>
      <c r="AG110" s="336"/>
      <c r="AH110" s="336"/>
      <c r="AI110" s="336"/>
      <c r="AJ110" s="336"/>
      <c r="AK110" s="336"/>
      <c r="AL110" s="336"/>
      <c r="AM110" s="336"/>
      <c r="AN110" s="336"/>
      <c r="AO110" s="336"/>
      <c r="AP110" s="336"/>
      <c r="AQ110" s="336"/>
      <c r="AR110" s="336"/>
      <c r="AS110" s="336"/>
      <c r="AT110" s="336"/>
      <c r="AU110" s="336"/>
      <c r="AV110" s="336"/>
      <c r="AW110" s="336"/>
    </row>
    <row r="111" spans="1:49" ht="14" outlineLevel="3">
      <c r="A111" s="336"/>
      <c r="B111" s="341"/>
      <c r="C111" s="358" t="s">
        <v>463</v>
      </c>
      <c r="D111" s="359">
        <f t="shared" si="8"/>
        <v>14750</v>
      </c>
      <c r="E111" s="359">
        <f t="shared" si="9"/>
        <v>13544.333333333334</v>
      </c>
      <c r="F111" s="359">
        <f t="shared" si="10"/>
        <v>3900</v>
      </c>
      <c r="G111" s="359">
        <f t="shared" si="11"/>
        <v>22500</v>
      </c>
      <c r="H111" s="359">
        <f t="shared" si="12"/>
        <v>7185</v>
      </c>
      <c r="I111" s="359">
        <f t="shared" si="13"/>
        <v>18312.5</v>
      </c>
      <c r="J111" s="359">
        <f t="shared" si="14"/>
        <v>6652.9836687737088</v>
      </c>
      <c r="K111" s="360">
        <f t="shared" si="15"/>
        <v>0.4912005268210845</v>
      </c>
      <c r="L111" s="339"/>
      <c r="M111" s="361">
        <v>22500</v>
      </c>
      <c r="N111" s="361">
        <v>20750</v>
      </c>
      <c r="O111" s="361">
        <v>20750</v>
      </c>
      <c r="P111" s="361">
        <v>17500</v>
      </c>
      <c r="Q111" s="361">
        <v>17500</v>
      </c>
      <c r="R111" s="361">
        <v>17500</v>
      </c>
      <c r="S111" s="361">
        <v>12000</v>
      </c>
      <c r="T111" s="361">
        <v>7185</v>
      </c>
      <c r="U111" s="361">
        <v>7185</v>
      </c>
      <c r="V111" s="361">
        <v>5100</v>
      </c>
      <c r="W111" s="361">
        <v>3900</v>
      </c>
      <c r="X111" s="361">
        <v>10662</v>
      </c>
      <c r="Y111" s="343"/>
      <c r="Z111" s="336"/>
      <c r="AA111" s="336"/>
      <c r="AB111" s="336"/>
      <c r="AC111" s="336"/>
      <c r="AD111" s="336"/>
      <c r="AE111" s="336"/>
      <c r="AF111" s="336"/>
      <c r="AG111" s="336"/>
      <c r="AH111" s="336"/>
      <c r="AI111" s="336"/>
      <c r="AJ111" s="336"/>
      <c r="AK111" s="336"/>
      <c r="AL111" s="336"/>
      <c r="AM111" s="336"/>
      <c r="AN111" s="336"/>
      <c r="AO111" s="336"/>
      <c r="AP111" s="336"/>
      <c r="AQ111" s="336"/>
      <c r="AR111" s="336"/>
      <c r="AS111" s="336"/>
      <c r="AT111" s="336"/>
      <c r="AU111" s="336"/>
      <c r="AV111" s="336"/>
      <c r="AW111" s="336"/>
    </row>
    <row r="112" spans="1:49" ht="14" outlineLevel="2">
      <c r="A112" s="336"/>
      <c r="B112" s="341"/>
      <c r="C112" s="354" t="s">
        <v>464</v>
      </c>
      <c r="D112" s="355" t="str">
        <f t="shared" si="8"/>
        <v/>
      </c>
      <c r="E112" s="355" t="str">
        <f t="shared" si="9"/>
        <v/>
      </c>
      <c r="F112" s="355" t="str">
        <f t="shared" si="10"/>
        <v/>
      </c>
      <c r="G112" s="355" t="str">
        <f t="shared" si="11"/>
        <v/>
      </c>
      <c r="H112" s="355" t="str">
        <f t="shared" si="12"/>
        <v/>
      </c>
      <c r="I112" s="355" t="str">
        <f t="shared" si="13"/>
        <v/>
      </c>
      <c r="J112" s="355" t="str">
        <f t="shared" si="14"/>
        <v/>
      </c>
      <c r="K112" s="356" t="str">
        <f t="shared" si="15"/>
        <v/>
      </c>
      <c r="M112" s="357"/>
      <c r="N112" s="357"/>
      <c r="O112" s="357"/>
      <c r="P112" s="357"/>
      <c r="Q112" s="357"/>
      <c r="R112" s="357"/>
      <c r="S112" s="357"/>
      <c r="T112" s="357"/>
      <c r="U112" s="357"/>
      <c r="V112" s="357"/>
      <c r="W112" s="357"/>
      <c r="X112" s="357"/>
      <c r="Y112" s="343"/>
      <c r="Z112" s="336"/>
      <c r="AA112" s="336"/>
      <c r="AB112" s="336"/>
      <c r="AC112" s="336"/>
      <c r="AD112" s="336"/>
      <c r="AE112" s="336"/>
      <c r="AF112" s="336"/>
      <c r="AG112" s="336"/>
      <c r="AH112" s="336"/>
      <c r="AI112" s="336"/>
      <c r="AJ112" s="336"/>
      <c r="AK112" s="336"/>
      <c r="AL112" s="336"/>
      <c r="AM112" s="336"/>
      <c r="AN112" s="336"/>
      <c r="AO112" s="336"/>
      <c r="AP112" s="336"/>
      <c r="AQ112" s="336"/>
      <c r="AR112" s="336"/>
      <c r="AS112" s="336"/>
      <c r="AT112" s="336"/>
      <c r="AU112" s="336"/>
      <c r="AV112" s="336"/>
      <c r="AW112" s="336"/>
    </row>
    <row r="113" spans="1:49" ht="14" outlineLevel="3">
      <c r="A113" s="336"/>
      <c r="B113" s="341"/>
      <c r="C113" s="354" t="s">
        <v>465</v>
      </c>
      <c r="D113" s="355">
        <f t="shared" si="8"/>
        <v>25089.5</v>
      </c>
      <c r="E113" s="355">
        <f t="shared" si="9"/>
        <v>29930</v>
      </c>
      <c r="F113" s="355">
        <f t="shared" si="10"/>
        <v>11444</v>
      </c>
      <c r="G113" s="355">
        <f t="shared" si="11"/>
        <v>62111</v>
      </c>
      <c r="H113" s="355">
        <f t="shared" si="12"/>
        <v>17014.25</v>
      </c>
      <c r="I113" s="355">
        <f t="shared" si="13"/>
        <v>34703</v>
      </c>
      <c r="J113" s="355">
        <f t="shared" si="14"/>
        <v>18136.26913623136</v>
      </c>
      <c r="K113" s="356">
        <f t="shared" si="15"/>
        <v>0.60595620234652059</v>
      </c>
      <c r="M113" s="357">
        <v>62111</v>
      </c>
      <c r="N113" s="357">
        <v>59591</v>
      </c>
      <c r="O113" s="357">
        <v>53759</v>
      </c>
      <c r="P113" s="357">
        <v>28351</v>
      </c>
      <c r="Q113" s="357">
        <v>26691</v>
      </c>
      <c r="R113" s="357">
        <v>27596</v>
      </c>
      <c r="S113" s="357">
        <v>23488</v>
      </c>
      <c r="T113" s="357">
        <v>19083</v>
      </c>
      <c r="U113" s="357">
        <v>17780</v>
      </c>
      <c r="V113" s="357">
        <v>14717</v>
      </c>
      <c r="W113" s="357">
        <v>14549</v>
      </c>
      <c r="X113" s="357">
        <v>11444</v>
      </c>
      <c r="Y113" s="343"/>
      <c r="Z113" s="336"/>
      <c r="AA113" s="336"/>
      <c r="AB113" s="336"/>
      <c r="AC113" s="336"/>
      <c r="AD113" s="336"/>
      <c r="AE113" s="336"/>
      <c r="AF113" s="336"/>
      <c r="AG113" s="336"/>
      <c r="AH113" s="336"/>
      <c r="AI113" s="336"/>
      <c r="AJ113" s="336"/>
      <c r="AK113" s="336"/>
      <c r="AL113" s="336"/>
      <c r="AM113" s="336"/>
      <c r="AN113" s="336"/>
      <c r="AO113" s="336"/>
      <c r="AP113" s="336"/>
      <c r="AQ113" s="336"/>
      <c r="AR113" s="336"/>
      <c r="AS113" s="336"/>
      <c r="AT113" s="336"/>
      <c r="AU113" s="336"/>
      <c r="AV113" s="336"/>
      <c r="AW113" s="336"/>
    </row>
    <row r="114" spans="1:49" ht="14" outlineLevel="3">
      <c r="A114" s="336"/>
      <c r="B114" s="341"/>
      <c r="C114" s="358" t="s">
        <v>466</v>
      </c>
      <c r="D114" s="359">
        <f t="shared" si="8"/>
        <v>25089.5</v>
      </c>
      <c r="E114" s="359">
        <f t="shared" si="9"/>
        <v>29930</v>
      </c>
      <c r="F114" s="359">
        <f t="shared" si="10"/>
        <v>11444</v>
      </c>
      <c r="G114" s="359">
        <f t="shared" si="11"/>
        <v>62111</v>
      </c>
      <c r="H114" s="359">
        <f t="shared" si="12"/>
        <v>17014.25</v>
      </c>
      <c r="I114" s="359">
        <f t="shared" si="13"/>
        <v>34703</v>
      </c>
      <c r="J114" s="359">
        <f t="shared" si="14"/>
        <v>18136.26913623136</v>
      </c>
      <c r="K114" s="360">
        <f t="shared" si="15"/>
        <v>0.60595620234652059</v>
      </c>
      <c r="L114" s="339"/>
      <c r="M114" s="361">
        <v>62111</v>
      </c>
      <c r="N114" s="361">
        <v>59591</v>
      </c>
      <c r="O114" s="361">
        <v>53759</v>
      </c>
      <c r="P114" s="361">
        <v>28351</v>
      </c>
      <c r="Q114" s="361">
        <v>26691</v>
      </c>
      <c r="R114" s="361">
        <v>27596</v>
      </c>
      <c r="S114" s="361">
        <v>23488</v>
      </c>
      <c r="T114" s="361">
        <v>19083</v>
      </c>
      <c r="U114" s="361">
        <v>17780</v>
      </c>
      <c r="V114" s="361">
        <v>14717</v>
      </c>
      <c r="W114" s="361">
        <v>14549</v>
      </c>
      <c r="X114" s="361">
        <v>11444</v>
      </c>
      <c r="Y114" s="343"/>
      <c r="Z114" s="336"/>
      <c r="AA114" s="336"/>
      <c r="AB114" s="336"/>
      <c r="AC114" s="336"/>
      <c r="AD114" s="336"/>
      <c r="AE114" s="336"/>
      <c r="AF114" s="336"/>
      <c r="AG114" s="336"/>
      <c r="AH114" s="336"/>
      <c r="AI114" s="336"/>
      <c r="AJ114" s="336"/>
      <c r="AK114" s="336"/>
      <c r="AL114" s="336"/>
      <c r="AM114" s="336"/>
      <c r="AN114" s="336"/>
      <c r="AO114" s="336"/>
      <c r="AP114" s="336"/>
      <c r="AQ114" s="336"/>
      <c r="AR114" s="336"/>
      <c r="AS114" s="336"/>
      <c r="AT114" s="336"/>
      <c r="AU114" s="336"/>
      <c r="AV114" s="336"/>
      <c r="AW114" s="336"/>
    </row>
    <row r="115" spans="1:49" ht="14" outlineLevel="2">
      <c r="A115" s="336"/>
      <c r="B115" s="341"/>
      <c r="C115" s="354" t="s">
        <v>467</v>
      </c>
      <c r="D115" s="355">
        <f t="shared" si="8"/>
        <v>14681</v>
      </c>
      <c r="E115" s="355">
        <f t="shared" si="9"/>
        <v>20451.333333333332</v>
      </c>
      <c r="F115" s="355">
        <f t="shared" si="10"/>
        <v>2539</v>
      </c>
      <c r="G115" s="355">
        <f t="shared" si="11"/>
        <v>50510</v>
      </c>
      <c r="H115" s="355">
        <f t="shared" si="12"/>
        <v>6852.75</v>
      </c>
      <c r="I115" s="355">
        <f t="shared" si="13"/>
        <v>33040</v>
      </c>
      <c r="J115" s="355">
        <f t="shared" si="14"/>
        <v>16912.655204331637</v>
      </c>
      <c r="K115" s="356">
        <f t="shared" si="15"/>
        <v>0.82697078614262987</v>
      </c>
      <c r="M115" s="357">
        <v>41546</v>
      </c>
      <c r="N115" s="357">
        <v>39607</v>
      </c>
      <c r="O115" s="357">
        <v>50510</v>
      </c>
      <c r="P115" s="357">
        <v>30851</v>
      </c>
      <c r="Q115" s="357">
        <v>26274</v>
      </c>
      <c r="R115" s="357">
        <v>21024</v>
      </c>
      <c r="S115" s="357">
        <v>8338</v>
      </c>
      <c r="T115" s="357">
        <v>7462</v>
      </c>
      <c r="U115" s="357">
        <v>2539</v>
      </c>
      <c r="V115" s="357">
        <v>5799</v>
      </c>
      <c r="W115" s="357">
        <v>7204</v>
      </c>
      <c r="X115" s="357">
        <v>4262</v>
      </c>
      <c r="Y115" s="343"/>
      <c r="Z115" s="336"/>
      <c r="AA115" s="336"/>
      <c r="AB115" s="336"/>
      <c r="AC115" s="336"/>
      <c r="AD115" s="336"/>
      <c r="AE115" s="336"/>
      <c r="AF115" s="336"/>
      <c r="AG115" s="336"/>
      <c r="AH115" s="336"/>
      <c r="AI115" s="336"/>
      <c r="AJ115" s="336"/>
      <c r="AK115" s="336"/>
      <c r="AL115" s="336"/>
      <c r="AM115" s="336"/>
      <c r="AN115" s="336"/>
      <c r="AO115" s="336"/>
      <c r="AP115" s="336"/>
      <c r="AQ115" s="336"/>
      <c r="AR115" s="336"/>
      <c r="AS115" s="336"/>
      <c r="AT115" s="336"/>
      <c r="AU115" s="336"/>
      <c r="AV115" s="336"/>
      <c r="AW115" s="336"/>
    </row>
    <row r="116" spans="1:49" ht="14" outlineLevel="2">
      <c r="A116" s="336"/>
      <c r="B116" s="341"/>
      <c r="C116" s="358" t="s">
        <v>468</v>
      </c>
      <c r="D116" s="359">
        <f t="shared" si="8"/>
        <v>121716.5</v>
      </c>
      <c r="E116" s="359">
        <f t="shared" si="9"/>
        <v>143577.25</v>
      </c>
      <c r="F116" s="359">
        <f t="shared" si="10"/>
        <v>56747</v>
      </c>
      <c r="G116" s="359">
        <f t="shared" si="11"/>
        <v>282495</v>
      </c>
      <c r="H116" s="359">
        <f t="shared" si="12"/>
        <v>79017.75</v>
      </c>
      <c r="I116" s="359">
        <f t="shared" si="13"/>
        <v>193590</v>
      </c>
      <c r="J116" s="359">
        <f t="shared" si="14"/>
        <v>78818.155349830413</v>
      </c>
      <c r="K116" s="360">
        <f t="shared" si="15"/>
        <v>0.54895991774344766</v>
      </c>
      <c r="L116" s="339"/>
      <c r="M116" s="361">
        <v>282495</v>
      </c>
      <c r="N116" s="361">
        <v>251329</v>
      </c>
      <c r="O116" s="361">
        <v>244530</v>
      </c>
      <c r="P116" s="361">
        <v>176610</v>
      </c>
      <c r="Q116" s="361">
        <v>111895</v>
      </c>
      <c r="R116" s="361">
        <v>145478</v>
      </c>
      <c r="S116" s="361">
        <v>131403</v>
      </c>
      <c r="T116" s="361">
        <v>112030</v>
      </c>
      <c r="U116" s="361">
        <v>83273</v>
      </c>
      <c r="V116" s="361">
        <v>66252</v>
      </c>
      <c r="W116" s="361">
        <v>60885</v>
      </c>
      <c r="X116" s="361">
        <v>56747</v>
      </c>
      <c r="Y116" s="343"/>
      <c r="Z116" s="336"/>
      <c r="AA116" s="336"/>
      <c r="AB116" s="336"/>
      <c r="AC116" s="336"/>
      <c r="AD116" s="336"/>
      <c r="AE116" s="336"/>
      <c r="AF116" s="336"/>
      <c r="AG116" s="336"/>
      <c r="AH116" s="336"/>
      <c r="AI116" s="336"/>
      <c r="AJ116" s="336"/>
      <c r="AK116" s="336"/>
      <c r="AL116" s="336"/>
      <c r="AM116" s="336"/>
      <c r="AN116" s="336"/>
      <c r="AO116" s="336"/>
      <c r="AP116" s="336"/>
      <c r="AQ116" s="336"/>
      <c r="AR116" s="336"/>
      <c r="AS116" s="336"/>
      <c r="AT116" s="336"/>
      <c r="AU116" s="336"/>
      <c r="AV116" s="336"/>
      <c r="AW116" s="336"/>
    </row>
    <row r="117" spans="1:49" ht="14" outlineLevel="1">
      <c r="A117" s="336"/>
      <c r="B117" s="341"/>
      <c r="C117" s="354" t="s">
        <v>469</v>
      </c>
      <c r="D117" s="355" t="str">
        <f t="shared" si="8"/>
        <v/>
      </c>
      <c r="E117" s="355" t="str">
        <f t="shared" si="9"/>
        <v/>
      </c>
      <c r="F117" s="355" t="str">
        <f t="shared" si="10"/>
        <v/>
      </c>
      <c r="G117" s="355" t="str">
        <f t="shared" si="11"/>
        <v/>
      </c>
      <c r="H117" s="355" t="str">
        <f t="shared" si="12"/>
        <v/>
      </c>
      <c r="I117" s="355" t="str">
        <f t="shared" si="13"/>
        <v/>
      </c>
      <c r="J117" s="355" t="str">
        <f t="shared" si="14"/>
        <v/>
      </c>
      <c r="K117" s="356" t="str">
        <f t="shared" si="15"/>
        <v/>
      </c>
      <c r="M117" s="357"/>
      <c r="N117" s="357"/>
      <c r="O117" s="357"/>
      <c r="P117" s="357"/>
      <c r="Q117" s="357"/>
      <c r="R117" s="357"/>
      <c r="S117" s="357"/>
      <c r="T117" s="357"/>
      <c r="U117" s="357"/>
      <c r="V117" s="357"/>
      <c r="W117" s="357"/>
      <c r="X117" s="357"/>
      <c r="Y117" s="343"/>
      <c r="Z117" s="336"/>
      <c r="AA117" s="336"/>
      <c r="AB117" s="336"/>
      <c r="AC117" s="336"/>
      <c r="AD117" s="336"/>
      <c r="AE117" s="336"/>
      <c r="AF117" s="336"/>
      <c r="AG117" s="336"/>
      <c r="AH117" s="336"/>
      <c r="AI117" s="336"/>
      <c r="AJ117" s="336"/>
      <c r="AK117" s="336"/>
      <c r="AL117" s="336"/>
      <c r="AM117" s="336"/>
      <c r="AN117" s="336"/>
      <c r="AO117" s="336"/>
      <c r="AP117" s="336"/>
      <c r="AQ117" s="336"/>
      <c r="AR117" s="336"/>
      <c r="AS117" s="336"/>
      <c r="AT117" s="336"/>
      <c r="AU117" s="336"/>
      <c r="AV117" s="336"/>
      <c r="AW117" s="336"/>
    </row>
    <row r="118" spans="1:49" ht="14" outlineLevel="2">
      <c r="A118" s="336"/>
      <c r="B118" s="341"/>
      <c r="C118" s="354" t="s">
        <v>470</v>
      </c>
      <c r="D118" s="355" t="str">
        <f t="shared" si="8"/>
        <v/>
      </c>
      <c r="E118" s="355" t="str">
        <f t="shared" si="9"/>
        <v/>
      </c>
      <c r="F118" s="355" t="str">
        <f t="shared" si="10"/>
        <v/>
      </c>
      <c r="G118" s="355" t="str">
        <f t="shared" si="11"/>
        <v/>
      </c>
      <c r="H118" s="355" t="str">
        <f t="shared" si="12"/>
        <v/>
      </c>
      <c r="I118" s="355" t="str">
        <f t="shared" si="13"/>
        <v/>
      </c>
      <c r="J118" s="355" t="str">
        <f t="shared" si="14"/>
        <v/>
      </c>
      <c r="K118" s="356" t="str">
        <f t="shared" si="15"/>
        <v/>
      </c>
      <c r="M118" s="357"/>
      <c r="N118" s="357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43"/>
      <c r="Z118" s="336"/>
      <c r="AA118" s="336"/>
      <c r="AB118" s="336"/>
      <c r="AC118" s="336"/>
      <c r="AD118" s="336"/>
      <c r="AE118" s="336"/>
      <c r="AF118" s="336"/>
      <c r="AG118" s="336"/>
      <c r="AH118" s="336"/>
      <c r="AI118" s="336"/>
      <c r="AJ118" s="336"/>
      <c r="AK118" s="336"/>
      <c r="AL118" s="336"/>
      <c r="AM118" s="336"/>
      <c r="AN118" s="336"/>
      <c r="AO118" s="336"/>
      <c r="AP118" s="336"/>
      <c r="AQ118" s="336"/>
      <c r="AR118" s="336"/>
      <c r="AS118" s="336"/>
      <c r="AT118" s="336"/>
      <c r="AU118" s="336"/>
      <c r="AV118" s="336"/>
      <c r="AW118" s="336"/>
    </row>
    <row r="119" spans="1:49" ht="14" outlineLevel="3">
      <c r="A119" s="336"/>
      <c r="B119" s="341"/>
      <c r="C119" s="354" t="s">
        <v>471</v>
      </c>
      <c r="D119" s="355" t="str">
        <f t="shared" si="8"/>
        <v/>
      </c>
      <c r="E119" s="355" t="str">
        <f t="shared" si="9"/>
        <v/>
      </c>
      <c r="F119" s="355" t="str">
        <f t="shared" si="10"/>
        <v/>
      </c>
      <c r="G119" s="355" t="str">
        <f t="shared" si="11"/>
        <v/>
      </c>
      <c r="H119" s="355" t="str">
        <f t="shared" si="12"/>
        <v/>
      </c>
      <c r="I119" s="355" t="str">
        <f t="shared" si="13"/>
        <v/>
      </c>
      <c r="J119" s="355" t="str">
        <f t="shared" si="14"/>
        <v/>
      </c>
      <c r="K119" s="356" t="str">
        <f t="shared" si="15"/>
        <v/>
      </c>
      <c r="M119" s="357"/>
      <c r="N119" s="357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43"/>
      <c r="Z119" s="336"/>
      <c r="AA119" s="336"/>
      <c r="AB119" s="336"/>
      <c r="AC119" s="336"/>
      <c r="AD119" s="336"/>
      <c r="AE119" s="336"/>
      <c r="AF119" s="336"/>
      <c r="AG119" s="336"/>
      <c r="AH119" s="336"/>
      <c r="AI119" s="336"/>
      <c r="AJ119" s="336"/>
      <c r="AK119" s="336"/>
      <c r="AL119" s="336"/>
      <c r="AM119" s="336"/>
      <c r="AN119" s="336"/>
      <c r="AO119" s="336"/>
      <c r="AP119" s="336"/>
      <c r="AQ119" s="336"/>
      <c r="AR119" s="336"/>
      <c r="AS119" s="336"/>
      <c r="AT119" s="336"/>
      <c r="AU119" s="336"/>
      <c r="AV119" s="336"/>
      <c r="AW119" s="336"/>
    </row>
    <row r="120" spans="1:49" ht="14" outlineLevel="4">
      <c r="A120" s="336"/>
      <c r="B120" s="341"/>
      <c r="C120" s="354" t="s">
        <v>472</v>
      </c>
      <c r="D120" s="355" t="str">
        <f t="shared" si="8"/>
        <v/>
      </c>
      <c r="E120" s="355" t="str">
        <f t="shared" si="9"/>
        <v/>
      </c>
      <c r="F120" s="355" t="str">
        <f t="shared" si="10"/>
        <v/>
      </c>
      <c r="G120" s="355" t="str">
        <f t="shared" si="11"/>
        <v/>
      </c>
      <c r="H120" s="355" t="str">
        <f t="shared" si="12"/>
        <v/>
      </c>
      <c r="I120" s="355" t="str">
        <f t="shared" si="13"/>
        <v/>
      </c>
      <c r="J120" s="355" t="str">
        <f t="shared" si="14"/>
        <v/>
      </c>
      <c r="K120" s="356" t="str">
        <f t="shared" si="15"/>
        <v/>
      </c>
      <c r="M120" s="357"/>
      <c r="N120" s="357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43"/>
      <c r="Z120" s="336"/>
      <c r="AA120" s="336"/>
      <c r="AB120" s="336"/>
      <c r="AC120" s="336"/>
      <c r="AD120" s="336"/>
      <c r="AE120" s="336"/>
      <c r="AF120" s="336"/>
      <c r="AG120" s="336"/>
      <c r="AH120" s="336"/>
      <c r="AI120" s="336"/>
      <c r="AJ120" s="336"/>
      <c r="AK120" s="336"/>
      <c r="AL120" s="336"/>
      <c r="AM120" s="336"/>
      <c r="AN120" s="336"/>
      <c r="AO120" s="336"/>
      <c r="AP120" s="336"/>
      <c r="AQ120" s="336"/>
      <c r="AR120" s="336"/>
      <c r="AS120" s="336"/>
      <c r="AT120" s="336"/>
      <c r="AU120" s="336"/>
      <c r="AV120" s="336"/>
      <c r="AW120" s="336"/>
    </row>
    <row r="121" spans="1:49" ht="14" outlineLevel="5">
      <c r="A121" s="336"/>
      <c r="B121" s="341"/>
      <c r="C121" s="354" t="s">
        <v>473</v>
      </c>
      <c r="D121" s="355">
        <f t="shared" si="8"/>
        <v>1857150</v>
      </c>
      <c r="E121" s="355">
        <f t="shared" si="9"/>
        <v>1878039.6666666667</v>
      </c>
      <c r="F121" s="355">
        <f t="shared" si="10"/>
        <v>1687505</v>
      </c>
      <c r="G121" s="355">
        <f t="shared" si="11"/>
        <v>2148029</v>
      </c>
      <c r="H121" s="355">
        <f t="shared" si="12"/>
        <v>1743061.25</v>
      </c>
      <c r="I121" s="355">
        <f t="shared" si="13"/>
        <v>1974316.75</v>
      </c>
      <c r="J121" s="355">
        <f t="shared" si="14"/>
        <v>179679.44427080874</v>
      </c>
      <c r="K121" s="356">
        <f t="shared" si="15"/>
        <v>9.5673934613810283E-2</v>
      </c>
      <c r="M121" s="357">
        <v>2148029</v>
      </c>
      <c r="N121" s="357">
        <v>1962874</v>
      </c>
      <c r="O121" s="357">
        <v>1978131</v>
      </c>
      <c r="P121" s="357">
        <v>1740273</v>
      </c>
      <c r="Q121" s="357">
        <v>1751426</v>
      </c>
      <c r="R121" s="357">
        <v>1687505</v>
      </c>
      <c r="S121" s="357"/>
      <c r="T121" s="357"/>
      <c r="U121" s="357"/>
      <c r="V121" s="357"/>
      <c r="W121" s="357"/>
      <c r="X121" s="357"/>
      <c r="Y121" s="343"/>
      <c r="Z121" s="336"/>
      <c r="AA121" s="336"/>
      <c r="AB121" s="336"/>
      <c r="AC121" s="336"/>
      <c r="AD121" s="336"/>
      <c r="AE121" s="336"/>
      <c r="AF121" s="336"/>
      <c r="AG121" s="336"/>
      <c r="AH121" s="336"/>
      <c r="AI121" s="336"/>
      <c r="AJ121" s="336"/>
      <c r="AK121" s="336"/>
      <c r="AL121" s="336"/>
      <c r="AM121" s="336"/>
      <c r="AN121" s="336"/>
      <c r="AO121" s="336"/>
      <c r="AP121" s="336"/>
      <c r="AQ121" s="336"/>
      <c r="AR121" s="336"/>
      <c r="AS121" s="336"/>
      <c r="AT121" s="336"/>
      <c r="AU121" s="336"/>
      <c r="AV121" s="336"/>
      <c r="AW121" s="336"/>
    </row>
    <row r="122" spans="1:49" ht="14" outlineLevel="5">
      <c r="A122" s="336"/>
      <c r="B122" s="341"/>
      <c r="C122" s="358" t="s">
        <v>474</v>
      </c>
      <c r="D122" s="359">
        <f t="shared" si="8"/>
        <v>1423816</v>
      </c>
      <c r="E122" s="359">
        <f t="shared" si="9"/>
        <v>1237998.25</v>
      </c>
      <c r="F122" s="359">
        <f t="shared" si="10"/>
        <v>173375</v>
      </c>
      <c r="G122" s="359">
        <f t="shared" si="11"/>
        <v>2148029</v>
      </c>
      <c r="H122" s="359">
        <f t="shared" si="12"/>
        <v>642376.75</v>
      </c>
      <c r="I122" s="359">
        <f t="shared" si="13"/>
        <v>1804288</v>
      </c>
      <c r="J122" s="359">
        <f t="shared" si="14"/>
        <v>717153.44778773875</v>
      </c>
      <c r="K122" s="360">
        <f t="shared" si="15"/>
        <v>0.57928470237154117</v>
      </c>
      <c r="L122" s="339"/>
      <c r="M122" s="361">
        <v>2148029</v>
      </c>
      <c r="N122" s="361">
        <v>1962874</v>
      </c>
      <c r="O122" s="361">
        <v>1978131</v>
      </c>
      <c r="P122" s="361">
        <v>1740273</v>
      </c>
      <c r="Q122" s="361">
        <v>1751426</v>
      </c>
      <c r="R122" s="361">
        <v>1687505</v>
      </c>
      <c r="S122" s="361">
        <v>1160127</v>
      </c>
      <c r="T122" s="361">
        <v>696576</v>
      </c>
      <c r="U122" s="361">
        <v>702003</v>
      </c>
      <c r="V122" s="361">
        <v>479779</v>
      </c>
      <c r="W122" s="361">
        <v>375881</v>
      </c>
      <c r="X122" s="361">
        <v>173375</v>
      </c>
      <c r="Y122" s="343"/>
      <c r="Z122" s="336"/>
      <c r="AA122" s="336"/>
      <c r="AB122" s="336"/>
      <c r="AC122" s="336"/>
      <c r="AD122" s="336"/>
      <c r="AE122" s="336"/>
      <c r="AF122" s="336"/>
      <c r="AG122" s="336"/>
      <c r="AH122" s="336"/>
      <c r="AI122" s="336"/>
      <c r="AJ122" s="336"/>
      <c r="AK122" s="336"/>
      <c r="AL122" s="336"/>
      <c r="AM122" s="336"/>
      <c r="AN122" s="336"/>
      <c r="AO122" s="336"/>
      <c r="AP122" s="336"/>
      <c r="AQ122" s="336"/>
      <c r="AR122" s="336"/>
      <c r="AS122" s="336"/>
      <c r="AT122" s="336"/>
      <c r="AU122" s="336"/>
      <c r="AV122" s="336"/>
      <c r="AW122" s="336"/>
    </row>
    <row r="123" spans="1:49" ht="14" outlineLevel="4">
      <c r="A123" s="336"/>
      <c r="B123" s="341"/>
      <c r="C123" s="354" t="s">
        <v>475</v>
      </c>
      <c r="D123" s="355">
        <f t="shared" si="8"/>
        <v>182796</v>
      </c>
      <c r="E123" s="355">
        <f t="shared" si="9"/>
        <v>205961.375</v>
      </c>
      <c r="F123" s="355">
        <f t="shared" si="10"/>
        <v>0</v>
      </c>
      <c r="G123" s="355">
        <f t="shared" si="11"/>
        <v>405324</v>
      </c>
      <c r="H123" s="355">
        <f t="shared" si="12"/>
        <v>114795.75</v>
      </c>
      <c r="I123" s="355">
        <f t="shared" si="13"/>
        <v>351779.5</v>
      </c>
      <c r="J123" s="355">
        <f t="shared" si="14"/>
        <v>159485.91033329334</v>
      </c>
      <c r="K123" s="356">
        <f t="shared" si="15"/>
        <v>0.77434863858960612</v>
      </c>
      <c r="M123" s="357">
        <v>405324</v>
      </c>
      <c r="N123" s="357">
        <v>381589</v>
      </c>
      <c r="O123" s="357">
        <v>341843</v>
      </c>
      <c r="P123" s="357">
        <v>197682</v>
      </c>
      <c r="Q123" s="357">
        <v>167910</v>
      </c>
      <c r="R123" s="357">
        <v>152920</v>
      </c>
      <c r="S123" s="357">
        <v>0</v>
      </c>
      <c r="T123" s="357"/>
      <c r="U123" s="357"/>
      <c r="V123" s="357"/>
      <c r="W123" s="357"/>
      <c r="X123" s="357">
        <v>423</v>
      </c>
      <c r="Y123" s="343"/>
      <c r="Z123" s="336"/>
      <c r="AA123" s="336"/>
      <c r="AB123" s="336"/>
      <c r="AC123" s="336"/>
      <c r="AD123" s="336"/>
      <c r="AE123" s="336"/>
      <c r="AF123" s="336"/>
      <c r="AG123" s="336"/>
      <c r="AH123" s="336"/>
      <c r="AI123" s="336"/>
      <c r="AJ123" s="336"/>
      <c r="AK123" s="336"/>
      <c r="AL123" s="336"/>
      <c r="AM123" s="336"/>
      <c r="AN123" s="336"/>
      <c r="AO123" s="336"/>
      <c r="AP123" s="336"/>
      <c r="AQ123" s="336"/>
      <c r="AR123" s="336"/>
      <c r="AS123" s="336"/>
      <c r="AT123" s="336"/>
      <c r="AU123" s="336"/>
      <c r="AV123" s="336"/>
      <c r="AW123" s="336"/>
    </row>
    <row r="124" spans="1:49" ht="14" outlineLevel="4">
      <c r="A124" s="336"/>
      <c r="B124" s="341"/>
      <c r="C124" s="358" t="s">
        <v>476</v>
      </c>
      <c r="D124" s="359">
        <f t="shared" si="8"/>
        <v>1500276</v>
      </c>
      <c r="E124" s="359">
        <f t="shared" si="9"/>
        <v>1375305.8333333333</v>
      </c>
      <c r="F124" s="359">
        <f t="shared" si="10"/>
        <v>173798</v>
      </c>
      <c r="G124" s="359">
        <f t="shared" si="11"/>
        <v>2553353</v>
      </c>
      <c r="H124" s="359">
        <f t="shared" si="12"/>
        <v>642376.75</v>
      </c>
      <c r="I124" s="359">
        <f t="shared" si="13"/>
        <v>2033459.75</v>
      </c>
      <c r="J124" s="359">
        <f t="shared" si="14"/>
        <v>866187.55236074433</v>
      </c>
      <c r="K124" s="360">
        <f t="shared" si="15"/>
        <v>0.62981449752260754</v>
      </c>
      <c r="L124" s="339"/>
      <c r="M124" s="361">
        <v>2553353</v>
      </c>
      <c r="N124" s="361">
        <v>2344463</v>
      </c>
      <c r="O124" s="361">
        <v>2319974</v>
      </c>
      <c r="P124" s="361">
        <v>1937955</v>
      </c>
      <c r="Q124" s="361">
        <v>1919336</v>
      </c>
      <c r="R124" s="361">
        <v>1840425</v>
      </c>
      <c r="S124" s="361">
        <v>1160127</v>
      </c>
      <c r="T124" s="361">
        <v>696576</v>
      </c>
      <c r="U124" s="361">
        <v>702003</v>
      </c>
      <c r="V124" s="361">
        <v>479779</v>
      </c>
      <c r="W124" s="361">
        <v>375881</v>
      </c>
      <c r="X124" s="361">
        <v>173798</v>
      </c>
      <c r="Y124" s="343"/>
      <c r="Z124" s="336"/>
      <c r="AA124" s="336"/>
      <c r="AB124" s="336"/>
      <c r="AC124" s="336"/>
      <c r="AD124" s="336"/>
      <c r="AE124" s="336"/>
      <c r="AF124" s="336"/>
      <c r="AG124" s="336"/>
      <c r="AH124" s="336"/>
      <c r="AI124" s="336"/>
      <c r="AJ124" s="336"/>
      <c r="AK124" s="336"/>
      <c r="AL124" s="336"/>
      <c r="AM124" s="336"/>
      <c r="AN124" s="336"/>
      <c r="AO124" s="336"/>
      <c r="AP124" s="336"/>
      <c r="AQ124" s="336"/>
      <c r="AR124" s="336"/>
      <c r="AS124" s="336"/>
      <c r="AT124" s="336"/>
      <c r="AU124" s="336"/>
      <c r="AV124" s="336"/>
      <c r="AW124" s="336"/>
    </row>
    <row r="125" spans="1:49" ht="14" outlineLevel="3">
      <c r="A125" s="336"/>
      <c r="B125" s="341"/>
      <c r="C125" s="358" t="s">
        <v>477</v>
      </c>
      <c r="D125" s="359">
        <f t="shared" si="8"/>
        <v>1500276</v>
      </c>
      <c r="E125" s="359">
        <f t="shared" si="9"/>
        <v>1375305.8333333333</v>
      </c>
      <c r="F125" s="359">
        <f t="shared" si="10"/>
        <v>173798</v>
      </c>
      <c r="G125" s="359">
        <f t="shared" si="11"/>
        <v>2553353</v>
      </c>
      <c r="H125" s="359">
        <f t="shared" si="12"/>
        <v>642376.75</v>
      </c>
      <c r="I125" s="359">
        <f t="shared" si="13"/>
        <v>2033459.75</v>
      </c>
      <c r="J125" s="359">
        <f t="shared" si="14"/>
        <v>866187.55236074433</v>
      </c>
      <c r="K125" s="360">
        <f t="shared" si="15"/>
        <v>0.62981449752260754</v>
      </c>
      <c r="L125" s="339"/>
      <c r="M125" s="361">
        <v>2553353</v>
      </c>
      <c r="N125" s="361">
        <v>2344463</v>
      </c>
      <c r="O125" s="361">
        <v>2319974</v>
      </c>
      <c r="P125" s="361">
        <v>1937955</v>
      </c>
      <c r="Q125" s="361">
        <v>1919336</v>
      </c>
      <c r="R125" s="361">
        <v>1840425</v>
      </c>
      <c r="S125" s="361">
        <v>1160127</v>
      </c>
      <c r="T125" s="361">
        <v>696576</v>
      </c>
      <c r="U125" s="361">
        <v>702003</v>
      </c>
      <c r="V125" s="361">
        <v>479779</v>
      </c>
      <c r="W125" s="361">
        <v>375881</v>
      </c>
      <c r="X125" s="361">
        <v>173798</v>
      </c>
      <c r="Y125" s="343"/>
      <c r="Z125" s="336"/>
      <c r="AA125" s="336"/>
      <c r="AB125" s="336"/>
      <c r="AC125" s="336"/>
      <c r="AD125" s="336"/>
      <c r="AE125" s="336"/>
      <c r="AF125" s="336"/>
      <c r="AG125" s="336"/>
      <c r="AH125" s="336"/>
      <c r="AI125" s="336"/>
      <c r="AJ125" s="336"/>
      <c r="AK125" s="336"/>
      <c r="AL125" s="336"/>
      <c r="AM125" s="336"/>
      <c r="AN125" s="336"/>
      <c r="AO125" s="336"/>
      <c r="AP125" s="336"/>
      <c r="AQ125" s="336"/>
      <c r="AR125" s="336"/>
      <c r="AS125" s="336"/>
      <c r="AT125" s="336"/>
      <c r="AU125" s="336"/>
      <c r="AV125" s="336"/>
      <c r="AW125" s="336"/>
    </row>
    <row r="126" spans="1:49" ht="14" outlineLevel="2">
      <c r="A126" s="336"/>
      <c r="B126" s="341"/>
      <c r="C126" s="354" t="s">
        <v>478</v>
      </c>
      <c r="D126" s="355" t="str">
        <f t="shared" si="8"/>
        <v/>
      </c>
      <c r="E126" s="355" t="str">
        <f t="shared" si="9"/>
        <v/>
      </c>
      <c r="F126" s="355" t="str">
        <f t="shared" si="10"/>
        <v/>
      </c>
      <c r="G126" s="355" t="str">
        <f t="shared" si="11"/>
        <v/>
      </c>
      <c r="H126" s="355" t="str">
        <f t="shared" si="12"/>
        <v/>
      </c>
      <c r="I126" s="355" t="str">
        <f t="shared" si="13"/>
        <v/>
      </c>
      <c r="J126" s="355" t="str">
        <f t="shared" si="14"/>
        <v/>
      </c>
      <c r="K126" s="356" t="str">
        <f t="shared" si="15"/>
        <v/>
      </c>
      <c r="M126" s="357"/>
      <c r="N126" s="357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43"/>
      <c r="Z126" s="336"/>
      <c r="AA126" s="336"/>
      <c r="AB126" s="336"/>
      <c r="AC126" s="336"/>
      <c r="AD126" s="336"/>
      <c r="AE126" s="336"/>
      <c r="AF126" s="336"/>
      <c r="AG126" s="336"/>
      <c r="AH126" s="336"/>
      <c r="AI126" s="336"/>
      <c r="AJ126" s="336"/>
      <c r="AK126" s="336"/>
      <c r="AL126" s="336"/>
      <c r="AM126" s="336"/>
      <c r="AN126" s="336"/>
      <c r="AO126" s="336"/>
      <c r="AP126" s="336"/>
      <c r="AQ126" s="336"/>
      <c r="AR126" s="336"/>
      <c r="AS126" s="336"/>
      <c r="AT126" s="336"/>
      <c r="AU126" s="336"/>
      <c r="AV126" s="336"/>
      <c r="AW126" s="336"/>
    </row>
    <row r="127" spans="1:49" ht="14" outlineLevel="3">
      <c r="A127" s="336"/>
      <c r="B127" s="341"/>
      <c r="C127" s="354" t="s">
        <v>479</v>
      </c>
      <c r="D127" s="355">
        <f t="shared" si="8"/>
        <v>1177</v>
      </c>
      <c r="E127" s="355">
        <f t="shared" si="9"/>
        <v>1072.25</v>
      </c>
      <c r="F127" s="355">
        <f t="shared" si="10"/>
        <v>0</v>
      </c>
      <c r="G127" s="355">
        <f t="shared" si="11"/>
        <v>2303</v>
      </c>
      <c r="H127" s="355">
        <f t="shared" si="12"/>
        <v>602.75</v>
      </c>
      <c r="I127" s="355">
        <f t="shared" si="13"/>
        <v>1510.5</v>
      </c>
      <c r="J127" s="355">
        <f t="shared" si="14"/>
        <v>688.97342935967879</v>
      </c>
      <c r="K127" s="356">
        <f t="shared" si="15"/>
        <v>0.6425492463135265</v>
      </c>
      <c r="M127" s="357">
        <v>1386</v>
      </c>
      <c r="N127" s="357">
        <v>1644</v>
      </c>
      <c r="O127" s="357">
        <v>1471</v>
      </c>
      <c r="P127" s="357">
        <v>0</v>
      </c>
      <c r="Q127" s="357">
        <v>881</v>
      </c>
      <c r="R127" s="357">
        <v>1116</v>
      </c>
      <c r="S127" s="357">
        <v>2303</v>
      </c>
      <c r="T127" s="357">
        <v>1629</v>
      </c>
      <c r="U127" s="357">
        <v>1238</v>
      </c>
      <c r="V127" s="357">
        <v>0</v>
      </c>
      <c r="W127" s="357">
        <v>606</v>
      </c>
      <c r="X127" s="357">
        <v>593</v>
      </c>
      <c r="Y127" s="343"/>
      <c r="Z127" s="336"/>
      <c r="AA127" s="336"/>
      <c r="AB127" s="336"/>
      <c r="AC127" s="336"/>
      <c r="AD127" s="336"/>
      <c r="AE127" s="336"/>
      <c r="AF127" s="336"/>
      <c r="AG127" s="336"/>
      <c r="AH127" s="336"/>
      <c r="AI127" s="336"/>
      <c r="AJ127" s="336"/>
      <c r="AK127" s="336"/>
      <c r="AL127" s="336"/>
      <c r="AM127" s="336"/>
      <c r="AN127" s="336"/>
      <c r="AO127" s="336"/>
      <c r="AP127" s="336"/>
      <c r="AQ127" s="336"/>
      <c r="AR127" s="336"/>
      <c r="AS127" s="336"/>
      <c r="AT127" s="336"/>
      <c r="AU127" s="336"/>
      <c r="AV127" s="336"/>
      <c r="AW127" s="336"/>
    </row>
    <row r="128" spans="1:49" ht="14" outlineLevel="3">
      <c r="A128" s="336"/>
      <c r="B128" s="341"/>
      <c r="C128" s="358" t="s">
        <v>480</v>
      </c>
      <c r="D128" s="359">
        <f t="shared" si="8"/>
        <v>1177</v>
      </c>
      <c r="E128" s="359">
        <f t="shared" si="9"/>
        <v>1072.25</v>
      </c>
      <c r="F128" s="359">
        <f t="shared" si="10"/>
        <v>0</v>
      </c>
      <c r="G128" s="359">
        <f t="shared" si="11"/>
        <v>2303</v>
      </c>
      <c r="H128" s="359">
        <f t="shared" si="12"/>
        <v>602.75</v>
      </c>
      <c r="I128" s="359">
        <f t="shared" si="13"/>
        <v>1510.5</v>
      </c>
      <c r="J128" s="359">
        <f t="shared" si="14"/>
        <v>688.97342935967879</v>
      </c>
      <c r="K128" s="360">
        <f t="shared" si="15"/>
        <v>0.6425492463135265</v>
      </c>
      <c r="L128" s="339"/>
      <c r="M128" s="361">
        <v>1386</v>
      </c>
      <c r="N128" s="361">
        <v>1644</v>
      </c>
      <c r="O128" s="361">
        <v>1471</v>
      </c>
      <c r="P128" s="361">
        <v>0</v>
      </c>
      <c r="Q128" s="361">
        <v>881</v>
      </c>
      <c r="R128" s="361">
        <v>1116</v>
      </c>
      <c r="S128" s="361">
        <v>2303</v>
      </c>
      <c r="T128" s="361">
        <v>1629</v>
      </c>
      <c r="U128" s="361">
        <v>1238</v>
      </c>
      <c r="V128" s="361">
        <v>0</v>
      </c>
      <c r="W128" s="361">
        <v>606</v>
      </c>
      <c r="X128" s="361">
        <v>593</v>
      </c>
      <c r="Y128" s="343"/>
      <c r="Z128" s="336"/>
      <c r="AA128" s="336"/>
      <c r="AB128" s="336"/>
      <c r="AC128" s="336"/>
      <c r="AD128" s="336"/>
      <c r="AE128" s="336"/>
      <c r="AF128" s="336"/>
      <c r="AG128" s="336"/>
      <c r="AH128" s="336"/>
      <c r="AI128" s="336"/>
      <c r="AJ128" s="336"/>
      <c r="AK128" s="336"/>
      <c r="AL128" s="336"/>
      <c r="AM128" s="336"/>
      <c r="AN128" s="336"/>
      <c r="AO128" s="336"/>
      <c r="AP128" s="336"/>
      <c r="AQ128" s="336"/>
      <c r="AR128" s="336"/>
      <c r="AS128" s="336"/>
      <c r="AT128" s="336"/>
      <c r="AU128" s="336"/>
      <c r="AV128" s="336"/>
      <c r="AW128" s="336"/>
    </row>
    <row r="129" spans="1:49" ht="14" outlineLevel="2">
      <c r="A129" s="336"/>
      <c r="B129" s="341"/>
      <c r="C129" s="354" t="s">
        <v>481</v>
      </c>
      <c r="D129" s="355" t="str">
        <f t="shared" si="8"/>
        <v/>
      </c>
      <c r="E129" s="355" t="str">
        <f t="shared" si="9"/>
        <v/>
      </c>
      <c r="F129" s="355" t="str">
        <f t="shared" si="10"/>
        <v/>
      </c>
      <c r="G129" s="355" t="str">
        <f t="shared" si="11"/>
        <v/>
      </c>
      <c r="H129" s="355" t="str">
        <f t="shared" si="12"/>
        <v/>
      </c>
      <c r="I129" s="355" t="str">
        <f t="shared" si="13"/>
        <v/>
      </c>
      <c r="J129" s="355" t="str">
        <f t="shared" si="14"/>
        <v/>
      </c>
      <c r="K129" s="356" t="str">
        <f t="shared" si="15"/>
        <v/>
      </c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43"/>
      <c r="Z129" s="336"/>
      <c r="AA129" s="336"/>
      <c r="AB129" s="336"/>
      <c r="AC129" s="336"/>
      <c r="AD129" s="336"/>
      <c r="AE129" s="336"/>
      <c r="AF129" s="336"/>
      <c r="AG129" s="336"/>
      <c r="AH129" s="336"/>
      <c r="AI129" s="336"/>
      <c r="AJ129" s="336"/>
      <c r="AK129" s="336"/>
      <c r="AL129" s="336"/>
      <c r="AM129" s="336"/>
      <c r="AN129" s="336"/>
      <c r="AO129" s="336"/>
      <c r="AP129" s="336"/>
      <c r="AQ129" s="336"/>
      <c r="AR129" s="336"/>
      <c r="AS129" s="336"/>
      <c r="AT129" s="336"/>
      <c r="AU129" s="336"/>
      <c r="AV129" s="336"/>
      <c r="AW129" s="336"/>
    </row>
    <row r="130" spans="1:49" ht="14" outlineLevel="3">
      <c r="A130" s="336"/>
      <c r="B130" s="341"/>
      <c r="C130" s="354" t="s">
        <v>482</v>
      </c>
      <c r="D130" s="355">
        <f t="shared" si="8"/>
        <v>29182</v>
      </c>
      <c r="E130" s="355">
        <f t="shared" si="9"/>
        <v>22447.166666666668</v>
      </c>
      <c r="F130" s="355">
        <f t="shared" si="10"/>
        <v>7193</v>
      </c>
      <c r="G130" s="355">
        <f t="shared" si="11"/>
        <v>34458</v>
      </c>
      <c r="H130" s="355">
        <f t="shared" si="12"/>
        <v>9107.5</v>
      </c>
      <c r="I130" s="355">
        <f t="shared" si="13"/>
        <v>32728.25</v>
      </c>
      <c r="J130" s="355">
        <f t="shared" si="14"/>
        <v>12020.257581821339</v>
      </c>
      <c r="K130" s="356">
        <f t="shared" si="15"/>
        <v>0.53549108269735624</v>
      </c>
      <c r="M130" s="357">
        <v>31990</v>
      </c>
      <c r="N130" s="357">
        <v>32047</v>
      </c>
      <c r="O130" s="357">
        <v>33152</v>
      </c>
      <c r="P130" s="357">
        <v>33428</v>
      </c>
      <c r="Q130" s="357">
        <v>32587</v>
      </c>
      <c r="R130" s="357">
        <v>34458</v>
      </c>
      <c r="S130" s="357">
        <v>26374</v>
      </c>
      <c r="T130" s="357">
        <v>8440</v>
      </c>
      <c r="U130" s="357">
        <v>8351</v>
      </c>
      <c r="V130" s="357">
        <v>12016</v>
      </c>
      <c r="W130" s="357">
        <v>9330</v>
      </c>
      <c r="X130" s="357">
        <v>7193</v>
      </c>
      <c r="Y130" s="343"/>
      <c r="Z130" s="336"/>
      <c r="AA130" s="336"/>
      <c r="AB130" s="336"/>
      <c r="AC130" s="336"/>
      <c r="AD130" s="336"/>
      <c r="AE130" s="336"/>
      <c r="AF130" s="336"/>
      <c r="AG130" s="336"/>
      <c r="AH130" s="336"/>
      <c r="AI130" s="336"/>
      <c r="AJ130" s="336"/>
      <c r="AK130" s="336"/>
      <c r="AL130" s="336"/>
      <c r="AM130" s="336"/>
      <c r="AN130" s="336"/>
      <c r="AO130" s="336"/>
      <c r="AP130" s="336"/>
      <c r="AQ130" s="336"/>
      <c r="AR130" s="336"/>
      <c r="AS130" s="336"/>
      <c r="AT130" s="336"/>
      <c r="AU130" s="336"/>
      <c r="AV130" s="336"/>
      <c r="AW130" s="336"/>
    </row>
    <row r="131" spans="1:49" ht="14" outlineLevel="3">
      <c r="A131" s="336"/>
      <c r="B131" s="341"/>
      <c r="C131" s="354" t="s">
        <v>483</v>
      </c>
      <c r="D131" s="355">
        <f t="shared" si="8"/>
        <v>4831</v>
      </c>
      <c r="E131" s="355">
        <f t="shared" si="9"/>
        <v>5043.333333333333</v>
      </c>
      <c r="F131" s="355">
        <f t="shared" si="10"/>
        <v>1376</v>
      </c>
      <c r="G131" s="355">
        <f t="shared" si="11"/>
        <v>10083</v>
      </c>
      <c r="H131" s="355">
        <f t="shared" si="12"/>
        <v>3397.5</v>
      </c>
      <c r="I131" s="355">
        <f t="shared" si="13"/>
        <v>5872.25</v>
      </c>
      <c r="J131" s="355">
        <f t="shared" si="14"/>
        <v>2979.6594212538234</v>
      </c>
      <c r="K131" s="356">
        <f t="shared" si="15"/>
        <v>0.59081151776348118</v>
      </c>
      <c r="M131" s="357"/>
      <c r="N131" s="357"/>
      <c r="O131" s="357"/>
      <c r="P131" s="357"/>
      <c r="Q131" s="357"/>
      <c r="R131" s="357"/>
      <c r="S131" s="357">
        <v>10083</v>
      </c>
      <c r="T131" s="357">
        <v>6127</v>
      </c>
      <c r="U131" s="357">
        <v>5108</v>
      </c>
      <c r="V131" s="357">
        <v>4554</v>
      </c>
      <c r="W131" s="357">
        <v>3012</v>
      </c>
      <c r="X131" s="357">
        <v>1376</v>
      </c>
      <c r="Y131" s="343"/>
      <c r="Z131" s="336"/>
      <c r="AA131" s="336"/>
      <c r="AB131" s="336"/>
      <c r="AC131" s="336"/>
      <c r="AD131" s="336"/>
      <c r="AE131" s="336"/>
      <c r="AF131" s="336"/>
      <c r="AG131" s="336"/>
      <c r="AH131" s="336"/>
      <c r="AI131" s="336"/>
      <c r="AJ131" s="336"/>
      <c r="AK131" s="336"/>
      <c r="AL131" s="336"/>
      <c r="AM131" s="336"/>
      <c r="AN131" s="336"/>
      <c r="AO131" s="336"/>
      <c r="AP131" s="336"/>
      <c r="AQ131" s="336"/>
      <c r="AR131" s="336"/>
      <c r="AS131" s="336"/>
      <c r="AT131" s="336"/>
      <c r="AU131" s="336"/>
      <c r="AV131" s="336"/>
      <c r="AW131" s="336"/>
    </row>
    <row r="132" spans="1:49" ht="14" outlineLevel="3">
      <c r="A132" s="336"/>
      <c r="B132" s="341"/>
      <c r="C132" s="358" t="s">
        <v>484</v>
      </c>
      <c r="D132" s="359">
        <f t="shared" si="8"/>
        <v>32018.5</v>
      </c>
      <c r="E132" s="359">
        <f t="shared" si="9"/>
        <v>24968.833333333332</v>
      </c>
      <c r="F132" s="359">
        <f t="shared" si="10"/>
        <v>8569</v>
      </c>
      <c r="G132" s="359">
        <f t="shared" si="11"/>
        <v>36457</v>
      </c>
      <c r="H132" s="359">
        <f t="shared" si="12"/>
        <v>14290</v>
      </c>
      <c r="I132" s="359">
        <f t="shared" si="13"/>
        <v>33221</v>
      </c>
      <c r="J132" s="359">
        <f t="shared" si="14"/>
        <v>10692.324849955212</v>
      </c>
      <c r="K132" s="360">
        <f t="shared" si="15"/>
        <v>0.42822685013804729</v>
      </c>
      <c r="L132" s="339"/>
      <c r="M132" s="361">
        <v>31990</v>
      </c>
      <c r="N132" s="361">
        <v>32047</v>
      </c>
      <c r="O132" s="361">
        <v>33152</v>
      </c>
      <c r="P132" s="361">
        <v>33428</v>
      </c>
      <c r="Q132" s="361">
        <v>32587</v>
      </c>
      <c r="R132" s="361">
        <v>34458</v>
      </c>
      <c r="S132" s="361">
        <v>36457</v>
      </c>
      <c r="T132" s="361">
        <v>14567</v>
      </c>
      <c r="U132" s="361">
        <v>13459</v>
      </c>
      <c r="V132" s="361">
        <v>16570</v>
      </c>
      <c r="W132" s="361">
        <v>12342</v>
      </c>
      <c r="X132" s="361">
        <v>8569</v>
      </c>
      <c r="Y132" s="343"/>
      <c r="Z132" s="336"/>
      <c r="AA132" s="336"/>
      <c r="AB132" s="336"/>
      <c r="AC132" s="336"/>
      <c r="AD132" s="336"/>
      <c r="AE132" s="336"/>
      <c r="AF132" s="336"/>
      <c r="AG132" s="336"/>
      <c r="AH132" s="336"/>
      <c r="AI132" s="336"/>
      <c r="AJ132" s="336"/>
      <c r="AK132" s="336"/>
      <c r="AL132" s="336"/>
      <c r="AM132" s="336"/>
      <c r="AN132" s="336"/>
      <c r="AO132" s="336"/>
      <c r="AP132" s="336"/>
      <c r="AQ132" s="336"/>
      <c r="AR132" s="336"/>
      <c r="AS132" s="336"/>
      <c r="AT132" s="336"/>
      <c r="AU132" s="336"/>
      <c r="AV132" s="336"/>
      <c r="AW132" s="336"/>
    </row>
    <row r="133" spans="1:49" ht="14" outlineLevel="2">
      <c r="A133" s="336"/>
      <c r="B133" s="341"/>
      <c r="C133" s="354" t="s">
        <v>485</v>
      </c>
      <c r="D133" s="355" t="str">
        <f t="shared" si="8"/>
        <v/>
      </c>
      <c r="E133" s="355" t="str">
        <f t="shared" si="9"/>
        <v/>
      </c>
      <c r="F133" s="355" t="str">
        <f t="shared" si="10"/>
        <v/>
      </c>
      <c r="G133" s="355" t="str">
        <f t="shared" si="11"/>
        <v/>
      </c>
      <c r="H133" s="355" t="str">
        <f t="shared" si="12"/>
        <v/>
      </c>
      <c r="I133" s="355" t="str">
        <f t="shared" si="13"/>
        <v/>
      </c>
      <c r="J133" s="355" t="str">
        <f t="shared" si="14"/>
        <v/>
      </c>
      <c r="K133" s="356" t="str">
        <f t="shared" si="15"/>
        <v/>
      </c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  <c r="X133" s="357"/>
      <c r="Y133" s="343"/>
      <c r="Z133" s="336"/>
      <c r="AA133" s="336"/>
      <c r="AB133" s="336"/>
      <c r="AC133" s="336"/>
      <c r="AD133" s="336"/>
      <c r="AE133" s="336"/>
      <c r="AF133" s="336"/>
      <c r="AG133" s="336"/>
      <c r="AH133" s="336"/>
      <c r="AI133" s="336"/>
      <c r="AJ133" s="336"/>
      <c r="AK133" s="336"/>
      <c r="AL133" s="336"/>
      <c r="AM133" s="336"/>
      <c r="AN133" s="336"/>
      <c r="AO133" s="336"/>
      <c r="AP133" s="336"/>
      <c r="AQ133" s="336"/>
      <c r="AR133" s="336"/>
      <c r="AS133" s="336"/>
      <c r="AT133" s="336"/>
      <c r="AU133" s="336"/>
      <c r="AV133" s="336"/>
      <c r="AW133" s="336"/>
    </row>
    <row r="134" spans="1:49" ht="14" outlineLevel="3">
      <c r="A134" s="336"/>
      <c r="B134" s="341"/>
      <c r="C134" s="354" t="s">
        <v>486</v>
      </c>
      <c r="D134" s="355" t="str">
        <f t="shared" si="8"/>
        <v/>
      </c>
      <c r="E134" s="355" t="str">
        <f t="shared" si="9"/>
        <v/>
      </c>
      <c r="F134" s="355" t="str">
        <f t="shared" si="10"/>
        <v/>
      </c>
      <c r="G134" s="355" t="str">
        <f t="shared" si="11"/>
        <v/>
      </c>
      <c r="H134" s="355" t="str">
        <f t="shared" si="12"/>
        <v/>
      </c>
      <c r="I134" s="355" t="str">
        <f t="shared" si="13"/>
        <v/>
      </c>
      <c r="J134" s="355" t="str">
        <f t="shared" si="14"/>
        <v/>
      </c>
      <c r="K134" s="356" t="str">
        <f t="shared" si="15"/>
        <v/>
      </c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  <c r="Y134" s="343"/>
      <c r="Z134" s="336"/>
      <c r="AA134" s="336"/>
      <c r="AB134" s="336"/>
      <c r="AC134" s="336"/>
      <c r="AD134" s="336"/>
      <c r="AE134" s="336"/>
      <c r="AF134" s="336"/>
      <c r="AG134" s="336"/>
      <c r="AH134" s="336"/>
      <c r="AI134" s="336"/>
      <c r="AJ134" s="336"/>
      <c r="AK134" s="336"/>
      <c r="AL134" s="336"/>
      <c r="AM134" s="336"/>
      <c r="AN134" s="336"/>
      <c r="AO134" s="336"/>
      <c r="AP134" s="336"/>
      <c r="AQ134" s="336"/>
      <c r="AR134" s="336"/>
      <c r="AS134" s="336"/>
      <c r="AT134" s="336"/>
      <c r="AU134" s="336"/>
      <c r="AV134" s="336"/>
      <c r="AW134" s="336"/>
    </row>
    <row r="135" spans="1:49" ht="14" outlineLevel="4">
      <c r="A135" s="336"/>
      <c r="B135" s="341"/>
      <c r="C135" s="354" t="s">
        <v>487</v>
      </c>
      <c r="D135" s="355">
        <f t="shared" si="8"/>
        <v>411179.5</v>
      </c>
      <c r="E135" s="355">
        <f t="shared" si="9"/>
        <v>407794.3</v>
      </c>
      <c r="F135" s="355">
        <f t="shared" si="10"/>
        <v>137172</v>
      </c>
      <c r="G135" s="355">
        <f t="shared" si="11"/>
        <v>507805</v>
      </c>
      <c r="H135" s="355">
        <f t="shared" si="12"/>
        <v>401678</v>
      </c>
      <c r="I135" s="355">
        <f t="shared" si="13"/>
        <v>460485.75</v>
      </c>
      <c r="J135" s="355">
        <f t="shared" si="14"/>
        <v>102744.61243842536</v>
      </c>
      <c r="K135" s="356">
        <f t="shared" si="15"/>
        <v>0.25195205631472867</v>
      </c>
      <c r="M135" s="357">
        <v>411360</v>
      </c>
      <c r="N135" s="357">
        <v>454368</v>
      </c>
      <c r="O135" s="357">
        <v>462525</v>
      </c>
      <c r="P135" s="357">
        <v>507805</v>
      </c>
      <c r="Q135" s="357">
        <v>488200</v>
      </c>
      <c r="R135" s="357">
        <v>400748</v>
      </c>
      <c r="S135" s="357">
        <v>404468</v>
      </c>
      <c r="T135" s="357">
        <v>400298</v>
      </c>
      <c r="U135" s="357">
        <v>410999</v>
      </c>
      <c r="V135" s="357">
        <v>137172</v>
      </c>
      <c r="W135" s="357"/>
      <c r="X135" s="357"/>
      <c r="Y135" s="343"/>
      <c r="Z135" s="336"/>
      <c r="AA135" s="336"/>
      <c r="AB135" s="336"/>
      <c r="AC135" s="336"/>
      <c r="AD135" s="336"/>
      <c r="AE135" s="336"/>
      <c r="AF135" s="336"/>
      <c r="AG135" s="336"/>
      <c r="AH135" s="336"/>
      <c r="AI135" s="336"/>
      <c r="AJ135" s="336"/>
      <c r="AK135" s="336"/>
      <c r="AL135" s="336"/>
      <c r="AM135" s="336"/>
      <c r="AN135" s="336"/>
      <c r="AO135" s="336"/>
      <c r="AP135" s="336"/>
      <c r="AQ135" s="336"/>
      <c r="AR135" s="336"/>
      <c r="AS135" s="336"/>
      <c r="AT135" s="336"/>
      <c r="AU135" s="336"/>
      <c r="AV135" s="336"/>
      <c r="AW135" s="336"/>
    </row>
    <row r="136" spans="1:49" ht="14" outlineLevel="4">
      <c r="A136" s="336"/>
      <c r="B136" s="341"/>
      <c r="C136" s="358" t="s">
        <v>488</v>
      </c>
      <c r="D136" s="359">
        <f t="shared" si="8"/>
        <v>411179.5</v>
      </c>
      <c r="E136" s="359">
        <f t="shared" si="9"/>
        <v>407794.3</v>
      </c>
      <c r="F136" s="359">
        <f t="shared" si="10"/>
        <v>137172</v>
      </c>
      <c r="G136" s="359">
        <f t="shared" si="11"/>
        <v>507805</v>
      </c>
      <c r="H136" s="359">
        <f t="shared" si="12"/>
        <v>401678</v>
      </c>
      <c r="I136" s="359">
        <f t="shared" si="13"/>
        <v>460485.75</v>
      </c>
      <c r="J136" s="359">
        <f t="shared" si="14"/>
        <v>102744.61243842536</v>
      </c>
      <c r="K136" s="360">
        <f t="shared" si="15"/>
        <v>0.25195205631472867</v>
      </c>
      <c r="L136" s="339"/>
      <c r="M136" s="361">
        <v>411360</v>
      </c>
      <c r="N136" s="361">
        <v>454368</v>
      </c>
      <c r="O136" s="361">
        <v>462525</v>
      </c>
      <c r="P136" s="361">
        <v>507805</v>
      </c>
      <c r="Q136" s="361">
        <v>488200</v>
      </c>
      <c r="R136" s="361">
        <v>400748</v>
      </c>
      <c r="S136" s="361">
        <v>404468</v>
      </c>
      <c r="T136" s="361">
        <v>400298</v>
      </c>
      <c r="U136" s="361">
        <v>410999</v>
      </c>
      <c r="V136" s="361">
        <v>137172</v>
      </c>
      <c r="W136" s="361"/>
      <c r="X136" s="361"/>
      <c r="Y136" s="343"/>
      <c r="Z136" s="336"/>
      <c r="AA136" s="336"/>
      <c r="AB136" s="336"/>
      <c r="AC136" s="336"/>
      <c r="AD136" s="336"/>
      <c r="AE136" s="336"/>
      <c r="AF136" s="336"/>
      <c r="AG136" s="336"/>
      <c r="AH136" s="336"/>
      <c r="AI136" s="336"/>
      <c r="AJ136" s="336"/>
      <c r="AK136" s="336"/>
      <c r="AL136" s="336"/>
      <c r="AM136" s="336"/>
      <c r="AN136" s="336"/>
      <c r="AO136" s="336"/>
      <c r="AP136" s="336"/>
      <c r="AQ136" s="336"/>
      <c r="AR136" s="336"/>
      <c r="AS136" s="336"/>
      <c r="AT136" s="336"/>
      <c r="AU136" s="336"/>
      <c r="AV136" s="336"/>
      <c r="AW136" s="336"/>
    </row>
    <row r="137" spans="1:49" ht="14" outlineLevel="3">
      <c r="A137" s="336"/>
      <c r="B137" s="341"/>
      <c r="C137" s="358" t="s">
        <v>489</v>
      </c>
      <c r="D137" s="359">
        <f t="shared" si="8"/>
        <v>411179.5</v>
      </c>
      <c r="E137" s="359">
        <f t="shared" si="9"/>
        <v>407794.3</v>
      </c>
      <c r="F137" s="359">
        <f t="shared" si="10"/>
        <v>137172</v>
      </c>
      <c r="G137" s="359">
        <f t="shared" si="11"/>
        <v>507805</v>
      </c>
      <c r="H137" s="359">
        <f t="shared" si="12"/>
        <v>401678</v>
      </c>
      <c r="I137" s="359">
        <f t="shared" si="13"/>
        <v>460485.75</v>
      </c>
      <c r="J137" s="359">
        <f t="shared" si="14"/>
        <v>102744.61243842536</v>
      </c>
      <c r="K137" s="360">
        <f t="shared" si="15"/>
        <v>0.25195205631472867</v>
      </c>
      <c r="L137" s="339"/>
      <c r="M137" s="361">
        <v>411360</v>
      </c>
      <c r="N137" s="361">
        <v>454368</v>
      </c>
      <c r="O137" s="361">
        <v>462525</v>
      </c>
      <c r="P137" s="361">
        <v>507805</v>
      </c>
      <c r="Q137" s="361">
        <v>488200</v>
      </c>
      <c r="R137" s="361">
        <v>400748</v>
      </c>
      <c r="S137" s="361">
        <v>404468</v>
      </c>
      <c r="T137" s="361">
        <v>400298</v>
      </c>
      <c r="U137" s="361">
        <v>410999</v>
      </c>
      <c r="V137" s="361">
        <v>137172</v>
      </c>
      <c r="W137" s="361"/>
      <c r="X137" s="361"/>
      <c r="Y137" s="343"/>
      <c r="Z137" s="336"/>
      <c r="AA137" s="336"/>
      <c r="AB137" s="336"/>
      <c r="AC137" s="336"/>
      <c r="AD137" s="336"/>
      <c r="AE137" s="336"/>
      <c r="AF137" s="336"/>
      <c r="AG137" s="336"/>
      <c r="AH137" s="336"/>
      <c r="AI137" s="336"/>
      <c r="AJ137" s="336"/>
      <c r="AK137" s="336"/>
      <c r="AL137" s="336"/>
      <c r="AM137" s="336"/>
      <c r="AN137" s="336"/>
      <c r="AO137" s="336"/>
      <c r="AP137" s="336"/>
      <c r="AQ137" s="336"/>
      <c r="AR137" s="336"/>
      <c r="AS137" s="336"/>
      <c r="AT137" s="336"/>
      <c r="AU137" s="336"/>
      <c r="AV137" s="336"/>
      <c r="AW137" s="336"/>
    </row>
    <row r="138" spans="1:49" ht="14" outlineLevel="2">
      <c r="A138" s="336"/>
      <c r="B138" s="341"/>
      <c r="C138" s="354" t="s">
        <v>490</v>
      </c>
      <c r="D138" s="355">
        <f t="shared" si="8"/>
        <v>2874.5</v>
      </c>
      <c r="E138" s="355">
        <f t="shared" si="9"/>
        <v>2878.25</v>
      </c>
      <c r="F138" s="355">
        <f t="shared" si="10"/>
        <v>474</v>
      </c>
      <c r="G138" s="355">
        <f t="shared" si="11"/>
        <v>5225</v>
      </c>
      <c r="H138" s="355">
        <f t="shared" si="12"/>
        <v>1215</v>
      </c>
      <c r="I138" s="355">
        <f t="shared" si="13"/>
        <v>4497.25</v>
      </c>
      <c r="J138" s="355">
        <f t="shared" si="14"/>
        <v>1806.8037638075396</v>
      </c>
      <c r="K138" s="356">
        <f t="shared" si="15"/>
        <v>0.62774385957006495</v>
      </c>
      <c r="M138" s="357">
        <v>4497</v>
      </c>
      <c r="N138" s="357">
        <v>4833</v>
      </c>
      <c r="O138" s="357">
        <v>4498</v>
      </c>
      <c r="P138" s="357">
        <v>3030</v>
      </c>
      <c r="Q138" s="357">
        <v>2511</v>
      </c>
      <c r="R138" s="357">
        <v>2719</v>
      </c>
      <c r="S138" s="357">
        <v>1447</v>
      </c>
      <c r="T138" s="357">
        <v>4302</v>
      </c>
      <c r="U138" s="357">
        <v>5225</v>
      </c>
      <c r="V138" s="357">
        <v>484</v>
      </c>
      <c r="W138" s="357">
        <v>519</v>
      </c>
      <c r="X138" s="357">
        <v>474</v>
      </c>
      <c r="Y138" s="343"/>
      <c r="Z138" s="336"/>
      <c r="AA138" s="336"/>
      <c r="AB138" s="336"/>
      <c r="AC138" s="336"/>
      <c r="AD138" s="336"/>
      <c r="AE138" s="336"/>
      <c r="AF138" s="336"/>
      <c r="AG138" s="336"/>
      <c r="AH138" s="336"/>
      <c r="AI138" s="336"/>
      <c r="AJ138" s="336"/>
      <c r="AK138" s="336"/>
      <c r="AL138" s="336"/>
      <c r="AM138" s="336"/>
      <c r="AN138" s="336"/>
      <c r="AO138" s="336"/>
      <c r="AP138" s="336"/>
      <c r="AQ138" s="336"/>
      <c r="AR138" s="336"/>
      <c r="AS138" s="336"/>
      <c r="AT138" s="336"/>
      <c r="AU138" s="336"/>
      <c r="AV138" s="336"/>
      <c r="AW138" s="336"/>
    </row>
    <row r="139" spans="1:49" ht="14" outlineLevel="2">
      <c r="A139" s="336"/>
      <c r="B139" s="341"/>
      <c r="C139" s="358" t="s">
        <v>491</v>
      </c>
      <c r="D139" s="359">
        <f t="shared" ref="D139:D202" si="16">IF(COUNT(L139:X139)&gt;0,MEDIAN(L139:X139),"")</f>
        <v>1942134</v>
      </c>
      <c r="E139" s="359">
        <f t="shared" ref="E139:E202" si="17">IF(COUNT(L139:X139)&gt;0,AVERAGE(L139:X139),"")</f>
        <v>1744053.75</v>
      </c>
      <c r="F139" s="359">
        <f t="shared" ref="F139:F202" si="18">IF(COUNT(L139:X139)&gt;0,MIN(L139:X139),"")</f>
        <v>183434</v>
      </c>
      <c r="G139" s="359">
        <f t="shared" ref="G139:G202" si="19">IF(COUNT(L139:X139)&gt;0,MAX(L139:X139),"")</f>
        <v>3002586</v>
      </c>
      <c r="H139" s="359">
        <f t="shared" ref="H139:H202" si="20">IF(COUNT(L139:X139)&gt;0,QUARTILE(L139:X139,1),"")</f>
        <v>996530.25</v>
      </c>
      <c r="I139" s="359">
        <f t="shared" ref="I139:I202" si="21">IF(COUNT(L139:X139)&gt;0,QUARTILE(L139:X139,3),"")</f>
        <v>2567068.5</v>
      </c>
      <c r="J139" s="359">
        <f t="shared" ref="J139:J202" si="22">IF(COUNT(L139:X139)&gt;1,STDEV(L139:X139),"")</f>
        <v>1024683.0723295618</v>
      </c>
      <c r="K139" s="360">
        <f t="shared" ref="K139:K202" si="23">IF(COUNT(L139:X139)&gt;1,STDEV(L139:X139)/AVERAGE(L139:X139),"")</f>
        <v>0.58752952558346427</v>
      </c>
      <c r="L139" s="339"/>
      <c r="M139" s="361">
        <v>3002586</v>
      </c>
      <c r="N139" s="361">
        <v>2837355</v>
      </c>
      <c r="O139" s="361">
        <v>2821620</v>
      </c>
      <c r="P139" s="361">
        <v>2482218</v>
      </c>
      <c r="Q139" s="361">
        <v>2443515</v>
      </c>
      <c r="R139" s="361">
        <v>2279466</v>
      </c>
      <c r="S139" s="361">
        <v>1604802</v>
      </c>
      <c r="T139" s="361">
        <v>1117372</v>
      </c>
      <c r="U139" s="361">
        <v>1132924</v>
      </c>
      <c r="V139" s="361">
        <v>634005</v>
      </c>
      <c r="W139" s="361">
        <v>389348</v>
      </c>
      <c r="X139" s="361">
        <v>183434</v>
      </c>
      <c r="Y139" s="343"/>
      <c r="Z139" s="336"/>
      <c r="AA139" s="336"/>
      <c r="AB139" s="336"/>
      <c r="AC139" s="336"/>
      <c r="AD139" s="336"/>
      <c r="AE139" s="336"/>
      <c r="AF139" s="336"/>
      <c r="AG139" s="336"/>
      <c r="AH139" s="336"/>
      <c r="AI139" s="336"/>
      <c r="AJ139" s="336"/>
      <c r="AK139" s="336"/>
      <c r="AL139" s="336"/>
      <c r="AM139" s="336"/>
      <c r="AN139" s="336"/>
      <c r="AO139" s="336"/>
      <c r="AP139" s="336"/>
      <c r="AQ139" s="336"/>
      <c r="AR139" s="336"/>
      <c r="AS139" s="336"/>
      <c r="AT139" s="336"/>
      <c r="AU139" s="336"/>
      <c r="AV139" s="336"/>
      <c r="AW139" s="336"/>
    </row>
    <row r="140" spans="1:49" ht="14" outlineLevel="1">
      <c r="A140" s="336"/>
      <c r="B140" s="341"/>
      <c r="C140" s="351" t="s">
        <v>492</v>
      </c>
      <c r="D140" s="359">
        <f t="shared" si="16"/>
        <v>2080574.5</v>
      </c>
      <c r="E140" s="359">
        <f t="shared" si="17"/>
        <v>1887631</v>
      </c>
      <c r="F140" s="359">
        <f t="shared" si="18"/>
        <v>240181</v>
      </c>
      <c r="G140" s="359">
        <f t="shared" si="19"/>
        <v>3285081</v>
      </c>
      <c r="H140" s="359">
        <f t="shared" si="20"/>
        <v>1087212</v>
      </c>
      <c r="I140" s="359">
        <f t="shared" si="21"/>
        <v>2760658.5</v>
      </c>
      <c r="J140" s="359">
        <f t="shared" si="22"/>
        <v>1095891.5467799804</v>
      </c>
      <c r="K140" s="360">
        <f t="shared" si="23"/>
        <v>0.58056449951287115</v>
      </c>
      <c r="L140" s="362"/>
      <c r="M140" s="359">
        <v>3285081</v>
      </c>
      <c r="N140" s="359">
        <v>3088684</v>
      </c>
      <c r="O140" s="359">
        <v>3066150</v>
      </c>
      <c r="P140" s="359">
        <v>2658828</v>
      </c>
      <c r="Q140" s="359">
        <v>2555410</v>
      </c>
      <c r="R140" s="359">
        <v>2424944</v>
      </c>
      <c r="S140" s="359">
        <v>1736205</v>
      </c>
      <c r="T140" s="359">
        <v>1229402</v>
      </c>
      <c r="U140" s="359">
        <v>1216197</v>
      </c>
      <c r="V140" s="359">
        <v>700257</v>
      </c>
      <c r="W140" s="359">
        <v>450233</v>
      </c>
      <c r="X140" s="359">
        <v>240181</v>
      </c>
      <c r="Y140" s="343"/>
      <c r="Z140" s="336"/>
      <c r="AA140" s="336"/>
      <c r="AB140" s="336"/>
      <c r="AC140" s="336"/>
      <c r="AD140" s="336"/>
      <c r="AE140" s="336"/>
      <c r="AF140" s="336"/>
      <c r="AG140" s="336"/>
      <c r="AH140" s="336"/>
      <c r="AI140" s="336"/>
      <c r="AJ140" s="336"/>
      <c r="AK140" s="336"/>
      <c r="AL140" s="336"/>
      <c r="AM140" s="336"/>
      <c r="AN140" s="336"/>
      <c r="AO140" s="336"/>
      <c r="AP140" s="336"/>
      <c r="AQ140" s="336"/>
      <c r="AR140" s="336"/>
      <c r="AS140" s="336"/>
      <c r="AT140" s="336"/>
      <c r="AU140" s="336"/>
      <c r="AV140" s="336"/>
      <c r="AW140" s="336"/>
    </row>
    <row r="141" spans="1:49" ht="14">
      <c r="A141" s="336"/>
      <c r="B141" s="341"/>
      <c r="C141" s="351" t="s">
        <v>161</v>
      </c>
      <c r="D141" s="352" t="str">
        <f t="shared" si="16"/>
        <v/>
      </c>
      <c r="E141" s="352" t="str">
        <f t="shared" si="17"/>
        <v/>
      </c>
      <c r="F141" s="352" t="str">
        <f t="shared" si="18"/>
        <v/>
      </c>
      <c r="G141" s="352" t="str">
        <f t="shared" si="19"/>
        <v/>
      </c>
      <c r="H141" s="352" t="str">
        <f t="shared" si="20"/>
        <v/>
      </c>
      <c r="I141" s="352" t="str">
        <f t="shared" si="21"/>
        <v/>
      </c>
      <c r="J141" s="352" t="str">
        <f t="shared" si="22"/>
        <v/>
      </c>
      <c r="K141" s="353" t="str">
        <f t="shared" si="23"/>
        <v/>
      </c>
      <c r="L141" s="346"/>
      <c r="M141" s="352"/>
      <c r="N141" s="352"/>
      <c r="O141" s="352"/>
      <c r="P141" s="352"/>
      <c r="Q141" s="352"/>
      <c r="R141" s="352"/>
      <c r="S141" s="352"/>
      <c r="T141" s="352"/>
      <c r="U141" s="352"/>
      <c r="V141" s="352"/>
      <c r="W141" s="352"/>
      <c r="X141" s="352"/>
      <c r="Y141" s="343"/>
      <c r="Z141" s="336"/>
      <c r="AA141" s="336"/>
      <c r="AB141" s="336"/>
      <c r="AC141" s="336"/>
      <c r="AD141" s="336"/>
      <c r="AE141" s="336"/>
      <c r="AF141" s="336"/>
      <c r="AG141" s="336"/>
      <c r="AH141" s="336"/>
      <c r="AI141" s="336"/>
      <c r="AJ141" s="336"/>
      <c r="AK141" s="336"/>
      <c r="AL141" s="336"/>
      <c r="AM141" s="336"/>
      <c r="AN141" s="336"/>
      <c r="AO141" s="336"/>
      <c r="AP141" s="336"/>
      <c r="AQ141" s="336"/>
      <c r="AR141" s="336"/>
      <c r="AS141" s="336"/>
      <c r="AT141" s="336"/>
      <c r="AU141" s="336"/>
      <c r="AV141" s="336"/>
      <c r="AW141" s="336"/>
    </row>
    <row r="142" spans="1:49" ht="14" outlineLevel="1">
      <c r="A142" s="336"/>
      <c r="B142" s="341"/>
      <c r="C142" s="354" t="s">
        <v>493</v>
      </c>
      <c r="D142" s="355" t="str">
        <f t="shared" si="16"/>
        <v/>
      </c>
      <c r="E142" s="355" t="str">
        <f t="shared" si="17"/>
        <v/>
      </c>
      <c r="F142" s="355" t="str">
        <f t="shared" si="18"/>
        <v/>
      </c>
      <c r="G142" s="355" t="str">
        <f t="shared" si="19"/>
        <v/>
      </c>
      <c r="H142" s="355" t="str">
        <f t="shared" si="20"/>
        <v/>
      </c>
      <c r="I142" s="355" t="str">
        <f t="shared" si="21"/>
        <v/>
      </c>
      <c r="J142" s="355" t="str">
        <f t="shared" si="22"/>
        <v/>
      </c>
      <c r="K142" s="356" t="str">
        <f t="shared" si="23"/>
        <v/>
      </c>
      <c r="M142" s="357"/>
      <c r="N142" s="357"/>
      <c r="O142" s="357"/>
      <c r="P142" s="357"/>
      <c r="Q142" s="357"/>
      <c r="R142" s="357"/>
      <c r="S142" s="357"/>
      <c r="T142" s="357"/>
      <c r="U142" s="357"/>
      <c r="V142" s="357"/>
      <c r="W142" s="357"/>
      <c r="X142" s="357"/>
      <c r="Y142" s="343"/>
      <c r="Z142" s="336"/>
      <c r="AA142" s="336"/>
      <c r="AB142" s="336"/>
      <c r="AC142" s="336"/>
      <c r="AD142" s="336"/>
      <c r="AE142" s="336"/>
      <c r="AF142" s="336"/>
      <c r="AG142" s="336"/>
      <c r="AH142" s="336"/>
      <c r="AI142" s="336"/>
      <c r="AJ142" s="336"/>
      <c r="AK142" s="336"/>
      <c r="AL142" s="336"/>
      <c r="AM142" s="336"/>
      <c r="AN142" s="336"/>
      <c r="AO142" s="336"/>
      <c r="AP142" s="336"/>
      <c r="AQ142" s="336"/>
      <c r="AR142" s="336"/>
      <c r="AS142" s="336"/>
      <c r="AT142" s="336"/>
      <c r="AU142" s="336"/>
      <c r="AV142" s="336"/>
      <c r="AW142" s="336"/>
    </row>
    <row r="143" spans="1:49" ht="14" outlineLevel="2">
      <c r="A143" s="336"/>
      <c r="B143" s="341"/>
      <c r="C143" s="354" t="s">
        <v>494</v>
      </c>
      <c r="D143" s="355" t="str">
        <f t="shared" si="16"/>
        <v/>
      </c>
      <c r="E143" s="355" t="str">
        <f t="shared" si="17"/>
        <v/>
      </c>
      <c r="F143" s="355" t="str">
        <f t="shared" si="18"/>
        <v/>
      </c>
      <c r="G143" s="355" t="str">
        <f t="shared" si="19"/>
        <v/>
      </c>
      <c r="H143" s="355" t="str">
        <f t="shared" si="20"/>
        <v/>
      </c>
      <c r="I143" s="355" t="str">
        <f t="shared" si="21"/>
        <v/>
      </c>
      <c r="J143" s="355" t="str">
        <f t="shared" si="22"/>
        <v/>
      </c>
      <c r="K143" s="356" t="str">
        <f t="shared" si="23"/>
        <v/>
      </c>
      <c r="M143" s="357"/>
      <c r="N143" s="357"/>
      <c r="O143" s="357"/>
      <c r="P143" s="357"/>
      <c r="Q143" s="357"/>
      <c r="R143" s="357"/>
      <c r="S143" s="357"/>
      <c r="T143" s="357"/>
      <c r="U143" s="357"/>
      <c r="V143" s="357"/>
      <c r="W143" s="357"/>
      <c r="X143" s="357"/>
      <c r="Y143" s="343"/>
      <c r="Z143" s="336"/>
      <c r="AA143" s="336"/>
      <c r="AB143" s="336"/>
      <c r="AC143" s="336"/>
      <c r="AD143" s="336"/>
      <c r="AE143" s="336"/>
      <c r="AF143" s="336"/>
      <c r="AG143" s="336"/>
      <c r="AH143" s="336"/>
      <c r="AI143" s="336"/>
      <c r="AJ143" s="336"/>
      <c r="AK143" s="336"/>
      <c r="AL143" s="336"/>
      <c r="AM143" s="336"/>
      <c r="AN143" s="336"/>
      <c r="AO143" s="336"/>
      <c r="AP143" s="336"/>
      <c r="AQ143" s="336"/>
      <c r="AR143" s="336"/>
      <c r="AS143" s="336"/>
      <c r="AT143" s="336"/>
      <c r="AU143" s="336"/>
      <c r="AV143" s="336"/>
      <c r="AW143" s="336"/>
    </row>
    <row r="144" spans="1:49" ht="14" outlineLevel="3">
      <c r="A144" s="336"/>
      <c r="B144" s="341"/>
      <c r="C144" s="354" t="s">
        <v>495</v>
      </c>
      <c r="D144" s="355" t="str">
        <f t="shared" si="16"/>
        <v/>
      </c>
      <c r="E144" s="355" t="str">
        <f t="shared" si="17"/>
        <v/>
      </c>
      <c r="F144" s="355" t="str">
        <f t="shared" si="18"/>
        <v/>
      </c>
      <c r="G144" s="355" t="str">
        <f t="shared" si="19"/>
        <v/>
      </c>
      <c r="H144" s="355" t="str">
        <f t="shared" si="20"/>
        <v/>
      </c>
      <c r="I144" s="355" t="str">
        <f t="shared" si="21"/>
        <v/>
      </c>
      <c r="J144" s="355" t="str">
        <f t="shared" si="22"/>
        <v/>
      </c>
      <c r="K144" s="356" t="str">
        <f t="shared" si="23"/>
        <v/>
      </c>
      <c r="M144" s="357"/>
      <c r="N144" s="357"/>
      <c r="O144" s="357"/>
      <c r="P144" s="357"/>
      <c r="Q144" s="357"/>
      <c r="R144" s="357"/>
      <c r="S144" s="357"/>
      <c r="T144" s="357"/>
      <c r="U144" s="357"/>
      <c r="V144" s="357"/>
      <c r="W144" s="357"/>
      <c r="X144" s="357"/>
      <c r="Y144" s="343"/>
      <c r="Z144" s="336"/>
      <c r="AA144" s="336"/>
      <c r="AB144" s="336"/>
      <c r="AC144" s="336"/>
      <c r="AD144" s="336"/>
      <c r="AE144" s="336"/>
      <c r="AF144" s="336"/>
      <c r="AG144" s="336"/>
      <c r="AH144" s="336"/>
      <c r="AI144" s="336"/>
      <c r="AJ144" s="336"/>
      <c r="AK144" s="336"/>
      <c r="AL144" s="336"/>
      <c r="AM144" s="336"/>
      <c r="AN144" s="336"/>
      <c r="AO144" s="336"/>
      <c r="AP144" s="336"/>
      <c r="AQ144" s="336"/>
      <c r="AR144" s="336"/>
      <c r="AS144" s="336"/>
      <c r="AT144" s="336"/>
      <c r="AU144" s="336"/>
      <c r="AV144" s="336"/>
      <c r="AW144" s="336"/>
    </row>
    <row r="145" spans="1:49" ht="14" outlineLevel="4">
      <c r="A145" s="336"/>
      <c r="B145" s="341"/>
      <c r="C145" s="354" t="s">
        <v>496</v>
      </c>
      <c r="D145" s="355">
        <f t="shared" si="16"/>
        <v>9</v>
      </c>
      <c r="E145" s="355">
        <f t="shared" si="17"/>
        <v>9.4</v>
      </c>
      <c r="F145" s="355">
        <f t="shared" si="18"/>
        <v>9</v>
      </c>
      <c r="G145" s="355">
        <f t="shared" si="19"/>
        <v>10</v>
      </c>
      <c r="H145" s="355">
        <f t="shared" si="20"/>
        <v>9</v>
      </c>
      <c r="I145" s="355">
        <f t="shared" si="21"/>
        <v>10</v>
      </c>
      <c r="J145" s="355">
        <f t="shared" si="22"/>
        <v>0.5163977794943222</v>
      </c>
      <c r="K145" s="356">
        <f t="shared" si="23"/>
        <v>5.4935933988757679E-2</v>
      </c>
      <c r="M145" s="357">
        <v>9</v>
      </c>
      <c r="N145" s="357">
        <v>9</v>
      </c>
      <c r="O145" s="357">
        <v>9</v>
      </c>
      <c r="P145" s="357">
        <v>9</v>
      </c>
      <c r="Q145" s="357">
        <v>9</v>
      </c>
      <c r="R145" s="357">
        <v>9</v>
      </c>
      <c r="S145" s="357">
        <v>10</v>
      </c>
      <c r="T145" s="357">
        <v>10</v>
      </c>
      <c r="U145" s="357">
        <v>10</v>
      </c>
      <c r="V145" s="357">
        <v>10</v>
      </c>
      <c r="W145" s="357"/>
      <c r="X145" s="357"/>
      <c r="Y145" s="343"/>
      <c r="Z145" s="336"/>
      <c r="AA145" s="336"/>
      <c r="AB145" s="336"/>
      <c r="AC145" s="336"/>
      <c r="AD145" s="336"/>
      <c r="AE145" s="336"/>
      <c r="AF145" s="336"/>
      <c r="AG145" s="336"/>
      <c r="AH145" s="336"/>
      <c r="AI145" s="336"/>
      <c r="AJ145" s="336"/>
      <c r="AK145" s="336"/>
      <c r="AL145" s="336"/>
      <c r="AM145" s="336"/>
      <c r="AN145" s="336"/>
      <c r="AO145" s="336"/>
      <c r="AP145" s="336"/>
      <c r="AQ145" s="336"/>
      <c r="AR145" s="336"/>
      <c r="AS145" s="336"/>
      <c r="AT145" s="336"/>
      <c r="AU145" s="336"/>
      <c r="AV145" s="336"/>
      <c r="AW145" s="336"/>
    </row>
    <row r="146" spans="1:49" ht="14" outlineLevel="4">
      <c r="A146" s="336"/>
      <c r="B146" s="341"/>
      <c r="C146" s="354" t="s">
        <v>497</v>
      </c>
      <c r="D146" s="355">
        <f t="shared" si="16"/>
        <v>40070</v>
      </c>
      <c r="E146" s="355">
        <f t="shared" si="17"/>
        <v>189548</v>
      </c>
      <c r="F146" s="355">
        <f t="shared" si="18"/>
        <v>352</v>
      </c>
      <c r="G146" s="355">
        <f t="shared" si="19"/>
        <v>609115</v>
      </c>
      <c r="H146" s="355">
        <f t="shared" si="20"/>
        <v>22254</v>
      </c>
      <c r="I146" s="355">
        <f t="shared" si="21"/>
        <v>394715</v>
      </c>
      <c r="J146" s="355">
        <f t="shared" si="22"/>
        <v>259696.5775104991</v>
      </c>
      <c r="K146" s="356">
        <f t="shared" si="23"/>
        <v>1.3700834485750264</v>
      </c>
      <c r="M146" s="357">
        <v>609115</v>
      </c>
      <c r="N146" s="357">
        <v>575631</v>
      </c>
      <c r="O146" s="357">
        <v>505144</v>
      </c>
      <c r="P146" s="357">
        <v>63428</v>
      </c>
      <c r="Q146" s="357">
        <v>45673</v>
      </c>
      <c r="R146" s="357">
        <v>29820</v>
      </c>
      <c r="S146" s="357">
        <v>19732</v>
      </c>
      <c r="T146" s="357">
        <v>12118</v>
      </c>
      <c r="U146" s="357">
        <v>34467</v>
      </c>
      <c r="V146" s="357">
        <v>352</v>
      </c>
      <c r="W146" s="357"/>
      <c r="X146" s="357"/>
      <c r="Y146" s="343"/>
      <c r="Z146" s="336"/>
      <c r="AA146" s="336"/>
      <c r="AB146" s="336"/>
      <c r="AC146" s="336"/>
      <c r="AD146" s="336"/>
      <c r="AE146" s="336"/>
      <c r="AF146" s="336"/>
      <c r="AG146" s="336"/>
      <c r="AH146" s="336"/>
      <c r="AI146" s="336"/>
      <c r="AJ146" s="336"/>
      <c r="AK146" s="336"/>
      <c r="AL146" s="336"/>
      <c r="AM146" s="336"/>
      <c r="AN146" s="336"/>
      <c r="AO146" s="336"/>
      <c r="AP146" s="336"/>
      <c r="AQ146" s="336"/>
      <c r="AR146" s="336"/>
      <c r="AS146" s="336"/>
      <c r="AT146" s="336"/>
      <c r="AU146" s="336"/>
      <c r="AV146" s="336"/>
      <c r="AW146" s="336"/>
    </row>
    <row r="147" spans="1:49" ht="14" outlineLevel="4">
      <c r="A147" s="336"/>
      <c r="B147" s="341"/>
      <c r="C147" s="358" t="s">
        <v>498</v>
      </c>
      <c r="D147" s="359">
        <f t="shared" si="16"/>
        <v>40079.5</v>
      </c>
      <c r="E147" s="359">
        <f t="shared" si="17"/>
        <v>189557.4</v>
      </c>
      <c r="F147" s="359">
        <f t="shared" si="18"/>
        <v>362</v>
      </c>
      <c r="G147" s="359">
        <f t="shared" si="19"/>
        <v>609124</v>
      </c>
      <c r="H147" s="359">
        <f t="shared" si="20"/>
        <v>22263.75</v>
      </c>
      <c r="I147" s="359">
        <f t="shared" si="21"/>
        <v>394724</v>
      </c>
      <c r="J147" s="359">
        <f t="shared" si="22"/>
        <v>259696.2816429137</v>
      </c>
      <c r="K147" s="360">
        <f t="shared" si="23"/>
        <v>1.3700139463978389</v>
      </c>
      <c r="L147" s="339"/>
      <c r="M147" s="361">
        <v>609124</v>
      </c>
      <c r="N147" s="361">
        <v>575640</v>
      </c>
      <c r="O147" s="361">
        <v>505153</v>
      </c>
      <c r="P147" s="361">
        <v>63437</v>
      </c>
      <c r="Q147" s="361">
        <v>45682</v>
      </c>
      <c r="R147" s="361">
        <v>29829</v>
      </c>
      <c r="S147" s="361">
        <v>19742</v>
      </c>
      <c r="T147" s="361">
        <v>12128</v>
      </c>
      <c r="U147" s="361">
        <v>34477</v>
      </c>
      <c r="V147" s="361">
        <v>362</v>
      </c>
      <c r="W147" s="361"/>
      <c r="X147" s="361"/>
      <c r="Y147" s="343"/>
      <c r="Z147" s="336"/>
      <c r="AA147" s="336"/>
      <c r="AB147" s="336"/>
      <c r="AC147" s="336"/>
      <c r="AD147" s="336"/>
      <c r="AE147" s="336"/>
      <c r="AF147" s="336"/>
      <c r="AG147" s="336"/>
      <c r="AH147" s="336"/>
      <c r="AI147" s="336"/>
      <c r="AJ147" s="336"/>
      <c r="AK147" s="336"/>
      <c r="AL147" s="336"/>
      <c r="AM147" s="336"/>
      <c r="AN147" s="336"/>
      <c r="AO147" s="336"/>
      <c r="AP147" s="336"/>
      <c r="AQ147" s="336"/>
      <c r="AR147" s="336"/>
      <c r="AS147" s="336"/>
      <c r="AT147" s="336"/>
      <c r="AU147" s="336"/>
      <c r="AV147" s="336"/>
      <c r="AW147" s="336"/>
    </row>
    <row r="148" spans="1:49" ht="14" outlineLevel="3">
      <c r="A148" s="336"/>
      <c r="B148" s="341"/>
      <c r="C148" s="358" t="s">
        <v>499</v>
      </c>
      <c r="D148" s="359">
        <f t="shared" si="16"/>
        <v>40079.5</v>
      </c>
      <c r="E148" s="359">
        <f t="shared" si="17"/>
        <v>189557.4</v>
      </c>
      <c r="F148" s="359">
        <f t="shared" si="18"/>
        <v>362</v>
      </c>
      <c r="G148" s="359">
        <f t="shared" si="19"/>
        <v>609124</v>
      </c>
      <c r="H148" s="359">
        <f t="shared" si="20"/>
        <v>22263.75</v>
      </c>
      <c r="I148" s="359">
        <f t="shared" si="21"/>
        <v>394724</v>
      </c>
      <c r="J148" s="359">
        <f t="shared" si="22"/>
        <v>259696.2816429137</v>
      </c>
      <c r="K148" s="360">
        <f t="shared" si="23"/>
        <v>1.3700139463978389</v>
      </c>
      <c r="L148" s="339"/>
      <c r="M148" s="361">
        <v>609124</v>
      </c>
      <c r="N148" s="361">
        <v>575640</v>
      </c>
      <c r="O148" s="361">
        <v>505153</v>
      </c>
      <c r="P148" s="361">
        <v>63437</v>
      </c>
      <c r="Q148" s="361">
        <v>45682</v>
      </c>
      <c r="R148" s="361">
        <v>29829</v>
      </c>
      <c r="S148" s="361">
        <v>19742</v>
      </c>
      <c r="T148" s="361">
        <v>12128</v>
      </c>
      <c r="U148" s="361">
        <v>34477</v>
      </c>
      <c r="V148" s="361">
        <v>362</v>
      </c>
      <c r="W148" s="361"/>
      <c r="X148" s="361"/>
      <c r="Y148" s="343"/>
      <c r="Z148" s="336"/>
      <c r="AA148" s="336"/>
      <c r="AB148" s="336"/>
      <c r="AC148" s="336"/>
      <c r="AD148" s="336"/>
      <c r="AE148" s="336"/>
      <c r="AF148" s="336"/>
      <c r="AG148" s="336"/>
      <c r="AH148" s="336"/>
      <c r="AI148" s="336"/>
      <c r="AJ148" s="336"/>
      <c r="AK148" s="336"/>
      <c r="AL148" s="336"/>
      <c r="AM148" s="336"/>
      <c r="AN148" s="336"/>
      <c r="AO148" s="336"/>
      <c r="AP148" s="336"/>
      <c r="AQ148" s="336"/>
      <c r="AR148" s="336"/>
      <c r="AS148" s="336"/>
      <c r="AT148" s="336"/>
      <c r="AU148" s="336"/>
      <c r="AV148" s="336"/>
      <c r="AW148" s="336"/>
    </row>
    <row r="149" spans="1:49" ht="14" outlineLevel="2">
      <c r="A149" s="336"/>
      <c r="B149" s="341"/>
      <c r="C149" s="354" t="s">
        <v>500</v>
      </c>
      <c r="D149" s="355">
        <f t="shared" si="16"/>
        <v>-697589</v>
      </c>
      <c r="E149" s="355">
        <f t="shared" si="17"/>
        <v>-511777.3</v>
      </c>
      <c r="F149" s="355">
        <f t="shared" si="18"/>
        <v>-822156</v>
      </c>
      <c r="G149" s="355">
        <f t="shared" si="19"/>
        <v>-14032</v>
      </c>
      <c r="H149" s="355">
        <f t="shared" si="20"/>
        <v>-729641.25</v>
      </c>
      <c r="I149" s="355">
        <f t="shared" si="21"/>
        <v>-221649</v>
      </c>
      <c r="J149" s="355">
        <f t="shared" si="22"/>
        <v>305463.93825823913</v>
      </c>
      <c r="K149" s="356">
        <f t="shared" si="23"/>
        <v>-0.59686886905347136</v>
      </c>
      <c r="M149" s="357">
        <v>-822156</v>
      </c>
      <c r="N149" s="357">
        <v>-691461</v>
      </c>
      <c r="O149" s="357">
        <v>-703717</v>
      </c>
      <c r="P149" s="357">
        <v>-708804</v>
      </c>
      <c r="Q149" s="357">
        <v>-751578</v>
      </c>
      <c r="R149" s="357">
        <v>-736587</v>
      </c>
      <c r="S149" s="357">
        <v>-394410</v>
      </c>
      <c r="T149" s="357">
        <v>-130966</v>
      </c>
      <c r="U149" s="357">
        <v>-164062</v>
      </c>
      <c r="V149" s="357">
        <v>-14032</v>
      </c>
      <c r="W149" s="357"/>
      <c r="X149" s="357"/>
      <c r="Y149" s="343"/>
      <c r="Z149" s="336"/>
      <c r="AA149" s="336"/>
      <c r="AB149" s="336"/>
      <c r="AC149" s="336"/>
      <c r="AD149" s="336"/>
      <c r="AE149" s="336"/>
      <c r="AF149" s="336"/>
      <c r="AG149" s="336"/>
      <c r="AH149" s="336"/>
      <c r="AI149" s="336"/>
      <c r="AJ149" s="336"/>
      <c r="AK149" s="336"/>
      <c r="AL149" s="336"/>
      <c r="AM149" s="336"/>
      <c r="AN149" s="336"/>
      <c r="AO149" s="336"/>
      <c r="AP149" s="336"/>
      <c r="AQ149" s="336"/>
      <c r="AR149" s="336"/>
      <c r="AS149" s="336"/>
      <c r="AT149" s="336"/>
      <c r="AU149" s="336"/>
      <c r="AV149" s="336"/>
      <c r="AW149" s="336"/>
    </row>
    <row r="150" spans="1:49" ht="14" outlineLevel="2">
      <c r="A150" s="336"/>
      <c r="B150" s="341"/>
      <c r="C150" s="354" t="s">
        <v>501</v>
      </c>
      <c r="D150" s="355" t="str">
        <f t="shared" si="16"/>
        <v/>
      </c>
      <c r="E150" s="355" t="str">
        <f t="shared" si="17"/>
        <v/>
      </c>
      <c r="F150" s="355" t="str">
        <f t="shared" si="18"/>
        <v/>
      </c>
      <c r="G150" s="355" t="str">
        <f t="shared" si="19"/>
        <v/>
      </c>
      <c r="H150" s="355" t="str">
        <f t="shared" si="20"/>
        <v/>
      </c>
      <c r="I150" s="355" t="str">
        <f t="shared" si="21"/>
        <v/>
      </c>
      <c r="J150" s="355" t="str">
        <f t="shared" si="22"/>
        <v/>
      </c>
      <c r="K150" s="356" t="str">
        <f t="shared" si="23"/>
        <v/>
      </c>
      <c r="M150" s="357"/>
      <c r="N150" s="357"/>
      <c r="O150" s="357"/>
      <c r="P150" s="357"/>
      <c r="Q150" s="357"/>
      <c r="R150" s="357"/>
      <c r="S150" s="357"/>
      <c r="T150" s="357"/>
      <c r="U150" s="357"/>
      <c r="V150" s="357"/>
      <c r="W150" s="357"/>
      <c r="X150" s="357"/>
      <c r="Y150" s="343"/>
      <c r="Z150" s="336"/>
      <c r="AA150" s="336"/>
      <c r="AB150" s="336"/>
      <c r="AC150" s="336"/>
      <c r="AD150" s="336"/>
      <c r="AE150" s="336"/>
      <c r="AF150" s="336"/>
      <c r="AG150" s="336"/>
      <c r="AH150" s="336"/>
      <c r="AI150" s="336"/>
      <c r="AJ150" s="336"/>
      <c r="AK150" s="336"/>
      <c r="AL150" s="336"/>
      <c r="AM150" s="336"/>
      <c r="AN150" s="336"/>
      <c r="AO150" s="336"/>
      <c r="AP150" s="336"/>
      <c r="AQ150" s="336"/>
      <c r="AR150" s="336"/>
      <c r="AS150" s="336"/>
      <c r="AT150" s="336"/>
      <c r="AU150" s="336"/>
      <c r="AV150" s="336"/>
      <c r="AW150" s="336"/>
    </row>
    <row r="151" spans="1:49" ht="14" outlineLevel="3">
      <c r="A151" s="336"/>
      <c r="B151" s="341"/>
      <c r="C151" s="354" t="s">
        <v>502</v>
      </c>
      <c r="D151" s="355">
        <f t="shared" si="16"/>
        <v>-218</v>
      </c>
      <c r="E151" s="355">
        <f t="shared" si="17"/>
        <v>-522</v>
      </c>
      <c r="F151" s="355">
        <f t="shared" si="18"/>
        <v>-2348</v>
      </c>
      <c r="G151" s="355">
        <f t="shared" si="19"/>
        <v>303</v>
      </c>
      <c r="H151" s="355">
        <f t="shared" si="20"/>
        <v>-779.5</v>
      </c>
      <c r="I151" s="355">
        <f t="shared" si="21"/>
        <v>92.5</v>
      </c>
      <c r="J151" s="355">
        <f t="shared" si="22"/>
        <v>837.22170410123852</v>
      </c>
      <c r="K151" s="356">
        <f t="shared" si="23"/>
        <v>-1.6038729963625258</v>
      </c>
      <c r="M151" s="357">
        <v>-2348</v>
      </c>
      <c r="N151" s="357">
        <v>172</v>
      </c>
      <c r="O151" s="357">
        <v>-448</v>
      </c>
      <c r="P151" s="357">
        <v>12</v>
      </c>
      <c r="Q151" s="357">
        <v>27</v>
      </c>
      <c r="R151" s="357">
        <v>303</v>
      </c>
      <c r="S151" s="357">
        <v>94</v>
      </c>
      <c r="T151" s="357">
        <v>-648</v>
      </c>
      <c r="U151" s="357">
        <v>-1174</v>
      </c>
      <c r="V151" s="357">
        <v>-1710</v>
      </c>
      <c r="W151" s="357">
        <v>-636</v>
      </c>
      <c r="X151" s="357">
        <v>92</v>
      </c>
      <c r="Y151" s="343"/>
      <c r="Z151" s="336"/>
      <c r="AA151" s="336"/>
      <c r="AB151" s="336"/>
      <c r="AC151" s="336"/>
      <c r="AD151" s="336"/>
      <c r="AE151" s="336"/>
      <c r="AF151" s="336"/>
      <c r="AG151" s="336"/>
      <c r="AH151" s="336"/>
      <c r="AI151" s="336"/>
      <c r="AJ151" s="336"/>
      <c r="AK151" s="336"/>
      <c r="AL151" s="336"/>
      <c r="AM151" s="336"/>
      <c r="AN151" s="336"/>
      <c r="AO151" s="336"/>
      <c r="AP151" s="336"/>
      <c r="AQ151" s="336"/>
      <c r="AR151" s="336"/>
      <c r="AS151" s="336"/>
      <c r="AT151" s="336"/>
      <c r="AU151" s="336"/>
      <c r="AV151" s="336"/>
      <c r="AW151" s="336"/>
    </row>
    <row r="152" spans="1:49" ht="14" outlineLevel="3">
      <c r="A152" s="336"/>
      <c r="B152" s="341"/>
      <c r="C152" s="358" t="s">
        <v>503</v>
      </c>
      <c r="D152" s="359">
        <f t="shared" si="16"/>
        <v>-218</v>
      </c>
      <c r="E152" s="359">
        <f t="shared" si="17"/>
        <v>-522</v>
      </c>
      <c r="F152" s="359">
        <f t="shared" si="18"/>
        <v>-2348</v>
      </c>
      <c r="G152" s="359">
        <f t="shared" si="19"/>
        <v>303</v>
      </c>
      <c r="H152" s="359">
        <f t="shared" si="20"/>
        <v>-779.5</v>
      </c>
      <c r="I152" s="359">
        <f t="shared" si="21"/>
        <v>92.5</v>
      </c>
      <c r="J152" s="359">
        <f t="shared" si="22"/>
        <v>837.22170410123852</v>
      </c>
      <c r="K152" s="360">
        <f t="shared" si="23"/>
        <v>-1.6038729963625258</v>
      </c>
      <c r="L152" s="339"/>
      <c r="M152" s="361">
        <v>-2348</v>
      </c>
      <c r="N152" s="361">
        <v>172</v>
      </c>
      <c r="O152" s="361">
        <v>-448</v>
      </c>
      <c r="P152" s="361">
        <v>12</v>
      </c>
      <c r="Q152" s="361">
        <v>27</v>
      </c>
      <c r="R152" s="361">
        <v>303</v>
      </c>
      <c r="S152" s="361">
        <v>94</v>
      </c>
      <c r="T152" s="361">
        <v>-648</v>
      </c>
      <c r="U152" s="361">
        <v>-1174</v>
      </c>
      <c r="V152" s="361">
        <v>-1710</v>
      </c>
      <c r="W152" s="361">
        <v>-636</v>
      </c>
      <c r="X152" s="361">
        <v>92</v>
      </c>
      <c r="Y152" s="343"/>
      <c r="Z152" s="336"/>
      <c r="AA152" s="336"/>
      <c r="AB152" s="336"/>
      <c r="AC152" s="336"/>
      <c r="AD152" s="336"/>
      <c r="AE152" s="336"/>
      <c r="AF152" s="336"/>
      <c r="AG152" s="336"/>
      <c r="AH152" s="336"/>
      <c r="AI152" s="336"/>
      <c r="AJ152" s="336"/>
      <c r="AK152" s="336"/>
      <c r="AL152" s="336"/>
      <c r="AM152" s="336"/>
      <c r="AN152" s="336"/>
      <c r="AO152" s="336"/>
      <c r="AP152" s="336"/>
      <c r="AQ152" s="336"/>
      <c r="AR152" s="336"/>
      <c r="AS152" s="336"/>
      <c r="AT152" s="336"/>
      <c r="AU152" s="336"/>
      <c r="AV152" s="336"/>
      <c r="AW152" s="336"/>
    </row>
    <row r="153" spans="1:49" ht="14" outlineLevel="2">
      <c r="A153" s="336"/>
      <c r="B153" s="341"/>
      <c r="C153" s="354" t="s">
        <v>504</v>
      </c>
      <c r="D153" s="355">
        <f t="shared" si="16"/>
        <v>230889.5</v>
      </c>
      <c r="E153" s="355">
        <f t="shared" si="17"/>
        <v>230889.5</v>
      </c>
      <c r="F153" s="355">
        <f t="shared" si="18"/>
        <v>146156</v>
      </c>
      <c r="G153" s="355">
        <f t="shared" si="19"/>
        <v>315623</v>
      </c>
      <c r="H153" s="355">
        <f t="shared" si="20"/>
        <v>188522.75</v>
      </c>
      <c r="I153" s="355">
        <f t="shared" si="21"/>
        <v>273256.25</v>
      </c>
      <c r="J153" s="355">
        <f t="shared" si="22"/>
        <v>119831.26488734064</v>
      </c>
      <c r="K153" s="356">
        <f t="shared" si="23"/>
        <v>0.51899832988221917</v>
      </c>
      <c r="M153" s="357"/>
      <c r="N153" s="357"/>
      <c r="O153" s="357"/>
      <c r="P153" s="357"/>
      <c r="Q153" s="357"/>
      <c r="R153" s="357"/>
      <c r="S153" s="357"/>
      <c r="T153" s="357"/>
      <c r="U153" s="357"/>
      <c r="V153" s="357"/>
      <c r="W153" s="357">
        <v>146156</v>
      </c>
      <c r="X153" s="357">
        <v>315623</v>
      </c>
      <c r="Y153" s="343"/>
      <c r="Z153" s="336"/>
      <c r="AA153" s="336"/>
      <c r="AB153" s="336"/>
      <c r="AC153" s="336"/>
      <c r="AD153" s="336"/>
      <c r="AE153" s="336"/>
      <c r="AF153" s="336"/>
      <c r="AG153" s="336"/>
      <c r="AH153" s="336"/>
      <c r="AI153" s="336"/>
      <c r="AJ153" s="336"/>
      <c r="AK153" s="336"/>
      <c r="AL153" s="336"/>
      <c r="AM153" s="336"/>
      <c r="AN153" s="336"/>
      <c r="AO153" s="336"/>
      <c r="AP153" s="336"/>
      <c r="AQ153" s="336"/>
      <c r="AR153" s="336"/>
      <c r="AS153" s="336"/>
      <c r="AT153" s="336"/>
      <c r="AU153" s="336"/>
      <c r="AV153" s="336"/>
      <c r="AW153" s="336"/>
    </row>
    <row r="154" spans="1:49" ht="14" outlineLevel="2">
      <c r="A154" s="336"/>
      <c r="B154" s="341"/>
      <c r="C154" s="358" t="s">
        <v>505</v>
      </c>
      <c r="D154" s="359">
        <f t="shared" si="16"/>
        <v>-164885.5</v>
      </c>
      <c r="E154" s="359">
        <f t="shared" si="17"/>
        <v>-230557</v>
      </c>
      <c r="F154" s="359">
        <f t="shared" si="18"/>
        <v>-706455</v>
      </c>
      <c r="G154" s="359">
        <f t="shared" si="19"/>
        <v>315715</v>
      </c>
      <c r="H154" s="359">
        <f t="shared" si="20"/>
        <v>-442269.25</v>
      </c>
      <c r="I154" s="359">
        <f t="shared" si="21"/>
        <v>-90581.75</v>
      </c>
      <c r="J154" s="359">
        <f t="shared" si="22"/>
        <v>325865.63247979147</v>
      </c>
      <c r="K154" s="360">
        <f t="shared" si="23"/>
        <v>-1.4133842497941571</v>
      </c>
      <c r="L154" s="339"/>
      <c r="M154" s="361">
        <v>-215380</v>
      </c>
      <c r="N154" s="361">
        <v>-115649</v>
      </c>
      <c r="O154" s="361">
        <v>-199012</v>
      </c>
      <c r="P154" s="361">
        <v>-645355</v>
      </c>
      <c r="Q154" s="361">
        <v>-705869</v>
      </c>
      <c r="R154" s="361">
        <v>-706455</v>
      </c>
      <c r="S154" s="361">
        <v>-374574</v>
      </c>
      <c r="T154" s="361">
        <v>-119486</v>
      </c>
      <c r="U154" s="361">
        <v>-130759</v>
      </c>
      <c r="V154" s="361">
        <v>-15380</v>
      </c>
      <c r="W154" s="361">
        <v>145520</v>
      </c>
      <c r="X154" s="361">
        <v>315715</v>
      </c>
      <c r="Y154" s="343"/>
      <c r="Z154" s="336"/>
      <c r="AA154" s="336"/>
      <c r="AB154" s="336"/>
      <c r="AC154" s="336"/>
      <c r="AD154" s="336"/>
      <c r="AE154" s="336"/>
      <c r="AF154" s="336"/>
      <c r="AG154" s="336"/>
      <c r="AH154" s="336"/>
      <c r="AI154" s="336"/>
      <c r="AJ154" s="336"/>
      <c r="AK154" s="336"/>
      <c r="AL154" s="336"/>
      <c r="AM154" s="336"/>
      <c r="AN154" s="336"/>
      <c r="AO154" s="336"/>
      <c r="AP154" s="336"/>
      <c r="AQ154" s="336"/>
      <c r="AR154" s="336"/>
      <c r="AS154" s="336"/>
      <c r="AT154" s="336"/>
      <c r="AU154" s="336"/>
      <c r="AV154" s="336"/>
      <c r="AW154" s="336"/>
    </row>
    <row r="155" spans="1:49" ht="14" outlineLevel="1">
      <c r="A155" s="336"/>
      <c r="B155" s="341"/>
      <c r="C155" s="354" t="s">
        <v>506</v>
      </c>
      <c r="D155" s="355">
        <f t="shared" si="16"/>
        <v>-646</v>
      </c>
      <c r="E155" s="355">
        <f t="shared" si="17"/>
        <v>-8117.5</v>
      </c>
      <c r="F155" s="355">
        <f t="shared" si="18"/>
        <v>-83996</v>
      </c>
      <c r="G155" s="355">
        <f t="shared" si="19"/>
        <v>14300</v>
      </c>
      <c r="H155" s="355">
        <f t="shared" si="20"/>
        <v>-9298.5</v>
      </c>
      <c r="I155" s="355">
        <f t="shared" si="21"/>
        <v>3432.5</v>
      </c>
      <c r="J155" s="355">
        <f t="shared" si="22"/>
        <v>25396.901634576679</v>
      </c>
      <c r="K155" s="356">
        <f t="shared" si="23"/>
        <v>-3.1286605031816053</v>
      </c>
      <c r="M155" s="357">
        <v>7</v>
      </c>
      <c r="N155" s="357">
        <v>-3342</v>
      </c>
      <c r="O155" s="357">
        <v>-12549</v>
      </c>
      <c r="P155" s="357">
        <v>2510</v>
      </c>
      <c r="Q155" s="357">
        <v>196</v>
      </c>
      <c r="R155" s="357">
        <v>-1299</v>
      </c>
      <c r="S155" s="357">
        <v>-8215</v>
      </c>
      <c r="T155" s="357">
        <v>-17451</v>
      </c>
      <c r="U155" s="357">
        <v>-83996</v>
      </c>
      <c r="V155" s="357">
        <v>14300</v>
      </c>
      <c r="W155" s="357">
        <v>6229</v>
      </c>
      <c r="X155" s="357">
        <v>6200</v>
      </c>
      <c r="Y155" s="343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M155" s="336"/>
      <c r="AN155" s="336"/>
      <c r="AO155" s="336"/>
      <c r="AP155" s="336"/>
      <c r="AQ155" s="336"/>
      <c r="AR155" s="336"/>
      <c r="AS155" s="336"/>
      <c r="AT155" s="336"/>
      <c r="AU155" s="336"/>
      <c r="AV155" s="336"/>
      <c r="AW155" s="336"/>
    </row>
    <row r="156" spans="1:49" ht="14" outlineLevel="1">
      <c r="A156" s="336"/>
      <c r="B156" s="341"/>
      <c r="C156" s="351" t="s">
        <v>507</v>
      </c>
      <c r="D156" s="359">
        <f t="shared" si="16"/>
        <v>-213158</v>
      </c>
      <c r="E156" s="359">
        <f t="shared" si="17"/>
        <v>-238674.5</v>
      </c>
      <c r="F156" s="359">
        <f t="shared" si="18"/>
        <v>-707754</v>
      </c>
      <c r="G156" s="359">
        <f t="shared" si="19"/>
        <v>321915</v>
      </c>
      <c r="H156" s="359">
        <f t="shared" si="20"/>
        <v>-447803</v>
      </c>
      <c r="I156" s="359">
        <f t="shared" si="21"/>
        <v>-89513.25</v>
      </c>
      <c r="J156" s="359">
        <f t="shared" si="22"/>
        <v>326400.91147641785</v>
      </c>
      <c r="K156" s="360">
        <f t="shared" si="23"/>
        <v>-1.367556699506725</v>
      </c>
      <c r="L156" s="362"/>
      <c r="M156" s="359">
        <v>-215373</v>
      </c>
      <c r="N156" s="359">
        <v>-118991</v>
      </c>
      <c r="O156" s="359">
        <v>-211561</v>
      </c>
      <c r="P156" s="359">
        <v>-642845</v>
      </c>
      <c r="Q156" s="359">
        <v>-705673</v>
      </c>
      <c r="R156" s="359">
        <v>-707754</v>
      </c>
      <c r="S156" s="359">
        <v>-382789</v>
      </c>
      <c r="T156" s="359">
        <v>-136937</v>
      </c>
      <c r="U156" s="359">
        <v>-214755</v>
      </c>
      <c r="V156" s="359">
        <v>-1080</v>
      </c>
      <c r="W156" s="359">
        <v>151749</v>
      </c>
      <c r="X156" s="359">
        <v>321915</v>
      </c>
      <c r="Y156" s="343"/>
      <c r="Z156" s="336"/>
      <c r="AA156" s="336"/>
      <c r="AB156" s="336"/>
      <c r="AC156" s="336"/>
      <c r="AD156" s="336"/>
      <c r="AE156" s="336"/>
      <c r="AF156" s="336"/>
      <c r="AG156" s="336"/>
      <c r="AH156" s="336"/>
      <c r="AI156" s="336"/>
      <c r="AJ156" s="336"/>
      <c r="AK156" s="336"/>
      <c r="AL156" s="336"/>
      <c r="AM156" s="336"/>
      <c r="AN156" s="336"/>
      <c r="AO156" s="336"/>
      <c r="AP156" s="336"/>
      <c r="AQ156" s="336"/>
      <c r="AR156" s="336"/>
      <c r="AS156" s="336"/>
      <c r="AT156" s="336"/>
      <c r="AU156" s="336"/>
      <c r="AV156" s="336"/>
      <c r="AW156" s="336"/>
    </row>
    <row r="157" spans="1:49" ht="14">
      <c r="A157" s="336"/>
      <c r="B157" s="341"/>
      <c r="C157" s="351" t="s">
        <v>508</v>
      </c>
      <c r="D157" s="364" t="str">
        <f t="shared" si="16"/>
        <v/>
      </c>
      <c r="E157" s="364" t="str">
        <f t="shared" si="17"/>
        <v/>
      </c>
      <c r="F157" s="364" t="str">
        <f t="shared" si="18"/>
        <v/>
      </c>
      <c r="G157" s="364" t="str">
        <f t="shared" si="19"/>
        <v/>
      </c>
      <c r="H157" s="364" t="str">
        <f t="shared" si="20"/>
        <v/>
      </c>
      <c r="I157" s="364" t="str">
        <f t="shared" si="21"/>
        <v/>
      </c>
      <c r="J157" s="364" t="str">
        <f t="shared" si="22"/>
        <v/>
      </c>
      <c r="K157" s="353" t="str">
        <f t="shared" si="23"/>
        <v/>
      </c>
      <c r="L157" s="346"/>
      <c r="M157" s="364"/>
      <c r="N157" s="364"/>
      <c r="O157" s="364"/>
      <c r="P157" s="364"/>
      <c r="Q157" s="364"/>
      <c r="R157" s="364"/>
      <c r="S157" s="364"/>
      <c r="T157" s="364"/>
      <c r="U157" s="364"/>
      <c r="V157" s="364"/>
      <c r="W157" s="364"/>
      <c r="X157" s="364"/>
      <c r="Y157" s="343"/>
      <c r="Z157" s="336"/>
      <c r="AA157" s="336"/>
      <c r="AB157" s="336"/>
      <c r="AC157" s="336"/>
      <c r="AD157" s="336"/>
      <c r="AE157" s="336"/>
      <c r="AF157" s="336"/>
      <c r="AG157" s="336"/>
      <c r="AH157" s="336"/>
      <c r="AI157" s="336"/>
      <c r="AJ157" s="336"/>
      <c r="AK157" s="336"/>
      <c r="AL157" s="336"/>
      <c r="AM157" s="336"/>
      <c r="AN157" s="336"/>
      <c r="AO157" s="336"/>
      <c r="AP157" s="336"/>
      <c r="AQ157" s="336"/>
      <c r="AR157" s="336"/>
      <c r="AS157" s="336"/>
      <c r="AT157" s="336"/>
      <c r="AU157" s="336"/>
      <c r="AV157" s="336"/>
      <c r="AW157" s="336"/>
    </row>
    <row r="158" spans="1:49" ht="14" outlineLevel="1">
      <c r="A158" s="336"/>
      <c r="B158" s="341"/>
      <c r="C158" s="354" t="s">
        <v>509</v>
      </c>
      <c r="D158" s="355" t="str">
        <f t="shared" si="16"/>
        <v/>
      </c>
      <c r="E158" s="355" t="str">
        <f t="shared" si="17"/>
        <v/>
      </c>
      <c r="F158" s="355" t="str">
        <f t="shared" si="18"/>
        <v/>
      </c>
      <c r="G158" s="355" t="str">
        <f t="shared" si="19"/>
        <v/>
      </c>
      <c r="H158" s="355" t="str">
        <f t="shared" si="20"/>
        <v/>
      </c>
      <c r="I158" s="355" t="str">
        <f t="shared" si="21"/>
        <v/>
      </c>
      <c r="J158" s="355" t="str">
        <f t="shared" si="22"/>
        <v/>
      </c>
      <c r="K158" s="356" t="str">
        <f t="shared" si="23"/>
        <v/>
      </c>
      <c r="M158" s="357"/>
      <c r="N158" s="357"/>
      <c r="O158" s="357"/>
      <c r="P158" s="357"/>
      <c r="Q158" s="357"/>
      <c r="R158" s="357"/>
      <c r="S158" s="357"/>
      <c r="T158" s="357"/>
      <c r="U158" s="357"/>
      <c r="V158" s="357"/>
      <c r="W158" s="357"/>
      <c r="X158" s="357"/>
      <c r="Y158" s="343"/>
      <c r="Z158" s="336"/>
      <c r="AA158" s="336"/>
      <c r="AB158" s="336"/>
      <c r="AC158" s="336"/>
      <c r="AD158" s="336"/>
      <c r="AE158" s="336"/>
      <c r="AF158" s="336"/>
      <c r="AG158" s="336"/>
      <c r="AH158" s="336"/>
      <c r="AI158" s="336"/>
      <c r="AJ158" s="336"/>
      <c r="AK158" s="336"/>
      <c r="AL158" s="336"/>
      <c r="AM158" s="336"/>
      <c r="AN158" s="336"/>
      <c r="AO158" s="336"/>
      <c r="AP158" s="336"/>
      <c r="AQ158" s="336"/>
      <c r="AR158" s="336"/>
      <c r="AS158" s="336"/>
      <c r="AT158" s="336"/>
      <c r="AU158" s="336"/>
      <c r="AV158" s="336"/>
      <c r="AW158" s="336"/>
    </row>
    <row r="159" spans="1:49" ht="14" outlineLevel="2">
      <c r="A159" s="336"/>
      <c r="B159" s="341"/>
      <c r="C159" s="354" t="s">
        <v>510</v>
      </c>
      <c r="D159" s="355">
        <f t="shared" si="16"/>
        <v>83125500</v>
      </c>
      <c r="E159" s="355">
        <f t="shared" si="17"/>
        <v>69900514.5</v>
      </c>
      <c r="F159" s="355">
        <f t="shared" si="18"/>
        <v>35229587</v>
      </c>
      <c r="G159" s="355">
        <f t="shared" si="19"/>
        <v>87188000</v>
      </c>
      <c r="H159" s="355">
        <f t="shared" si="20"/>
        <v>55135000</v>
      </c>
      <c r="I159" s="355">
        <f t="shared" si="21"/>
        <v>83933750</v>
      </c>
      <c r="J159" s="355">
        <f t="shared" si="22"/>
        <v>21706622.330533594</v>
      </c>
      <c r="K159" s="356">
        <f t="shared" si="23"/>
        <v>0.31053594506137139</v>
      </c>
      <c r="M159" s="357">
        <v>84323000</v>
      </c>
      <c r="N159" s="357">
        <v>86760000</v>
      </c>
      <c r="O159" s="357">
        <v>83430000</v>
      </c>
      <c r="P159" s="357">
        <v>83804000</v>
      </c>
      <c r="Q159" s="357">
        <v>82821000</v>
      </c>
      <c r="R159" s="357">
        <v>78525000</v>
      </c>
      <c r="S159" s="357">
        <v>83584000</v>
      </c>
      <c r="T159" s="357">
        <v>87188000</v>
      </c>
      <c r="U159" s="357">
        <v>61314000</v>
      </c>
      <c r="V159" s="357">
        <v>36598000</v>
      </c>
      <c r="W159" s="357">
        <v>35229587</v>
      </c>
      <c r="X159" s="357">
        <v>35229587</v>
      </c>
      <c r="Y159" s="343"/>
      <c r="Z159" s="336"/>
      <c r="AA159" s="336"/>
      <c r="AB159" s="336"/>
      <c r="AC159" s="336"/>
      <c r="AD159" s="336"/>
      <c r="AE159" s="336"/>
      <c r="AF159" s="336"/>
      <c r="AG159" s="336"/>
      <c r="AH159" s="336"/>
      <c r="AI159" s="336"/>
      <c r="AJ159" s="336"/>
      <c r="AK159" s="336"/>
      <c r="AL159" s="336"/>
      <c r="AM159" s="336"/>
      <c r="AN159" s="336"/>
      <c r="AO159" s="336"/>
      <c r="AP159" s="336"/>
      <c r="AQ159" s="336"/>
      <c r="AR159" s="336"/>
      <c r="AS159" s="336"/>
      <c r="AT159" s="336"/>
      <c r="AU159" s="336"/>
      <c r="AV159" s="336"/>
      <c r="AW159" s="336"/>
    </row>
    <row r="160" spans="1:49" ht="14" outlineLevel="2">
      <c r="A160" s="336"/>
      <c r="B160" s="341"/>
      <c r="C160" s="354" t="s">
        <v>511</v>
      </c>
      <c r="D160" s="355">
        <f t="shared" si="16"/>
        <v>0</v>
      </c>
      <c r="E160" s="355">
        <f t="shared" si="17"/>
        <v>0</v>
      </c>
      <c r="F160" s="355">
        <f t="shared" si="18"/>
        <v>0</v>
      </c>
      <c r="G160" s="355">
        <f t="shared" si="19"/>
        <v>0</v>
      </c>
      <c r="H160" s="355">
        <f t="shared" si="20"/>
        <v>0</v>
      </c>
      <c r="I160" s="355">
        <f t="shared" si="21"/>
        <v>0</v>
      </c>
      <c r="J160" s="355" t="str">
        <f t="shared" si="22"/>
        <v/>
      </c>
      <c r="K160" s="356" t="str">
        <f t="shared" si="23"/>
        <v/>
      </c>
      <c r="M160" s="357"/>
      <c r="N160" s="357">
        <v>0</v>
      </c>
      <c r="O160" s="357"/>
      <c r="P160" s="357"/>
      <c r="Q160" s="357"/>
      <c r="R160" s="357"/>
      <c r="S160" s="357"/>
      <c r="T160" s="357"/>
      <c r="U160" s="357"/>
      <c r="V160" s="357"/>
      <c r="W160" s="357"/>
      <c r="X160" s="357"/>
      <c r="Y160" s="343"/>
      <c r="Z160" s="336"/>
      <c r="AA160" s="336"/>
      <c r="AB160" s="336"/>
      <c r="AC160" s="336"/>
      <c r="AD160" s="336"/>
      <c r="AE160" s="336"/>
      <c r="AF160" s="336"/>
      <c r="AG160" s="336"/>
      <c r="AH160" s="336"/>
      <c r="AI160" s="336"/>
      <c r="AJ160" s="336"/>
      <c r="AK160" s="336"/>
      <c r="AL160" s="336"/>
      <c r="AM160" s="336"/>
      <c r="AN160" s="336"/>
      <c r="AO160" s="336"/>
      <c r="AP160" s="336"/>
      <c r="AQ160" s="336"/>
      <c r="AR160" s="336"/>
      <c r="AS160" s="336"/>
      <c r="AT160" s="336"/>
      <c r="AU160" s="336"/>
      <c r="AV160" s="336"/>
      <c r="AW160" s="336"/>
    </row>
    <row r="161" spans="1:49" ht="14" outlineLevel="2">
      <c r="A161" s="336"/>
      <c r="B161" s="341"/>
      <c r="C161" s="358" t="s">
        <v>512</v>
      </c>
      <c r="D161" s="359">
        <f t="shared" si="16"/>
        <v>83125500</v>
      </c>
      <c r="E161" s="359">
        <f t="shared" si="17"/>
        <v>69900514.5</v>
      </c>
      <c r="F161" s="359">
        <f t="shared" si="18"/>
        <v>35229587</v>
      </c>
      <c r="G161" s="359">
        <f t="shared" si="19"/>
        <v>87188000</v>
      </c>
      <c r="H161" s="359">
        <f t="shared" si="20"/>
        <v>55135000</v>
      </c>
      <c r="I161" s="359">
        <f t="shared" si="21"/>
        <v>83933750</v>
      </c>
      <c r="J161" s="359">
        <f t="shared" si="22"/>
        <v>21706622.330533594</v>
      </c>
      <c r="K161" s="360">
        <f t="shared" si="23"/>
        <v>0.31053594506137139</v>
      </c>
      <c r="L161" s="339"/>
      <c r="M161" s="361">
        <v>84323000</v>
      </c>
      <c r="N161" s="361">
        <v>86760000</v>
      </c>
      <c r="O161" s="361">
        <v>83430000</v>
      </c>
      <c r="P161" s="361">
        <v>83804000</v>
      </c>
      <c r="Q161" s="361">
        <v>82821000</v>
      </c>
      <c r="R161" s="361">
        <v>78525000</v>
      </c>
      <c r="S161" s="361">
        <v>83584000</v>
      </c>
      <c r="T161" s="361">
        <v>87188000</v>
      </c>
      <c r="U161" s="361">
        <v>61314000</v>
      </c>
      <c r="V161" s="361">
        <v>36598000</v>
      </c>
      <c r="W161" s="361">
        <v>35229587</v>
      </c>
      <c r="X161" s="361">
        <v>35229587</v>
      </c>
      <c r="Y161" s="343"/>
      <c r="Z161" s="336"/>
      <c r="AA161" s="336"/>
      <c r="AB161" s="336"/>
      <c r="AC161" s="336"/>
      <c r="AD161" s="336"/>
      <c r="AE161" s="336"/>
      <c r="AF161" s="336"/>
      <c r="AG161" s="336"/>
      <c r="AH161" s="336"/>
      <c r="AI161" s="336"/>
      <c r="AJ161" s="336"/>
      <c r="AK161" s="336"/>
      <c r="AL161" s="336"/>
      <c r="AM161" s="336"/>
      <c r="AN161" s="336"/>
      <c r="AO161" s="336"/>
      <c r="AP161" s="336"/>
      <c r="AQ161" s="336"/>
      <c r="AR161" s="336"/>
      <c r="AS161" s="336"/>
      <c r="AT161" s="336"/>
      <c r="AU161" s="336"/>
      <c r="AV161" s="336"/>
      <c r="AW161" s="336"/>
    </row>
    <row r="162" spans="1:49" ht="14">
      <c r="A162" s="336"/>
      <c r="B162" s="341"/>
      <c r="C162" s="351" t="s">
        <v>513</v>
      </c>
      <c r="D162" s="364" t="str">
        <f t="shared" si="16"/>
        <v/>
      </c>
      <c r="E162" s="364" t="str">
        <f t="shared" si="17"/>
        <v/>
      </c>
      <c r="F162" s="364" t="str">
        <f t="shared" si="18"/>
        <v/>
      </c>
      <c r="G162" s="364" t="str">
        <f t="shared" si="19"/>
        <v/>
      </c>
      <c r="H162" s="364" t="str">
        <f t="shared" si="20"/>
        <v/>
      </c>
      <c r="I162" s="364" t="str">
        <f t="shared" si="21"/>
        <v/>
      </c>
      <c r="J162" s="364" t="str">
        <f t="shared" si="22"/>
        <v/>
      </c>
      <c r="K162" s="353" t="str">
        <f t="shared" si="23"/>
        <v/>
      </c>
      <c r="L162" s="346"/>
      <c r="M162" s="364"/>
      <c r="N162" s="364"/>
      <c r="O162" s="364"/>
      <c r="P162" s="364"/>
      <c r="Q162" s="364"/>
      <c r="R162" s="364"/>
      <c r="S162" s="364"/>
      <c r="T162" s="364"/>
      <c r="U162" s="364"/>
      <c r="V162" s="364"/>
      <c r="W162" s="364"/>
      <c r="X162" s="364"/>
      <c r="Y162" s="343"/>
      <c r="Z162" s="336"/>
      <c r="AA162" s="336"/>
      <c r="AB162" s="336"/>
      <c r="AC162" s="336"/>
      <c r="AD162" s="336"/>
      <c r="AE162" s="336"/>
      <c r="AF162" s="336"/>
      <c r="AG162" s="336"/>
      <c r="AH162" s="336"/>
      <c r="AI162" s="336"/>
      <c r="AJ162" s="336"/>
      <c r="AK162" s="336"/>
      <c r="AL162" s="336"/>
      <c r="AM162" s="336"/>
      <c r="AN162" s="336"/>
      <c r="AO162" s="336"/>
      <c r="AP162" s="336"/>
      <c r="AQ162" s="336"/>
      <c r="AR162" s="336"/>
      <c r="AS162" s="336"/>
      <c r="AT162" s="336"/>
      <c r="AU162" s="336"/>
      <c r="AV162" s="336"/>
      <c r="AW162" s="336"/>
    </row>
    <row r="163" spans="1:49" ht="14" outlineLevel="1">
      <c r="A163" s="336"/>
      <c r="B163" s="341"/>
      <c r="C163" s="354" t="s">
        <v>514</v>
      </c>
      <c r="D163" s="355" t="str">
        <f t="shared" si="16"/>
        <v/>
      </c>
      <c r="E163" s="355" t="str">
        <f t="shared" si="17"/>
        <v/>
      </c>
      <c r="F163" s="355" t="str">
        <f t="shared" si="18"/>
        <v/>
      </c>
      <c r="G163" s="355" t="str">
        <f t="shared" si="19"/>
        <v/>
      </c>
      <c r="H163" s="355" t="str">
        <f t="shared" si="20"/>
        <v/>
      </c>
      <c r="I163" s="355" t="str">
        <f t="shared" si="21"/>
        <v/>
      </c>
      <c r="J163" s="355" t="str">
        <f t="shared" si="22"/>
        <v/>
      </c>
      <c r="K163" s="356" t="str">
        <f t="shared" si="23"/>
        <v/>
      </c>
      <c r="M163" s="357"/>
      <c r="N163" s="357"/>
      <c r="O163" s="357"/>
      <c r="P163" s="357"/>
      <c r="Q163" s="357"/>
      <c r="R163" s="357"/>
      <c r="S163" s="357"/>
      <c r="T163" s="357"/>
      <c r="U163" s="357"/>
      <c r="V163" s="357"/>
      <c r="W163" s="357"/>
      <c r="X163" s="357"/>
      <c r="Y163" s="343"/>
      <c r="Z163" s="336"/>
      <c r="AA163" s="336"/>
      <c r="AB163" s="336"/>
      <c r="AC163" s="336"/>
      <c r="AD163" s="336"/>
      <c r="AE163" s="336"/>
      <c r="AF163" s="336"/>
      <c r="AG163" s="336"/>
      <c r="AH163" s="336"/>
      <c r="AI163" s="336"/>
      <c r="AJ163" s="336"/>
      <c r="AK163" s="336"/>
      <c r="AL163" s="336"/>
      <c r="AM163" s="336"/>
      <c r="AN163" s="336"/>
      <c r="AO163" s="336"/>
      <c r="AP163" s="336"/>
      <c r="AQ163" s="336"/>
      <c r="AR163" s="336"/>
      <c r="AS163" s="336"/>
      <c r="AT163" s="336"/>
      <c r="AU163" s="336"/>
      <c r="AV163" s="336"/>
      <c r="AW163" s="336"/>
    </row>
    <row r="164" spans="1:49" ht="14" outlineLevel="2">
      <c r="A164" s="336"/>
      <c r="B164" s="341"/>
      <c r="C164" s="354" t="s">
        <v>515</v>
      </c>
      <c r="D164" s="355">
        <f t="shared" si="16"/>
        <v>17500</v>
      </c>
      <c r="E164" s="355">
        <f t="shared" si="17"/>
        <v>63857.545454545456</v>
      </c>
      <c r="F164" s="355">
        <f t="shared" si="18"/>
        <v>3900</v>
      </c>
      <c r="G164" s="355">
        <f t="shared" si="19"/>
        <v>568063</v>
      </c>
      <c r="H164" s="355">
        <f t="shared" si="20"/>
        <v>7185</v>
      </c>
      <c r="I164" s="355">
        <f t="shared" si="21"/>
        <v>20750</v>
      </c>
      <c r="J164" s="355">
        <f t="shared" si="22"/>
        <v>167364.35349043933</v>
      </c>
      <c r="K164" s="356">
        <f t="shared" si="23"/>
        <v>2.6209017634348508</v>
      </c>
      <c r="M164" s="357">
        <v>22500</v>
      </c>
      <c r="N164" s="357">
        <v>20750</v>
      </c>
      <c r="O164" s="357">
        <v>20750</v>
      </c>
      <c r="P164" s="357">
        <v>568063</v>
      </c>
      <c r="Q164" s="357">
        <v>17500</v>
      </c>
      <c r="R164" s="357">
        <v>17500</v>
      </c>
      <c r="S164" s="357">
        <v>12000</v>
      </c>
      <c r="T164" s="357">
        <v>7185</v>
      </c>
      <c r="U164" s="357">
        <v>7185</v>
      </c>
      <c r="V164" s="357">
        <v>5100</v>
      </c>
      <c r="W164" s="357">
        <v>3900</v>
      </c>
      <c r="X164" s="357"/>
      <c r="Y164" s="343"/>
      <c r="Z164" s="336"/>
      <c r="AA164" s="336"/>
      <c r="AB164" s="336"/>
      <c r="AC164" s="336"/>
      <c r="AD164" s="336"/>
      <c r="AE164" s="336"/>
      <c r="AF164" s="336"/>
      <c r="AG164" s="336"/>
      <c r="AH164" s="336"/>
      <c r="AI164" s="336"/>
      <c r="AJ164" s="336"/>
      <c r="AK164" s="336"/>
      <c r="AL164" s="336"/>
      <c r="AM164" s="336"/>
      <c r="AN164" s="336"/>
      <c r="AO164" s="336"/>
      <c r="AP164" s="336"/>
      <c r="AQ164" s="336"/>
      <c r="AR164" s="336"/>
      <c r="AS164" s="336"/>
      <c r="AT164" s="336"/>
      <c r="AU164" s="336"/>
      <c r="AV164" s="336"/>
      <c r="AW164" s="336"/>
    </row>
    <row r="165" spans="1:49" ht="14" outlineLevel="2">
      <c r="A165" s="336"/>
      <c r="B165" s="341"/>
      <c r="C165" s="354" t="s">
        <v>516</v>
      </c>
      <c r="D165" s="355">
        <f t="shared" si="16"/>
        <v>17500</v>
      </c>
      <c r="E165" s="355">
        <f t="shared" si="17"/>
        <v>159653</v>
      </c>
      <c r="F165" s="355">
        <f t="shared" si="18"/>
        <v>3900</v>
      </c>
      <c r="G165" s="355">
        <f t="shared" si="19"/>
        <v>600438</v>
      </c>
      <c r="H165" s="355">
        <f t="shared" si="20"/>
        <v>7185</v>
      </c>
      <c r="I165" s="355">
        <f t="shared" si="21"/>
        <v>257031</v>
      </c>
      <c r="J165" s="355">
        <f t="shared" si="22"/>
        <v>243718.66323857926</v>
      </c>
      <c r="K165" s="356">
        <f t="shared" si="23"/>
        <v>1.5265523556624634</v>
      </c>
      <c r="M165" s="357">
        <v>427312</v>
      </c>
      <c r="N165" s="357">
        <v>600438</v>
      </c>
      <c r="O165" s="357">
        <v>20750</v>
      </c>
      <c r="P165" s="357">
        <v>86750</v>
      </c>
      <c r="Q165" s="357">
        <v>568063</v>
      </c>
      <c r="R165" s="357">
        <v>17500</v>
      </c>
      <c r="S165" s="357">
        <v>12000</v>
      </c>
      <c r="T165" s="357">
        <v>7185</v>
      </c>
      <c r="U165" s="357">
        <v>7185</v>
      </c>
      <c r="V165" s="357">
        <v>5100</v>
      </c>
      <c r="W165" s="357">
        <v>3900</v>
      </c>
      <c r="X165" s="357"/>
      <c r="Y165" s="343"/>
      <c r="Z165" s="336"/>
      <c r="AA165" s="336"/>
      <c r="AB165" s="336"/>
      <c r="AC165" s="336"/>
      <c r="AD165" s="336"/>
      <c r="AE165" s="336"/>
      <c r="AF165" s="336"/>
      <c r="AG165" s="336"/>
      <c r="AH165" s="336"/>
      <c r="AI165" s="336"/>
      <c r="AJ165" s="336"/>
      <c r="AK165" s="336"/>
      <c r="AL165" s="336"/>
      <c r="AM165" s="336"/>
      <c r="AN165" s="336"/>
      <c r="AO165" s="336"/>
      <c r="AP165" s="336"/>
      <c r="AQ165" s="336"/>
      <c r="AR165" s="336"/>
      <c r="AS165" s="336"/>
      <c r="AT165" s="336"/>
      <c r="AU165" s="336"/>
      <c r="AV165" s="336"/>
      <c r="AW165" s="336"/>
    </row>
    <row r="166" spans="1:49" ht="14" outlineLevel="2">
      <c r="A166" s="336"/>
      <c r="B166" s="341"/>
      <c r="C166" s="354" t="s">
        <v>517</v>
      </c>
      <c r="D166" s="355">
        <f t="shared" si="16"/>
        <v>12000</v>
      </c>
      <c r="E166" s="355">
        <f t="shared" si="17"/>
        <v>158175.81818181818</v>
      </c>
      <c r="F166" s="355">
        <f t="shared" si="18"/>
        <v>3900</v>
      </c>
      <c r="G166" s="355">
        <f t="shared" si="19"/>
        <v>600438</v>
      </c>
      <c r="H166" s="355">
        <f t="shared" si="20"/>
        <v>7185</v>
      </c>
      <c r="I166" s="355">
        <f t="shared" si="21"/>
        <v>253031.5</v>
      </c>
      <c r="J166" s="355">
        <f t="shared" si="22"/>
        <v>243334.01482317189</v>
      </c>
      <c r="K166" s="356">
        <f t="shared" si="23"/>
        <v>1.538376836739147</v>
      </c>
      <c r="M166" s="357">
        <v>18250</v>
      </c>
      <c r="N166" s="357">
        <v>419313</v>
      </c>
      <c r="O166" s="357">
        <v>600438</v>
      </c>
      <c r="P166" s="357">
        <v>11750</v>
      </c>
      <c r="Q166" s="357">
        <v>86750</v>
      </c>
      <c r="R166" s="357">
        <v>568063</v>
      </c>
      <c r="S166" s="357">
        <v>12000</v>
      </c>
      <c r="T166" s="357">
        <v>7185</v>
      </c>
      <c r="U166" s="357">
        <v>7185</v>
      </c>
      <c r="V166" s="357">
        <v>5100</v>
      </c>
      <c r="W166" s="357">
        <v>3900</v>
      </c>
      <c r="X166" s="357"/>
      <c r="Y166" s="343"/>
      <c r="Z166" s="336"/>
      <c r="AA166" s="336"/>
      <c r="AB166" s="336"/>
      <c r="AC166" s="336"/>
      <c r="AD166" s="336"/>
      <c r="AE166" s="336"/>
      <c r="AF166" s="336"/>
      <c r="AG166" s="336"/>
      <c r="AH166" s="336"/>
      <c r="AI166" s="336"/>
      <c r="AJ166" s="336"/>
      <c r="AK166" s="336"/>
      <c r="AL166" s="336"/>
      <c r="AM166" s="336"/>
      <c r="AN166" s="336"/>
      <c r="AO166" s="336"/>
      <c r="AP166" s="336"/>
      <c r="AQ166" s="336"/>
      <c r="AR166" s="336"/>
      <c r="AS166" s="336"/>
      <c r="AT166" s="336"/>
      <c r="AU166" s="336"/>
      <c r="AV166" s="336"/>
      <c r="AW166" s="336"/>
    </row>
    <row r="167" spans="1:49" ht="14" outlineLevel="2">
      <c r="A167" s="336"/>
      <c r="B167" s="341"/>
      <c r="C167" s="354" t="s">
        <v>518</v>
      </c>
      <c r="D167" s="355">
        <f t="shared" si="16"/>
        <v>11750</v>
      </c>
      <c r="E167" s="355">
        <f t="shared" si="17"/>
        <v>211764.81818181818</v>
      </c>
      <c r="F167" s="355">
        <f t="shared" si="18"/>
        <v>3900</v>
      </c>
      <c r="G167" s="355">
        <f t="shared" si="19"/>
        <v>687915</v>
      </c>
      <c r="H167" s="355">
        <f t="shared" si="20"/>
        <v>8717.5</v>
      </c>
      <c r="I167" s="355">
        <f t="shared" si="21"/>
        <v>490938</v>
      </c>
      <c r="J167" s="355">
        <f t="shared" si="22"/>
        <v>286852.69162788702</v>
      </c>
      <c r="K167" s="356">
        <f t="shared" si="23"/>
        <v>1.354581436570826</v>
      </c>
      <c r="M167" s="357">
        <v>18250</v>
      </c>
      <c r="N167" s="357">
        <v>10250</v>
      </c>
      <c r="O167" s="357">
        <v>419313</v>
      </c>
      <c r="P167" s="357">
        <v>591437</v>
      </c>
      <c r="Q167" s="357">
        <v>11750</v>
      </c>
      <c r="R167" s="357">
        <v>11750</v>
      </c>
      <c r="S167" s="357">
        <v>562563</v>
      </c>
      <c r="T167" s="357">
        <v>687915</v>
      </c>
      <c r="U167" s="357">
        <v>7185</v>
      </c>
      <c r="V167" s="357">
        <v>5100</v>
      </c>
      <c r="W167" s="357">
        <v>3900</v>
      </c>
      <c r="X167" s="357"/>
      <c r="Y167" s="343"/>
      <c r="Z167" s="336"/>
      <c r="AA167" s="336"/>
      <c r="AB167" s="336"/>
      <c r="AC167" s="336"/>
      <c r="AD167" s="336"/>
      <c r="AE167" s="336"/>
      <c r="AF167" s="336"/>
      <c r="AG167" s="336"/>
      <c r="AH167" s="336"/>
      <c r="AI167" s="336"/>
      <c r="AJ167" s="336"/>
      <c r="AK167" s="336"/>
      <c r="AL167" s="336"/>
      <c r="AM167" s="336"/>
      <c r="AN167" s="336"/>
      <c r="AO167" s="336"/>
      <c r="AP167" s="336"/>
      <c r="AQ167" s="336"/>
      <c r="AR167" s="336"/>
      <c r="AS167" s="336"/>
      <c r="AT167" s="336"/>
      <c r="AU167" s="336"/>
      <c r="AV167" s="336"/>
      <c r="AW167" s="336"/>
    </row>
    <row r="168" spans="1:49" ht="14" outlineLevel="2">
      <c r="A168" s="336"/>
      <c r="B168" s="341"/>
      <c r="C168" s="354" t="s">
        <v>519</v>
      </c>
      <c r="D168" s="355">
        <f t="shared" si="16"/>
        <v>10250</v>
      </c>
      <c r="E168" s="355">
        <f t="shared" si="17"/>
        <v>224829</v>
      </c>
      <c r="F168" s="355">
        <f t="shared" si="18"/>
        <v>3900</v>
      </c>
      <c r="G168" s="355">
        <f t="shared" si="19"/>
        <v>915938</v>
      </c>
      <c r="H168" s="355">
        <f t="shared" si="20"/>
        <v>5687.5</v>
      </c>
      <c r="I168" s="355">
        <f t="shared" si="21"/>
        <v>446516</v>
      </c>
      <c r="J168" s="355">
        <f t="shared" si="22"/>
        <v>358537.91472745407</v>
      </c>
      <c r="K168" s="356">
        <f t="shared" si="23"/>
        <v>1.5947138257406921</v>
      </c>
      <c r="M168" s="357">
        <v>915938</v>
      </c>
      <c r="N168" s="357">
        <v>10250</v>
      </c>
      <c r="O168" s="357">
        <v>10250</v>
      </c>
      <c r="P168" s="357">
        <v>5500</v>
      </c>
      <c r="Q168" s="357">
        <v>591438</v>
      </c>
      <c r="R168" s="357">
        <v>11750</v>
      </c>
      <c r="S168" s="357">
        <v>6250</v>
      </c>
      <c r="T168" s="357"/>
      <c r="U168" s="357">
        <v>687914</v>
      </c>
      <c r="V168" s="357">
        <v>5100</v>
      </c>
      <c r="W168" s="357">
        <v>3900</v>
      </c>
      <c r="X168" s="357"/>
      <c r="Y168" s="343"/>
      <c r="Z168" s="336"/>
      <c r="AA168" s="336"/>
      <c r="AB168" s="336"/>
      <c r="AC168" s="336"/>
      <c r="AD168" s="336"/>
      <c r="AE168" s="336"/>
      <c r="AF168" s="336"/>
      <c r="AG168" s="336"/>
      <c r="AH168" s="336"/>
      <c r="AI168" s="336"/>
      <c r="AJ168" s="336"/>
      <c r="AK168" s="336"/>
      <c r="AL168" s="336"/>
      <c r="AM168" s="336"/>
      <c r="AN168" s="336"/>
      <c r="AO168" s="336"/>
      <c r="AP168" s="336"/>
      <c r="AQ168" s="336"/>
      <c r="AR168" s="336"/>
      <c r="AS168" s="336"/>
      <c r="AT168" s="336"/>
      <c r="AU168" s="336"/>
      <c r="AV168" s="336"/>
      <c r="AW168" s="336"/>
    </row>
    <row r="169" spans="1:49" ht="14" outlineLevel="2">
      <c r="A169" s="336"/>
      <c r="B169" s="341"/>
      <c r="C169" s="354" t="s">
        <v>520</v>
      </c>
      <c r="D169" s="355">
        <f t="shared" si="16"/>
        <v>592187</v>
      </c>
      <c r="E169" s="355">
        <f t="shared" si="17"/>
        <v>694899.66666666663</v>
      </c>
      <c r="F169" s="355">
        <f t="shared" si="18"/>
        <v>367575</v>
      </c>
      <c r="G169" s="355">
        <f t="shared" si="19"/>
        <v>1108437</v>
      </c>
      <c r="H169" s="355">
        <f t="shared" si="20"/>
        <v>511500</v>
      </c>
      <c r="I169" s="355">
        <f t="shared" si="21"/>
        <v>943437</v>
      </c>
      <c r="J169" s="355">
        <f t="shared" si="22"/>
        <v>260886.04939513342</v>
      </c>
      <c r="K169" s="356">
        <f t="shared" si="23"/>
        <v>0.37542980938034715</v>
      </c>
      <c r="M169" s="357">
        <v>793500</v>
      </c>
      <c r="N169" s="357">
        <v>943437</v>
      </c>
      <c r="O169" s="357">
        <v>953686</v>
      </c>
      <c r="P169" s="357">
        <v>511500</v>
      </c>
      <c r="Q169" s="357">
        <v>517000</v>
      </c>
      <c r="R169" s="357">
        <v>1108437</v>
      </c>
      <c r="S169" s="357">
        <v>592187</v>
      </c>
      <c r="T169" s="357"/>
      <c r="U169" s="357"/>
      <c r="V169" s="357">
        <v>466775</v>
      </c>
      <c r="W169" s="357">
        <v>367575</v>
      </c>
      <c r="X169" s="357"/>
      <c r="Y169" s="343"/>
      <c r="Z169" s="336"/>
      <c r="AA169" s="336"/>
      <c r="AB169" s="336"/>
      <c r="AC169" s="336"/>
      <c r="AD169" s="336"/>
      <c r="AE169" s="336"/>
      <c r="AF169" s="336"/>
      <c r="AG169" s="336"/>
      <c r="AH169" s="336"/>
      <c r="AI169" s="336"/>
      <c r="AJ169" s="336"/>
      <c r="AK169" s="336"/>
      <c r="AL169" s="336"/>
      <c r="AM169" s="336"/>
      <c r="AN169" s="336"/>
      <c r="AO169" s="336"/>
      <c r="AP169" s="336"/>
      <c r="AQ169" s="336"/>
      <c r="AR169" s="336"/>
      <c r="AS169" s="336"/>
      <c r="AT169" s="336"/>
      <c r="AU169" s="336"/>
      <c r="AV169" s="336"/>
      <c r="AW169" s="336"/>
    </row>
    <row r="170" spans="1:49" ht="14" outlineLevel="2">
      <c r="A170" s="336"/>
      <c r="B170" s="341"/>
      <c r="C170" s="354" t="s">
        <v>521</v>
      </c>
      <c r="D170" s="355">
        <f t="shared" si="16"/>
        <v>-22194.5</v>
      </c>
      <c r="E170" s="355">
        <f t="shared" si="17"/>
        <v>-18858.2</v>
      </c>
      <c r="F170" s="355">
        <f t="shared" si="18"/>
        <v>-29995</v>
      </c>
      <c r="G170" s="355">
        <f t="shared" si="19"/>
        <v>-5709</v>
      </c>
      <c r="H170" s="355">
        <f t="shared" si="20"/>
        <v>-25134</v>
      </c>
      <c r="I170" s="355">
        <f t="shared" si="21"/>
        <v>-9906.25</v>
      </c>
      <c r="J170" s="355">
        <f t="shared" si="22"/>
        <v>8937.8158007920974</v>
      </c>
      <c r="K170" s="356">
        <f t="shared" si="23"/>
        <v>-0.47394851050429504</v>
      </c>
      <c r="M170" s="357">
        <v>-25221</v>
      </c>
      <c r="N170" s="357">
        <v>-20814</v>
      </c>
      <c r="O170" s="357">
        <v>-26306</v>
      </c>
      <c r="P170" s="357">
        <v>-17227</v>
      </c>
      <c r="Q170" s="357">
        <v>-23575</v>
      </c>
      <c r="R170" s="357">
        <v>-29995</v>
      </c>
      <c r="S170" s="357">
        <v>-24873</v>
      </c>
      <c r="T170" s="357">
        <v>-5709</v>
      </c>
      <c r="U170" s="357">
        <v>-7466</v>
      </c>
      <c r="V170" s="357">
        <v>-7396</v>
      </c>
      <c r="W170" s="357"/>
      <c r="X170" s="357"/>
      <c r="Y170" s="343"/>
      <c r="Z170" s="336"/>
      <c r="AA170" s="336"/>
      <c r="AB170" s="336"/>
      <c r="AC170" s="336"/>
      <c r="AD170" s="336"/>
      <c r="AE170" s="336"/>
      <c r="AF170" s="336"/>
      <c r="AG170" s="336"/>
      <c r="AH170" s="336"/>
      <c r="AI170" s="336"/>
      <c r="AJ170" s="336"/>
      <c r="AK170" s="336"/>
      <c r="AL170" s="336"/>
      <c r="AM170" s="336"/>
      <c r="AN170" s="336"/>
      <c r="AO170" s="336"/>
      <c r="AP170" s="336"/>
      <c r="AQ170" s="336"/>
      <c r="AR170" s="336"/>
      <c r="AS170" s="336"/>
      <c r="AT170" s="336"/>
      <c r="AU170" s="336"/>
      <c r="AV170" s="336"/>
      <c r="AW170" s="336"/>
    </row>
    <row r="171" spans="1:49" ht="14" outlineLevel="2">
      <c r="A171" s="336"/>
      <c r="B171" s="341"/>
      <c r="C171" s="358" t="s">
        <v>522</v>
      </c>
      <c r="D171" s="359">
        <f t="shared" si="16"/>
        <v>1705005</v>
      </c>
      <c r="E171" s="359">
        <f t="shared" si="17"/>
        <v>1349251.6363636365</v>
      </c>
      <c r="F171" s="359">
        <f t="shared" si="18"/>
        <v>387075</v>
      </c>
      <c r="G171" s="359">
        <f t="shared" si="19"/>
        <v>2170529</v>
      </c>
      <c r="H171" s="359">
        <f t="shared" si="20"/>
        <v>706474.5</v>
      </c>
      <c r="I171" s="359">
        <f t="shared" si="21"/>
        <v>1876275</v>
      </c>
      <c r="J171" s="359">
        <f t="shared" si="22"/>
        <v>670757.52226408513</v>
      </c>
      <c r="K171" s="360">
        <f t="shared" si="23"/>
        <v>0.49713300631736973</v>
      </c>
      <c r="L171" s="339"/>
      <c r="M171" s="361">
        <v>2170529</v>
      </c>
      <c r="N171" s="361">
        <v>1983624</v>
      </c>
      <c r="O171" s="361">
        <v>1998881</v>
      </c>
      <c r="P171" s="361">
        <v>1757773</v>
      </c>
      <c r="Q171" s="361">
        <v>1768926</v>
      </c>
      <c r="R171" s="361">
        <v>1705005</v>
      </c>
      <c r="S171" s="361">
        <v>1172127</v>
      </c>
      <c r="T171" s="361">
        <v>703761</v>
      </c>
      <c r="U171" s="361">
        <v>709188</v>
      </c>
      <c r="V171" s="361">
        <v>484879</v>
      </c>
      <c r="W171" s="361">
        <v>387075</v>
      </c>
      <c r="X171" s="361"/>
      <c r="Y171" s="343"/>
      <c r="Z171" s="336"/>
      <c r="AA171" s="336"/>
      <c r="AB171" s="336"/>
      <c r="AC171" s="336"/>
      <c r="AD171" s="336"/>
      <c r="AE171" s="336"/>
      <c r="AF171" s="336"/>
      <c r="AG171" s="336"/>
      <c r="AH171" s="336"/>
      <c r="AI171" s="336"/>
      <c r="AJ171" s="336"/>
      <c r="AK171" s="336"/>
      <c r="AL171" s="336"/>
      <c r="AM171" s="336"/>
      <c r="AN171" s="336"/>
      <c r="AO171" s="336"/>
      <c r="AP171" s="336"/>
      <c r="AQ171" s="336"/>
      <c r="AR171" s="336"/>
      <c r="AS171" s="336"/>
      <c r="AT171" s="336"/>
      <c r="AU171" s="336"/>
      <c r="AV171" s="336"/>
      <c r="AW171" s="336"/>
    </row>
    <row r="172" spans="1:49" ht="14" outlineLevel="1">
      <c r="A172" s="336"/>
      <c r="B172" s="341"/>
      <c r="C172" s="354" t="s">
        <v>523</v>
      </c>
      <c r="D172" s="355" t="str">
        <f t="shared" si="16"/>
        <v/>
      </c>
      <c r="E172" s="355" t="str">
        <f t="shared" si="17"/>
        <v/>
      </c>
      <c r="F172" s="355" t="str">
        <f t="shared" si="18"/>
        <v/>
      </c>
      <c r="G172" s="355" t="str">
        <f t="shared" si="19"/>
        <v/>
      </c>
      <c r="H172" s="355" t="str">
        <f t="shared" si="20"/>
        <v/>
      </c>
      <c r="I172" s="355" t="str">
        <f t="shared" si="21"/>
        <v/>
      </c>
      <c r="J172" s="355" t="str">
        <f t="shared" si="22"/>
        <v/>
      </c>
      <c r="K172" s="356" t="str">
        <f t="shared" si="23"/>
        <v/>
      </c>
      <c r="M172" s="357"/>
      <c r="N172" s="357"/>
      <c r="O172" s="357"/>
      <c r="P172" s="357"/>
      <c r="Q172" s="357"/>
      <c r="R172" s="357"/>
      <c r="S172" s="357"/>
      <c r="T172" s="357"/>
      <c r="U172" s="357"/>
      <c r="V172" s="357"/>
      <c r="W172" s="357"/>
      <c r="X172" s="357"/>
      <c r="Y172" s="343"/>
      <c r="Z172" s="336"/>
      <c r="AA172" s="336"/>
      <c r="AB172" s="336"/>
      <c r="AC172" s="336"/>
      <c r="AD172" s="336"/>
      <c r="AE172" s="336"/>
      <c r="AF172" s="336"/>
      <c r="AG172" s="336"/>
      <c r="AH172" s="336"/>
      <c r="AI172" s="336"/>
      <c r="AJ172" s="336"/>
      <c r="AK172" s="336"/>
      <c r="AL172" s="336"/>
      <c r="AM172" s="336"/>
      <c r="AN172" s="336"/>
      <c r="AO172" s="336"/>
      <c r="AP172" s="336"/>
      <c r="AQ172" s="336"/>
      <c r="AR172" s="336"/>
      <c r="AS172" s="336"/>
      <c r="AT172" s="336"/>
      <c r="AU172" s="336"/>
      <c r="AV172" s="336"/>
      <c r="AW172" s="336"/>
    </row>
    <row r="173" spans="1:49" ht="14" outlineLevel="2">
      <c r="A173" s="336"/>
      <c r="B173" s="341"/>
      <c r="C173" s="354" t="s">
        <v>524</v>
      </c>
      <c r="D173" s="355">
        <f t="shared" si="16"/>
        <v>32479</v>
      </c>
      <c r="E173" s="355">
        <f t="shared" si="17"/>
        <v>35695.285714285717</v>
      </c>
      <c r="F173" s="355">
        <f t="shared" si="18"/>
        <v>390</v>
      </c>
      <c r="G173" s="355">
        <f t="shared" si="19"/>
        <v>60171</v>
      </c>
      <c r="H173" s="355">
        <f t="shared" si="20"/>
        <v>26580.5</v>
      </c>
      <c r="I173" s="355">
        <f t="shared" si="21"/>
        <v>51833</v>
      </c>
      <c r="J173" s="355">
        <f t="shared" si="22"/>
        <v>20645.326208081464</v>
      </c>
      <c r="K173" s="356">
        <f t="shared" si="23"/>
        <v>0.57837683030000053</v>
      </c>
      <c r="M173" s="357">
        <v>60171</v>
      </c>
      <c r="N173" s="357">
        <v>53813</v>
      </c>
      <c r="O173" s="357">
        <v>49853</v>
      </c>
      <c r="P173" s="357">
        <v>32479</v>
      </c>
      <c r="Q173" s="357">
        <v>28405</v>
      </c>
      <c r="R173" s="357">
        <v>24756</v>
      </c>
      <c r="S173" s="357"/>
      <c r="T173" s="357"/>
      <c r="U173" s="357"/>
      <c r="V173" s="357"/>
      <c r="W173" s="357">
        <v>390</v>
      </c>
      <c r="X173" s="357"/>
      <c r="Y173" s="343"/>
      <c r="Z173" s="336"/>
      <c r="AA173" s="336"/>
      <c r="AB173" s="336"/>
      <c r="AC173" s="336"/>
      <c r="AD173" s="336"/>
      <c r="AE173" s="336"/>
      <c r="AF173" s="336"/>
      <c r="AG173" s="336"/>
      <c r="AH173" s="336"/>
      <c r="AI173" s="336"/>
      <c r="AJ173" s="336"/>
      <c r="AK173" s="336"/>
      <c r="AL173" s="336"/>
      <c r="AM173" s="336"/>
      <c r="AN173" s="336"/>
      <c r="AO173" s="336"/>
      <c r="AP173" s="336"/>
      <c r="AQ173" s="336"/>
      <c r="AR173" s="336"/>
      <c r="AS173" s="336"/>
      <c r="AT173" s="336"/>
      <c r="AU173" s="336"/>
      <c r="AV173" s="336"/>
      <c r="AW173" s="336"/>
    </row>
    <row r="174" spans="1:49" ht="14" outlineLevel="2">
      <c r="A174" s="336"/>
      <c r="B174" s="341"/>
      <c r="C174" s="354" t="s">
        <v>525</v>
      </c>
      <c r="D174" s="355">
        <f t="shared" si="16"/>
        <v>33192</v>
      </c>
      <c r="E174" s="355">
        <f t="shared" si="17"/>
        <v>42359.428571428572</v>
      </c>
      <c r="F174" s="355">
        <f t="shared" si="18"/>
        <v>47</v>
      </c>
      <c r="G174" s="355">
        <f t="shared" si="19"/>
        <v>78663</v>
      </c>
      <c r="H174" s="355">
        <f t="shared" si="20"/>
        <v>27137</v>
      </c>
      <c r="I174" s="355">
        <f t="shared" si="21"/>
        <v>65170</v>
      </c>
      <c r="J174" s="355">
        <f t="shared" si="22"/>
        <v>28119.227400820379</v>
      </c>
      <c r="K174" s="356">
        <f t="shared" si="23"/>
        <v>0.66382452146171755</v>
      </c>
      <c r="M174" s="357">
        <v>78663</v>
      </c>
      <c r="N174" s="357">
        <v>69762</v>
      </c>
      <c r="O174" s="357">
        <v>60578</v>
      </c>
      <c r="P174" s="357">
        <v>33192</v>
      </c>
      <c r="Q174" s="357">
        <v>28803</v>
      </c>
      <c r="R174" s="357">
        <v>25471</v>
      </c>
      <c r="S174" s="357"/>
      <c r="T174" s="357"/>
      <c r="U174" s="357"/>
      <c r="V174" s="357"/>
      <c r="W174" s="357">
        <v>47</v>
      </c>
      <c r="X174" s="357"/>
      <c r="Y174" s="343"/>
      <c r="Z174" s="336"/>
      <c r="AA174" s="336"/>
      <c r="AB174" s="336"/>
      <c r="AC174" s="336"/>
      <c r="AD174" s="336"/>
      <c r="AE174" s="336"/>
      <c r="AF174" s="336"/>
      <c r="AG174" s="336"/>
      <c r="AH174" s="336"/>
      <c r="AI174" s="336"/>
      <c r="AJ174" s="336"/>
      <c r="AK174" s="336"/>
      <c r="AL174" s="336"/>
      <c r="AM174" s="336"/>
      <c r="AN174" s="336"/>
      <c r="AO174" s="336"/>
      <c r="AP174" s="336"/>
      <c r="AQ174" s="336"/>
      <c r="AR174" s="336"/>
      <c r="AS174" s="336"/>
      <c r="AT174" s="336"/>
      <c r="AU174" s="336"/>
      <c r="AV174" s="336"/>
      <c r="AW174" s="336"/>
    </row>
    <row r="175" spans="1:49" ht="14" outlineLevel="2">
      <c r="A175" s="336"/>
      <c r="B175" s="341"/>
      <c r="C175" s="354" t="s">
        <v>526</v>
      </c>
      <c r="D175" s="355">
        <f t="shared" si="16"/>
        <v>47216.5</v>
      </c>
      <c r="E175" s="355">
        <f t="shared" si="17"/>
        <v>49558.5</v>
      </c>
      <c r="F175" s="355">
        <f t="shared" si="18"/>
        <v>25709</v>
      </c>
      <c r="G175" s="355">
        <f t="shared" si="19"/>
        <v>78409</v>
      </c>
      <c r="H175" s="355">
        <f t="shared" si="20"/>
        <v>29661.25</v>
      </c>
      <c r="I175" s="355">
        <f t="shared" si="21"/>
        <v>68047</v>
      </c>
      <c r="J175" s="355">
        <f t="shared" si="22"/>
        <v>23111.983313856905</v>
      </c>
      <c r="K175" s="356">
        <f t="shared" si="23"/>
        <v>0.46635760391974951</v>
      </c>
      <c r="M175" s="357">
        <v>78409</v>
      </c>
      <c r="N175" s="357">
        <v>70433</v>
      </c>
      <c r="O175" s="357">
        <v>60889</v>
      </c>
      <c r="P175" s="357">
        <v>33544</v>
      </c>
      <c r="Q175" s="357">
        <v>28367</v>
      </c>
      <c r="R175" s="357">
        <v>25709</v>
      </c>
      <c r="S175" s="357"/>
      <c r="T175" s="357"/>
      <c r="U175" s="357"/>
      <c r="V175" s="357"/>
      <c r="W175" s="357"/>
      <c r="X175" s="357"/>
      <c r="Y175" s="343"/>
      <c r="Z175" s="336"/>
      <c r="AA175" s="336"/>
      <c r="AB175" s="336"/>
      <c r="AC175" s="336"/>
      <c r="AD175" s="336"/>
      <c r="AE175" s="336"/>
      <c r="AF175" s="336"/>
      <c r="AG175" s="336"/>
      <c r="AH175" s="336"/>
      <c r="AI175" s="336"/>
      <c r="AJ175" s="336"/>
      <c r="AK175" s="336"/>
      <c r="AL175" s="336"/>
      <c r="AM175" s="336"/>
      <c r="AN175" s="336"/>
      <c r="AO175" s="336"/>
      <c r="AP175" s="336"/>
      <c r="AQ175" s="336"/>
      <c r="AR175" s="336"/>
      <c r="AS175" s="336"/>
      <c r="AT175" s="336"/>
      <c r="AU175" s="336"/>
      <c r="AV175" s="336"/>
      <c r="AW175" s="336"/>
    </row>
    <row r="176" spans="1:49" ht="14" outlineLevel="2">
      <c r="A176" s="336"/>
      <c r="B176" s="341"/>
      <c r="C176" s="354" t="s">
        <v>527</v>
      </c>
      <c r="D176" s="355">
        <f t="shared" si="16"/>
        <v>46251</v>
      </c>
      <c r="E176" s="355">
        <f t="shared" si="17"/>
        <v>48086.333333333336</v>
      </c>
      <c r="F176" s="355">
        <f t="shared" si="18"/>
        <v>25144</v>
      </c>
      <c r="G176" s="355">
        <f t="shared" si="19"/>
        <v>75518</v>
      </c>
      <c r="H176" s="355">
        <f t="shared" si="20"/>
        <v>28384.75</v>
      </c>
      <c r="I176" s="355">
        <f t="shared" si="21"/>
        <v>66256.25</v>
      </c>
      <c r="J176" s="355">
        <f t="shared" si="22"/>
        <v>22381.929538506432</v>
      </c>
      <c r="K176" s="356">
        <f t="shared" si="23"/>
        <v>0.46545302972791502</v>
      </c>
      <c r="M176" s="357">
        <v>75518</v>
      </c>
      <c r="N176" s="357">
        <v>68510</v>
      </c>
      <c r="O176" s="357">
        <v>59495</v>
      </c>
      <c r="P176" s="357">
        <v>33007</v>
      </c>
      <c r="Q176" s="357">
        <v>26844</v>
      </c>
      <c r="R176" s="357">
        <v>25144</v>
      </c>
      <c r="S176" s="357"/>
      <c r="T176" s="357"/>
      <c r="U176" s="357"/>
      <c r="V176" s="357"/>
      <c r="W176" s="357"/>
      <c r="X176" s="357"/>
      <c r="Y176" s="343"/>
      <c r="Z176" s="336"/>
      <c r="AA176" s="336"/>
      <c r="AB176" s="336"/>
      <c r="AC176" s="336"/>
      <c r="AD176" s="336"/>
      <c r="AE176" s="336"/>
      <c r="AF176" s="336"/>
      <c r="AG176" s="336"/>
      <c r="AH176" s="336"/>
      <c r="AI176" s="336"/>
      <c r="AJ176" s="336"/>
      <c r="AK176" s="336"/>
      <c r="AL176" s="336"/>
      <c r="AM176" s="336"/>
      <c r="AN176" s="336"/>
      <c r="AO176" s="336"/>
      <c r="AP176" s="336"/>
      <c r="AQ176" s="336"/>
      <c r="AR176" s="336"/>
      <c r="AS176" s="336"/>
      <c r="AT176" s="336"/>
      <c r="AU176" s="336"/>
      <c r="AV176" s="336"/>
      <c r="AW176" s="336"/>
    </row>
    <row r="177" spans="1:49" ht="14" outlineLevel="2">
      <c r="A177" s="336"/>
      <c r="B177" s="341"/>
      <c r="C177" s="354" t="s">
        <v>528</v>
      </c>
      <c r="D177" s="355">
        <f t="shared" si="16"/>
        <v>42601</v>
      </c>
      <c r="E177" s="355">
        <f t="shared" si="17"/>
        <v>44231.833333333336</v>
      </c>
      <c r="F177" s="355">
        <f t="shared" si="18"/>
        <v>23077</v>
      </c>
      <c r="G177" s="355">
        <f t="shared" si="19"/>
        <v>67643</v>
      </c>
      <c r="H177" s="355">
        <f t="shared" si="20"/>
        <v>27124.75</v>
      </c>
      <c r="I177" s="355">
        <f t="shared" si="21"/>
        <v>61277.5</v>
      </c>
      <c r="J177" s="355">
        <f t="shared" si="22"/>
        <v>20012.897495531895</v>
      </c>
      <c r="K177" s="356">
        <f t="shared" si="23"/>
        <v>0.45245462345441767</v>
      </c>
      <c r="M177" s="357">
        <v>67643</v>
      </c>
      <c r="N177" s="357">
        <v>63382</v>
      </c>
      <c r="O177" s="357">
        <v>54964</v>
      </c>
      <c r="P177" s="357">
        <v>30238</v>
      </c>
      <c r="Q177" s="357">
        <v>26087</v>
      </c>
      <c r="R177" s="357">
        <v>23077</v>
      </c>
      <c r="S177" s="357"/>
      <c r="T177" s="357"/>
      <c r="U177" s="357"/>
      <c r="V177" s="357"/>
      <c r="W177" s="357"/>
      <c r="X177" s="357"/>
      <c r="Y177" s="343"/>
      <c r="Z177" s="336"/>
      <c r="AA177" s="336"/>
      <c r="AB177" s="336"/>
      <c r="AC177" s="336"/>
      <c r="AD177" s="336"/>
      <c r="AE177" s="336"/>
      <c r="AF177" s="336"/>
      <c r="AG177" s="336"/>
      <c r="AH177" s="336"/>
      <c r="AI177" s="336"/>
      <c r="AJ177" s="336"/>
      <c r="AK177" s="336"/>
      <c r="AL177" s="336"/>
      <c r="AM177" s="336"/>
      <c r="AN177" s="336"/>
      <c r="AO177" s="336"/>
      <c r="AP177" s="336"/>
      <c r="AQ177" s="336"/>
      <c r="AR177" s="336"/>
      <c r="AS177" s="336"/>
      <c r="AT177" s="336"/>
      <c r="AU177" s="336"/>
      <c r="AV177" s="336"/>
      <c r="AW177" s="336"/>
    </row>
    <row r="178" spans="1:49" ht="14" outlineLevel="2">
      <c r="A178" s="336"/>
      <c r="B178" s="341"/>
      <c r="C178" s="354" t="s">
        <v>529</v>
      </c>
      <c r="D178" s="355">
        <f t="shared" si="16"/>
        <v>141268</v>
      </c>
      <c r="E178" s="355">
        <f t="shared" si="17"/>
        <v>142483.5</v>
      </c>
      <c r="F178" s="355">
        <f t="shared" si="18"/>
        <v>88141</v>
      </c>
      <c r="G178" s="355">
        <f t="shared" si="19"/>
        <v>194690</v>
      </c>
      <c r="H178" s="355">
        <f t="shared" si="20"/>
        <v>99833.5</v>
      </c>
      <c r="I178" s="355">
        <f t="shared" si="21"/>
        <v>187951</v>
      </c>
      <c r="J178" s="355">
        <f t="shared" si="22"/>
        <v>49436.538356766039</v>
      </c>
      <c r="K178" s="356">
        <f t="shared" si="23"/>
        <v>0.34696325088003904</v>
      </c>
      <c r="M178" s="357">
        <v>194690</v>
      </c>
      <c r="N178" s="357">
        <v>193662</v>
      </c>
      <c r="O178" s="357">
        <v>170818</v>
      </c>
      <c r="P178" s="357">
        <v>111718</v>
      </c>
      <c r="Q178" s="357">
        <v>95872</v>
      </c>
      <c r="R178" s="357">
        <v>88141</v>
      </c>
      <c r="S178" s="357"/>
      <c r="T178" s="357"/>
      <c r="U178" s="357"/>
      <c r="V178" s="357"/>
      <c r="W178" s="357"/>
      <c r="X178" s="357"/>
      <c r="Y178" s="343"/>
      <c r="Z178" s="336"/>
      <c r="AA178" s="336"/>
      <c r="AB178" s="336"/>
      <c r="AC178" s="336"/>
      <c r="AD178" s="336"/>
      <c r="AE178" s="336"/>
      <c r="AF178" s="336"/>
      <c r="AG178" s="336"/>
      <c r="AH178" s="336"/>
      <c r="AI178" s="336"/>
      <c r="AJ178" s="336"/>
      <c r="AK178" s="336"/>
      <c r="AL178" s="336"/>
      <c r="AM178" s="336"/>
      <c r="AN178" s="336"/>
      <c r="AO178" s="336"/>
      <c r="AP178" s="336"/>
      <c r="AQ178" s="336"/>
      <c r="AR178" s="336"/>
      <c r="AS178" s="336"/>
      <c r="AT178" s="336"/>
      <c r="AU178" s="336"/>
      <c r="AV178" s="336"/>
      <c r="AW178" s="336"/>
    </row>
    <row r="179" spans="1:49" ht="14" outlineLevel="2">
      <c r="A179" s="336"/>
      <c r="B179" s="341"/>
      <c r="C179" s="354" t="s">
        <v>530</v>
      </c>
      <c r="D179" s="355">
        <f t="shared" si="16"/>
        <v>-53743</v>
      </c>
      <c r="E179" s="355">
        <f t="shared" si="17"/>
        <v>-62910.285714285717</v>
      </c>
      <c r="F179" s="355">
        <f t="shared" si="18"/>
        <v>-112649</v>
      </c>
      <c r="G179" s="355">
        <f t="shared" si="19"/>
        <v>-16</v>
      </c>
      <c r="H179" s="355">
        <f t="shared" si="20"/>
        <v>-92538.5</v>
      </c>
      <c r="I179" s="355">
        <f t="shared" si="21"/>
        <v>-44443.5</v>
      </c>
      <c r="J179" s="355">
        <f t="shared" si="22"/>
        <v>39201.313012509687</v>
      </c>
      <c r="K179" s="356">
        <f t="shared" si="23"/>
        <v>-0.62313042402234431</v>
      </c>
      <c r="M179" s="357">
        <v>-112649</v>
      </c>
      <c r="N179" s="357">
        <v>-103936</v>
      </c>
      <c r="O179" s="357">
        <v>-81141</v>
      </c>
      <c r="P179" s="357">
        <v>-53743</v>
      </c>
      <c r="Q179" s="357">
        <v>-46597</v>
      </c>
      <c r="R179" s="357">
        <v>-42290</v>
      </c>
      <c r="S179" s="357"/>
      <c r="T179" s="357"/>
      <c r="U179" s="357"/>
      <c r="V179" s="357"/>
      <c r="W179" s="357">
        <v>-16</v>
      </c>
      <c r="X179" s="357"/>
      <c r="Y179" s="343"/>
      <c r="Z179" s="336"/>
      <c r="AA179" s="336"/>
      <c r="AB179" s="336"/>
      <c r="AC179" s="336"/>
      <c r="AD179" s="336"/>
      <c r="AE179" s="336"/>
      <c r="AF179" s="336"/>
      <c r="AG179" s="336"/>
      <c r="AH179" s="336"/>
      <c r="AI179" s="336"/>
      <c r="AJ179" s="336"/>
      <c r="AK179" s="336"/>
      <c r="AL179" s="336"/>
      <c r="AM179" s="336"/>
      <c r="AN179" s="336"/>
      <c r="AO179" s="336"/>
      <c r="AP179" s="336"/>
      <c r="AQ179" s="336"/>
      <c r="AR179" s="336"/>
      <c r="AS179" s="336"/>
      <c r="AT179" s="336"/>
      <c r="AU179" s="336"/>
      <c r="AV179" s="336"/>
      <c r="AW179" s="336"/>
    </row>
    <row r="180" spans="1:49" ht="14" outlineLevel="2">
      <c r="A180" s="336"/>
      <c r="B180" s="341"/>
      <c r="C180" s="358" t="s">
        <v>531</v>
      </c>
      <c r="D180" s="359">
        <f t="shared" si="16"/>
        <v>220435</v>
      </c>
      <c r="E180" s="359">
        <f t="shared" si="17"/>
        <v>258881.71428571429</v>
      </c>
      <c r="F180" s="359">
        <f t="shared" si="18"/>
        <v>421</v>
      </c>
      <c r="G180" s="359">
        <f t="shared" si="19"/>
        <v>442445</v>
      </c>
      <c r="H180" s="359">
        <f t="shared" si="20"/>
        <v>178894.5</v>
      </c>
      <c r="I180" s="359">
        <f t="shared" si="21"/>
        <v>395541</v>
      </c>
      <c r="J180" s="359">
        <f t="shared" si="22"/>
        <v>159732.9826029618</v>
      </c>
      <c r="K180" s="360">
        <f t="shared" si="23"/>
        <v>0.61701145267708168</v>
      </c>
      <c r="L180" s="339"/>
      <c r="M180" s="361">
        <v>442445</v>
      </c>
      <c r="N180" s="361">
        <v>415626</v>
      </c>
      <c r="O180" s="361">
        <v>375456</v>
      </c>
      <c r="P180" s="361">
        <v>220435</v>
      </c>
      <c r="Q180" s="361">
        <v>187781</v>
      </c>
      <c r="R180" s="361">
        <v>170008</v>
      </c>
      <c r="S180" s="361"/>
      <c r="T180" s="361"/>
      <c r="U180" s="361"/>
      <c r="V180" s="361"/>
      <c r="W180" s="361">
        <v>421</v>
      </c>
      <c r="X180" s="361"/>
      <c r="Y180" s="343"/>
      <c r="Z180" s="336"/>
      <c r="AA180" s="336"/>
      <c r="AB180" s="336"/>
      <c r="AC180" s="336"/>
      <c r="AD180" s="336"/>
      <c r="AE180" s="336"/>
      <c r="AF180" s="336"/>
      <c r="AG180" s="336"/>
      <c r="AH180" s="336"/>
      <c r="AI180" s="336"/>
      <c r="AJ180" s="336"/>
      <c r="AK180" s="336"/>
      <c r="AL180" s="336"/>
      <c r="AM180" s="336"/>
      <c r="AN180" s="336"/>
      <c r="AO180" s="336"/>
      <c r="AP180" s="336"/>
      <c r="AQ180" s="336"/>
      <c r="AR180" s="336"/>
      <c r="AS180" s="336"/>
      <c r="AT180" s="336"/>
      <c r="AU180" s="336"/>
      <c r="AV180" s="336"/>
      <c r="AW180" s="336"/>
    </row>
    <row r="181" spans="1:49" ht="14" outlineLevel="1">
      <c r="A181" s="336"/>
      <c r="B181" s="341"/>
      <c r="C181" s="354" t="s">
        <v>532</v>
      </c>
      <c r="D181" s="355" t="str">
        <f t="shared" si="16"/>
        <v/>
      </c>
      <c r="E181" s="355" t="str">
        <f t="shared" si="17"/>
        <v/>
      </c>
      <c r="F181" s="355" t="str">
        <f t="shared" si="18"/>
        <v/>
      </c>
      <c r="G181" s="355" t="str">
        <f t="shared" si="19"/>
        <v/>
      </c>
      <c r="H181" s="355" t="str">
        <f t="shared" si="20"/>
        <v/>
      </c>
      <c r="I181" s="355" t="str">
        <f t="shared" si="21"/>
        <v/>
      </c>
      <c r="J181" s="355" t="str">
        <f t="shared" si="22"/>
        <v/>
      </c>
      <c r="K181" s="356" t="str">
        <f t="shared" si="23"/>
        <v/>
      </c>
      <c r="M181" s="357"/>
      <c r="N181" s="357"/>
      <c r="O181" s="357"/>
      <c r="P181" s="357"/>
      <c r="Q181" s="357"/>
      <c r="R181" s="357"/>
      <c r="S181" s="357"/>
      <c r="T181" s="357"/>
      <c r="U181" s="357"/>
      <c r="V181" s="357"/>
      <c r="W181" s="357"/>
      <c r="X181" s="357"/>
      <c r="Y181" s="343"/>
      <c r="Z181" s="336"/>
      <c r="AA181" s="336"/>
      <c r="AB181" s="336"/>
      <c r="AC181" s="336"/>
      <c r="AD181" s="336"/>
      <c r="AE181" s="336"/>
      <c r="AF181" s="336"/>
      <c r="AG181" s="336"/>
      <c r="AH181" s="336"/>
      <c r="AI181" s="336"/>
      <c r="AJ181" s="336"/>
      <c r="AK181" s="336"/>
      <c r="AL181" s="336"/>
      <c r="AM181" s="336"/>
      <c r="AN181" s="336"/>
      <c r="AO181" s="336"/>
      <c r="AP181" s="336"/>
      <c r="AQ181" s="336"/>
      <c r="AR181" s="336"/>
      <c r="AS181" s="336"/>
      <c r="AT181" s="336"/>
      <c r="AU181" s="336"/>
      <c r="AV181" s="336"/>
      <c r="AW181" s="336"/>
    </row>
    <row r="182" spans="1:49" ht="14" outlineLevel="2">
      <c r="A182" s="336"/>
      <c r="B182" s="341"/>
      <c r="C182" s="354" t="s">
        <v>533</v>
      </c>
      <c r="D182" s="355">
        <f t="shared" si="16"/>
        <v>15911</v>
      </c>
      <c r="E182" s="355">
        <f t="shared" si="17"/>
        <v>15911</v>
      </c>
      <c r="F182" s="355">
        <f t="shared" si="18"/>
        <v>15911</v>
      </c>
      <c r="G182" s="355">
        <f t="shared" si="19"/>
        <v>15911</v>
      </c>
      <c r="H182" s="355">
        <f t="shared" si="20"/>
        <v>15911</v>
      </c>
      <c r="I182" s="355">
        <f t="shared" si="21"/>
        <v>15911</v>
      </c>
      <c r="J182" s="355" t="str">
        <f t="shared" si="22"/>
        <v/>
      </c>
      <c r="K182" s="356" t="str">
        <f t="shared" si="23"/>
        <v/>
      </c>
      <c r="M182" s="357"/>
      <c r="N182" s="357"/>
      <c r="O182" s="357"/>
      <c r="P182" s="357"/>
      <c r="Q182" s="357"/>
      <c r="R182" s="357"/>
      <c r="S182" s="357">
        <v>15911</v>
      </c>
      <c r="T182" s="357"/>
      <c r="U182" s="357"/>
      <c r="V182" s="357"/>
      <c r="W182" s="357"/>
      <c r="X182" s="357"/>
      <c r="Y182" s="343"/>
      <c r="Z182" s="336"/>
      <c r="AA182" s="336"/>
      <c r="AB182" s="336"/>
      <c r="AC182" s="336"/>
      <c r="AD182" s="336"/>
      <c r="AE182" s="336"/>
      <c r="AF182" s="336"/>
      <c r="AG182" s="336"/>
      <c r="AH182" s="336"/>
      <c r="AI182" s="336"/>
      <c r="AJ182" s="336"/>
      <c r="AK182" s="336"/>
      <c r="AL182" s="336"/>
      <c r="AM182" s="336"/>
      <c r="AN182" s="336"/>
      <c r="AO182" s="336"/>
      <c r="AP182" s="336"/>
      <c r="AQ182" s="336"/>
      <c r="AR182" s="336"/>
      <c r="AS182" s="336"/>
      <c r="AT182" s="336"/>
      <c r="AU182" s="336"/>
      <c r="AV182" s="336"/>
      <c r="AW182" s="336"/>
    </row>
    <row r="183" spans="1:49" ht="14" outlineLevel="2">
      <c r="A183" s="336"/>
      <c r="B183" s="341"/>
      <c r="C183" s="354" t="s">
        <v>534</v>
      </c>
      <c r="D183" s="355">
        <f t="shared" si="16"/>
        <v>15219</v>
      </c>
      <c r="E183" s="355">
        <f t="shared" si="17"/>
        <v>15219</v>
      </c>
      <c r="F183" s="355">
        <f t="shared" si="18"/>
        <v>15219</v>
      </c>
      <c r="G183" s="355">
        <f t="shared" si="19"/>
        <v>15219</v>
      </c>
      <c r="H183" s="355">
        <f t="shared" si="20"/>
        <v>15219</v>
      </c>
      <c r="I183" s="355">
        <f t="shared" si="21"/>
        <v>15219</v>
      </c>
      <c r="J183" s="355" t="str">
        <f t="shared" si="22"/>
        <v/>
      </c>
      <c r="K183" s="356" t="str">
        <f t="shared" si="23"/>
        <v/>
      </c>
      <c r="M183" s="357"/>
      <c r="N183" s="357"/>
      <c r="O183" s="357"/>
      <c r="P183" s="357"/>
      <c r="Q183" s="357"/>
      <c r="R183" s="357"/>
      <c r="S183" s="357">
        <v>15219</v>
      </c>
      <c r="T183" s="357"/>
      <c r="U183" s="357"/>
      <c r="V183" s="357"/>
      <c r="W183" s="357"/>
      <c r="X183" s="357"/>
      <c r="Y183" s="343"/>
      <c r="Z183" s="336"/>
      <c r="AA183" s="336"/>
      <c r="AB183" s="336"/>
      <c r="AC183" s="336"/>
      <c r="AD183" s="336"/>
      <c r="AE183" s="336"/>
      <c r="AF183" s="336"/>
      <c r="AG183" s="336"/>
      <c r="AH183" s="336"/>
      <c r="AI183" s="336"/>
      <c r="AJ183" s="336"/>
      <c r="AK183" s="336"/>
      <c r="AL183" s="336"/>
      <c r="AM183" s="336"/>
      <c r="AN183" s="336"/>
      <c r="AO183" s="336"/>
      <c r="AP183" s="336"/>
      <c r="AQ183" s="336"/>
      <c r="AR183" s="336"/>
      <c r="AS183" s="336"/>
      <c r="AT183" s="336"/>
      <c r="AU183" s="336"/>
      <c r="AV183" s="336"/>
      <c r="AW183" s="336"/>
    </row>
    <row r="184" spans="1:49" ht="14" outlineLevel="2">
      <c r="A184" s="336"/>
      <c r="B184" s="341"/>
      <c r="C184" s="354" t="s">
        <v>535</v>
      </c>
      <c r="D184" s="355">
        <f t="shared" si="16"/>
        <v>13454</v>
      </c>
      <c r="E184" s="355">
        <f t="shared" si="17"/>
        <v>13454</v>
      </c>
      <c r="F184" s="355">
        <f t="shared" si="18"/>
        <v>13454</v>
      </c>
      <c r="G184" s="355">
        <f t="shared" si="19"/>
        <v>13454</v>
      </c>
      <c r="H184" s="355">
        <f t="shared" si="20"/>
        <v>13454</v>
      </c>
      <c r="I184" s="355">
        <f t="shared" si="21"/>
        <v>13454</v>
      </c>
      <c r="J184" s="355" t="str">
        <f t="shared" si="22"/>
        <v/>
      </c>
      <c r="K184" s="356" t="str">
        <f t="shared" si="23"/>
        <v/>
      </c>
      <c r="M184" s="357"/>
      <c r="N184" s="357"/>
      <c r="O184" s="357"/>
      <c r="P184" s="357"/>
      <c r="Q184" s="357"/>
      <c r="R184" s="357"/>
      <c r="S184" s="357">
        <v>13454</v>
      </c>
      <c r="T184" s="357"/>
      <c r="U184" s="357"/>
      <c r="V184" s="357"/>
      <c r="W184" s="357"/>
      <c r="X184" s="357"/>
      <c r="Y184" s="343"/>
      <c r="Z184" s="336"/>
      <c r="AA184" s="336"/>
      <c r="AB184" s="336"/>
      <c r="AC184" s="336"/>
      <c r="AD184" s="336"/>
      <c r="AE184" s="336"/>
      <c r="AF184" s="336"/>
      <c r="AG184" s="336"/>
      <c r="AH184" s="336"/>
      <c r="AI184" s="336"/>
      <c r="AJ184" s="336"/>
      <c r="AK184" s="336"/>
      <c r="AL184" s="336"/>
      <c r="AM184" s="336"/>
      <c r="AN184" s="336"/>
      <c r="AO184" s="336"/>
      <c r="AP184" s="336"/>
      <c r="AQ184" s="336"/>
      <c r="AR184" s="336"/>
      <c r="AS184" s="336"/>
      <c r="AT184" s="336"/>
      <c r="AU184" s="336"/>
      <c r="AV184" s="336"/>
      <c r="AW184" s="336"/>
    </row>
    <row r="185" spans="1:49" ht="14" outlineLevel="2">
      <c r="A185" s="336"/>
      <c r="B185" s="341"/>
      <c r="C185" s="354" t="s">
        <v>536</v>
      </c>
      <c r="D185" s="355">
        <f t="shared" si="16"/>
        <v>12561</v>
      </c>
      <c r="E185" s="355">
        <f t="shared" si="17"/>
        <v>12561</v>
      </c>
      <c r="F185" s="355">
        <f t="shared" si="18"/>
        <v>12561</v>
      </c>
      <c r="G185" s="355">
        <f t="shared" si="19"/>
        <v>12561</v>
      </c>
      <c r="H185" s="355">
        <f t="shared" si="20"/>
        <v>12561</v>
      </c>
      <c r="I185" s="355">
        <f t="shared" si="21"/>
        <v>12561</v>
      </c>
      <c r="J185" s="355" t="str">
        <f t="shared" si="22"/>
        <v/>
      </c>
      <c r="K185" s="356" t="str">
        <f t="shared" si="23"/>
        <v/>
      </c>
      <c r="M185" s="357"/>
      <c r="N185" s="357"/>
      <c r="O185" s="357"/>
      <c r="P185" s="357"/>
      <c r="Q185" s="357"/>
      <c r="R185" s="357"/>
      <c r="S185" s="357">
        <v>12561</v>
      </c>
      <c r="T185" s="357"/>
      <c r="U185" s="357"/>
      <c r="V185" s="357"/>
      <c r="W185" s="357"/>
      <c r="X185" s="357"/>
      <c r="Y185" s="343"/>
      <c r="Z185" s="336"/>
      <c r="AA185" s="336"/>
      <c r="AB185" s="336"/>
      <c r="AC185" s="336"/>
      <c r="AD185" s="336"/>
      <c r="AE185" s="336"/>
      <c r="AF185" s="336"/>
      <c r="AG185" s="336"/>
      <c r="AH185" s="336"/>
      <c r="AI185" s="336"/>
      <c r="AJ185" s="336"/>
      <c r="AK185" s="336"/>
      <c r="AL185" s="336"/>
      <c r="AM185" s="336"/>
      <c r="AN185" s="336"/>
      <c r="AO185" s="336"/>
      <c r="AP185" s="336"/>
      <c r="AQ185" s="336"/>
      <c r="AR185" s="336"/>
      <c r="AS185" s="336"/>
      <c r="AT185" s="336"/>
      <c r="AU185" s="336"/>
      <c r="AV185" s="336"/>
      <c r="AW185" s="336"/>
    </row>
    <row r="186" spans="1:49" ht="14" outlineLevel="2">
      <c r="A186" s="336"/>
      <c r="B186" s="341"/>
      <c r="C186" s="354" t="s">
        <v>537</v>
      </c>
      <c r="D186" s="355">
        <f t="shared" si="16"/>
        <v>11133</v>
      </c>
      <c r="E186" s="355">
        <f t="shared" si="17"/>
        <v>11133</v>
      </c>
      <c r="F186" s="355">
        <f t="shared" si="18"/>
        <v>11133</v>
      </c>
      <c r="G186" s="355">
        <f t="shared" si="19"/>
        <v>11133</v>
      </c>
      <c r="H186" s="355">
        <f t="shared" si="20"/>
        <v>11133</v>
      </c>
      <c r="I186" s="355">
        <f t="shared" si="21"/>
        <v>11133</v>
      </c>
      <c r="J186" s="355" t="str">
        <f t="shared" si="22"/>
        <v/>
      </c>
      <c r="K186" s="356" t="str">
        <f t="shared" si="23"/>
        <v/>
      </c>
      <c r="M186" s="357"/>
      <c r="N186" s="357"/>
      <c r="O186" s="357"/>
      <c r="P186" s="357"/>
      <c r="Q186" s="357"/>
      <c r="R186" s="357"/>
      <c r="S186" s="357">
        <v>11133</v>
      </c>
      <c r="T186" s="357"/>
      <c r="U186" s="357"/>
      <c r="V186" s="357"/>
      <c r="W186" s="357"/>
      <c r="X186" s="357"/>
      <c r="Y186" s="343"/>
      <c r="Z186" s="336"/>
      <c r="AA186" s="336"/>
      <c r="AB186" s="336"/>
      <c r="AC186" s="336"/>
      <c r="AD186" s="336"/>
      <c r="AE186" s="336"/>
      <c r="AF186" s="336"/>
      <c r="AG186" s="336"/>
      <c r="AH186" s="336"/>
      <c r="AI186" s="336"/>
      <c r="AJ186" s="336"/>
      <c r="AK186" s="336"/>
      <c r="AL186" s="336"/>
      <c r="AM186" s="336"/>
      <c r="AN186" s="336"/>
      <c r="AO186" s="336"/>
      <c r="AP186" s="336"/>
      <c r="AQ186" s="336"/>
      <c r="AR186" s="336"/>
      <c r="AS186" s="336"/>
      <c r="AT186" s="336"/>
      <c r="AU186" s="336"/>
      <c r="AV186" s="336"/>
      <c r="AW186" s="336"/>
    </row>
    <row r="187" spans="1:49" ht="14" outlineLevel="2">
      <c r="A187" s="336"/>
      <c r="B187" s="341"/>
      <c r="C187" s="354" t="s">
        <v>538</v>
      </c>
      <c r="D187" s="355">
        <f t="shared" si="16"/>
        <v>45324</v>
      </c>
      <c r="E187" s="355">
        <f t="shared" si="17"/>
        <v>45324</v>
      </c>
      <c r="F187" s="355">
        <f t="shared" si="18"/>
        <v>45324</v>
      </c>
      <c r="G187" s="355">
        <f t="shared" si="19"/>
        <v>45324</v>
      </c>
      <c r="H187" s="355">
        <f t="shared" si="20"/>
        <v>45324</v>
      </c>
      <c r="I187" s="355">
        <f t="shared" si="21"/>
        <v>45324</v>
      </c>
      <c r="J187" s="355" t="str">
        <f t="shared" si="22"/>
        <v/>
      </c>
      <c r="K187" s="356" t="str">
        <f t="shared" si="23"/>
        <v/>
      </c>
      <c r="M187" s="357"/>
      <c r="N187" s="357"/>
      <c r="O187" s="357"/>
      <c r="P187" s="357"/>
      <c r="Q187" s="357"/>
      <c r="R187" s="357"/>
      <c r="S187" s="357">
        <v>45324</v>
      </c>
      <c r="T187" s="357"/>
      <c r="U187" s="357"/>
      <c r="V187" s="357"/>
      <c r="W187" s="357"/>
      <c r="X187" s="357"/>
      <c r="Y187" s="343"/>
      <c r="Z187" s="336"/>
      <c r="AA187" s="336"/>
      <c r="AB187" s="336"/>
      <c r="AC187" s="336"/>
      <c r="AD187" s="336"/>
      <c r="AE187" s="336"/>
      <c r="AF187" s="336"/>
      <c r="AG187" s="336"/>
      <c r="AH187" s="336"/>
      <c r="AI187" s="336"/>
      <c r="AJ187" s="336"/>
      <c r="AK187" s="336"/>
      <c r="AL187" s="336"/>
      <c r="AM187" s="336"/>
      <c r="AN187" s="336"/>
      <c r="AO187" s="336"/>
      <c r="AP187" s="336"/>
      <c r="AQ187" s="336"/>
      <c r="AR187" s="336"/>
      <c r="AS187" s="336"/>
      <c r="AT187" s="336"/>
      <c r="AU187" s="336"/>
      <c r="AV187" s="336"/>
      <c r="AW187" s="336"/>
    </row>
    <row r="188" spans="1:49" ht="14" outlineLevel="2">
      <c r="A188" s="336"/>
      <c r="B188" s="341"/>
      <c r="C188" s="358" t="s">
        <v>539</v>
      </c>
      <c r="D188" s="359">
        <f t="shared" si="16"/>
        <v>113602</v>
      </c>
      <c r="E188" s="359">
        <f t="shared" si="17"/>
        <v>113602</v>
      </c>
      <c r="F188" s="359">
        <f t="shared" si="18"/>
        <v>113602</v>
      </c>
      <c r="G188" s="359">
        <f t="shared" si="19"/>
        <v>113602</v>
      </c>
      <c r="H188" s="359">
        <f t="shared" si="20"/>
        <v>113602</v>
      </c>
      <c r="I188" s="359">
        <f t="shared" si="21"/>
        <v>113602</v>
      </c>
      <c r="J188" s="359" t="str">
        <f t="shared" si="22"/>
        <v/>
      </c>
      <c r="K188" s="360" t="str">
        <f t="shared" si="23"/>
        <v/>
      </c>
      <c r="L188" s="339"/>
      <c r="M188" s="361"/>
      <c r="N188" s="361"/>
      <c r="O188" s="361"/>
      <c r="P188" s="361"/>
      <c r="Q188" s="361"/>
      <c r="R188" s="361"/>
      <c r="S188" s="361">
        <v>113602</v>
      </c>
      <c r="T188" s="361"/>
      <c r="U188" s="361"/>
      <c r="V188" s="361"/>
      <c r="W188" s="361"/>
      <c r="X188" s="361"/>
      <c r="Y188" s="343"/>
      <c r="Z188" s="336"/>
      <c r="AA188" s="336"/>
      <c r="AB188" s="336"/>
      <c r="AC188" s="336"/>
      <c r="AD188" s="336"/>
      <c r="AE188" s="336"/>
      <c r="AF188" s="336"/>
      <c r="AG188" s="336"/>
      <c r="AH188" s="336"/>
      <c r="AI188" s="336"/>
      <c r="AJ188" s="336"/>
      <c r="AK188" s="336"/>
      <c r="AL188" s="336"/>
      <c r="AM188" s="336"/>
      <c r="AN188" s="336"/>
      <c r="AO188" s="336"/>
      <c r="AP188" s="336"/>
      <c r="AQ188" s="336"/>
      <c r="AR188" s="336"/>
      <c r="AS188" s="336"/>
      <c r="AT188" s="336"/>
      <c r="AU188" s="336"/>
      <c r="AV188" s="336"/>
      <c r="AW188" s="336"/>
    </row>
    <row r="189" spans="1:49" ht="14" outlineLevel="1">
      <c r="A189" s="336"/>
      <c r="B189" s="341"/>
      <c r="C189" s="354" t="s">
        <v>540</v>
      </c>
      <c r="D189" s="355" t="str">
        <f t="shared" si="16"/>
        <v/>
      </c>
      <c r="E189" s="355" t="str">
        <f t="shared" si="17"/>
        <v/>
      </c>
      <c r="F189" s="355" t="str">
        <f t="shared" si="18"/>
        <v/>
      </c>
      <c r="G189" s="355" t="str">
        <f t="shared" si="19"/>
        <v/>
      </c>
      <c r="H189" s="355" t="str">
        <f t="shared" si="20"/>
        <v/>
      </c>
      <c r="I189" s="355" t="str">
        <f t="shared" si="21"/>
        <v/>
      </c>
      <c r="J189" s="355" t="str">
        <f t="shared" si="22"/>
        <v/>
      </c>
      <c r="K189" s="356" t="str">
        <f t="shared" si="23"/>
        <v/>
      </c>
      <c r="M189" s="357"/>
      <c r="N189" s="357"/>
      <c r="O189" s="357"/>
      <c r="P189" s="357"/>
      <c r="Q189" s="357"/>
      <c r="R189" s="357"/>
      <c r="S189" s="357"/>
      <c r="T189" s="357"/>
      <c r="U189" s="357"/>
      <c r="V189" s="357"/>
      <c r="W189" s="357"/>
      <c r="X189" s="357"/>
      <c r="Y189" s="343"/>
      <c r="Z189" s="336"/>
      <c r="AA189" s="336"/>
      <c r="AB189" s="336"/>
      <c r="AC189" s="336"/>
      <c r="AD189" s="336"/>
      <c r="AE189" s="336"/>
      <c r="AF189" s="336"/>
      <c r="AG189" s="336"/>
      <c r="AH189" s="336"/>
      <c r="AI189" s="336"/>
      <c r="AJ189" s="336"/>
      <c r="AK189" s="336"/>
      <c r="AL189" s="336"/>
      <c r="AM189" s="336"/>
      <c r="AN189" s="336"/>
      <c r="AO189" s="336"/>
      <c r="AP189" s="336"/>
      <c r="AQ189" s="336"/>
      <c r="AR189" s="336"/>
      <c r="AS189" s="336"/>
      <c r="AT189" s="336"/>
      <c r="AU189" s="336"/>
      <c r="AV189" s="336"/>
      <c r="AW189" s="336"/>
    </row>
    <row r="190" spans="1:49" ht="14" outlineLevel="2">
      <c r="A190" s="336"/>
      <c r="B190" s="341"/>
      <c r="C190" s="354" t="s">
        <v>541</v>
      </c>
      <c r="D190" s="355">
        <f t="shared" si="16"/>
        <v>148529</v>
      </c>
      <c r="E190" s="355">
        <f t="shared" si="17"/>
        <v>146810</v>
      </c>
      <c r="F190" s="355">
        <f t="shared" si="18"/>
        <v>113173</v>
      </c>
      <c r="G190" s="355">
        <f t="shared" si="19"/>
        <v>193442</v>
      </c>
      <c r="H190" s="355">
        <f t="shared" si="20"/>
        <v>115122</v>
      </c>
      <c r="I190" s="355">
        <f t="shared" si="21"/>
        <v>163784</v>
      </c>
      <c r="J190" s="355">
        <f t="shared" si="22"/>
        <v>33916.044042606147</v>
      </c>
      <c r="K190" s="356">
        <f t="shared" si="23"/>
        <v>0.23101998530485762</v>
      </c>
      <c r="M190" s="357"/>
      <c r="N190" s="357"/>
      <c r="O190" s="357">
        <v>193442</v>
      </c>
      <c r="P190" s="357">
        <v>163784</v>
      </c>
      <c r="Q190" s="357">
        <v>115122</v>
      </c>
      <c r="R190" s="357">
        <v>148529</v>
      </c>
      <c r="S190" s="357">
        <v>113173</v>
      </c>
      <c r="T190" s="357"/>
      <c r="U190" s="357"/>
      <c r="V190" s="357"/>
      <c r="W190" s="357"/>
      <c r="X190" s="357"/>
      <c r="Y190" s="343"/>
      <c r="Z190" s="336"/>
      <c r="AA190" s="336"/>
      <c r="AB190" s="336"/>
      <c r="AC190" s="336"/>
      <c r="AD190" s="336"/>
      <c r="AE190" s="336"/>
      <c r="AF190" s="336"/>
      <c r="AG190" s="336"/>
      <c r="AH190" s="336"/>
      <c r="AI190" s="336"/>
      <c r="AJ190" s="336"/>
      <c r="AK190" s="336"/>
      <c r="AL190" s="336"/>
      <c r="AM190" s="336"/>
      <c r="AN190" s="336"/>
      <c r="AO190" s="336"/>
      <c r="AP190" s="336"/>
      <c r="AQ190" s="336"/>
      <c r="AR190" s="336"/>
      <c r="AS190" s="336"/>
      <c r="AT190" s="336"/>
      <c r="AU190" s="336"/>
      <c r="AV190" s="336"/>
      <c r="AW190" s="336"/>
    </row>
    <row r="191" spans="1:49" ht="14" outlineLevel="2">
      <c r="A191" s="336"/>
      <c r="B191" s="341"/>
      <c r="C191" s="354" t="s">
        <v>542</v>
      </c>
      <c r="D191" s="355">
        <f t="shared" si="16"/>
        <v>176893</v>
      </c>
      <c r="E191" s="355">
        <f t="shared" si="17"/>
        <v>205293.2</v>
      </c>
      <c r="F191" s="355">
        <f t="shared" si="18"/>
        <v>156466</v>
      </c>
      <c r="G191" s="355">
        <f t="shared" si="19"/>
        <v>338058</v>
      </c>
      <c r="H191" s="355">
        <f t="shared" si="20"/>
        <v>157828</v>
      </c>
      <c r="I191" s="355">
        <f t="shared" si="21"/>
        <v>197221</v>
      </c>
      <c r="J191" s="355">
        <f t="shared" si="22"/>
        <v>76051.404593866624</v>
      </c>
      <c r="K191" s="356">
        <f t="shared" si="23"/>
        <v>0.37045262382712441</v>
      </c>
      <c r="M191" s="357"/>
      <c r="N191" s="357"/>
      <c r="O191" s="357">
        <v>338058</v>
      </c>
      <c r="P191" s="357">
        <v>176893</v>
      </c>
      <c r="Q191" s="357">
        <v>157828</v>
      </c>
      <c r="R191" s="357">
        <v>197221</v>
      </c>
      <c r="S191" s="357">
        <v>156466</v>
      </c>
      <c r="T191" s="357"/>
      <c r="U191" s="357"/>
      <c r="V191" s="357"/>
      <c r="W191" s="357"/>
      <c r="X191" s="357"/>
      <c r="Y191" s="343"/>
      <c r="Z191" s="336"/>
      <c r="AA191" s="336"/>
      <c r="AB191" s="336"/>
      <c r="AC191" s="336"/>
      <c r="AD191" s="336"/>
      <c r="AE191" s="336"/>
      <c r="AF191" s="336"/>
      <c r="AG191" s="336"/>
      <c r="AH191" s="336"/>
      <c r="AI191" s="336"/>
      <c r="AJ191" s="336"/>
      <c r="AK191" s="336"/>
      <c r="AL191" s="336"/>
      <c r="AM191" s="336"/>
      <c r="AN191" s="336"/>
      <c r="AO191" s="336"/>
      <c r="AP191" s="336"/>
      <c r="AQ191" s="336"/>
      <c r="AR191" s="336"/>
      <c r="AS191" s="336"/>
      <c r="AT191" s="336"/>
      <c r="AU191" s="336"/>
      <c r="AV191" s="336"/>
      <c r="AW191" s="336"/>
    </row>
    <row r="192" spans="1:49" ht="14" outlineLevel="2">
      <c r="A192" s="336"/>
      <c r="B192" s="341"/>
      <c r="C192" s="354" t="s">
        <v>543</v>
      </c>
      <c r="D192" s="355">
        <f t="shared" si="16"/>
        <v>164448</v>
      </c>
      <c r="E192" s="355">
        <f t="shared" si="17"/>
        <v>163339.6</v>
      </c>
      <c r="F192" s="355">
        <f t="shared" si="18"/>
        <v>126113</v>
      </c>
      <c r="G192" s="355">
        <f t="shared" si="19"/>
        <v>199881</v>
      </c>
      <c r="H192" s="355">
        <f t="shared" si="20"/>
        <v>152234</v>
      </c>
      <c r="I192" s="355">
        <f t="shared" si="21"/>
        <v>174022</v>
      </c>
      <c r="J192" s="355">
        <f t="shared" si="22"/>
        <v>27201.885197537307</v>
      </c>
      <c r="K192" s="356">
        <f t="shared" si="23"/>
        <v>0.16653576473517326</v>
      </c>
      <c r="M192" s="357"/>
      <c r="N192" s="357"/>
      <c r="O192" s="357">
        <v>199881</v>
      </c>
      <c r="P192" s="357">
        <v>164448</v>
      </c>
      <c r="Q192" s="357">
        <v>174022</v>
      </c>
      <c r="R192" s="357">
        <v>152234</v>
      </c>
      <c r="S192" s="357">
        <v>126113</v>
      </c>
      <c r="T192" s="357"/>
      <c r="U192" s="357"/>
      <c r="V192" s="357"/>
      <c r="W192" s="357"/>
      <c r="X192" s="357"/>
      <c r="Y192" s="343"/>
      <c r="Z192" s="336"/>
      <c r="AA192" s="336"/>
      <c r="AB192" s="336"/>
      <c r="AC192" s="336"/>
      <c r="AD192" s="336"/>
      <c r="AE192" s="336"/>
      <c r="AF192" s="336"/>
      <c r="AG192" s="336"/>
      <c r="AH192" s="336"/>
      <c r="AI192" s="336"/>
      <c r="AJ192" s="336"/>
      <c r="AK192" s="336"/>
      <c r="AL192" s="336"/>
      <c r="AM192" s="336"/>
      <c r="AN192" s="336"/>
      <c r="AO192" s="336"/>
      <c r="AP192" s="336"/>
      <c r="AQ192" s="336"/>
      <c r="AR192" s="336"/>
      <c r="AS192" s="336"/>
      <c r="AT192" s="336"/>
      <c r="AU192" s="336"/>
      <c r="AV192" s="336"/>
      <c r="AW192" s="336"/>
    </row>
    <row r="193" spans="1:49" ht="14" outlineLevel="2">
      <c r="A193" s="336"/>
      <c r="B193" s="341"/>
      <c r="C193" s="354" t="s">
        <v>544</v>
      </c>
      <c r="D193" s="355">
        <f t="shared" si="16"/>
        <v>384783</v>
      </c>
      <c r="E193" s="355">
        <f t="shared" si="17"/>
        <v>390086.6</v>
      </c>
      <c r="F193" s="355">
        <f t="shared" si="18"/>
        <v>349537</v>
      </c>
      <c r="G193" s="355">
        <f t="shared" si="19"/>
        <v>438610</v>
      </c>
      <c r="H193" s="355">
        <f t="shared" si="20"/>
        <v>367877</v>
      </c>
      <c r="I193" s="355">
        <f t="shared" si="21"/>
        <v>409626</v>
      </c>
      <c r="J193" s="355">
        <f t="shared" si="22"/>
        <v>35007.045952207969</v>
      </c>
      <c r="K193" s="356">
        <f t="shared" si="23"/>
        <v>8.9741729021729971E-2</v>
      </c>
      <c r="M193" s="357"/>
      <c r="N193" s="357"/>
      <c r="O193" s="357">
        <v>367877</v>
      </c>
      <c r="P193" s="357">
        <v>384783</v>
      </c>
      <c r="Q193" s="357">
        <v>438610</v>
      </c>
      <c r="R193" s="357">
        <v>409626</v>
      </c>
      <c r="S193" s="357">
        <v>349537</v>
      </c>
      <c r="T193" s="357"/>
      <c r="U193" s="357"/>
      <c r="V193" s="357"/>
      <c r="W193" s="357"/>
      <c r="X193" s="357"/>
      <c r="Y193" s="343"/>
      <c r="Z193" s="336"/>
      <c r="AA193" s="336"/>
      <c r="AB193" s="336"/>
      <c r="AC193" s="336"/>
      <c r="AD193" s="336"/>
      <c r="AE193" s="336"/>
      <c r="AF193" s="336"/>
      <c r="AG193" s="336"/>
      <c r="AH193" s="336"/>
      <c r="AI193" s="336"/>
      <c r="AJ193" s="336"/>
      <c r="AK193" s="336"/>
      <c r="AL193" s="336"/>
      <c r="AM193" s="336"/>
      <c r="AN193" s="336"/>
      <c r="AO193" s="336"/>
      <c r="AP193" s="336"/>
      <c r="AQ193" s="336"/>
      <c r="AR193" s="336"/>
      <c r="AS193" s="336"/>
      <c r="AT193" s="336"/>
      <c r="AU193" s="336"/>
      <c r="AV193" s="336"/>
      <c r="AW193" s="336"/>
    </row>
    <row r="194" spans="1:49" ht="14" outlineLevel="2">
      <c r="A194" s="336"/>
      <c r="B194" s="341"/>
      <c r="C194" s="358" t="s">
        <v>545</v>
      </c>
      <c r="D194" s="359">
        <f t="shared" si="16"/>
        <v>889908</v>
      </c>
      <c r="E194" s="359">
        <f t="shared" si="17"/>
        <v>905529.4</v>
      </c>
      <c r="F194" s="359">
        <f t="shared" si="18"/>
        <v>745289</v>
      </c>
      <c r="G194" s="359">
        <f t="shared" si="19"/>
        <v>1099258</v>
      </c>
      <c r="H194" s="359">
        <f t="shared" si="20"/>
        <v>885582</v>
      </c>
      <c r="I194" s="359">
        <f t="shared" si="21"/>
        <v>907610</v>
      </c>
      <c r="J194" s="359">
        <f t="shared" si="22"/>
        <v>126346.75703317458</v>
      </c>
      <c r="K194" s="360">
        <f t="shared" si="23"/>
        <v>0.13952805622122769</v>
      </c>
      <c r="L194" s="339"/>
      <c r="M194" s="361"/>
      <c r="N194" s="361"/>
      <c r="O194" s="361">
        <v>1099258</v>
      </c>
      <c r="P194" s="361">
        <v>889908</v>
      </c>
      <c r="Q194" s="361">
        <v>885582</v>
      </c>
      <c r="R194" s="361">
        <v>907610</v>
      </c>
      <c r="S194" s="361">
        <v>745289</v>
      </c>
      <c r="T194" s="361"/>
      <c r="U194" s="361"/>
      <c r="V194" s="361"/>
      <c r="W194" s="361"/>
      <c r="X194" s="361"/>
      <c r="Y194" s="343"/>
      <c r="Z194" s="336"/>
      <c r="AA194" s="336"/>
      <c r="AB194" s="336"/>
      <c r="AC194" s="336"/>
      <c r="AD194" s="336"/>
      <c r="AE194" s="336"/>
      <c r="AF194" s="336"/>
      <c r="AG194" s="336"/>
      <c r="AH194" s="336"/>
      <c r="AI194" s="336"/>
      <c r="AJ194" s="336"/>
      <c r="AK194" s="336"/>
      <c r="AL194" s="336"/>
      <c r="AM194" s="336"/>
      <c r="AN194" s="336"/>
      <c r="AO194" s="336"/>
      <c r="AP194" s="336"/>
      <c r="AQ194" s="336"/>
      <c r="AR194" s="336"/>
      <c r="AS194" s="336"/>
      <c r="AT194" s="336"/>
      <c r="AU194" s="336"/>
      <c r="AV194" s="336"/>
      <c r="AW194" s="336"/>
    </row>
    <row r="195" spans="1:49" ht="14" outlineLevel="1">
      <c r="A195" s="336"/>
      <c r="B195" s="341"/>
      <c r="C195" s="354" t="s">
        <v>546</v>
      </c>
      <c r="D195" s="355" t="str">
        <f t="shared" si="16"/>
        <v/>
      </c>
      <c r="E195" s="355" t="str">
        <f t="shared" si="17"/>
        <v/>
      </c>
      <c r="F195" s="355" t="str">
        <f t="shared" si="18"/>
        <v/>
      </c>
      <c r="G195" s="355" t="str">
        <f t="shared" si="19"/>
        <v/>
      </c>
      <c r="H195" s="355" t="str">
        <f t="shared" si="20"/>
        <v/>
      </c>
      <c r="I195" s="355" t="str">
        <f t="shared" si="21"/>
        <v/>
      </c>
      <c r="J195" s="355" t="str">
        <f t="shared" si="22"/>
        <v/>
      </c>
      <c r="K195" s="356" t="str">
        <f t="shared" si="23"/>
        <v/>
      </c>
      <c r="M195" s="357"/>
      <c r="N195" s="357"/>
      <c r="O195" s="357"/>
      <c r="P195" s="357"/>
      <c r="Q195" s="357"/>
      <c r="R195" s="357"/>
      <c r="S195" s="357"/>
      <c r="T195" s="357"/>
      <c r="U195" s="357"/>
      <c r="V195" s="357"/>
      <c r="W195" s="357"/>
      <c r="X195" s="357"/>
      <c r="Y195" s="343"/>
      <c r="Z195" s="336"/>
      <c r="AA195" s="336"/>
      <c r="AB195" s="336"/>
      <c r="AC195" s="336"/>
      <c r="AD195" s="336"/>
      <c r="AE195" s="336"/>
      <c r="AF195" s="336"/>
      <c r="AG195" s="336"/>
      <c r="AH195" s="336"/>
      <c r="AI195" s="336"/>
      <c r="AJ195" s="336"/>
      <c r="AK195" s="336"/>
      <c r="AL195" s="336"/>
      <c r="AM195" s="336"/>
      <c r="AN195" s="336"/>
      <c r="AO195" s="336"/>
      <c r="AP195" s="336"/>
      <c r="AQ195" s="336"/>
      <c r="AR195" s="336"/>
      <c r="AS195" s="336"/>
      <c r="AT195" s="336"/>
      <c r="AU195" s="336"/>
      <c r="AV195" s="336"/>
      <c r="AW195" s="336"/>
    </row>
    <row r="196" spans="1:49" ht="14" outlineLevel="2">
      <c r="A196" s="336"/>
      <c r="B196" s="341"/>
      <c r="C196" s="354" t="s">
        <v>547</v>
      </c>
      <c r="D196" s="355">
        <f t="shared" si="16"/>
        <v>32479</v>
      </c>
      <c r="E196" s="355">
        <f t="shared" si="17"/>
        <v>37912.571428571428</v>
      </c>
      <c r="F196" s="355">
        <f t="shared" si="18"/>
        <v>15911</v>
      </c>
      <c r="G196" s="355">
        <f t="shared" si="19"/>
        <v>60171</v>
      </c>
      <c r="H196" s="355">
        <f t="shared" si="20"/>
        <v>26580.5</v>
      </c>
      <c r="I196" s="355">
        <f t="shared" si="21"/>
        <v>51833</v>
      </c>
      <c r="J196" s="355">
        <f t="shared" si="22"/>
        <v>16672.9183394024</v>
      </c>
      <c r="K196" s="356">
        <f t="shared" si="23"/>
        <v>0.43977281706714999</v>
      </c>
      <c r="M196" s="357">
        <v>60171</v>
      </c>
      <c r="N196" s="357">
        <v>53813</v>
      </c>
      <c r="O196" s="357">
        <v>49853</v>
      </c>
      <c r="P196" s="357">
        <v>32479</v>
      </c>
      <c r="Q196" s="357">
        <v>28405</v>
      </c>
      <c r="R196" s="357">
        <v>24756</v>
      </c>
      <c r="S196" s="357">
        <v>15911</v>
      </c>
      <c r="T196" s="357"/>
      <c r="U196" s="357"/>
      <c r="V196" s="357"/>
      <c r="W196" s="357"/>
      <c r="X196" s="357"/>
      <c r="Y196" s="343"/>
      <c r="Z196" s="336"/>
      <c r="AA196" s="336"/>
      <c r="AB196" s="336"/>
      <c r="AC196" s="336"/>
      <c r="AD196" s="336"/>
      <c r="AE196" s="336"/>
      <c r="AF196" s="336"/>
      <c r="AG196" s="336"/>
      <c r="AH196" s="336"/>
      <c r="AI196" s="336"/>
      <c r="AJ196" s="336"/>
      <c r="AK196" s="336"/>
      <c r="AL196" s="336"/>
      <c r="AM196" s="336"/>
      <c r="AN196" s="336"/>
      <c r="AO196" s="336"/>
      <c r="AP196" s="336"/>
      <c r="AQ196" s="336"/>
      <c r="AR196" s="336"/>
      <c r="AS196" s="336"/>
      <c r="AT196" s="336"/>
      <c r="AU196" s="336"/>
      <c r="AV196" s="336"/>
      <c r="AW196" s="336"/>
    </row>
    <row r="197" spans="1:49" ht="14" outlineLevel="2">
      <c r="A197" s="336"/>
      <c r="B197" s="341"/>
      <c r="C197" s="354" t="s">
        <v>548</v>
      </c>
      <c r="D197" s="355">
        <f t="shared" si="16"/>
        <v>33192</v>
      </c>
      <c r="E197" s="355">
        <f t="shared" si="17"/>
        <v>44526.857142857145</v>
      </c>
      <c r="F197" s="355">
        <f t="shared" si="18"/>
        <v>15219</v>
      </c>
      <c r="G197" s="355">
        <f t="shared" si="19"/>
        <v>78663</v>
      </c>
      <c r="H197" s="355">
        <f t="shared" si="20"/>
        <v>27137</v>
      </c>
      <c r="I197" s="355">
        <f t="shared" si="21"/>
        <v>65170</v>
      </c>
      <c r="J197" s="355">
        <f t="shared" si="22"/>
        <v>24689.818153971701</v>
      </c>
      <c r="K197" s="356">
        <f t="shared" si="23"/>
        <v>0.55449272053400167</v>
      </c>
      <c r="M197" s="357">
        <v>78663</v>
      </c>
      <c r="N197" s="357">
        <v>69762</v>
      </c>
      <c r="O197" s="357">
        <v>60578</v>
      </c>
      <c r="P197" s="357">
        <v>33192</v>
      </c>
      <c r="Q197" s="357">
        <v>28803</v>
      </c>
      <c r="R197" s="357">
        <v>25471</v>
      </c>
      <c r="S197" s="357">
        <v>15219</v>
      </c>
      <c r="T197" s="357"/>
      <c r="U197" s="357"/>
      <c r="V197" s="357"/>
      <c r="W197" s="357"/>
      <c r="X197" s="357"/>
      <c r="Y197" s="343"/>
      <c r="Z197" s="336"/>
      <c r="AA197" s="336"/>
      <c r="AB197" s="336"/>
      <c r="AC197" s="336"/>
      <c r="AD197" s="336"/>
      <c r="AE197" s="336"/>
      <c r="AF197" s="336"/>
      <c r="AG197" s="336"/>
      <c r="AH197" s="336"/>
      <c r="AI197" s="336"/>
      <c r="AJ197" s="336"/>
      <c r="AK197" s="336"/>
      <c r="AL197" s="336"/>
      <c r="AM197" s="336"/>
      <c r="AN197" s="336"/>
      <c r="AO197" s="336"/>
      <c r="AP197" s="336"/>
      <c r="AQ197" s="336"/>
      <c r="AR197" s="336"/>
      <c r="AS197" s="336"/>
      <c r="AT197" s="336"/>
      <c r="AU197" s="336"/>
      <c r="AV197" s="336"/>
      <c r="AW197" s="336"/>
    </row>
    <row r="198" spans="1:49" ht="14" outlineLevel="2">
      <c r="A198" s="336"/>
      <c r="B198" s="341"/>
      <c r="C198" s="354" t="s">
        <v>549</v>
      </c>
      <c r="D198" s="355">
        <f t="shared" si="16"/>
        <v>33544</v>
      </c>
      <c r="E198" s="355">
        <f t="shared" si="17"/>
        <v>44400.714285714283</v>
      </c>
      <c r="F198" s="355">
        <f t="shared" si="18"/>
        <v>13454</v>
      </c>
      <c r="G198" s="355">
        <f t="shared" si="19"/>
        <v>78409</v>
      </c>
      <c r="H198" s="355">
        <f t="shared" si="20"/>
        <v>27038</v>
      </c>
      <c r="I198" s="355">
        <f t="shared" si="21"/>
        <v>65661</v>
      </c>
      <c r="J198" s="355">
        <f t="shared" si="22"/>
        <v>25126.793499597767</v>
      </c>
      <c r="K198" s="356">
        <f t="shared" si="23"/>
        <v>0.56590966843256829</v>
      </c>
      <c r="M198" s="357">
        <v>78409</v>
      </c>
      <c r="N198" s="357">
        <v>70433</v>
      </c>
      <c r="O198" s="357">
        <v>60889</v>
      </c>
      <c r="P198" s="357">
        <v>33544</v>
      </c>
      <c r="Q198" s="357">
        <v>28367</v>
      </c>
      <c r="R198" s="357">
        <v>25709</v>
      </c>
      <c r="S198" s="357">
        <v>13454</v>
      </c>
      <c r="T198" s="357"/>
      <c r="U198" s="357"/>
      <c r="V198" s="357"/>
      <c r="W198" s="357"/>
      <c r="X198" s="357"/>
      <c r="Y198" s="343"/>
      <c r="Z198" s="336"/>
      <c r="AA198" s="336"/>
      <c r="AB198" s="336"/>
      <c r="AC198" s="336"/>
      <c r="AD198" s="336"/>
      <c r="AE198" s="336"/>
      <c r="AF198" s="336"/>
      <c r="AG198" s="336"/>
      <c r="AH198" s="336"/>
      <c r="AI198" s="336"/>
      <c r="AJ198" s="336"/>
      <c r="AK198" s="336"/>
      <c r="AL198" s="336"/>
      <c r="AM198" s="336"/>
      <c r="AN198" s="336"/>
      <c r="AO198" s="336"/>
      <c r="AP198" s="336"/>
      <c r="AQ198" s="336"/>
      <c r="AR198" s="336"/>
      <c r="AS198" s="336"/>
      <c r="AT198" s="336"/>
      <c r="AU198" s="336"/>
      <c r="AV198" s="336"/>
      <c r="AW198" s="336"/>
    </row>
    <row r="199" spans="1:49" ht="14" outlineLevel="2">
      <c r="A199" s="336"/>
      <c r="B199" s="341"/>
      <c r="C199" s="354" t="s">
        <v>550</v>
      </c>
      <c r="D199" s="355">
        <f t="shared" si="16"/>
        <v>33007</v>
      </c>
      <c r="E199" s="355">
        <f t="shared" si="17"/>
        <v>43011.285714285717</v>
      </c>
      <c r="F199" s="355">
        <f t="shared" si="18"/>
        <v>12561</v>
      </c>
      <c r="G199" s="355">
        <f t="shared" si="19"/>
        <v>75518</v>
      </c>
      <c r="H199" s="355">
        <f t="shared" si="20"/>
        <v>25994</v>
      </c>
      <c r="I199" s="355">
        <f t="shared" si="21"/>
        <v>64002.5</v>
      </c>
      <c r="J199" s="355">
        <f t="shared" si="22"/>
        <v>24448.961802867936</v>
      </c>
      <c r="K199" s="356">
        <f t="shared" si="23"/>
        <v>0.56843131742856701</v>
      </c>
      <c r="M199" s="357">
        <v>75518</v>
      </c>
      <c r="N199" s="357">
        <v>68510</v>
      </c>
      <c r="O199" s="357">
        <v>59495</v>
      </c>
      <c r="P199" s="357">
        <v>33007</v>
      </c>
      <c r="Q199" s="357">
        <v>26844</v>
      </c>
      <c r="R199" s="357">
        <v>25144</v>
      </c>
      <c r="S199" s="357">
        <v>12561</v>
      </c>
      <c r="T199" s="357"/>
      <c r="U199" s="357"/>
      <c r="V199" s="357"/>
      <c r="W199" s="357"/>
      <c r="X199" s="357"/>
      <c r="Y199" s="343"/>
      <c r="Z199" s="336"/>
      <c r="AA199" s="336"/>
      <c r="AB199" s="336"/>
      <c r="AC199" s="336"/>
      <c r="AD199" s="336"/>
      <c r="AE199" s="336"/>
      <c r="AF199" s="336"/>
      <c r="AG199" s="336"/>
      <c r="AH199" s="336"/>
      <c r="AI199" s="336"/>
      <c r="AJ199" s="336"/>
      <c r="AK199" s="336"/>
      <c r="AL199" s="336"/>
      <c r="AM199" s="336"/>
      <c r="AN199" s="336"/>
      <c r="AO199" s="336"/>
      <c r="AP199" s="336"/>
      <c r="AQ199" s="336"/>
      <c r="AR199" s="336"/>
      <c r="AS199" s="336"/>
      <c r="AT199" s="336"/>
      <c r="AU199" s="336"/>
      <c r="AV199" s="336"/>
      <c r="AW199" s="336"/>
    </row>
    <row r="200" spans="1:49" ht="14" outlineLevel="2">
      <c r="A200" s="336"/>
      <c r="B200" s="341"/>
      <c r="C200" s="354" t="s">
        <v>551</v>
      </c>
      <c r="D200" s="355">
        <f t="shared" si="16"/>
        <v>30238</v>
      </c>
      <c r="E200" s="355">
        <f t="shared" si="17"/>
        <v>39503.428571428572</v>
      </c>
      <c r="F200" s="355">
        <f t="shared" si="18"/>
        <v>11133</v>
      </c>
      <c r="G200" s="355">
        <f t="shared" si="19"/>
        <v>67643</v>
      </c>
      <c r="H200" s="355">
        <f t="shared" si="20"/>
        <v>24582</v>
      </c>
      <c r="I200" s="355">
        <f t="shared" si="21"/>
        <v>59173</v>
      </c>
      <c r="J200" s="355">
        <f t="shared" si="22"/>
        <v>22141.997868734597</v>
      </c>
      <c r="K200" s="356">
        <f t="shared" si="23"/>
        <v>0.56050825635800938</v>
      </c>
      <c r="M200" s="357">
        <v>67643</v>
      </c>
      <c r="N200" s="357">
        <v>63382</v>
      </c>
      <c r="O200" s="357">
        <v>54964</v>
      </c>
      <c r="P200" s="357">
        <v>30238</v>
      </c>
      <c r="Q200" s="357">
        <v>26087</v>
      </c>
      <c r="R200" s="357">
        <v>23077</v>
      </c>
      <c r="S200" s="357">
        <v>11133</v>
      </c>
      <c r="T200" s="357"/>
      <c r="U200" s="357"/>
      <c r="V200" s="357"/>
      <c r="W200" s="357"/>
      <c r="X200" s="357"/>
      <c r="Y200" s="343"/>
      <c r="Z200" s="336"/>
      <c r="AA200" s="336"/>
      <c r="AB200" s="336"/>
      <c r="AC200" s="336"/>
      <c r="AD200" s="336"/>
      <c r="AE200" s="336"/>
      <c r="AF200" s="336"/>
      <c r="AG200" s="336"/>
      <c r="AH200" s="336"/>
      <c r="AI200" s="336"/>
      <c r="AJ200" s="336"/>
      <c r="AK200" s="336"/>
      <c r="AL200" s="336"/>
      <c r="AM200" s="336"/>
      <c r="AN200" s="336"/>
      <c r="AO200" s="336"/>
      <c r="AP200" s="336"/>
      <c r="AQ200" s="336"/>
      <c r="AR200" s="336"/>
      <c r="AS200" s="336"/>
      <c r="AT200" s="336"/>
      <c r="AU200" s="336"/>
      <c r="AV200" s="336"/>
      <c r="AW200" s="336"/>
    </row>
    <row r="201" spans="1:49" ht="14" outlineLevel="2">
      <c r="A201" s="336"/>
      <c r="B201" s="341"/>
      <c r="C201" s="354" t="s">
        <v>552</v>
      </c>
      <c r="D201" s="355">
        <f t="shared" si="16"/>
        <v>111718</v>
      </c>
      <c r="E201" s="355">
        <f t="shared" si="17"/>
        <v>128603.57142857143</v>
      </c>
      <c r="F201" s="355">
        <f t="shared" si="18"/>
        <v>45324</v>
      </c>
      <c r="G201" s="355">
        <f t="shared" si="19"/>
        <v>194690</v>
      </c>
      <c r="H201" s="355">
        <f t="shared" si="20"/>
        <v>92006.5</v>
      </c>
      <c r="I201" s="355">
        <f t="shared" si="21"/>
        <v>182240</v>
      </c>
      <c r="J201" s="355">
        <f t="shared" si="22"/>
        <v>58182.554865002676</v>
      </c>
      <c r="K201" s="356">
        <f t="shared" si="23"/>
        <v>0.45241787781390064</v>
      </c>
      <c r="M201" s="357">
        <v>194690</v>
      </c>
      <c r="N201" s="357">
        <v>193662</v>
      </c>
      <c r="O201" s="357">
        <v>170818</v>
      </c>
      <c r="P201" s="357">
        <v>111718</v>
      </c>
      <c r="Q201" s="357">
        <v>95872</v>
      </c>
      <c r="R201" s="357">
        <v>88141</v>
      </c>
      <c r="S201" s="357">
        <v>45324</v>
      </c>
      <c r="T201" s="357"/>
      <c r="U201" s="357"/>
      <c r="V201" s="357"/>
      <c r="W201" s="357"/>
      <c r="X201" s="357"/>
      <c r="Y201" s="343"/>
      <c r="Z201" s="336"/>
      <c r="AA201" s="336"/>
      <c r="AB201" s="336"/>
      <c r="AC201" s="336"/>
      <c r="AD201" s="336"/>
      <c r="AE201" s="336"/>
      <c r="AF201" s="336"/>
      <c r="AG201" s="336"/>
      <c r="AH201" s="336"/>
      <c r="AI201" s="336"/>
      <c r="AJ201" s="336"/>
      <c r="AK201" s="336"/>
      <c r="AL201" s="336"/>
      <c r="AM201" s="336"/>
      <c r="AN201" s="336"/>
      <c r="AO201" s="336"/>
      <c r="AP201" s="336"/>
      <c r="AQ201" s="336"/>
      <c r="AR201" s="336"/>
      <c r="AS201" s="336"/>
      <c r="AT201" s="336"/>
      <c r="AU201" s="336"/>
      <c r="AV201" s="336"/>
      <c r="AW201" s="336"/>
    </row>
    <row r="202" spans="1:49" ht="14" outlineLevel="2">
      <c r="A202" s="336"/>
      <c r="B202" s="341"/>
      <c r="C202" s="354" t="s">
        <v>553</v>
      </c>
      <c r="D202" s="355">
        <f t="shared" si="16"/>
        <v>-67442</v>
      </c>
      <c r="E202" s="355">
        <f t="shared" si="17"/>
        <v>-73392.666666666672</v>
      </c>
      <c r="F202" s="355">
        <f t="shared" si="18"/>
        <v>-112649</v>
      </c>
      <c r="G202" s="355">
        <f t="shared" si="19"/>
        <v>-42290</v>
      </c>
      <c r="H202" s="355">
        <f t="shared" si="20"/>
        <v>-98237.25</v>
      </c>
      <c r="I202" s="355">
        <f t="shared" si="21"/>
        <v>-48383.5</v>
      </c>
      <c r="J202" s="355">
        <f t="shared" si="22"/>
        <v>30349.578624202783</v>
      </c>
      <c r="K202" s="356">
        <f t="shared" si="23"/>
        <v>-0.41352331237729628</v>
      </c>
      <c r="M202" s="357">
        <v>-112649</v>
      </c>
      <c r="N202" s="357">
        <v>-103936</v>
      </c>
      <c r="O202" s="357">
        <v>-81141</v>
      </c>
      <c r="P202" s="357">
        <v>-53743</v>
      </c>
      <c r="Q202" s="357">
        <v>-46597</v>
      </c>
      <c r="R202" s="357">
        <v>-42290</v>
      </c>
      <c r="S202" s="357"/>
      <c r="T202" s="357"/>
      <c r="U202" s="357"/>
      <c r="V202" s="357"/>
      <c r="W202" s="357"/>
      <c r="X202" s="357"/>
      <c r="Y202" s="343"/>
      <c r="Z202" s="336"/>
      <c r="AA202" s="336"/>
      <c r="AB202" s="336"/>
      <c r="AC202" s="336"/>
      <c r="AD202" s="336"/>
      <c r="AE202" s="336"/>
      <c r="AF202" s="336"/>
      <c r="AG202" s="336"/>
      <c r="AH202" s="336"/>
      <c r="AI202" s="336"/>
      <c r="AJ202" s="336"/>
      <c r="AK202" s="336"/>
      <c r="AL202" s="336"/>
      <c r="AM202" s="336"/>
      <c r="AN202" s="336"/>
      <c r="AO202" s="336"/>
      <c r="AP202" s="336"/>
      <c r="AQ202" s="336"/>
      <c r="AR202" s="336"/>
      <c r="AS202" s="336"/>
      <c r="AT202" s="336"/>
      <c r="AU202" s="336"/>
      <c r="AV202" s="336"/>
      <c r="AW202" s="336"/>
    </row>
    <row r="203" spans="1:49" ht="14" outlineLevel="2">
      <c r="A203" s="336"/>
      <c r="B203" s="341"/>
      <c r="C203" s="358" t="s">
        <v>554</v>
      </c>
      <c r="D203" s="359">
        <f t="shared" ref="D203:D235" si="24">IF(COUNT(L203:X203)&gt;0,MEDIAN(L203:X203),"")</f>
        <v>220435</v>
      </c>
      <c r="E203" s="359">
        <f t="shared" ref="E203:E235" si="25">IF(COUNT(L203:X203)&gt;0,AVERAGE(L203:X203),"")</f>
        <v>275050.42857142858</v>
      </c>
      <c r="F203" s="359">
        <f t="shared" ref="F203:F235" si="26">IF(COUNT(L203:X203)&gt;0,MIN(L203:X203),"")</f>
        <v>113602</v>
      </c>
      <c r="G203" s="359">
        <f t="shared" ref="G203:G235" si="27">IF(COUNT(L203:X203)&gt;0,MAX(L203:X203),"")</f>
        <v>442445</v>
      </c>
      <c r="H203" s="359">
        <f t="shared" ref="H203:H235" si="28">IF(COUNT(L203:X203)&gt;0,QUARTILE(L203:X203,1),"")</f>
        <v>178894.5</v>
      </c>
      <c r="I203" s="359">
        <f t="shared" ref="I203:I235" si="29">IF(COUNT(L203:X203)&gt;0,QUARTILE(L203:X203,3),"")</f>
        <v>395541</v>
      </c>
      <c r="J203" s="359">
        <f t="shared" ref="J203:J235" si="30">IF(COUNT(L203:X203)&gt;1,STDEV(L203:X203),"")</f>
        <v>132641.13093212218</v>
      </c>
      <c r="K203" s="360">
        <f t="shared" ref="K203:K235" si="31">IF(COUNT(L203:X203)&gt;1,STDEV(L203:X203)/AVERAGE(L203:X203),"")</f>
        <v>0.48224295312332605</v>
      </c>
      <c r="L203" s="339"/>
      <c r="M203" s="361">
        <v>442445</v>
      </c>
      <c r="N203" s="361">
        <v>415626</v>
      </c>
      <c r="O203" s="361">
        <v>375456</v>
      </c>
      <c r="P203" s="361">
        <v>220435</v>
      </c>
      <c r="Q203" s="361">
        <v>187781</v>
      </c>
      <c r="R203" s="361">
        <v>170008</v>
      </c>
      <c r="S203" s="361">
        <v>113602</v>
      </c>
      <c r="T203" s="361"/>
      <c r="U203" s="361"/>
      <c r="V203" s="361"/>
      <c r="W203" s="361"/>
      <c r="X203" s="361"/>
      <c r="Y203" s="343"/>
      <c r="Z203" s="336"/>
      <c r="AA203" s="336"/>
      <c r="AB203" s="336"/>
      <c r="AC203" s="336"/>
      <c r="AD203" s="336"/>
      <c r="AE203" s="336"/>
      <c r="AF203" s="336"/>
      <c r="AG203" s="336"/>
      <c r="AH203" s="336"/>
      <c r="AI203" s="336"/>
      <c r="AJ203" s="336"/>
      <c r="AK203" s="336"/>
      <c r="AL203" s="336"/>
      <c r="AM203" s="336"/>
      <c r="AN203" s="336"/>
      <c r="AO203" s="336"/>
      <c r="AP203" s="336"/>
      <c r="AQ203" s="336"/>
      <c r="AR203" s="336"/>
      <c r="AS203" s="336"/>
      <c r="AT203" s="336"/>
      <c r="AU203" s="336"/>
      <c r="AV203" s="336"/>
      <c r="AW203" s="336"/>
    </row>
    <row r="204" spans="1:49" ht="14" outlineLevel="1">
      <c r="A204" s="336"/>
      <c r="B204" s="341"/>
      <c r="C204" s="354" t="s">
        <v>555</v>
      </c>
      <c r="D204" s="355" t="str">
        <f t="shared" si="24"/>
        <v/>
      </c>
      <c r="E204" s="355" t="str">
        <f t="shared" si="25"/>
        <v/>
      </c>
      <c r="F204" s="355" t="str">
        <f t="shared" si="26"/>
        <v/>
      </c>
      <c r="G204" s="355" t="str">
        <f t="shared" si="27"/>
        <v/>
      </c>
      <c r="H204" s="355" t="str">
        <f t="shared" si="28"/>
        <v/>
      </c>
      <c r="I204" s="355" t="str">
        <f t="shared" si="29"/>
        <v/>
      </c>
      <c r="J204" s="355" t="str">
        <f t="shared" si="30"/>
        <v/>
      </c>
      <c r="K204" s="356" t="str">
        <f t="shared" si="31"/>
        <v/>
      </c>
      <c r="M204" s="357"/>
      <c r="N204" s="357"/>
      <c r="O204" s="357"/>
      <c r="P204" s="357"/>
      <c r="Q204" s="357"/>
      <c r="R204" s="357"/>
      <c r="S204" s="357"/>
      <c r="T204" s="357"/>
      <c r="U204" s="357"/>
      <c r="V204" s="357"/>
      <c r="W204" s="357"/>
      <c r="X204" s="357"/>
      <c r="Y204" s="343"/>
      <c r="Z204" s="336"/>
      <c r="AA204" s="336"/>
      <c r="AB204" s="336"/>
      <c r="AC204" s="336"/>
      <c r="AD204" s="336"/>
      <c r="AE204" s="336"/>
      <c r="AF204" s="336"/>
      <c r="AG204" s="336"/>
      <c r="AH204" s="336"/>
      <c r="AI204" s="336"/>
      <c r="AJ204" s="336"/>
      <c r="AK204" s="336"/>
      <c r="AL204" s="336"/>
      <c r="AM204" s="336"/>
      <c r="AN204" s="336"/>
      <c r="AO204" s="336"/>
      <c r="AP204" s="336"/>
      <c r="AQ204" s="336"/>
      <c r="AR204" s="336"/>
      <c r="AS204" s="336"/>
      <c r="AT204" s="336"/>
      <c r="AU204" s="336"/>
      <c r="AV204" s="336"/>
      <c r="AW204" s="336"/>
    </row>
    <row r="205" spans="1:49" ht="14" outlineLevel="2">
      <c r="A205" s="336"/>
      <c r="B205" s="341"/>
      <c r="C205" s="354" t="s">
        <v>556</v>
      </c>
      <c r="D205" s="355">
        <f t="shared" si="24"/>
        <v>111877.5</v>
      </c>
      <c r="E205" s="355">
        <f t="shared" si="25"/>
        <v>169797.1</v>
      </c>
      <c r="F205" s="355">
        <f t="shared" si="26"/>
        <v>5100</v>
      </c>
      <c r="G205" s="355">
        <f t="shared" si="27"/>
        <v>764326</v>
      </c>
      <c r="H205" s="355">
        <f t="shared" si="28"/>
        <v>24029.5</v>
      </c>
      <c r="I205" s="355">
        <f t="shared" si="29"/>
        <v>183345.5</v>
      </c>
      <c r="J205" s="355">
        <f t="shared" si="30"/>
        <v>226166.1494189369</v>
      </c>
      <c r="K205" s="356">
        <f t="shared" si="31"/>
        <v>1.3319788701864572</v>
      </c>
      <c r="M205" s="357">
        <v>82671</v>
      </c>
      <c r="N205" s="357">
        <v>74563</v>
      </c>
      <c r="O205" s="357">
        <v>264045</v>
      </c>
      <c r="P205" s="357">
        <v>764326</v>
      </c>
      <c r="Q205" s="357">
        <v>161027</v>
      </c>
      <c r="R205" s="357">
        <v>190785</v>
      </c>
      <c r="S205" s="357">
        <v>141084</v>
      </c>
      <c r="T205" s="357">
        <v>7185</v>
      </c>
      <c r="U205" s="357">
        <v>7185</v>
      </c>
      <c r="V205" s="357">
        <v>5100</v>
      </c>
      <c r="W205" s="357"/>
      <c r="X205" s="357"/>
      <c r="Y205" s="343"/>
      <c r="Z205" s="336"/>
      <c r="AA205" s="336"/>
      <c r="AB205" s="336"/>
      <c r="AC205" s="336"/>
      <c r="AD205" s="336"/>
      <c r="AE205" s="336"/>
      <c r="AF205" s="336"/>
      <c r="AG205" s="336"/>
      <c r="AH205" s="336"/>
      <c r="AI205" s="336"/>
      <c r="AJ205" s="336"/>
      <c r="AK205" s="336"/>
      <c r="AL205" s="336"/>
      <c r="AM205" s="336"/>
      <c r="AN205" s="336"/>
      <c r="AO205" s="336"/>
      <c r="AP205" s="336"/>
      <c r="AQ205" s="336"/>
      <c r="AR205" s="336"/>
      <c r="AS205" s="336"/>
      <c r="AT205" s="336"/>
      <c r="AU205" s="336"/>
      <c r="AV205" s="336"/>
      <c r="AW205" s="336"/>
    </row>
    <row r="206" spans="1:49" ht="14" outlineLevel="2">
      <c r="A206" s="336"/>
      <c r="B206" s="341"/>
      <c r="C206" s="354" t="s">
        <v>557</v>
      </c>
      <c r="D206" s="355">
        <f t="shared" si="24"/>
        <v>62149.5</v>
      </c>
      <c r="E206" s="355">
        <f t="shared" si="25"/>
        <v>206397.1</v>
      </c>
      <c r="F206" s="355">
        <f t="shared" si="26"/>
        <v>5100</v>
      </c>
      <c r="G206" s="355">
        <f t="shared" si="27"/>
        <v>670200</v>
      </c>
      <c r="H206" s="355">
        <f t="shared" si="28"/>
        <v>12193.5</v>
      </c>
      <c r="I206" s="355">
        <f t="shared" si="29"/>
        <v>409466.75</v>
      </c>
      <c r="J206" s="355">
        <f t="shared" si="30"/>
        <v>270626.24901367404</v>
      </c>
      <c r="K206" s="356">
        <f t="shared" si="31"/>
        <v>1.3111921098391113</v>
      </c>
      <c r="M206" s="357">
        <v>505975</v>
      </c>
      <c r="N206" s="357">
        <v>670200</v>
      </c>
      <c r="O206" s="357">
        <v>81328</v>
      </c>
      <c r="P206" s="357">
        <v>119942</v>
      </c>
      <c r="Q206" s="357">
        <v>596866</v>
      </c>
      <c r="R206" s="357">
        <v>42971</v>
      </c>
      <c r="S206" s="357">
        <v>27219</v>
      </c>
      <c r="T206" s="357">
        <v>7185</v>
      </c>
      <c r="U206" s="357">
        <v>7185</v>
      </c>
      <c r="V206" s="357">
        <v>5100</v>
      </c>
      <c r="W206" s="357"/>
      <c r="X206" s="357"/>
      <c r="Y206" s="343"/>
      <c r="Z206" s="336"/>
      <c r="AA206" s="336"/>
      <c r="AB206" s="336"/>
      <c r="AC206" s="336"/>
      <c r="AD206" s="336"/>
      <c r="AE206" s="336"/>
      <c r="AF206" s="336"/>
      <c r="AG206" s="336"/>
      <c r="AH206" s="336"/>
      <c r="AI206" s="336"/>
      <c r="AJ206" s="336"/>
      <c r="AK206" s="336"/>
      <c r="AL206" s="336"/>
      <c r="AM206" s="336"/>
      <c r="AN206" s="336"/>
      <c r="AO206" s="336"/>
      <c r="AP206" s="336"/>
      <c r="AQ206" s="336"/>
      <c r="AR206" s="336"/>
      <c r="AS206" s="336"/>
      <c r="AT206" s="336"/>
      <c r="AU206" s="336"/>
      <c r="AV206" s="336"/>
      <c r="AW206" s="336"/>
    </row>
    <row r="207" spans="1:49" ht="14" outlineLevel="2">
      <c r="A207" s="336"/>
      <c r="B207" s="341"/>
      <c r="C207" s="354" t="s">
        <v>558</v>
      </c>
      <c r="D207" s="355">
        <f t="shared" si="24"/>
        <v>202053.5</v>
      </c>
      <c r="E207" s="355">
        <f t="shared" si="25"/>
        <v>307330.5</v>
      </c>
      <c r="F207" s="355">
        <f t="shared" si="26"/>
        <v>5100</v>
      </c>
      <c r="G207" s="355">
        <f t="shared" si="27"/>
        <v>999385</v>
      </c>
      <c r="H207" s="355">
        <f t="shared" si="28"/>
        <v>29553.5</v>
      </c>
      <c r="I207" s="355">
        <f t="shared" si="29"/>
        <v>435545.75</v>
      </c>
      <c r="J207" s="355">
        <f t="shared" si="30"/>
        <v>347403.74040276732</v>
      </c>
      <c r="K207" s="356">
        <f t="shared" si="31"/>
        <v>1.1303913552438412</v>
      </c>
      <c r="M207" s="357">
        <v>96659</v>
      </c>
      <c r="N207" s="357">
        <v>489746</v>
      </c>
      <c r="O207" s="357">
        <v>999385</v>
      </c>
      <c r="P207" s="357">
        <v>222187</v>
      </c>
      <c r="Q207" s="357">
        <v>272945</v>
      </c>
      <c r="R207" s="357">
        <v>790993</v>
      </c>
      <c r="S207" s="357">
        <v>181920</v>
      </c>
      <c r="T207" s="357">
        <v>7185</v>
      </c>
      <c r="U207" s="357">
        <v>7185</v>
      </c>
      <c r="V207" s="357">
        <v>5100</v>
      </c>
      <c r="W207" s="357"/>
      <c r="X207" s="357"/>
      <c r="Y207" s="343"/>
      <c r="Z207" s="336"/>
      <c r="AA207" s="336"/>
      <c r="AB207" s="336"/>
      <c r="AC207" s="336"/>
      <c r="AD207" s="336"/>
      <c r="AE207" s="336"/>
      <c r="AF207" s="336"/>
      <c r="AG207" s="336"/>
      <c r="AH207" s="336"/>
      <c r="AI207" s="336"/>
      <c r="AJ207" s="336"/>
      <c r="AK207" s="336"/>
      <c r="AL207" s="336"/>
      <c r="AM207" s="336"/>
      <c r="AN207" s="336"/>
      <c r="AO207" s="336"/>
      <c r="AP207" s="336"/>
      <c r="AQ207" s="336"/>
      <c r="AR207" s="336"/>
      <c r="AS207" s="336"/>
      <c r="AT207" s="336"/>
      <c r="AU207" s="336"/>
      <c r="AV207" s="336"/>
      <c r="AW207" s="336"/>
    </row>
    <row r="208" spans="1:49" ht="14" outlineLevel="2">
      <c r="A208" s="336"/>
      <c r="B208" s="341"/>
      <c r="C208" s="354" t="s">
        <v>559</v>
      </c>
      <c r="D208" s="355">
        <f t="shared" si="24"/>
        <v>86264</v>
      </c>
      <c r="E208" s="355">
        <f t="shared" si="25"/>
        <v>262659.20000000001</v>
      </c>
      <c r="F208" s="355">
        <f t="shared" si="26"/>
        <v>5100</v>
      </c>
      <c r="G208" s="355">
        <f t="shared" si="27"/>
        <v>687915</v>
      </c>
      <c r="H208" s="355">
        <f t="shared" si="28"/>
        <v>37319</v>
      </c>
      <c r="I208" s="355">
        <f t="shared" si="29"/>
        <v>551045</v>
      </c>
      <c r="J208" s="355">
        <f t="shared" si="30"/>
        <v>288907.40401950391</v>
      </c>
      <c r="K208" s="356">
        <f t="shared" si="31"/>
        <v>1.0999325514564269</v>
      </c>
      <c r="M208" s="357">
        <v>93768</v>
      </c>
      <c r="N208" s="357">
        <v>78760</v>
      </c>
      <c r="O208" s="357">
        <v>478808</v>
      </c>
      <c r="P208" s="357">
        <v>624444</v>
      </c>
      <c r="Q208" s="357">
        <v>38594</v>
      </c>
      <c r="R208" s="357">
        <v>36894</v>
      </c>
      <c r="S208" s="357">
        <v>575124</v>
      </c>
      <c r="T208" s="357">
        <v>687915</v>
      </c>
      <c r="U208" s="357">
        <v>7185</v>
      </c>
      <c r="V208" s="357">
        <v>5100</v>
      </c>
      <c r="W208" s="357"/>
      <c r="X208" s="357"/>
      <c r="Y208" s="343"/>
      <c r="Z208" s="336"/>
      <c r="AA208" s="336"/>
      <c r="AB208" s="336"/>
      <c r="AC208" s="336"/>
      <c r="AD208" s="336"/>
      <c r="AE208" s="336"/>
      <c r="AF208" s="336"/>
      <c r="AG208" s="336"/>
      <c r="AH208" s="336"/>
      <c r="AI208" s="336"/>
      <c r="AJ208" s="336"/>
      <c r="AK208" s="336"/>
      <c r="AL208" s="336"/>
      <c r="AM208" s="336"/>
      <c r="AN208" s="336"/>
      <c r="AO208" s="336"/>
      <c r="AP208" s="336"/>
      <c r="AQ208" s="336"/>
      <c r="AR208" s="336"/>
      <c r="AS208" s="336"/>
      <c r="AT208" s="336"/>
      <c r="AU208" s="336"/>
      <c r="AV208" s="336"/>
      <c r="AW208" s="336"/>
    </row>
    <row r="209" spans="1:49" ht="14" outlineLevel="2">
      <c r="A209" s="336"/>
      <c r="B209" s="341"/>
      <c r="C209" s="354" t="s">
        <v>560</v>
      </c>
      <c r="D209" s="355">
        <f t="shared" si="24"/>
        <v>200186</v>
      </c>
      <c r="E209" s="355">
        <f t="shared" si="25"/>
        <v>370845.77777777775</v>
      </c>
      <c r="F209" s="355">
        <f t="shared" si="26"/>
        <v>5100</v>
      </c>
      <c r="G209" s="355">
        <f t="shared" si="27"/>
        <v>983581</v>
      </c>
      <c r="H209" s="355">
        <f t="shared" si="28"/>
        <v>143496</v>
      </c>
      <c r="I209" s="355">
        <f t="shared" si="29"/>
        <v>687914</v>
      </c>
      <c r="J209" s="355">
        <f t="shared" si="30"/>
        <v>353702.73268797976</v>
      </c>
      <c r="K209" s="356">
        <f t="shared" si="31"/>
        <v>0.95377311508701967</v>
      </c>
      <c r="M209" s="357">
        <v>983581</v>
      </c>
      <c r="N209" s="357">
        <v>73632</v>
      </c>
      <c r="O209" s="357">
        <v>265095</v>
      </c>
      <c r="P209" s="357">
        <v>200186</v>
      </c>
      <c r="Q209" s="357">
        <v>791547</v>
      </c>
      <c r="R209" s="357">
        <v>187061</v>
      </c>
      <c r="S209" s="357">
        <v>143496</v>
      </c>
      <c r="T209" s="357"/>
      <c r="U209" s="357">
        <v>687914</v>
      </c>
      <c r="V209" s="357">
        <v>5100</v>
      </c>
      <c r="W209" s="357"/>
      <c r="X209" s="357"/>
      <c r="Y209" s="343"/>
      <c r="Z209" s="336"/>
      <c r="AA209" s="336"/>
      <c r="AB209" s="336"/>
      <c r="AC209" s="336"/>
      <c r="AD209" s="336"/>
      <c r="AE209" s="336"/>
      <c r="AF209" s="336"/>
      <c r="AG209" s="336"/>
      <c r="AH209" s="336"/>
      <c r="AI209" s="336"/>
      <c r="AJ209" s="336"/>
      <c r="AK209" s="336"/>
      <c r="AL209" s="336"/>
      <c r="AM209" s="336"/>
      <c r="AN209" s="336"/>
      <c r="AO209" s="336"/>
      <c r="AP209" s="336"/>
      <c r="AQ209" s="336"/>
      <c r="AR209" s="336"/>
      <c r="AS209" s="336"/>
      <c r="AT209" s="336"/>
      <c r="AU209" s="336"/>
      <c r="AV209" s="336"/>
      <c r="AW209" s="336"/>
    </row>
    <row r="210" spans="1:49" ht="14" outlineLevel="2">
      <c r="A210" s="336"/>
      <c r="B210" s="341"/>
      <c r="C210" s="354" t="s">
        <v>561</v>
      </c>
      <c r="D210" s="355">
        <f t="shared" si="24"/>
        <v>1029741.5</v>
      </c>
      <c r="E210" s="355">
        <f t="shared" si="25"/>
        <v>1092147.5</v>
      </c>
      <c r="F210" s="355">
        <f t="shared" si="26"/>
        <v>466775</v>
      </c>
      <c r="G210" s="355">
        <f t="shared" si="27"/>
        <v>1606204</v>
      </c>
      <c r="H210" s="355">
        <f t="shared" si="28"/>
        <v>987904.5</v>
      </c>
      <c r="I210" s="355">
        <f t="shared" si="29"/>
        <v>1225919.5</v>
      </c>
      <c r="J210" s="355">
        <f t="shared" si="30"/>
        <v>348084.49792748393</v>
      </c>
      <c r="K210" s="356">
        <f t="shared" si="31"/>
        <v>0.31871564777420991</v>
      </c>
      <c r="M210" s="357">
        <v>988190</v>
      </c>
      <c r="N210" s="357">
        <v>1137099</v>
      </c>
      <c r="O210" s="357">
        <v>1492381</v>
      </c>
      <c r="P210" s="357">
        <v>1008001</v>
      </c>
      <c r="Q210" s="357">
        <v>1051482</v>
      </c>
      <c r="R210" s="357">
        <v>1606204</v>
      </c>
      <c r="S210" s="357">
        <v>987048</v>
      </c>
      <c r="T210" s="357"/>
      <c r="U210" s="357"/>
      <c r="V210" s="357">
        <v>466775</v>
      </c>
      <c r="W210" s="357"/>
      <c r="X210" s="357"/>
      <c r="Y210" s="343"/>
      <c r="Z210" s="336"/>
      <c r="AA210" s="336"/>
      <c r="AB210" s="336"/>
      <c r="AC210" s="336"/>
      <c r="AD210" s="336"/>
      <c r="AE210" s="336"/>
      <c r="AF210" s="336"/>
      <c r="AG210" s="336"/>
      <c r="AH210" s="336"/>
      <c r="AI210" s="336"/>
      <c r="AJ210" s="336"/>
      <c r="AK210" s="336"/>
      <c r="AL210" s="336"/>
      <c r="AM210" s="336"/>
      <c r="AN210" s="336"/>
      <c r="AO210" s="336"/>
      <c r="AP210" s="336"/>
      <c r="AQ210" s="336"/>
      <c r="AR210" s="336"/>
      <c r="AS210" s="336"/>
      <c r="AT210" s="336"/>
      <c r="AU210" s="336"/>
      <c r="AV210" s="336"/>
      <c r="AW210" s="336"/>
    </row>
    <row r="211" spans="1:49" ht="14" outlineLevel="2">
      <c r="A211" s="336"/>
      <c r="B211" s="341"/>
      <c r="C211" s="354" t="s">
        <v>562</v>
      </c>
      <c r="D211" s="355">
        <f t="shared" si="24"/>
        <v>-70571</v>
      </c>
      <c r="E211" s="355">
        <f t="shared" si="25"/>
        <v>-62893.8</v>
      </c>
      <c r="F211" s="355">
        <f t="shared" si="26"/>
        <v>-137870</v>
      </c>
      <c r="G211" s="355">
        <f t="shared" si="27"/>
        <v>-5709</v>
      </c>
      <c r="H211" s="355">
        <f t="shared" si="28"/>
        <v>-98656.5</v>
      </c>
      <c r="I211" s="355">
        <f t="shared" si="29"/>
        <v>-11817.75</v>
      </c>
      <c r="J211" s="355">
        <f t="shared" si="30"/>
        <v>50007.698202487889</v>
      </c>
      <c r="K211" s="356">
        <f t="shared" si="31"/>
        <v>-0.79511332122542899</v>
      </c>
      <c r="M211" s="357">
        <v>-137870</v>
      </c>
      <c r="N211" s="357">
        <v>-124750</v>
      </c>
      <c r="O211" s="357">
        <v>-107447</v>
      </c>
      <c r="P211" s="357">
        <v>-70970</v>
      </c>
      <c r="Q211" s="357">
        <v>-70172</v>
      </c>
      <c r="R211" s="357">
        <v>-72285</v>
      </c>
      <c r="S211" s="357">
        <v>-24873</v>
      </c>
      <c r="T211" s="357">
        <v>-5709</v>
      </c>
      <c r="U211" s="357">
        <v>-7466</v>
      </c>
      <c r="V211" s="357">
        <v>-7396</v>
      </c>
      <c r="W211" s="357"/>
      <c r="X211" s="357"/>
      <c r="Y211" s="343"/>
      <c r="Z211" s="336"/>
      <c r="AA211" s="336"/>
      <c r="AB211" s="336"/>
      <c r="AC211" s="336"/>
      <c r="AD211" s="336"/>
      <c r="AE211" s="336"/>
      <c r="AF211" s="336"/>
      <c r="AG211" s="336"/>
      <c r="AH211" s="336"/>
      <c r="AI211" s="336"/>
      <c r="AJ211" s="336"/>
      <c r="AK211" s="336"/>
      <c r="AL211" s="336"/>
      <c r="AM211" s="336"/>
      <c r="AN211" s="336"/>
      <c r="AO211" s="336"/>
      <c r="AP211" s="336"/>
      <c r="AQ211" s="336"/>
      <c r="AR211" s="336"/>
      <c r="AS211" s="336"/>
      <c r="AT211" s="336"/>
      <c r="AU211" s="336"/>
      <c r="AV211" s="336"/>
      <c r="AW211" s="336"/>
    </row>
    <row r="212" spans="1:49" ht="14" outlineLevel="2">
      <c r="A212" s="336"/>
      <c r="B212" s="341"/>
      <c r="C212" s="358" t="s">
        <v>563</v>
      </c>
      <c r="D212" s="359">
        <f t="shared" si="24"/>
        <v>2506112</v>
      </c>
      <c r="E212" s="359">
        <f t="shared" si="25"/>
        <v>2090769.3</v>
      </c>
      <c r="F212" s="359">
        <f t="shared" si="26"/>
        <v>484879</v>
      </c>
      <c r="G212" s="359">
        <f t="shared" si="27"/>
        <v>3473595</v>
      </c>
      <c r="H212" s="359">
        <f t="shared" si="28"/>
        <v>1039645.5</v>
      </c>
      <c r="I212" s="359">
        <f t="shared" si="29"/>
        <v>2827372.5</v>
      </c>
      <c r="J212" s="359">
        <f t="shared" si="30"/>
        <v>1072006.8971332903</v>
      </c>
      <c r="K212" s="360">
        <f t="shared" si="31"/>
        <v>0.51273323036324014</v>
      </c>
      <c r="L212" s="339"/>
      <c r="M212" s="361">
        <v>2612974</v>
      </c>
      <c r="N212" s="361">
        <v>2399250</v>
      </c>
      <c r="O212" s="361">
        <v>3473595</v>
      </c>
      <c r="P212" s="361">
        <v>2868116</v>
      </c>
      <c r="Q212" s="361">
        <v>2842289</v>
      </c>
      <c r="R212" s="361">
        <v>2782623</v>
      </c>
      <c r="S212" s="361">
        <v>2031018</v>
      </c>
      <c r="T212" s="361">
        <v>703761</v>
      </c>
      <c r="U212" s="361">
        <v>709188</v>
      </c>
      <c r="V212" s="361">
        <v>484879</v>
      </c>
      <c r="W212" s="361"/>
      <c r="X212" s="361"/>
      <c r="Y212" s="343"/>
      <c r="Z212" s="336"/>
      <c r="AA212" s="336"/>
      <c r="AB212" s="336"/>
      <c r="AC212" s="336"/>
      <c r="AD212" s="336"/>
      <c r="AE212" s="336"/>
      <c r="AF212" s="336"/>
      <c r="AG212" s="336"/>
      <c r="AH212" s="336"/>
      <c r="AI212" s="336"/>
      <c r="AJ212" s="336"/>
      <c r="AK212" s="336"/>
      <c r="AL212" s="336"/>
      <c r="AM212" s="336"/>
      <c r="AN212" s="336"/>
      <c r="AO212" s="336"/>
      <c r="AP212" s="336"/>
      <c r="AQ212" s="336"/>
      <c r="AR212" s="336"/>
      <c r="AS212" s="336"/>
      <c r="AT212" s="336"/>
      <c r="AU212" s="336"/>
      <c r="AV212" s="336"/>
      <c r="AW212" s="336"/>
    </row>
    <row r="213" spans="1:49" ht="14">
      <c r="A213" s="336"/>
      <c r="B213" s="341"/>
      <c r="C213" s="351" t="s">
        <v>564</v>
      </c>
      <c r="D213" s="364" t="str">
        <f t="shared" si="24"/>
        <v/>
      </c>
      <c r="E213" s="364" t="str">
        <f t="shared" si="25"/>
        <v/>
      </c>
      <c r="F213" s="364" t="str">
        <f t="shared" si="26"/>
        <v/>
      </c>
      <c r="G213" s="364" t="str">
        <f t="shared" si="27"/>
        <v/>
      </c>
      <c r="H213" s="364" t="str">
        <f t="shared" si="28"/>
        <v/>
      </c>
      <c r="I213" s="364" t="str">
        <f t="shared" si="29"/>
        <v/>
      </c>
      <c r="J213" s="364" t="str">
        <f t="shared" si="30"/>
        <v/>
      </c>
      <c r="K213" s="353" t="str">
        <f t="shared" si="31"/>
        <v/>
      </c>
      <c r="L213" s="346"/>
      <c r="M213" s="364"/>
      <c r="N213" s="364"/>
      <c r="O213" s="364"/>
      <c r="P213" s="364"/>
      <c r="Q213" s="364"/>
      <c r="R213" s="364"/>
      <c r="S213" s="364"/>
      <c r="T213" s="364"/>
      <c r="U213" s="364"/>
      <c r="V213" s="364"/>
      <c r="W213" s="364"/>
      <c r="X213" s="364"/>
      <c r="Y213" s="343"/>
      <c r="Z213" s="336"/>
      <c r="AA213" s="336"/>
      <c r="AB213" s="336"/>
      <c r="AC213" s="336"/>
      <c r="AD213" s="336"/>
      <c r="AE213" s="336"/>
      <c r="AF213" s="336"/>
      <c r="AG213" s="336"/>
      <c r="AH213" s="336"/>
      <c r="AI213" s="336"/>
      <c r="AJ213" s="336"/>
      <c r="AK213" s="336"/>
      <c r="AL213" s="336"/>
      <c r="AM213" s="336"/>
      <c r="AN213" s="336"/>
      <c r="AO213" s="336"/>
      <c r="AP213" s="336"/>
      <c r="AQ213" s="336"/>
      <c r="AR213" s="336"/>
      <c r="AS213" s="336"/>
      <c r="AT213" s="336"/>
      <c r="AU213" s="336"/>
      <c r="AV213" s="336"/>
      <c r="AW213" s="336"/>
    </row>
    <row r="214" spans="1:49" ht="14" outlineLevel="1">
      <c r="A214" s="336"/>
      <c r="B214" s="341"/>
      <c r="C214" s="354" t="s">
        <v>565</v>
      </c>
      <c r="D214" s="355">
        <f t="shared" si="24"/>
        <v>1515026</v>
      </c>
      <c r="E214" s="355">
        <f t="shared" si="25"/>
        <v>1388850.1666666667</v>
      </c>
      <c r="F214" s="355">
        <f t="shared" si="26"/>
        <v>184460</v>
      </c>
      <c r="G214" s="355">
        <f t="shared" si="27"/>
        <v>2575853</v>
      </c>
      <c r="H214" s="355">
        <f t="shared" si="28"/>
        <v>649040.5</v>
      </c>
      <c r="I214" s="355">
        <f t="shared" si="29"/>
        <v>2051772.25</v>
      </c>
      <c r="J214" s="355">
        <f t="shared" si="30"/>
        <v>872503.26897515601</v>
      </c>
      <c r="K214" s="356">
        <f t="shared" si="31"/>
        <v>0.62821986843204414</v>
      </c>
      <c r="M214" s="357">
        <v>2575853</v>
      </c>
      <c r="N214" s="357">
        <v>2365213</v>
      </c>
      <c r="O214" s="357">
        <v>2340724</v>
      </c>
      <c r="P214" s="357">
        <v>1955455</v>
      </c>
      <c r="Q214" s="357">
        <v>1936836</v>
      </c>
      <c r="R214" s="357">
        <v>1857925</v>
      </c>
      <c r="S214" s="357">
        <v>1172127</v>
      </c>
      <c r="T214" s="357">
        <v>703761</v>
      </c>
      <c r="U214" s="357">
        <v>709188</v>
      </c>
      <c r="V214" s="357">
        <v>484879</v>
      </c>
      <c r="W214" s="357">
        <v>379781</v>
      </c>
      <c r="X214" s="357">
        <v>184460</v>
      </c>
      <c r="Y214" s="343"/>
      <c r="Z214" s="336"/>
      <c r="AA214" s="336"/>
      <c r="AB214" s="336"/>
      <c r="AC214" s="336"/>
      <c r="AD214" s="336"/>
      <c r="AE214" s="336"/>
      <c r="AF214" s="336"/>
      <c r="AG214" s="336"/>
      <c r="AH214" s="336"/>
      <c r="AI214" s="336"/>
      <c r="AJ214" s="336"/>
      <c r="AK214" s="336"/>
      <c r="AL214" s="336"/>
      <c r="AM214" s="336"/>
      <c r="AN214" s="336"/>
      <c r="AO214" s="336"/>
      <c r="AP214" s="336"/>
      <c r="AQ214" s="336"/>
      <c r="AR214" s="336"/>
      <c r="AS214" s="336"/>
      <c r="AT214" s="336"/>
      <c r="AU214" s="336"/>
      <c r="AV214" s="336"/>
      <c r="AW214" s="336"/>
    </row>
    <row r="215" spans="1:49" ht="14" outlineLevel="1">
      <c r="A215" s="336"/>
      <c r="B215" s="341"/>
      <c r="C215" s="354" t="s">
        <v>566</v>
      </c>
      <c r="D215" s="355">
        <f t="shared" si="24"/>
        <v>1146121</v>
      </c>
      <c r="E215" s="355">
        <f t="shared" si="25"/>
        <v>1127314.25</v>
      </c>
      <c r="F215" s="355">
        <f t="shared" si="26"/>
        <v>153193</v>
      </c>
      <c r="G215" s="355">
        <f t="shared" si="27"/>
        <v>2168540</v>
      </c>
      <c r="H215" s="355">
        <f t="shared" si="28"/>
        <v>556373</v>
      </c>
      <c r="I215" s="355">
        <f t="shared" si="29"/>
        <v>1605739.5</v>
      </c>
      <c r="J215" s="355">
        <f t="shared" si="30"/>
        <v>701078.09200040752</v>
      </c>
      <c r="K215" s="356">
        <f t="shared" si="31"/>
        <v>0.62190120634100698</v>
      </c>
      <c r="M215" s="357">
        <v>2168540</v>
      </c>
      <c r="N215" s="357">
        <v>2014470</v>
      </c>
      <c r="O215" s="357">
        <v>1930884</v>
      </c>
      <c r="P215" s="357">
        <v>1409546</v>
      </c>
      <c r="Q215" s="357">
        <v>1497358</v>
      </c>
      <c r="R215" s="357">
        <v>1421669</v>
      </c>
      <c r="S215" s="357">
        <v>882696</v>
      </c>
      <c r="T215" s="357">
        <v>590681</v>
      </c>
      <c r="U215" s="357">
        <v>668795</v>
      </c>
      <c r="V215" s="357">
        <v>453449</v>
      </c>
      <c r="W215" s="357">
        <v>336490</v>
      </c>
      <c r="X215" s="357">
        <v>153193</v>
      </c>
      <c r="Y215" s="343"/>
      <c r="Z215" s="336"/>
      <c r="AA215" s="336"/>
      <c r="AB215" s="336"/>
      <c r="AC215" s="336"/>
      <c r="AD215" s="336"/>
      <c r="AE215" s="336"/>
      <c r="AF215" s="336"/>
      <c r="AG215" s="336"/>
      <c r="AH215" s="336"/>
      <c r="AI215" s="336"/>
      <c r="AJ215" s="336"/>
      <c r="AK215" s="336"/>
      <c r="AL215" s="336"/>
      <c r="AM215" s="336"/>
      <c r="AN215" s="336"/>
      <c r="AO215" s="336"/>
      <c r="AP215" s="336"/>
      <c r="AQ215" s="336"/>
      <c r="AR215" s="336"/>
      <c r="AS215" s="336"/>
      <c r="AT215" s="336"/>
      <c r="AU215" s="336"/>
      <c r="AV215" s="336"/>
      <c r="AW215" s="336"/>
    </row>
    <row r="216" spans="1:49" ht="14" outlineLevel="1">
      <c r="A216" s="336"/>
      <c r="B216" s="341"/>
      <c r="C216" s="354" t="s">
        <v>567</v>
      </c>
      <c r="D216" s="355">
        <f t="shared" si="24"/>
        <v>182796</v>
      </c>
      <c r="E216" s="355">
        <f t="shared" si="25"/>
        <v>206106.625</v>
      </c>
      <c r="F216" s="355">
        <f t="shared" si="26"/>
        <v>0</v>
      </c>
      <c r="G216" s="355">
        <f t="shared" si="27"/>
        <v>405324</v>
      </c>
      <c r="H216" s="355">
        <f t="shared" si="28"/>
        <v>115086.25</v>
      </c>
      <c r="I216" s="355">
        <f t="shared" si="29"/>
        <v>351779.5</v>
      </c>
      <c r="J216" s="355">
        <f t="shared" si="30"/>
        <v>159272.3630603856</v>
      </c>
      <c r="K216" s="356">
        <f t="shared" si="31"/>
        <v>0.77276682911277406</v>
      </c>
      <c r="M216" s="357">
        <v>405324</v>
      </c>
      <c r="N216" s="357">
        <v>381589</v>
      </c>
      <c r="O216" s="357">
        <v>341843</v>
      </c>
      <c r="P216" s="357">
        <v>197682</v>
      </c>
      <c r="Q216" s="357">
        <v>167910</v>
      </c>
      <c r="R216" s="357">
        <v>152920</v>
      </c>
      <c r="S216" s="357">
        <v>0</v>
      </c>
      <c r="T216" s="357"/>
      <c r="U216" s="357"/>
      <c r="V216" s="357"/>
      <c r="W216" s="357"/>
      <c r="X216" s="357">
        <v>1585</v>
      </c>
      <c r="Y216" s="343"/>
      <c r="Z216" s="336"/>
      <c r="AA216" s="336"/>
      <c r="AB216" s="336"/>
      <c r="AC216" s="336"/>
      <c r="AD216" s="336"/>
      <c r="AE216" s="336"/>
      <c r="AF216" s="336"/>
      <c r="AG216" s="336"/>
      <c r="AH216" s="336"/>
      <c r="AI216" s="336"/>
      <c r="AJ216" s="336"/>
      <c r="AK216" s="336"/>
      <c r="AL216" s="336"/>
      <c r="AM216" s="336"/>
      <c r="AN216" s="336"/>
      <c r="AO216" s="336"/>
      <c r="AP216" s="336"/>
      <c r="AQ216" s="336"/>
      <c r="AR216" s="336"/>
      <c r="AS216" s="336"/>
      <c r="AT216" s="336"/>
      <c r="AU216" s="336"/>
      <c r="AV216" s="336"/>
      <c r="AW216" s="336"/>
    </row>
    <row r="217" spans="1:49" ht="14" outlineLevel="1">
      <c r="A217" s="336"/>
      <c r="B217" s="341"/>
      <c r="C217" s="354" t="s">
        <v>568</v>
      </c>
      <c r="D217" s="355">
        <f t="shared" si="24"/>
        <v>-164885.5</v>
      </c>
      <c r="E217" s="355">
        <f t="shared" si="25"/>
        <v>-230557</v>
      </c>
      <c r="F217" s="355">
        <f t="shared" si="26"/>
        <v>-706455</v>
      </c>
      <c r="G217" s="355">
        <f t="shared" si="27"/>
        <v>315715</v>
      </c>
      <c r="H217" s="355">
        <f t="shared" si="28"/>
        <v>-442269.25</v>
      </c>
      <c r="I217" s="355">
        <f t="shared" si="29"/>
        <v>-90581.75</v>
      </c>
      <c r="J217" s="355">
        <f t="shared" si="30"/>
        <v>325865.63247979147</v>
      </c>
      <c r="K217" s="356">
        <f t="shared" si="31"/>
        <v>-1.4133842497941571</v>
      </c>
      <c r="M217" s="357">
        <v>-215380</v>
      </c>
      <c r="N217" s="357">
        <v>-115649</v>
      </c>
      <c r="O217" s="357">
        <v>-199012</v>
      </c>
      <c r="P217" s="357">
        <v>-645355</v>
      </c>
      <c r="Q217" s="357">
        <v>-705869</v>
      </c>
      <c r="R217" s="357">
        <v>-706455</v>
      </c>
      <c r="S217" s="357">
        <v>-374574</v>
      </c>
      <c r="T217" s="357">
        <v>-119486</v>
      </c>
      <c r="U217" s="357">
        <v>-130759</v>
      </c>
      <c r="V217" s="357">
        <v>-15380</v>
      </c>
      <c r="W217" s="357">
        <v>145520</v>
      </c>
      <c r="X217" s="357">
        <v>315715</v>
      </c>
      <c r="Y217" s="343"/>
      <c r="Z217" s="336"/>
      <c r="AA217" s="336"/>
      <c r="AB217" s="336"/>
      <c r="AC217" s="336"/>
      <c r="AD217" s="336"/>
      <c r="AE217" s="336"/>
      <c r="AF217" s="336"/>
      <c r="AG217" s="336"/>
      <c r="AH217" s="336"/>
      <c r="AI217" s="336"/>
      <c r="AJ217" s="336"/>
      <c r="AK217" s="336"/>
      <c r="AL217" s="336"/>
      <c r="AM217" s="336"/>
      <c r="AN217" s="336"/>
      <c r="AO217" s="336"/>
      <c r="AP217" s="336"/>
      <c r="AQ217" s="336"/>
      <c r="AR217" s="336"/>
      <c r="AS217" s="336"/>
      <c r="AT217" s="336"/>
      <c r="AU217" s="336"/>
      <c r="AV217" s="336"/>
      <c r="AW217" s="336"/>
    </row>
    <row r="218" spans="1:49" ht="14" outlineLevel="1">
      <c r="A218" s="336"/>
      <c r="B218" s="341"/>
      <c r="C218" s="354" t="s">
        <v>569</v>
      </c>
      <c r="D218" s="355">
        <f t="shared" si="24"/>
        <v>1535303</v>
      </c>
      <c r="E218" s="355">
        <f t="shared" si="25"/>
        <v>1648956.5</v>
      </c>
      <c r="F218" s="355">
        <f t="shared" si="26"/>
        <v>562096</v>
      </c>
      <c r="G218" s="355">
        <f t="shared" si="27"/>
        <v>3069708</v>
      </c>
      <c r="H218" s="355">
        <f t="shared" si="28"/>
        <v>925875.75</v>
      </c>
      <c r="I218" s="355">
        <f t="shared" si="29"/>
        <v>2225634.5</v>
      </c>
      <c r="J218" s="355">
        <f t="shared" si="30"/>
        <v>924018.44613617379</v>
      </c>
      <c r="K218" s="356">
        <f t="shared" si="31"/>
        <v>0.5603655682464479</v>
      </c>
      <c r="M218" s="357">
        <v>3069708</v>
      </c>
      <c r="N218" s="357">
        <v>2969693</v>
      </c>
      <c r="O218" s="357">
        <v>2854589</v>
      </c>
      <c r="P218" s="357">
        <v>2015983</v>
      </c>
      <c r="Q218" s="357">
        <v>1849737</v>
      </c>
      <c r="R218" s="357">
        <v>1717190</v>
      </c>
      <c r="S218" s="357">
        <v>1353416</v>
      </c>
      <c r="T218" s="357">
        <v>1092465</v>
      </c>
      <c r="U218" s="357">
        <v>1001442</v>
      </c>
      <c r="V218" s="357">
        <v>699177</v>
      </c>
      <c r="W218" s="357">
        <v>601982</v>
      </c>
      <c r="X218" s="357">
        <v>562096</v>
      </c>
      <c r="Y218" s="343"/>
      <c r="Z218" s="336"/>
      <c r="AA218" s="336"/>
      <c r="AB218" s="336"/>
      <c r="AC218" s="336"/>
      <c r="AD218" s="336"/>
      <c r="AE218" s="336"/>
      <c r="AF218" s="336"/>
      <c r="AG218" s="336"/>
      <c r="AH218" s="336"/>
      <c r="AI218" s="336"/>
      <c r="AJ218" s="336"/>
      <c r="AK218" s="336"/>
      <c r="AL218" s="336"/>
      <c r="AM218" s="336"/>
      <c r="AN218" s="336"/>
      <c r="AO218" s="336"/>
      <c r="AP218" s="336"/>
      <c r="AQ218" s="336"/>
      <c r="AR218" s="336"/>
      <c r="AS218" s="336"/>
      <c r="AT218" s="336"/>
      <c r="AU218" s="336"/>
      <c r="AV218" s="336"/>
      <c r="AW218" s="336"/>
    </row>
    <row r="219" spans="1:49" ht="14" outlineLevel="1">
      <c r="A219" s="336"/>
      <c r="B219" s="341"/>
      <c r="C219" s="354" t="s">
        <v>570</v>
      </c>
      <c r="D219" s="355">
        <f t="shared" si="24"/>
        <v>1087510.5</v>
      </c>
      <c r="E219" s="355">
        <f t="shared" si="25"/>
        <v>1044751</v>
      </c>
      <c r="F219" s="355">
        <f t="shared" si="26"/>
        <v>101558</v>
      </c>
      <c r="G219" s="355">
        <f t="shared" si="27"/>
        <v>2025757</v>
      </c>
      <c r="H219" s="355">
        <f t="shared" si="28"/>
        <v>490093.5</v>
      </c>
      <c r="I219" s="355">
        <f t="shared" si="29"/>
        <v>1623565.75</v>
      </c>
      <c r="J219" s="355">
        <f t="shared" si="30"/>
        <v>696579.43382476945</v>
      </c>
      <c r="K219" s="356">
        <f t="shared" si="31"/>
        <v>0.66674205990209101</v>
      </c>
      <c r="M219" s="357">
        <v>2025757</v>
      </c>
      <c r="N219" s="357">
        <v>1879684</v>
      </c>
      <c r="O219" s="357">
        <v>1734832</v>
      </c>
      <c r="P219" s="357">
        <v>1586477</v>
      </c>
      <c r="Q219" s="357">
        <v>1404841</v>
      </c>
      <c r="R219" s="357">
        <v>1255448</v>
      </c>
      <c r="S219" s="357">
        <v>919573</v>
      </c>
      <c r="T219" s="357">
        <v>679827</v>
      </c>
      <c r="U219" s="357">
        <v>570599</v>
      </c>
      <c r="V219" s="357">
        <v>248577</v>
      </c>
      <c r="W219" s="357">
        <v>129839</v>
      </c>
      <c r="X219" s="357">
        <v>101558</v>
      </c>
      <c r="Y219" s="343"/>
      <c r="Z219" s="336"/>
      <c r="AA219" s="336"/>
      <c r="AB219" s="336"/>
      <c r="AC219" s="336"/>
      <c r="AD219" s="336"/>
      <c r="AE219" s="336"/>
      <c r="AF219" s="336"/>
      <c r="AG219" s="336"/>
      <c r="AH219" s="336"/>
      <c r="AI219" s="336"/>
      <c r="AJ219" s="336"/>
      <c r="AK219" s="336"/>
      <c r="AL219" s="336"/>
      <c r="AM219" s="336"/>
      <c r="AN219" s="336"/>
      <c r="AO219" s="336"/>
      <c r="AP219" s="336"/>
      <c r="AQ219" s="336"/>
      <c r="AR219" s="336"/>
      <c r="AS219" s="336"/>
      <c r="AT219" s="336"/>
      <c r="AU219" s="336"/>
      <c r="AV219" s="336"/>
      <c r="AW219" s="336"/>
    </row>
    <row r="220" spans="1:49" ht="14" outlineLevel="1">
      <c r="A220" s="336"/>
      <c r="B220" s="341"/>
      <c r="C220" s="354" t="s">
        <v>571</v>
      </c>
      <c r="D220" s="355">
        <f t="shared" si="24"/>
        <v>-944491.5</v>
      </c>
      <c r="E220" s="355">
        <f t="shared" si="25"/>
        <v>-842880</v>
      </c>
      <c r="F220" s="355">
        <f t="shared" si="26"/>
        <v>-1331318</v>
      </c>
      <c r="G220" s="355">
        <f t="shared" si="27"/>
        <v>-138623</v>
      </c>
      <c r="H220" s="355">
        <f t="shared" si="28"/>
        <v>-1179372</v>
      </c>
      <c r="I220" s="355">
        <f t="shared" si="29"/>
        <v>-525101.25</v>
      </c>
      <c r="J220" s="355">
        <f t="shared" si="30"/>
        <v>409843.93500852579</v>
      </c>
      <c r="K220" s="356">
        <f t="shared" si="31"/>
        <v>-0.48624232987913557</v>
      </c>
      <c r="M220" s="357">
        <v>-1259324</v>
      </c>
      <c r="N220" s="357">
        <v>-1209000</v>
      </c>
      <c r="O220" s="357">
        <v>-1331318</v>
      </c>
      <c r="P220" s="357">
        <v>-1072351</v>
      </c>
      <c r="Q220" s="357">
        <v>-1150569</v>
      </c>
      <c r="R220" s="357">
        <v>-1169496</v>
      </c>
      <c r="S220" s="357">
        <v>-816632</v>
      </c>
      <c r="T220" s="357">
        <v>-549575</v>
      </c>
      <c r="U220" s="357">
        <v>-645598</v>
      </c>
      <c r="V220" s="357">
        <v>-451680</v>
      </c>
      <c r="W220" s="357">
        <v>-320394</v>
      </c>
      <c r="X220" s="357">
        <v>-138623</v>
      </c>
      <c r="Y220" s="343"/>
      <c r="Z220" s="336"/>
      <c r="AA220" s="336"/>
      <c r="AB220" s="336"/>
      <c r="AC220" s="336"/>
      <c r="AD220" s="336"/>
      <c r="AE220" s="336"/>
      <c r="AF220" s="336"/>
      <c r="AG220" s="336"/>
      <c r="AH220" s="336"/>
      <c r="AI220" s="336"/>
      <c r="AJ220" s="336"/>
      <c r="AK220" s="336"/>
      <c r="AL220" s="336"/>
      <c r="AM220" s="336"/>
      <c r="AN220" s="336"/>
      <c r="AO220" s="336"/>
      <c r="AP220" s="336"/>
      <c r="AQ220" s="336"/>
      <c r="AR220" s="336"/>
      <c r="AS220" s="336"/>
      <c r="AT220" s="336"/>
      <c r="AU220" s="336"/>
      <c r="AV220" s="336"/>
      <c r="AW220" s="336"/>
    </row>
    <row r="221" spans="1:49" ht="14" outlineLevel="1">
      <c r="A221" s="336"/>
      <c r="B221" s="341"/>
      <c r="C221" s="354" t="s">
        <v>572</v>
      </c>
      <c r="D221" s="355">
        <f t="shared" si="24"/>
        <v>238812.5</v>
      </c>
      <c r="E221" s="355">
        <f t="shared" si="25"/>
        <v>210365.33333333334</v>
      </c>
      <c r="F221" s="355">
        <f t="shared" si="26"/>
        <v>800</v>
      </c>
      <c r="G221" s="355">
        <f t="shared" si="27"/>
        <v>485804</v>
      </c>
      <c r="H221" s="355">
        <f t="shared" si="28"/>
        <v>12812.75</v>
      </c>
      <c r="I221" s="355">
        <f t="shared" si="29"/>
        <v>331915.75</v>
      </c>
      <c r="J221" s="355">
        <f t="shared" si="30"/>
        <v>185131.7518586221</v>
      </c>
      <c r="K221" s="356">
        <f t="shared" si="31"/>
        <v>0.88004876528430898</v>
      </c>
      <c r="M221" s="357">
        <v>305524</v>
      </c>
      <c r="N221" s="357">
        <v>220488</v>
      </c>
      <c r="O221" s="357">
        <v>311001</v>
      </c>
      <c r="P221" s="357">
        <v>485804</v>
      </c>
      <c r="Q221" s="357">
        <v>454921</v>
      </c>
      <c r="R221" s="357">
        <v>394660</v>
      </c>
      <c r="S221" s="357">
        <v>257137</v>
      </c>
      <c r="T221" s="357">
        <v>64971</v>
      </c>
      <c r="U221" s="357">
        <v>7952</v>
      </c>
      <c r="V221" s="357">
        <v>6693</v>
      </c>
      <c r="W221" s="357">
        <v>14433</v>
      </c>
      <c r="X221" s="357">
        <v>800</v>
      </c>
      <c r="Y221" s="343"/>
      <c r="Z221" s="336"/>
      <c r="AA221" s="336"/>
      <c r="AB221" s="336"/>
      <c r="AC221" s="336"/>
      <c r="AD221" s="336"/>
      <c r="AE221" s="336"/>
      <c r="AF221" s="336"/>
      <c r="AG221" s="336"/>
      <c r="AH221" s="336"/>
      <c r="AI221" s="336"/>
      <c r="AJ221" s="336"/>
      <c r="AK221" s="336"/>
      <c r="AL221" s="336"/>
      <c r="AM221" s="336"/>
      <c r="AN221" s="336"/>
      <c r="AO221" s="336"/>
      <c r="AP221" s="336"/>
      <c r="AQ221" s="336"/>
      <c r="AR221" s="336"/>
      <c r="AS221" s="336"/>
      <c r="AT221" s="336"/>
      <c r="AU221" s="336"/>
      <c r="AV221" s="336"/>
      <c r="AW221" s="336"/>
    </row>
    <row r="222" spans="1:49" ht="14" outlineLevel="1">
      <c r="A222" s="336"/>
      <c r="B222" s="341"/>
      <c r="C222" s="354" t="s">
        <v>573</v>
      </c>
      <c r="D222" s="355">
        <f t="shared" si="24"/>
        <v>969754.5</v>
      </c>
      <c r="E222" s="355">
        <f t="shared" si="25"/>
        <v>1150175.6666666667</v>
      </c>
      <c r="F222" s="355">
        <f t="shared" si="26"/>
        <v>483799</v>
      </c>
      <c r="G222" s="355">
        <f t="shared" si="27"/>
        <v>2360480</v>
      </c>
      <c r="H222" s="355">
        <f t="shared" si="28"/>
        <v>525241.25</v>
      </c>
      <c r="I222" s="355">
        <f t="shared" si="29"/>
        <v>1516748.25</v>
      </c>
      <c r="J222" s="355">
        <f t="shared" si="30"/>
        <v>726090.1057590245</v>
      </c>
      <c r="K222" s="356">
        <f t="shared" si="31"/>
        <v>0.63128626939510202</v>
      </c>
      <c r="M222" s="357">
        <v>2360480</v>
      </c>
      <c r="N222" s="357">
        <v>2246222</v>
      </c>
      <c r="O222" s="357">
        <v>2129163</v>
      </c>
      <c r="P222" s="357">
        <v>1312610</v>
      </c>
      <c r="Q222" s="357">
        <v>1231163</v>
      </c>
      <c r="R222" s="357">
        <v>1150171</v>
      </c>
      <c r="S222" s="357">
        <v>789338</v>
      </c>
      <c r="T222" s="357">
        <v>566824</v>
      </c>
      <c r="U222" s="357">
        <v>494433</v>
      </c>
      <c r="V222" s="357">
        <v>483799</v>
      </c>
      <c r="W222" s="357">
        <v>531530</v>
      </c>
      <c r="X222" s="357">
        <v>506375</v>
      </c>
      <c r="Y222" s="343"/>
      <c r="Z222" s="336"/>
      <c r="AA222" s="336"/>
      <c r="AB222" s="336"/>
      <c r="AC222" s="336"/>
      <c r="AD222" s="336"/>
      <c r="AE222" s="336"/>
      <c r="AF222" s="336"/>
      <c r="AG222" s="336"/>
      <c r="AH222" s="336"/>
      <c r="AI222" s="336"/>
      <c r="AJ222" s="336"/>
      <c r="AK222" s="336"/>
      <c r="AL222" s="336"/>
      <c r="AM222" s="336"/>
      <c r="AN222" s="336"/>
      <c r="AO222" s="336"/>
      <c r="AP222" s="336"/>
      <c r="AQ222" s="336"/>
      <c r="AR222" s="336"/>
      <c r="AS222" s="336"/>
      <c r="AT222" s="336"/>
      <c r="AU222" s="336"/>
      <c r="AV222" s="336"/>
      <c r="AW222" s="336"/>
    </row>
    <row r="223" spans="1:49" ht="14" outlineLevel="1">
      <c r="A223" s="336"/>
      <c r="B223" s="341"/>
      <c r="C223" s="354" t="s">
        <v>574</v>
      </c>
      <c r="D223" s="355">
        <f t="shared" si="24"/>
        <v>83499849.5</v>
      </c>
      <c r="E223" s="355">
        <f t="shared" si="25"/>
        <v>75498905.5</v>
      </c>
      <c r="F223" s="355">
        <f t="shared" si="26"/>
        <v>36598000</v>
      </c>
      <c r="G223" s="355">
        <f t="shared" si="27"/>
        <v>85783274</v>
      </c>
      <c r="H223" s="355">
        <f t="shared" si="28"/>
        <v>79599000</v>
      </c>
      <c r="I223" s="355">
        <f t="shared" si="29"/>
        <v>84193250</v>
      </c>
      <c r="J223" s="355">
        <f t="shared" si="30"/>
        <v>17226122.087428011</v>
      </c>
      <c r="K223" s="356">
        <f t="shared" si="31"/>
        <v>0.22816386506991165</v>
      </c>
      <c r="M223" s="357">
        <v>84323000</v>
      </c>
      <c r="N223" s="357">
        <v>85438502</v>
      </c>
      <c r="O223" s="357">
        <v>83415699</v>
      </c>
      <c r="P223" s="357">
        <v>83804000</v>
      </c>
      <c r="Q223" s="357">
        <v>82821000</v>
      </c>
      <c r="R223" s="357">
        <v>78525000</v>
      </c>
      <c r="S223" s="357">
        <v>83584000</v>
      </c>
      <c r="T223" s="357">
        <v>85783274</v>
      </c>
      <c r="U223" s="357">
        <v>50696580</v>
      </c>
      <c r="V223" s="357">
        <v>36598000</v>
      </c>
      <c r="W223" s="357"/>
      <c r="X223" s="357"/>
      <c r="Y223" s="343"/>
      <c r="Z223" s="336"/>
      <c r="AA223" s="336"/>
      <c r="AB223" s="336"/>
      <c r="AC223" s="336"/>
      <c r="AD223" s="336"/>
      <c r="AE223" s="336"/>
      <c r="AF223" s="336"/>
      <c r="AG223" s="336"/>
      <c r="AH223" s="336"/>
      <c r="AI223" s="336"/>
      <c r="AJ223" s="336"/>
      <c r="AK223" s="336"/>
      <c r="AL223" s="336"/>
      <c r="AM223" s="336"/>
      <c r="AN223" s="336"/>
      <c r="AO223" s="336"/>
      <c r="AP223" s="336"/>
      <c r="AQ223" s="336"/>
      <c r="AR223" s="336"/>
      <c r="AS223" s="336"/>
      <c r="AT223" s="336"/>
      <c r="AU223" s="336"/>
      <c r="AV223" s="336"/>
      <c r="AW223" s="336"/>
    </row>
    <row r="224" spans="1:49" ht="14" outlineLevel="1">
      <c r="A224" s="336"/>
      <c r="B224" s="341"/>
      <c r="C224" s="354" t="s">
        <v>575</v>
      </c>
      <c r="D224" s="355">
        <f t="shared" si="24"/>
        <v>1561</v>
      </c>
      <c r="E224" s="355">
        <f t="shared" si="25"/>
        <v>1774.9</v>
      </c>
      <c r="F224" s="355">
        <f t="shared" si="26"/>
        <v>756</v>
      </c>
      <c r="G224" s="355">
        <f t="shared" si="27"/>
        <v>4173</v>
      </c>
      <c r="H224" s="355">
        <f t="shared" si="28"/>
        <v>1047.75</v>
      </c>
      <c r="I224" s="355">
        <f t="shared" si="29"/>
        <v>1770</v>
      </c>
      <c r="J224" s="355">
        <f t="shared" si="30"/>
        <v>1091.2498899070836</v>
      </c>
      <c r="K224" s="356">
        <f t="shared" si="31"/>
        <v>0.61482330830304999</v>
      </c>
      <c r="M224" s="357">
        <v>4173</v>
      </c>
      <c r="N224" s="357">
        <v>3137</v>
      </c>
      <c r="O224" s="357">
        <v>1770</v>
      </c>
      <c r="P224" s="357">
        <v>1770</v>
      </c>
      <c r="Q224" s="357">
        <v>1387</v>
      </c>
      <c r="R224" s="357">
        <v>1735</v>
      </c>
      <c r="S224" s="357">
        <v>1302</v>
      </c>
      <c r="T224" s="357">
        <v>963</v>
      </c>
      <c r="U224" s="357">
        <v>756</v>
      </c>
      <c r="V224" s="357">
        <v>756</v>
      </c>
      <c r="W224" s="357"/>
      <c r="X224" s="357"/>
      <c r="Y224" s="343"/>
      <c r="Z224" s="336"/>
      <c r="AA224" s="336"/>
      <c r="AB224" s="336"/>
      <c r="AC224" s="336"/>
      <c r="AD224" s="336"/>
      <c r="AE224" s="336"/>
      <c r="AF224" s="336"/>
      <c r="AG224" s="336"/>
      <c r="AH224" s="336"/>
      <c r="AI224" s="336"/>
      <c r="AJ224" s="336"/>
      <c r="AK224" s="336"/>
      <c r="AL224" s="336"/>
      <c r="AM224" s="336"/>
      <c r="AN224" s="336"/>
      <c r="AO224" s="336"/>
      <c r="AP224" s="336"/>
      <c r="AQ224" s="336"/>
      <c r="AR224" s="336"/>
      <c r="AS224" s="336"/>
      <c r="AT224" s="336"/>
      <c r="AU224" s="336"/>
      <c r="AV224" s="336"/>
      <c r="AW224" s="336"/>
    </row>
    <row r="225" spans="1:49" ht="14">
      <c r="A225" s="336"/>
      <c r="B225" s="341"/>
      <c r="C225" s="351" t="s">
        <v>576</v>
      </c>
      <c r="D225" s="364" t="str">
        <f t="shared" si="24"/>
        <v/>
      </c>
      <c r="E225" s="364" t="str">
        <f t="shared" si="25"/>
        <v/>
      </c>
      <c r="F225" s="364" t="str">
        <f t="shared" si="26"/>
        <v/>
      </c>
      <c r="G225" s="364" t="str">
        <f t="shared" si="27"/>
        <v/>
      </c>
      <c r="H225" s="364" t="str">
        <f t="shared" si="28"/>
        <v/>
      </c>
      <c r="I225" s="364" t="str">
        <f t="shared" si="29"/>
        <v/>
      </c>
      <c r="J225" s="364" t="str">
        <f t="shared" si="30"/>
        <v/>
      </c>
      <c r="K225" s="353" t="str">
        <f t="shared" si="31"/>
        <v/>
      </c>
      <c r="L225" s="346"/>
      <c r="M225" s="364"/>
      <c r="N225" s="364"/>
      <c r="O225" s="364"/>
      <c r="P225" s="364"/>
      <c r="Q225" s="364"/>
      <c r="R225" s="364"/>
      <c r="S225" s="364"/>
      <c r="T225" s="364"/>
      <c r="U225" s="364"/>
      <c r="V225" s="364"/>
      <c r="W225" s="364"/>
      <c r="X225" s="364"/>
      <c r="Y225" s="343"/>
      <c r="Z225" s="336"/>
      <c r="AA225" s="336"/>
      <c r="AB225" s="336"/>
      <c r="AC225" s="336"/>
      <c r="AD225" s="336"/>
      <c r="AE225" s="336"/>
      <c r="AF225" s="336"/>
      <c r="AG225" s="336"/>
      <c r="AH225" s="336"/>
      <c r="AI225" s="336"/>
      <c r="AJ225" s="336"/>
      <c r="AK225" s="336"/>
      <c r="AL225" s="336"/>
      <c r="AM225" s="336"/>
      <c r="AN225" s="336"/>
      <c r="AO225" s="336"/>
      <c r="AP225" s="336"/>
      <c r="AQ225" s="336"/>
      <c r="AR225" s="336"/>
      <c r="AS225" s="336"/>
      <c r="AT225" s="336"/>
      <c r="AU225" s="336"/>
      <c r="AV225" s="336"/>
      <c r="AW225" s="336"/>
    </row>
    <row r="226" spans="1:49" ht="14" outlineLevel="1">
      <c r="A226" s="336"/>
      <c r="B226" s="341"/>
      <c r="C226" s="354" t="s">
        <v>577</v>
      </c>
      <c r="D226" s="356">
        <f t="shared" si="24"/>
        <v>-2.46980148730306</v>
      </c>
      <c r="E226" s="356">
        <f t="shared" si="25"/>
        <v>-3.9897435823044773</v>
      </c>
      <c r="F226" s="356">
        <f t="shared" si="26"/>
        <v>-8.996561604584528</v>
      </c>
      <c r="G226" s="356">
        <f t="shared" si="27"/>
        <v>-0.4202415432537297</v>
      </c>
      <c r="H226" s="356">
        <f t="shared" si="28"/>
        <v>-6.8959265361542759</v>
      </c>
      <c r="I226" s="356">
        <f t="shared" si="29"/>
        <v>-1.5609837782518048</v>
      </c>
      <c r="J226" s="356">
        <f t="shared" si="30"/>
        <v>3.2382202237721951</v>
      </c>
      <c r="K226" s="356">
        <f t="shared" si="31"/>
        <v>-0.81163617585213277</v>
      </c>
      <c r="M226" s="363">
        <v>-2.554226011882879</v>
      </c>
      <c r="N226" s="363">
        <v>-1.3329760258183494</v>
      </c>
      <c r="O226" s="363">
        <v>-2.3853769627232411</v>
      </c>
      <c r="P226" s="363">
        <v>-7.7007660732184622</v>
      </c>
      <c r="Q226" s="363">
        <v>-8.5228263363156689</v>
      </c>
      <c r="R226" s="363">
        <v>-8.996561604584528</v>
      </c>
      <c r="S226" s="363">
        <v>-4.4814079249617151</v>
      </c>
      <c r="T226" s="363">
        <v>-1.3704408863605084</v>
      </c>
      <c r="U226" s="363">
        <v>-2.1326124539256939</v>
      </c>
      <c r="V226" s="363">
        <v>-0.4202415432537297</v>
      </c>
      <c r="W226" s="363"/>
      <c r="X226" s="363"/>
      <c r="Y226" s="343"/>
      <c r="Z226" s="336"/>
      <c r="AA226" s="336"/>
      <c r="AB226" s="336"/>
      <c r="AC226" s="336"/>
      <c r="AD226" s="336"/>
      <c r="AE226" s="336"/>
      <c r="AF226" s="336"/>
      <c r="AG226" s="336"/>
      <c r="AH226" s="336"/>
      <c r="AI226" s="336"/>
      <c r="AJ226" s="336"/>
      <c r="AK226" s="336"/>
      <c r="AL226" s="336"/>
      <c r="AM226" s="336"/>
      <c r="AN226" s="336"/>
      <c r="AO226" s="336"/>
      <c r="AP226" s="336"/>
      <c r="AQ226" s="336"/>
      <c r="AR226" s="336"/>
      <c r="AS226" s="336"/>
      <c r="AT226" s="336"/>
      <c r="AU226" s="336"/>
      <c r="AV226" s="336"/>
      <c r="AW226" s="336"/>
    </row>
    <row r="227" spans="1:49" ht="14" outlineLevel="1">
      <c r="A227" s="336"/>
      <c r="B227" s="341"/>
      <c r="C227" s="354" t="s">
        <v>578</v>
      </c>
      <c r="D227" s="356">
        <f t="shared" si="24"/>
        <v>3.4696344811384092</v>
      </c>
      <c r="E227" s="356">
        <f t="shared" si="25"/>
        <v>3.522167345989113</v>
      </c>
      <c r="F227" s="356">
        <f t="shared" si="26"/>
        <v>0.65878918354698768</v>
      </c>
      <c r="G227" s="356">
        <f t="shared" si="27"/>
        <v>6.5141162712996996</v>
      </c>
      <c r="H227" s="356">
        <f t="shared" si="28"/>
        <v>1.7675676975714529</v>
      </c>
      <c r="I227" s="356">
        <f t="shared" si="29"/>
        <v>5.2078650329713589</v>
      </c>
      <c r="J227" s="356">
        <f t="shared" si="30"/>
        <v>2.0701563721800071</v>
      </c>
      <c r="K227" s="356">
        <f t="shared" si="31"/>
        <v>0.5877507139282887</v>
      </c>
      <c r="M227" s="363">
        <v>3.4765129324146438</v>
      </c>
      <c r="N227" s="363">
        <v>3.1793683725218993</v>
      </c>
      <c r="O227" s="363">
        <v>4.9123816373007312</v>
      </c>
      <c r="P227" s="363">
        <v>6.5141162712996996</v>
      </c>
      <c r="Q227" s="363">
        <v>5.3063594981949018</v>
      </c>
      <c r="R227" s="363">
        <v>5.5556319643425658</v>
      </c>
      <c r="S227" s="363">
        <v>3.4627560298621747</v>
      </c>
      <c r="T227" s="363">
        <v>1.2969674725879707</v>
      </c>
      <c r="U227" s="363">
        <v>0.65878918354698768</v>
      </c>
      <c r="V227" s="363">
        <v>0.85879009781955296</v>
      </c>
      <c r="W227" s="363"/>
      <c r="X227" s="363"/>
      <c r="Y227" s="343"/>
      <c r="Z227" s="336"/>
      <c r="AA227" s="336"/>
      <c r="AB227" s="336"/>
      <c r="AC227" s="336"/>
      <c r="AD227" s="336"/>
      <c r="AE227" s="336"/>
      <c r="AF227" s="336"/>
      <c r="AG227" s="336"/>
      <c r="AH227" s="336"/>
      <c r="AI227" s="336"/>
      <c r="AJ227" s="336"/>
      <c r="AK227" s="336"/>
      <c r="AL227" s="336"/>
      <c r="AM227" s="336"/>
      <c r="AN227" s="336"/>
      <c r="AO227" s="336"/>
      <c r="AP227" s="336"/>
      <c r="AQ227" s="336"/>
      <c r="AR227" s="336"/>
      <c r="AS227" s="336"/>
      <c r="AT227" s="336"/>
      <c r="AU227" s="336"/>
      <c r="AV227" s="336"/>
      <c r="AW227" s="336"/>
    </row>
    <row r="228" spans="1:49" ht="14" outlineLevel="1">
      <c r="A228" s="336"/>
      <c r="B228" s="341"/>
      <c r="C228" s="354" t="s">
        <v>579</v>
      </c>
      <c r="D228" s="356">
        <f t="shared" si="24"/>
        <v>4.4365356219714478</v>
      </c>
      <c r="E228" s="356">
        <f t="shared" si="25"/>
        <v>3.7438863398897482</v>
      </c>
      <c r="F228" s="356">
        <f t="shared" si="26"/>
        <v>0.65878918354698768</v>
      </c>
      <c r="G228" s="356">
        <f t="shared" si="27"/>
        <v>6.5141162712996996</v>
      </c>
      <c r="H228" s="356">
        <f t="shared" si="28"/>
        <v>1.8384146119065217</v>
      </c>
      <c r="I228" s="356">
        <f t="shared" si="29"/>
        <v>5.2078650329713589</v>
      </c>
      <c r="J228" s="356">
        <f t="shared" si="30"/>
        <v>2.1066329043347127</v>
      </c>
      <c r="K228" s="356">
        <f t="shared" si="31"/>
        <v>0.56268612695030429</v>
      </c>
      <c r="M228" s="363">
        <v>4.8303902849756293</v>
      </c>
      <c r="N228" s="363">
        <v>4.0426809589672663</v>
      </c>
      <c r="O228" s="363">
        <v>4.9123816373007312</v>
      </c>
      <c r="P228" s="363">
        <v>6.5141162712996996</v>
      </c>
      <c r="Q228" s="363">
        <v>5.3063594981949018</v>
      </c>
      <c r="R228" s="363">
        <v>5.5556319643425658</v>
      </c>
      <c r="S228" s="363">
        <v>3.4627560298621747</v>
      </c>
      <c r="T228" s="363">
        <v>1.2969674725879707</v>
      </c>
      <c r="U228" s="363">
        <v>0.65878918354698768</v>
      </c>
      <c r="V228" s="363">
        <v>0.85879009781955296</v>
      </c>
      <c r="W228" s="363"/>
      <c r="X228" s="363"/>
      <c r="Y228" s="343"/>
      <c r="Z228" s="336"/>
      <c r="AA228" s="336"/>
      <c r="AB228" s="336"/>
      <c r="AC228" s="336"/>
      <c r="AD228" s="336"/>
      <c r="AE228" s="336"/>
      <c r="AF228" s="336"/>
      <c r="AG228" s="336"/>
      <c r="AH228" s="336"/>
      <c r="AI228" s="336"/>
      <c r="AJ228" s="336"/>
      <c r="AK228" s="336"/>
      <c r="AL228" s="336"/>
      <c r="AM228" s="336"/>
      <c r="AN228" s="336"/>
      <c r="AO228" s="336"/>
      <c r="AP228" s="336"/>
      <c r="AQ228" s="336"/>
      <c r="AR228" s="336"/>
      <c r="AS228" s="336"/>
      <c r="AT228" s="336"/>
      <c r="AU228" s="336"/>
      <c r="AV228" s="336"/>
      <c r="AW228" s="336"/>
    </row>
    <row r="229" spans="1:49" ht="14" outlineLevel="1">
      <c r="A229" s="336"/>
      <c r="B229" s="341"/>
      <c r="C229" s="354" t="s">
        <v>580</v>
      </c>
      <c r="D229" s="356">
        <f t="shared" si="24"/>
        <v>6.4535100655716224</v>
      </c>
      <c r="E229" s="356">
        <f t="shared" si="25"/>
        <v>8.4004707357165049</v>
      </c>
      <c r="F229" s="356">
        <f t="shared" si="26"/>
        <v>4.7327384502454466</v>
      </c>
      <c r="G229" s="356">
        <f t="shared" si="27"/>
        <v>13.421515042550642</v>
      </c>
      <c r="H229" s="356">
        <f t="shared" si="28"/>
        <v>5.23582164761463</v>
      </c>
      <c r="I229" s="356">
        <f t="shared" si="29"/>
        <v>12.363323983595908</v>
      </c>
      <c r="J229" s="356">
        <f t="shared" si="30"/>
        <v>3.7353910431700328</v>
      </c>
      <c r="K229" s="356">
        <f t="shared" si="31"/>
        <v>0.44466449091813048</v>
      </c>
      <c r="M229" s="363">
        <v>12.380382576521233</v>
      </c>
      <c r="N229" s="363">
        <v>12.563497003227294</v>
      </c>
      <c r="O229" s="363">
        <v>13.421515042550642</v>
      </c>
      <c r="P229" s="363">
        <v>5.1251252923488142</v>
      </c>
      <c r="Q229" s="363">
        <v>5.371777689233407</v>
      </c>
      <c r="R229" s="363">
        <v>5.8801910219675264</v>
      </c>
      <c r="S229" s="363">
        <v>5.1905029670750382</v>
      </c>
      <c r="T229" s="363">
        <v>4.7327384502454466</v>
      </c>
      <c r="U229" s="363">
        <v>7.0268291091757185</v>
      </c>
      <c r="V229" s="363">
        <v>12.312148204819936</v>
      </c>
      <c r="W229" s="363"/>
      <c r="X229" s="363"/>
      <c r="Y229" s="343"/>
      <c r="Z229" s="336"/>
      <c r="AA229" s="336"/>
      <c r="AB229" s="336"/>
      <c r="AC229" s="336"/>
      <c r="AD229" s="336"/>
      <c r="AE229" s="336"/>
      <c r="AF229" s="336"/>
      <c r="AG229" s="336"/>
      <c r="AH229" s="336"/>
      <c r="AI229" s="336"/>
      <c r="AJ229" s="336"/>
      <c r="AK229" s="336"/>
      <c r="AL229" s="336"/>
      <c r="AM229" s="336"/>
      <c r="AN229" s="336"/>
      <c r="AO229" s="336"/>
      <c r="AP229" s="336"/>
      <c r="AQ229" s="336"/>
      <c r="AR229" s="336"/>
      <c r="AS229" s="336"/>
      <c r="AT229" s="336"/>
      <c r="AU229" s="336"/>
      <c r="AV229" s="336"/>
      <c r="AW229" s="336"/>
    </row>
    <row r="230" spans="1:49" ht="14" outlineLevel="1">
      <c r="A230" s="336"/>
      <c r="B230" s="341"/>
      <c r="C230" s="354" t="s">
        <v>581</v>
      </c>
      <c r="D230" s="356">
        <f t="shared" si="24"/>
        <v>22.101110937781876</v>
      </c>
      <c r="E230" s="356">
        <f t="shared" si="25"/>
        <v>23.726604107353857</v>
      </c>
      <c r="F230" s="356">
        <f t="shared" si="26"/>
        <v>12.529992659540303</v>
      </c>
      <c r="G230" s="356">
        <f t="shared" si="27"/>
        <v>36.4041601935415</v>
      </c>
      <c r="H230" s="356">
        <f t="shared" si="28"/>
        <v>17.025815524889342</v>
      </c>
      <c r="I230" s="356">
        <f t="shared" si="29"/>
        <v>31.675515650497037</v>
      </c>
      <c r="J230" s="356">
        <f t="shared" si="30"/>
        <v>8.4636123079103598</v>
      </c>
      <c r="K230" s="356">
        <f t="shared" si="31"/>
        <v>0.35671401898121341</v>
      </c>
      <c r="M230" s="363">
        <v>36.4041601935415</v>
      </c>
      <c r="N230" s="363">
        <v>34.228826648224988</v>
      </c>
      <c r="O230" s="363">
        <v>34.21537816133285</v>
      </c>
      <c r="P230" s="363">
        <v>24.055928117989595</v>
      </c>
      <c r="Q230" s="363">
        <v>22.334154381135221</v>
      </c>
      <c r="R230" s="363">
        <v>21.868067494428526</v>
      </c>
      <c r="S230" s="363">
        <v>16.192285604900459</v>
      </c>
      <c r="T230" s="363">
        <v>12.529992659540303</v>
      </c>
      <c r="U230" s="363">
        <v>16.33300714355612</v>
      </c>
      <c r="V230" s="363">
        <v>19.104240668889009</v>
      </c>
      <c r="W230" s="363"/>
      <c r="X230" s="363"/>
      <c r="Y230" s="343"/>
      <c r="Z230" s="336"/>
      <c r="AA230" s="336"/>
      <c r="AB230" s="336"/>
      <c r="AC230" s="336"/>
      <c r="AD230" s="336"/>
      <c r="AE230" s="336"/>
      <c r="AF230" s="336"/>
      <c r="AG230" s="336"/>
      <c r="AH230" s="336"/>
      <c r="AI230" s="336"/>
      <c r="AJ230" s="336"/>
      <c r="AK230" s="336"/>
      <c r="AL230" s="336"/>
      <c r="AM230" s="336"/>
      <c r="AN230" s="336"/>
      <c r="AO230" s="336"/>
      <c r="AP230" s="336"/>
      <c r="AQ230" s="336"/>
      <c r="AR230" s="336"/>
      <c r="AS230" s="336"/>
      <c r="AT230" s="336"/>
      <c r="AU230" s="336"/>
      <c r="AV230" s="336"/>
      <c r="AW230" s="336"/>
    </row>
    <row r="231" spans="1:49" ht="14">
      <c r="A231" s="336"/>
      <c r="B231" s="341"/>
      <c r="C231" s="351" t="s">
        <v>353</v>
      </c>
      <c r="D231" s="364" t="str">
        <f t="shared" si="24"/>
        <v/>
      </c>
      <c r="E231" s="364" t="str">
        <f t="shared" si="25"/>
        <v/>
      </c>
      <c r="F231" s="364" t="str">
        <f t="shared" si="26"/>
        <v/>
      </c>
      <c r="G231" s="364" t="str">
        <f t="shared" si="27"/>
        <v/>
      </c>
      <c r="H231" s="364" t="str">
        <f t="shared" si="28"/>
        <v/>
      </c>
      <c r="I231" s="364" t="str">
        <f t="shared" si="29"/>
        <v/>
      </c>
      <c r="J231" s="364" t="str">
        <f t="shared" si="30"/>
        <v/>
      </c>
      <c r="K231" s="353" t="str">
        <f t="shared" si="31"/>
        <v/>
      </c>
      <c r="L231" s="346"/>
      <c r="M231" s="364"/>
      <c r="N231" s="364"/>
      <c r="O231" s="364"/>
      <c r="P231" s="364"/>
      <c r="Q231" s="364"/>
      <c r="R231" s="364"/>
      <c r="S231" s="364"/>
      <c r="T231" s="364"/>
      <c r="U231" s="364"/>
      <c r="V231" s="364"/>
      <c r="W231" s="364"/>
      <c r="X231" s="364"/>
      <c r="Y231" s="343"/>
      <c r="Z231" s="336"/>
      <c r="AA231" s="336"/>
      <c r="AB231" s="336"/>
      <c r="AC231" s="336"/>
      <c r="AD231" s="336"/>
      <c r="AE231" s="336"/>
      <c r="AF231" s="336"/>
      <c r="AG231" s="336"/>
      <c r="AH231" s="336"/>
      <c r="AI231" s="336"/>
      <c r="AJ231" s="336"/>
      <c r="AK231" s="336"/>
      <c r="AL231" s="336"/>
      <c r="AM231" s="336"/>
      <c r="AN231" s="336"/>
      <c r="AO231" s="336"/>
      <c r="AP231" s="336"/>
      <c r="AQ231" s="336"/>
      <c r="AR231" s="336"/>
      <c r="AS231" s="336"/>
      <c r="AT231" s="336"/>
      <c r="AU231" s="336"/>
      <c r="AV231" s="336"/>
      <c r="AW231" s="336"/>
    </row>
    <row r="232" spans="1:49" ht="14" outlineLevel="1">
      <c r="A232" s="336"/>
      <c r="B232" s="341"/>
      <c r="C232" s="354" t="s">
        <v>354</v>
      </c>
      <c r="D232" s="365" t="str">
        <f t="shared" si="24"/>
        <v/>
      </c>
      <c r="E232" s="365" t="str">
        <f t="shared" si="25"/>
        <v/>
      </c>
      <c r="F232" s="365" t="str">
        <f t="shared" si="26"/>
        <v/>
      </c>
      <c r="G232" s="365" t="str">
        <f t="shared" si="27"/>
        <v/>
      </c>
      <c r="H232" s="365" t="str">
        <f t="shared" si="28"/>
        <v/>
      </c>
      <c r="I232" s="365" t="str">
        <f t="shared" si="29"/>
        <v/>
      </c>
      <c r="J232" s="365" t="str">
        <f t="shared" si="30"/>
        <v/>
      </c>
      <c r="K232" s="356" t="str">
        <f t="shared" si="31"/>
        <v/>
      </c>
      <c r="M232" s="366" t="s">
        <v>355</v>
      </c>
      <c r="N232" s="366" t="s">
        <v>355</v>
      </c>
      <c r="O232" s="366" t="s">
        <v>355</v>
      </c>
      <c r="P232" s="366" t="s">
        <v>355</v>
      </c>
      <c r="Q232" s="366" t="s">
        <v>355</v>
      </c>
      <c r="R232" s="366" t="s">
        <v>355</v>
      </c>
      <c r="S232" s="366" t="s">
        <v>355</v>
      </c>
      <c r="T232" s="366" t="s">
        <v>355</v>
      </c>
      <c r="U232" s="366" t="s">
        <v>355</v>
      </c>
      <c r="V232" s="366" t="s">
        <v>355</v>
      </c>
      <c r="W232" s="366" t="s">
        <v>355</v>
      </c>
      <c r="X232" s="366" t="s">
        <v>355</v>
      </c>
      <c r="Y232" s="343"/>
      <c r="Z232" s="336"/>
      <c r="AA232" s="336"/>
      <c r="AB232" s="336"/>
      <c r="AC232" s="336"/>
      <c r="AD232" s="336"/>
      <c r="AE232" s="336"/>
      <c r="AF232" s="336"/>
      <c r="AG232" s="336"/>
      <c r="AH232" s="336"/>
      <c r="AI232" s="336"/>
      <c r="AJ232" s="336"/>
      <c r="AK232" s="336"/>
      <c r="AL232" s="336"/>
      <c r="AM232" s="336"/>
      <c r="AN232" s="336"/>
      <c r="AO232" s="336"/>
      <c r="AP232" s="336"/>
      <c r="AQ232" s="336"/>
      <c r="AR232" s="336"/>
      <c r="AS232" s="336"/>
      <c r="AT232" s="336"/>
      <c r="AU232" s="336"/>
      <c r="AV232" s="336"/>
      <c r="AW232" s="336"/>
    </row>
    <row r="233" spans="1:49" ht="14" outlineLevel="1">
      <c r="A233" s="336"/>
      <c r="B233" s="341"/>
      <c r="C233" s="354" t="s">
        <v>356</v>
      </c>
      <c r="D233" s="365" t="str">
        <f t="shared" si="24"/>
        <v/>
      </c>
      <c r="E233" s="365" t="str">
        <f t="shared" si="25"/>
        <v/>
      </c>
      <c r="F233" s="365" t="str">
        <f t="shared" si="26"/>
        <v/>
      </c>
      <c r="G233" s="365" t="str">
        <f t="shared" si="27"/>
        <v/>
      </c>
      <c r="H233" s="365" t="str">
        <f t="shared" si="28"/>
        <v/>
      </c>
      <c r="I233" s="365" t="str">
        <f t="shared" si="29"/>
        <v/>
      </c>
      <c r="J233" s="365" t="str">
        <f t="shared" si="30"/>
        <v/>
      </c>
      <c r="K233" s="356" t="str">
        <f t="shared" si="31"/>
        <v/>
      </c>
      <c r="M233" s="366" t="s">
        <v>355</v>
      </c>
      <c r="N233" s="366" t="s">
        <v>355</v>
      </c>
      <c r="O233" s="366" t="s">
        <v>355</v>
      </c>
      <c r="P233" s="366" t="s">
        <v>355</v>
      </c>
      <c r="Q233" s="366" t="s">
        <v>355</v>
      </c>
      <c r="R233" s="366" t="s">
        <v>355</v>
      </c>
      <c r="S233" s="366" t="s">
        <v>355</v>
      </c>
      <c r="T233" s="366" t="s">
        <v>355</v>
      </c>
      <c r="U233" s="366" t="s">
        <v>355</v>
      </c>
      <c r="V233" s="366" t="s">
        <v>355</v>
      </c>
      <c r="W233" s="366" t="s">
        <v>355</v>
      </c>
      <c r="X233" s="366" t="s">
        <v>355</v>
      </c>
      <c r="Y233" s="343"/>
      <c r="Z233" s="336"/>
      <c r="AA233" s="336"/>
      <c r="AB233" s="336"/>
      <c r="AC233" s="336"/>
      <c r="AD233" s="336"/>
      <c r="AE233" s="336"/>
      <c r="AF233" s="336"/>
      <c r="AG233" s="336"/>
      <c r="AH233" s="336"/>
      <c r="AI233" s="336"/>
      <c r="AJ233" s="336"/>
      <c r="AK233" s="336"/>
      <c r="AL233" s="336"/>
      <c r="AM233" s="336"/>
      <c r="AN233" s="336"/>
      <c r="AO233" s="336"/>
      <c r="AP233" s="336"/>
      <c r="AQ233" s="336"/>
      <c r="AR233" s="336"/>
      <c r="AS233" s="336"/>
      <c r="AT233" s="336"/>
      <c r="AU233" s="336"/>
      <c r="AV233" s="336"/>
      <c r="AW233" s="336"/>
    </row>
    <row r="234" spans="1:49" ht="14" outlineLevel="1">
      <c r="A234" s="336"/>
      <c r="B234" s="341"/>
      <c r="C234" s="354" t="s">
        <v>358</v>
      </c>
      <c r="D234" s="365" t="str">
        <f t="shared" si="24"/>
        <v/>
      </c>
      <c r="E234" s="365" t="str">
        <f t="shared" si="25"/>
        <v/>
      </c>
      <c r="F234" s="365" t="str">
        <f t="shared" si="26"/>
        <v/>
      </c>
      <c r="G234" s="365" t="str">
        <f t="shared" si="27"/>
        <v/>
      </c>
      <c r="H234" s="365" t="str">
        <f t="shared" si="28"/>
        <v/>
      </c>
      <c r="I234" s="365" t="str">
        <f t="shared" si="29"/>
        <v/>
      </c>
      <c r="J234" s="365" t="str">
        <f t="shared" si="30"/>
        <v/>
      </c>
      <c r="K234" s="356" t="str">
        <f t="shared" si="31"/>
        <v/>
      </c>
      <c r="M234" s="366" t="s">
        <v>357</v>
      </c>
      <c r="N234" s="366" t="s">
        <v>357</v>
      </c>
      <c r="O234" s="366" t="s">
        <v>357</v>
      </c>
      <c r="P234" s="366" t="s">
        <v>357</v>
      </c>
      <c r="Q234" s="366" t="s">
        <v>357</v>
      </c>
      <c r="R234" s="366" t="s">
        <v>357</v>
      </c>
      <c r="S234" s="366" t="s">
        <v>357</v>
      </c>
      <c r="T234" s="366" t="s">
        <v>357</v>
      </c>
      <c r="U234" s="366" t="s">
        <v>357</v>
      </c>
      <c r="V234" s="366" t="s">
        <v>357</v>
      </c>
      <c r="W234" s="366" t="s">
        <v>357</v>
      </c>
      <c r="X234" s="366" t="s">
        <v>357</v>
      </c>
      <c r="Y234" s="343"/>
      <c r="Z234" s="336"/>
      <c r="AA234" s="336"/>
      <c r="AB234" s="336"/>
      <c r="AC234" s="336"/>
      <c r="AD234" s="336"/>
      <c r="AE234" s="336"/>
      <c r="AF234" s="336"/>
      <c r="AG234" s="336"/>
      <c r="AH234" s="336"/>
      <c r="AI234" s="336"/>
      <c r="AJ234" s="336"/>
      <c r="AK234" s="336"/>
      <c r="AL234" s="336"/>
      <c r="AM234" s="336"/>
      <c r="AN234" s="336"/>
      <c r="AO234" s="336"/>
      <c r="AP234" s="336"/>
      <c r="AQ234" s="336"/>
      <c r="AR234" s="336"/>
      <c r="AS234" s="336"/>
      <c r="AT234" s="336"/>
      <c r="AU234" s="336"/>
      <c r="AV234" s="336"/>
      <c r="AW234" s="336"/>
    </row>
    <row r="235" spans="1:49" ht="14" outlineLevel="1">
      <c r="A235" s="336"/>
      <c r="B235" s="341"/>
      <c r="C235" s="354" t="s">
        <v>359</v>
      </c>
      <c r="D235" s="365" t="str">
        <f t="shared" si="24"/>
        <v/>
      </c>
      <c r="E235" s="365" t="str">
        <f t="shared" si="25"/>
        <v/>
      </c>
      <c r="F235" s="365" t="str">
        <f t="shared" si="26"/>
        <v/>
      </c>
      <c r="G235" s="365" t="str">
        <f t="shared" si="27"/>
        <v/>
      </c>
      <c r="H235" s="365" t="str">
        <f t="shared" si="28"/>
        <v/>
      </c>
      <c r="I235" s="365" t="str">
        <f t="shared" si="29"/>
        <v/>
      </c>
      <c r="J235" s="365" t="str">
        <f t="shared" si="30"/>
        <v/>
      </c>
      <c r="K235" s="356" t="str">
        <f t="shared" si="31"/>
        <v/>
      </c>
      <c r="M235" s="366" t="s">
        <v>355</v>
      </c>
      <c r="N235" s="366" t="s">
        <v>355</v>
      </c>
      <c r="O235" s="366" t="s">
        <v>355</v>
      </c>
      <c r="P235" s="366" t="s">
        <v>355</v>
      </c>
      <c r="Q235" s="366" t="s">
        <v>355</v>
      </c>
      <c r="R235" s="366" t="s">
        <v>355</v>
      </c>
      <c r="S235" s="366" t="s">
        <v>355</v>
      </c>
      <c r="T235" s="366" t="s">
        <v>355</v>
      </c>
      <c r="U235" s="366" t="s">
        <v>355</v>
      </c>
      <c r="V235" s="366" t="s">
        <v>355</v>
      </c>
      <c r="W235" s="366" t="s">
        <v>355</v>
      </c>
      <c r="X235" s="366" t="s">
        <v>355</v>
      </c>
      <c r="Y235" s="343"/>
      <c r="Z235" s="336"/>
      <c r="AA235" s="336"/>
      <c r="AB235" s="336"/>
      <c r="AC235" s="336"/>
      <c r="AD235" s="336"/>
      <c r="AE235" s="336"/>
      <c r="AF235" s="336"/>
      <c r="AG235" s="336"/>
      <c r="AH235" s="336"/>
      <c r="AI235" s="336"/>
      <c r="AJ235" s="336"/>
      <c r="AK235" s="336"/>
      <c r="AL235" s="336"/>
      <c r="AM235" s="336"/>
      <c r="AN235" s="336"/>
      <c r="AO235" s="336"/>
      <c r="AP235" s="336"/>
      <c r="AQ235" s="336"/>
      <c r="AR235" s="336"/>
      <c r="AS235" s="336"/>
      <c r="AT235" s="336"/>
      <c r="AU235" s="336"/>
      <c r="AV235" s="336"/>
      <c r="AW235" s="336"/>
    </row>
    <row r="236" spans="1:49">
      <c r="A236" s="336"/>
      <c r="B236" s="341"/>
      <c r="Y236" s="343"/>
      <c r="Z236" s="336"/>
      <c r="AA236" s="336"/>
      <c r="AB236" s="336"/>
      <c r="AC236" s="336"/>
      <c r="AD236" s="336"/>
      <c r="AE236" s="336"/>
      <c r="AF236" s="336"/>
      <c r="AG236" s="336"/>
      <c r="AH236" s="336"/>
      <c r="AI236" s="336"/>
      <c r="AJ236" s="336"/>
      <c r="AK236" s="336"/>
      <c r="AL236" s="336"/>
      <c r="AM236" s="336"/>
      <c r="AN236" s="336"/>
      <c r="AO236" s="336"/>
      <c r="AP236" s="336"/>
      <c r="AQ236" s="336"/>
      <c r="AR236" s="336"/>
      <c r="AS236" s="336"/>
      <c r="AT236" s="336"/>
      <c r="AU236" s="336"/>
      <c r="AV236" s="336"/>
      <c r="AW236" s="336"/>
    </row>
    <row r="237" spans="1:49">
      <c r="A237" s="336"/>
      <c r="B237" s="341"/>
      <c r="C237" s="344" t="s">
        <v>360</v>
      </c>
      <c r="Y237" s="343"/>
      <c r="Z237" s="336"/>
      <c r="AA237" s="336"/>
      <c r="AB237" s="336"/>
      <c r="AC237" s="336"/>
      <c r="AD237" s="336"/>
      <c r="AE237" s="336"/>
      <c r="AF237" s="336"/>
      <c r="AG237" s="336"/>
      <c r="AH237" s="336"/>
      <c r="AI237" s="336"/>
      <c r="AJ237" s="336"/>
      <c r="AK237" s="336"/>
      <c r="AL237" s="336"/>
      <c r="AM237" s="336"/>
      <c r="AN237" s="336"/>
      <c r="AO237" s="336"/>
      <c r="AP237" s="336"/>
      <c r="AQ237" s="336"/>
      <c r="AR237" s="336"/>
      <c r="AS237" s="336"/>
      <c r="AT237" s="336"/>
      <c r="AU237" s="336"/>
      <c r="AV237" s="336"/>
      <c r="AW237" s="336"/>
    </row>
    <row r="238" spans="1:49">
      <c r="A238" s="336"/>
      <c r="B238" s="341"/>
      <c r="Y238" s="343"/>
      <c r="Z238" s="336"/>
      <c r="AA238" s="336"/>
      <c r="AB238" s="336"/>
      <c r="AC238" s="336"/>
      <c r="AD238" s="336"/>
      <c r="AE238" s="336"/>
      <c r="AF238" s="336"/>
      <c r="AG238" s="336"/>
      <c r="AH238" s="336"/>
      <c r="AI238" s="336"/>
      <c r="AJ238" s="336"/>
      <c r="AK238" s="336"/>
      <c r="AL238" s="336"/>
      <c r="AM238" s="336"/>
      <c r="AN238" s="336"/>
      <c r="AO238" s="336"/>
      <c r="AP238" s="336"/>
      <c r="AQ238" s="336"/>
      <c r="AR238" s="336"/>
      <c r="AS238" s="336"/>
      <c r="AT238" s="336"/>
      <c r="AU238" s="336"/>
      <c r="AV238" s="336"/>
      <c r="AW238" s="336"/>
    </row>
    <row r="239" spans="1:49">
      <c r="A239" s="336"/>
      <c r="B239" s="341"/>
      <c r="Y239" s="343"/>
      <c r="Z239" s="336"/>
      <c r="AA239" s="336"/>
      <c r="AB239" s="336"/>
      <c r="AC239" s="336"/>
      <c r="AD239" s="336"/>
      <c r="AE239" s="336"/>
      <c r="AF239" s="336"/>
      <c r="AG239" s="336"/>
      <c r="AH239" s="336"/>
      <c r="AI239" s="336"/>
      <c r="AJ239" s="336"/>
      <c r="AK239" s="336"/>
      <c r="AL239" s="336"/>
      <c r="AM239" s="336"/>
      <c r="AN239" s="336"/>
      <c r="AO239" s="336"/>
      <c r="AP239" s="336"/>
      <c r="AQ239" s="336"/>
      <c r="AR239" s="336"/>
      <c r="AS239" s="336"/>
      <c r="AT239" s="336"/>
      <c r="AU239" s="336"/>
      <c r="AV239" s="336"/>
      <c r="AW239" s="336"/>
    </row>
    <row r="240" spans="1:49">
      <c r="A240" s="336"/>
      <c r="B240" s="369"/>
      <c r="C240" s="370"/>
      <c r="D240" s="370"/>
      <c r="E240" s="370"/>
      <c r="F240" s="370"/>
      <c r="G240" s="370"/>
      <c r="H240" s="370"/>
      <c r="I240" s="370"/>
      <c r="J240" s="370"/>
      <c r="K240" s="370"/>
      <c r="L240" s="370"/>
      <c r="M240" s="370"/>
      <c r="N240" s="370"/>
      <c r="O240" s="370"/>
      <c r="P240" s="370"/>
      <c r="Q240" s="370"/>
      <c r="R240" s="370"/>
      <c r="S240" s="370"/>
      <c r="T240" s="370"/>
      <c r="U240" s="370"/>
      <c r="V240" s="370"/>
      <c r="W240" s="370"/>
      <c r="X240" s="370"/>
      <c r="Y240" s="371"/>
      <c r="Z240" s="336"/>
      <c r="AA240" s="336"/>
      <c r="AB240" s="336"/>
      <c r="AC240" s="336"/>
      <c r="AD240" s="336"/>
      <c r="AE240" s="336"/>
      <c r="AF240" s="336"/>
      <c r="AG240" s="336"/>
      <c r="AH240" s="336"/>
      <c r="AI240" s="336"/>
      <c r="AJ240" s="336"/>
      <c r="AK240" s="336"/>
      <c r="AL240" s="336"/>
      <c r="AM240" s="336"/>
      <c r="AN240" s="336"/>
      <c r="AO240" s="336"/>
      <c r="AP240" s="336"/>
      <c r="AQ240" s="336"/>
      <c r="AR240" s="336"/>
      <c r="AS240" s="336"/>
      <c r="AT240" s="336"/>
      <c r="AU240" s="336"/>
      <c r="AV240" s="336"/>
      <c r="AW240" s="336"/>
    </row>
    <row r="241" spans="1:49">
      <c r="A241" s="336"/>
      <c r="B241" s="336"/>
      <c r="C241" s="336"/>
      <c r="D241" s="336"/>
      <c r="E241" s="336"/>
      <c r="F241" s="336"/>
      <c r="G241" s="336"/>
      <c r="H241" s="336"/>
      <c r="I241" s="336"/>
      <c r="J241" s="336"/>
      <c r="K241" s="336"/>
      <c r="L241" s="336"/>
      <c r="M241" s="336"/>
      <c r="N241" s="336"/>
      <c r="O241" s="336"/>
      <c r="P241" s="336"/>
      <c r="Q241" s="336"/>
      <c r="R241" s="336"/>
      <c r="S241" s="336"/>
      <c r="T241" s="336"/>
      <c r="U241" s="336"/>
      <c r="V241" s="336"/>
      <c r="W241" s="336"/>
      <c r="X241" s="336"/>
      <c r="Y241" s="336"/>
      <c r="Z241" s="336"/>
      <c r="AA241" s="336"/>
      <c r="AB241" s="336"/>
      <c r="AC241" s="336"/>
      <c r="AD241" s="336"/>
      <c r="AE241" s="336"/>
      <c r="AF241" s="336"/>
      <c r="AG241" s="336"/>
      <c r="AH241" s="336"/>
      <c r="AI241" s="336"/>
      <c r="AJ241" s="336"/>
      <c r="AK241" s="336"/>
      <c r="AL241" s="336"/>
      <c r="AM241" s="336"/>
      <c r="AN241" s="336"/>
      <c r="AO241" s="336"/>
      <c r="AP241" s="336"/>
      <c r="AQ241" s="336"/>
      <c r="AR241" s="336"/>
      <c r="AS241" s="336"/>
      <c r="AT241" s="336"/>
      <c r="AU241" s="336"/>
      <c r="AV241" s="336"/>
      <c r="AW241" s="336"/>
    </row>
  </sheetData>
  <mergeCells count="8">
    <mergeCell ref="J5:J6"/>
    <mergeCell ref="K5:K6"/>
    <mergeCell ref="D5:D6"/>
    <mergeCell ref="E5:E6"/>
    <mergeCell ref="F5:F6"/>
    <mergeCell ref="G5:G6"/>
    <mergeCell ref="H5:H6"/>
    <mergeCell ref="I5:I6"/>
  </mergeCells>
  <phoneticPr fontId="213" type="noConversion"/>
  <hyperlinks>
    <hyperlink ref="M5" r:id="rId1" xr:uid="{582CE5F0-48FA-AF46-A2AD-FAE26ACFBD4B}"/>
    <hyperlink ref="N5" r:id="rId2" xr:uid="{995F79A7-5139-A543-8CCC-D1BCDF37B167}"/>
    <hyperlink ref="O5" r:id="rId3" xr:uid="{05A07FCD-4A77-4B41-A835-3AA6B6D3A39C}"/>
    <hyperlink ref="P5" r:id="rId4" xr:uid="{7DA81B22-4168-2E43-AF88-7A92887C8972}"/>
    <hyperlink ref="Q5" r:id="rId5" xr:uid="{3773DF87-ECC6-5B4A-BBED-A152B429A6F9}"/>
    <hyperlink ref="R5" r:id="rId6" xr:uid="{E73327BC-05BE-364A-B3F7-0B8145CF0965}"/>
    <hyperlink ref="S5" r:id="rId7" xr:uid="{0CCC85EF-C03C-504C-8E74-CFBE3B67DE3D}"/>
    <hyperlink ref="T5" r:id="rId8" xr:uid="{BFF1918C-60C3-C543-8A75-6CB30E24AAC7}"/>
    <hyperlink ref="U5" r:id="rId9" xr:uid="{B14403A5-B6FC-6048-AB8F-3DC3594C2804}"/>
    <hyperlink ref="V5" r:id="rId10" xr:uid="{4D794FC9-0537-C541-B627-4606A6CFA191}"/>
    <hyperlink ref="W5" r:id="rId11" xr:uid="{09674AF0-6F0F-604C-9490-69B4AEE6AAEE}"/>
    <hyperlink ref="X5" r:id="rId12" xr:uid="{C44259F5-556A-BD47-B8DB-6AA203E6C449}"/>
    <hyperlink ref="M10" r:id="rId13" xr:uid="{D43F7CD2-FDA2-1B4F-9806-DFEFEC2CE6C5}"/>
    <hyperlink ref="N10" r:id="rId14" xr:uid="{70A4049D-DABA-3248-AC0F-484F7759CE0F}"/>
    <hyperlink ref="O10" r:id="rId15" xr:uid="{D33CADBA-B699-8448-A74A-23D8B4F98194}"/>
    <hyperlink ref="P10" r:id="rId16" xr:uid="{5740BE93-DA2B-6844-8A7A-AC5CEE2037F2}"/>
    <hyperlink ref="Q10" r:id="rId17" xr:uid="{9D02869F-2163-3C42-9F42-A6ED4FB3C695}"/>
    <hyperlink ref="R10" r:id="rId18" xr:uid="{A1558BDD-4461-E54D-B51C-EAE33C21D5F9}"/>
    <hyperlink ref="S10" r:id="rId19" xr:uid="{122672BE-0393-F44A-8882-2C21CBC98341}"/>
    <hyperlink ref="T10" r:id="rId20" xr:uid="{7EFC95D2-6F6F-D549-9080-4E9031874D43}"/>
    <hyperlink ref="U10" r:id="rId21" xr:uid="{CA5ECC6E-0934-C84B-8820-99489CF94E93}"/>
    <hyperlink ref="V10" r:id="rId22" xr:uid="{87AF87C8-26F7-4541-9580-6A574F4C2821}"/>
    <hyperlink ref="W10" r:id="rId23" xr:uid="{F2DFCA7B-AE2B-EA4F-A54E-663DBA2B3B14}"/>
    <hyperlink ref="X10" r:id="rId24" xr:uid="{12737CAE-BFB1-DB41-BD06-AA5E7BEA860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W147"/>
  <sheetViews>
    <sheetView topLeftCell="H83" zoomScaleNormal="100" workbookViewId="0">
      <selection activeCell="AA101" sqref="AA101"/>
    </sheetView>
  </sheetViews>
  <sheetFormatPr baseColWidth="10" defaultColWidth="8.83203125" defaultRowHeight="13" outlineLevelRow="6" outlineLevelCol="1"/>
  <cols>
    <col min="1" max="1" width="1.1640625" style="337" customWidth="1"/>
    <col min="2" max="2" width="1.83203125" style="337" customWidth="1"/>
    <col min="3" max="3" width="50.6640625" style="337" customWidth="1"/>
    <col min="4" max="11" width="12.6640625" style="337" customWidth="1" outlineLevel="1"/>
    <col min="12" max="12" width="2.5" style="337" customWidth="1"/>
    <col min="13" max="24" width="12.6640625" style="337" customWidth="1"/>
    <col min="25" max="25" width="1.83203125" style="337" customWidth="1"/>
    <col min="26" max="16384" width="8.83203125" style="337"/>
  </cols>
  <sheetData>
    <row r="1" spans="1:49" ht="6.75" customHeight="1">
      <c r="A1" s="336"/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6"/>
      <c r="AO1" s="336"/>
      <c r="AP1" s="336"/>
      <c r="AQ1" s="336"/>
      <c r="AR1" s="336"/>
      <c r="AS1" s="336"/>
      <c r="AT1" s="336"/>
      <c r="AU1" s="336"/>
      <c r="AV1" s="336"/>
      <c r="AW1" s="336"/>
    </row>
    <row r="2" spans="1:49" ht="40" customHeight="1">
      <c r="A2" s="336"/>
      <c r="B2" s="338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40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6"/>
      <c r="AL2" s="336"/>
      <c r="AM2" s="336"/>
      <c r="AN2" s="336"/>
      <c r="AO2" s="336"/>
      <c r="AP2" s="336"/>
      <c r="AQ2" s="336"/>
      <c r="AR2" s="336"/>
      <c r="AS2" s="336"/>
      <c r="AT2" s="336"/>
      <c r="AU2" s="336"/>
      <c r="AV2" s="336"/>
      <c r="AW2" s="336"/>
    </row>
    <row r="3" spans="1:49" ht="20">
      <c r="A3" s="336"/>
      <c r="B3" s="341"/>
      <c r="C3" s="342" t="s">
        <v>582</v>
      </c>
      <c r="Y3" s="343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  <c r="AW3" s="336"/>
    </row>
    <row r="4" spans="1:49" ht="23">
      <c r="A4" s="336"/>
      <c r="B4" s="341"/>
      <c r="C4" s="344" t="s">
        <v>222</v>
      </c>
      <c r="D4" s="345" t="s">
        <v>223</v>
      </c>
      <c r="E4" s="346"/>
      <c r="F4" s="346"/>
      <c r="G4" s="346"/>
      <c r="H4" s="346"/>
      <c r="I4" s="346"/>
      <c r="J4" s="346"/>
      <c r="K4" s="346"/>
      <c r="Y4" s="343"/>
      <c r="Z4" s="336"/>
      <c r="AA4" s="336"/>
      <c r="AB4" s="336"/>
      <c r="AC4" s="336"/>
      <c r="AD4" s="336"/>
      <c r="AE4" s="336"/>
      <c r="AF4" s="336"/>
      <c r="AG4" s="336"/>
      <c r="AH4" s="336"/>
      <c r="AI4" s="336"/>
      <c r="AJ4" s="336"/>
      <c r="AK4" s="336"/>
      <c r="AL4" s="336"/>
      <c r="AM4" s="336"/>
      <c r="AN4" s="336"/>
      <c r="AO4" s="336"/>
      <c r="AP4" s="336"/>
      <c r="AQ4" s="336"/>
      <c r="AR4" s="336"/>
      <c r="AS4" s="336"/>
      <c r="AT4" s="336"/>
      <c r="AU4" s="336"/>
      <c r="AV4" s="336"/>
      <c r="AW4" s="336"/>
    </row>
    <row r="5" spans="1:49" ht="15">
      <c r="A5" s="336"/>
      <c r="B5" s="341"/>
      <c r="C5" s="344" t="s">
        <v>224</v>
      </c>
      <c r="D5" s="436" t="s">
        <v>175</v>
      </c>
      <c r="E5" s="436" t="s">
        <v>178</v>
      </c>
      <c r="F5" s="436" t="s">
        <v>225</v>
      </c>
      <c r="G5" s="436" t="s">
        <v>226</v>
      </c>
      <c r="H5" s="436" t="s">
        <v>227</v>
      </c>
      <c r="I5" s="436" t="s">
        <v>228</v>
      </c>
      <c r="J5" s="436" t="s">
        <v>229</v>
      </c>
      <c r="K5" s="436" t="s">
        <v>230</v>
      </c>
      <c r="M5" s="347" t="s">
        <v>231</v>
      </c>
      <c r="N5" s="347" t="s">
        <v>232</v>
      </c>
      <c r="O5" s="347" t="s">
        <v>233</v>
      </c>
      <c r="P5" s="347" t="s">
        <v>234</v>
      </c>
      <c r="Q5" s="347" t="s">
        <v>235</v>
      </c>
      <c r="R5" s="347" t="s">
        <v>236</v>
      </c>
      <c r="S5" s="347" t="s">
        <v>237</v>
      </c>
      <c r="T5" s="347" t="s">
        <v>238</v>
      </c>
      <c r="U5" s="347" t="s">
        <v>239</v>
      </c>
      <c r="V5" s="347" t="s">
        <v>240</v>
      </c>
      <c r="W5" s="347" t="s">
        <v>241</v>
      </c>
      <c r="X5" s="347" t="s">
        <v>242</v>
      </c>
      <c r="Y5" s="343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  <c r="AL5" s="336"/>
      <c r="AM5" s="336"/>
      <c r="AN5" s="336"/>
      <c r="AO5" s="336"/>
      <c r="AP5" s="336"/>
      <c r="AQ5" s="336"/>
      <c r="AR5" s="336"/>
      <c r="AS5" s="336"/>
      <c r="AT5" s="336"/>
      <c r="AU5" s="336"/>
      <c r="AV5" s="336"/>
      <c r="AW5" s="336"/>
    </row>
    <row r="6" spans="1:49">
      <c r="A6" s="336"/>
      <c r="B6" s="341"/>
      <c r="D6" s="436"/>
      <c r="E6" s="436"/>
      <c r="F6" s="436"/>
      <c r="G6" s="436"/>
      <c r="H6" s="436"/>
      <c r="I6" s="436"/>
      <c r="J6" s="436"/>
      <c r="K6" s="436"/>
      <c r="Y6" s="343"/>
      <c r="Z6" s="336"/>
      <c r="AA6" s="336"/>
      <c r="AB6" s="336"/>
      <c r="AC6" s="336"/>
      <c r="AD6" s="336"/>
      <c r="AE6" s="336"/>
      <c r="AF6" s="336"/>
      <c r="AG6" s="336"/>
      <c r="AH6" s="336"/>
      <c r="AI6" s="336"/>
      <c r="AJ6" s="336"/>
      <c r="AK6" s="336"/>
      <c r="AL6" s="336"/>
      <c r="AM6" s="336"/>
      <c r="AN6" s="336"/>
      <c r="AO6" s="336"/>
      <c r="AP6" s="336"/>
      <c r="AQ6" s="336"/>
      <c r="AR6" s="336"/>
      <c r="AS6" s="336"/>
      <c r="AT6" s="336"/>
      <c r="AU6" s="336"/>
      <c r="AV6" s="336"/>
      <c r="AW6" s="336"/>
    </row>
    <row r="7" spans="1:49" ht="14">
      <c r="A7" s="336"/>
      <c r="B7" s="341"/>
      <c r="C7" s="344" t="s">
        <v>252</v>
      </c>
      <c r="D7" s="346"/>
      <c r="E7" s="346"/>
      <c r="F7" s="346"/>
      <c r="G7" s="346"/>
      <c r="H7" s="346"/>
      <c r="I7" s="346"/>
      <c r="J7" s="346"/>
      <c r="K7" s="346"/>
      <c r="M7" s="348"/>
      <c r="N7" s="348"/>
      <c r="O7" s="348"/>
      <c r="P7" s="348"/>
      <c r="Q7" s="348"/>
      <c r="R7" s="348"/>
      <c r="S7" s="348"/>
      <c r="T7" s="348"/>
      <c r="U7" s="348"/>
      <c r="V7" s="348"/>
      <c r="W7" s="348"/>
      <c r="X7" s="348"/>
      <c r="Y7" s="343"/>
      <c r="Z7" s="336"/>
      <c r="AA7" s="336"/>
      <c r="AB7" s="336"/>
      <c r="AC7" s="336"/>
      <c r="AD7" s="336"/>
      <c r="AE7" s="336"/>
      <c r="AF7" s="336"/>
      <c r="AG7" s="336"/>
      <c r="AH7" s="336"/>
      <c r="AI7" s="336"/>
      <c r="AJ7" s="336"/>
      <c r="AK7" s="336"/>
      <c r="AL7" s="336"/>
      <c r="AM7" s="336"/>
      <c r="AN7" s="336"/>
      <c r="AO7" s="336"/>
      <c r="AP7" s="336"/>
      <c r="AQ7" s="336"/>
      <c r="AR7" s="336"/>
      <c r="AS7" s="336"/>
      <c r="AT7" s="336"/>
      <c r="AU7" s="336"/>
      <c r="AV7" s="336"/>
      <c r="AW7" s="336"/>
    </row>
    <row r="8" spans="1:49">
      <c r="A8" s="336"/>
      <c r="B8" s="341"/>
      <c r="D8" s="346"/>
      <c r="E8" s="346"/>
      <c r="F8" s="346"/>
      <c r="G8" s="346"/>
      <c r="H8" s="346"/>
      <c r="I8" s="346"/>
      <c r="J8" s="346"/>
      <c r="K8" s="346"/>
      <c r="Y8" s="343"/>
      <c r="Z8" s="336"/>
      <c r="AA8" s="336"/>
      <c r="AB8" s="336"/>
      <c r="AC8" s="336"/>
      <c r="AD8" s="336"/>
      <c r="AE8" s="336"/>
      <c r="AF8" s="336"/>
      <c r="AG8" s="336"/>
      <c r="AH8" s="336"/>
      <c r="AI8" s="336"/>
      <c r="AJ8" s="336"/>
      <c r="AK8" s="336"/>
      <c r="AL8" s="336"/>
      <c r="AM8" s="336"/>
      <c r="AN8" s="336"/>
      <c r="AO8" s="336"/>
      <c r="AP8" s="336"/>
      <c r="AQ8" s="336"/>
      <c r="AR8" s="336"/>
      <c r="AS8" s="336"/>
      <c r="AT8" s="336"/>
      <c r="AU8" s="336"/>
      <c r="AV8" s="336"/>
      <c r="AW8" s="336"/>
    </row>
    <row r="9" spans="1:49">
      <c r="A9" s="336"/>
      <c r="B9" s="341"/>
      <c r="D9" s="346"/>
      <c r="E9" s="346"/>
      <c r="F9" s="346"/>
      <c r="G9" s="346"/>
      <c r="H9" s="346"/>
      <c r="I9" s="346"/>
      <c r="J9" s="346"/>
      <c r="K9" s="346"/>
      <c r="M9" s="349" t="s">
        <v>253</v>
      </c>
      <c r="N9" s="349" t="s">
        <v>253</v>
      </c>
      <c r="O9" s="349" t="s">
        <v>253</v>
      </c>
      <c r="P9" s="349" t="s">
        <v>254</v>
      </c>
      <c r="Q9" s="349" t="s">
        <v>256</v>
      </c>
      <c r="R9" s="349" t="s">
        <v>256</v>
      </c>
      <c r="S9" s="349" t="s">
        <v>257</v>
      </c>
      <c r="T9" s="349" t="s">
        <v>258</v>
      </c>
      <c r="U9" s="349" t="s">
        <v>259</v>
      </c>
      <c r="V9" s="349" t="s">
        <v>260</v>
      </c>
      <c r="W9" s="349" t="s">
        <v>261</v>
      </c>
      <c r="X9" s="349" t="s">
        <v>262</v>
      </c>
      <c r="Y9" s="343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6"/>
      <c r="AU9" s="336"/>
      <c r="AV9" s="336"/>
      <c r="AW9" s="336"/>
    </row>
    <row r="10" spans="1:49">
      <c r="A10" s="336"/>
      <c r="B10" s="341"/>
      <c r="D10" s="346"/>
      <c r="E10" s="346"/>
      <c r="F10" s="346"/>
      <c r="G10" s="346"/>
      <c r="H10" s="346"/>
      <c r="I10" s="346"/>
      <c r="J10" s="346"/>
      <c r="K10" s="346"/>
      <c r="M10" s="350" t="s">
        <v>264</v>
      </c>
      <c r="N10" s="350" t="s">
        <v>264</v>
      </c>
      <c r="O10" s="350" t="s">
        <v>264</v>
      </c>
      <c r="P10" s="350" t="s">
        <v>264</v>
      </c>
      <c r="Q10" s="350" t="s">
        <v>264</v>
      </c>
      <c r="R10" s="350" t="s">
        <v>264</v>
      </c>
      <c r="S10" s="350" t="s">
        <v>264</v>
      </c>
      <c r="T10" s="350" t="s">
        <v>264</v>
      </c>
      <c r="U10" s="350" t="s">
        <v>264</v>
      </c>
      <c r="V10" s="350" t="s">
        <v>264</v>
      </c>
      <c r="W10" s="350" t="s">
        <v>264</v>
      </c>
      <c r="X10" s="350" t="s">
        <v>264</v>
      </c>
      <c r="Y10" s="343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336"/>
      <c r="AU10" s="336"/>
      <c r="AV10" s="336"/>
      <c r="AW10" s="336"/>
    </row>
    <row r="11" spans="1:49" ht="14">
      <c r="A11" s="336"/>
      <c r="B11" s="341"/>
      <c r="C11" s="351" t="s">
        <v>583</v>
      </c>
      <c r="D11" s="352" t="str">
        <f t="shared" ref="D11:D74" si="0">IF(COUNT(L11:X11)&gt;0,MEDIAN(L11:X11),"")</f>
        <v/>
      </c>
      <c r="E11" s="352" t="str">
        <f t="shared" ref="E11:E74" si="1">IF(COUNT(L11:X11)&gt;0,AVERAGE(L11:X11),"")</f>
        <v/>
      </c>
      <c r="F11" s="352" t="str">
        <f t="shared" ref="F11:F74" si="2">IF(COUNT(L11:X11)&gt;0,MIN(L11:X11),"")</f>
        <v/>
      </c>
      <c r="G11" s="352" t="str">
        <f t="shared" ref="G11:G74" si="3">IF(COUNT(L11:X11)&gt;0,MAX(L11:X11),"")</f>
        <v/>
      </c>
      <c r="H11" s="352" t="str">
        <f t="shared" ref="H11:H74" si="4">IF(COUNT(L11:X11)&gt;0,QUARTILE(L11:X11,1),"")</f>
        <v/>
      </c>
      <c r="I11" s="352" t="str">
        <f t="shared" ref="I11:I74" si="5">IF(COUNT(L11:X11)&gt;0,QUARTILE(L11:X11,3),"")</f>
        <v/>
      </c>
      <c r="J11" s="352" t="str">
        <f t="shared" ref="J11:J74" si="6">IF(COUNT(L11:X11)&gt;1,STDEV(L11:X11),"")</f>
        <v/>
      </c>
      <c r="K11" s="353" t="str">
        <f t="shared" ref="K11:K74" si="7">IF(COUNT(L11:X11)&gt;1,STDEV(L11:X11)/AVERAGE(L11:X11),"")</f>
        <v/>
      </c>
      <c r="L11" s="346"/>
      <c r="M11" s="352"/>
      <c r="N11" s="352"/>
      <c r="O11" s="352"/>
      <c r="P11" s="352"/>
      <c r="Q11" s="352"/>
      <c r="R11" s="352"/>
      <c r="S11" s="352"/>
      <c r="T11" s="352"/>
      <c r="U11" s="352"/>
      <c r="V11" s="352"/>
      <c r="W11" s="352"/>
      <c r="X11" s="352"/>
      <c r="Y11" s="343"/>
      <c r="Z11" s="336"/>
      <c r="AA11" s="336"/>
      <c r="AB11" s="336"/>
      <c r="AC11" s="336"/>
      <c r="AD11" s="336"/>
      <c r="AE11" s="336"/>
      <c r="AF11" s="336"/>
      <c r="AG11" s="336"/>
      <c r="AH11" s="336"/>
      <c r="AI11" s="336"/>
      <c r="AJ11" s="336"/>
      <c r="AK11" s="336"/>
      <c r="AL11" s="336"/>
      <c r="AM11" s="336"/>
      <c r="AN11" s="336"/>
      <c r="AO11" s="336"/>
      <c r="AP11" s="336"/>
      <c r="AQ11" s="336"/>
      <c r="AR11" s="336"/>
      <c r="AS11" s="336"/>
      <c r="AT11" s="336"/>
      <c r="AU11" s="336"/>
      <c r="AV11" s="336"/>
      <c r="AW11" s="336"/>
    </row>
    <row r="12" spans="1:49" ht="14" outlineLevel="1">
      <c r="A12" s="336"/>
      <c r="B12" s="341"/>
      <c r="C12" s="354" t="s">
        <v>584</v>
      </c>
      <c r="D12" s="355" t="str">
        <f t="shared" si="0"/>
        <v/>
      </c>
      <c r="E12" s="355" t="str">
        <f t="shared" si="1"/>
        <v/>
      </c>
      <c r="F12" s="355" t="str">
        <f t="shared" si="2"/>
        <v/>
      </c>
      <c r="G12" s="355" t="str">
        <f t="shared" si="3"/>
        <v/>
      </c>
      <c r="H12" s="355" t="str">
        <f t="shared" si="4"/>
        <v/>
      </c>
      <c r="I12" s="355" t="str">
        <f t="shared" si="5"/>
        <v/>
      </c>
      <c r="J12" s="355" t="str">
        <f t="shared" si="6"/>
        <v/>
      </c>
      <c r="K12" s="356" t="str">
        <f t="shared" si="7"/>
        <v/>
      </c>
      <c r="M12" s="357"/>
      <c r="N12" s="357"/>
      <c r="O12" s="357"/>
      <c r="P12" s="357"/>
      <c r="Q12" s="357"/>
      <c r="R12" s="357"/>
      <c r="S12" s="357"/>
      <c r="T12" s="357"/>
      <c r="U12" s="357"/>
      <c r="V12" s="357"/>
      <c r="W12" s="357"/>
      <c r="X12" s="357"/>
      <c r="Y12" s="343"/>
      <c r="Z12" s="336"/>
      <c r="AA12" s="336"/>
      <c r="AB12" s="336"/>
      <c r="AC12" s="336"/>
      <c r="AD12" s="336"/>
      <c r="AE12" s="336"/>
      <c r="AF12" s="336"/>
      <c r="AG12" s="336"/>
      <c r="AH12" s="336"/>
      <c r="AI12" s="336"/>
      <c r="AJ12" s="336"/>
      <c r="AK12" s="336"/>
      <c r="AL12" s="336"/>
      <c r="AM12" s="336"/>
      <c r="AN12" s="336"/>
      <c r="AO12" s="336"/>
      <c r="AP12" s="336"/>
      <c r="AQ12" s="336"/>
      <c r="AR12" s="336"/>
      <c r="AS12" s="336"/>
      <c r="AT12" s="336"/>
      <c r="AU12" s="336"/>
      <c r="AV12" s="336"/>
      <c r="AW12" s="336"/>
    </row>
    <row r="13" spans="1:49" ht="14" outlineLevel="2">
      <c r="A13" s="336"/>
      <c r="B13" s="341"/>
      <c r="C13" s="354" t="s">
        <v>585</v>
      </c>
      <c r="D13" s="355" t="str">
        <f t="shared" si="0"/>
        <v/>
      </c>
      <c r="E13" s="355" t="str">
        <f t="shared" si="1"/>
        <v/>
      </c>
      <c r="F13" s="355" t="str">
        <f t="shared" si="2"/>
        <v/>
      </c>
      <c r="G13" s="355" t="str">
        <f t="shared" si="3"/>
        <v/>
      </c>
      <c r="H13" s="355" t="str">
        <f t="shared" si="4"/>
        <v/>
      </c>
      <c r="I13" s="355" t="str">
        <f t="shared" si="5"/>
        <v/>
      </c>
      <c r="J13" s="355" t="str">
        <f t="shared" si="6"/>
        <v/>
      </c>
      <c r="K13" s="356" t="str">
        <f t="shared" si="7"/>
        <v/>
      </c>
      <c r="M13" s="357"/>
      <c r="N13" s="357"/>
      <c r="O13" s="357"/>
      <c r="P13" s="357"/>
      <c r="Q13" s="357"/>
      <c r="R13" s="357"/>
      <c r="S13" s="357"/>
      <c r="T13" s="357"/>
      <c r="U13" s="357"/>
      <c r="V13" s="357"/>
      <c r="W13" s="357"/>
      <c r="X13" s="357"/>
      <c r="Y13" s="343"/>
      <c r="Z13" s="336"/>
      <c r="AA13" s="336"/>
      <c r="AB13" s="336"/>
      <c r="AC13" s="336"/>
      <c r="AD13" s="336"/>
      <c r="AE13" s="336"/>
      <c r="AF13" s="336"/>
      <c r="AG13" s="336"/>
      <c r="AH13" s="336"/>
      <c r="AI13" s="336"/>
      <c r="AJ13" s="336"/>
      <c r="AK13" s="336"/>
      <c r="AL13" s="336"/>
      <c r="AM13" s="336"/>
      <c r="AN13" s="336"/>
      <c r="AO13" s="336"/>
      <c r="AP13" s="336"/>
      <c r="AQ13" s="336"/>
      <c r="AR13" s="336"/>
      <c r="AS13" s="336"/>
      <c r="AT13" s="336"/>
      <c r="AU13" s="336"/>
      <c r="AV13" s="336"/>
      <c r="AW13" s="336"/>
    </row>
    <row r="14" spans="1:49" ht="14" outlineLevel="3">
      <c r="A14" s="336"/>
      <c r="B14" s="341"/>
      <c r="C14" s="354" t="s">
        <v>586</v>
      </c>
      <c r="D14" s="355">
        <f t="shared" si="0"/>
        <v>63424</v>
      </c>
      <c r="E14" s="355">
        <f t="shared" si="1"/>
        <v>77441.583333333328</v>
      </c>
      <c r="F14" s="355">
        <f t="shared" si="2"/>
        <v>-15204</v>
      </c>
      <c r="G14" s="355">
        <f t="shared" si="3"/>
        <v>174243</v>
      </c>
      <c r="H14" s="355">
        <f t="shared" si="4"/>
        <v>37921.25</v>
      </c>
      <c r="I14" s="355">
        <f t="shared" si="5"/>
        <v>116695.25</v>
      </c>
      <c r="J14" s="355">
        <f t="shared" si="6"/>
        <v>56592.277106362613</v>
      </c>
      <c r="K14" s="356">
        <f t="shared" si="7"/>
        <v>0.73077376094922242</v>
      </c>
      <c r="M14" s="357">
        <v>174243</v>
      </c>
      <c r="N14" s="357">
        <v>147035</v>
      </c>
      <c r="O14" s="357">
        <v>110456</v>
      </c>
      <c r="P14" s="357">
        <v>46122</v>
      </c>
      <c r="Q14" s="357">
        <v>-15204</v>
      </c>
      <c r="R14" s="357">
        <v>135413</v>
      </c>
      <c r="S14" s="357">
        <v>103162</v>
      </c>
      <c r="T14" s="357">
        <v>55601</v>
      </c>
      <c r="U14" s="357">
        <v>71247</v>
      </c>
      <c r="V14" s="357">
        <v>38130</v>
      </c>
      <c r="W14" s="357">
        <v>37295</v>
      </c>
      <c r="X14" s="357">
        <v>25799</v>
      </c>
      <c r="Y14" s="343"/>
      <c r="Z14" s="336"/>
      <c r="AA14" s="336"/>
      <c r="AB14" s="336"/>
      <c r="AC14" s="336"/>
      <c r="AD14" s="336"/>
      <c r="AE14" s="336"/>
      <c r="AF14" s="336"/>
      <c r="AG14" s="336"/>
      <c r="AH14" s="336"/>
      <c r="AI14" s="336"/>
      <c r="AJ14" s="336"/>
      <c r="AK14" s="336"/>
      <c r="AL14" s="336"/>
      <c r="AM14" s="336"/>
      <c r="AN14" s="336"/>
      <c r="AO14" s="336"/>
      <c r="AP14" s="336"/>
      <c r="AQ14" s="336"/>
      <c r="AR14" s="336"/>
      <c r="AS14" s="336"/>
      <c r="AT14" s="336"/>
      <c r="AU14" s="336"/>
      <c r="AV14" s="336"/>
      <c r="AW14" s="336"/>
    </row>
    <row r="15" spans="1:49" ht="14" outlineLevel="3">
      <c r="A15" s="336"/>
      <c r="B15" s="341"/>
      <c r="C15" s="354" t="s">
        <v>587</v>
      </c>
      <c r="D15" s="355" t="str">
        <f t="shared" si="0"/>
        <v/>
      </c>
      <c r="E15" s="355" t="str">
        <f t="shared" si="1"/>
        <v/>
      </c>
      <c r="F15" s="355" t="str">
        <f t="shared" si="2"/>
        <v/>
      </c>
      <c r="G15" s="355" t="str">
        <f t="shared" si="3"/>
        <v/>
      </c>
      <c r="H15" s="355" t="str">
        <f t="shared" si="4"/>
        <v/>
      </c>
      <c r="I15" s="355" t="str">
        <f t="shared" si="5"/>
        <v/>
      </c>
      <c r="J15" s="355" t="str">
        <f t="shared" si="6"/>
        <v/>
      </c>
      <c r="K15" s="356" t="str">
        <f t="shared" si="7"/>
        <v/>
      </c>
      <c r="M15" s="357"/>
      <c r="N15" s="357"/>
      <c r="O15" s="357"/>
      <c r="P15" s="357"/>
      <c r="Q15" s="357"/>
      <c r="R15" s="357"/>
      <c r="S15" s="357"/>
      <c r="T15" s="357"/>
      <c r="U15" s="357"/>
      <c r="V15" s="357"/>
      <c r="W15" s="357"/>
      <c r="X15" s="357"/>
      <c r="Y15" s="343"/>
      <c r="Z15" s="336"/>
      <c r="AA15" s="336"/>
      <c r="AB15" s="336"/>
      <c r="AC15" s="336"/>
      <c r="AD15" s="336"/>
      <c r="AE15" s="336"/>
      <c r="AF15" s="336"/>
      <c r="AG15" s="336"/>
      <c r="AH15" s="336"/>
      <c r="AI15" s="336"/>
      <c r="AJ15" s="336"/>
      <c r="AK15" s="336"/>
      <c r="AL15" s="336"/>
      <c r="AM15" s="336"/>
      <c r="AN15" s="336"/>
      <c r="AO15" s="336"/>
      <c r="AP15" s="336"/>
      <c r="AQ15" s="336"/>
      <c r="AR15" s="336"/>
      <c r="AS15" s="336"/>
      <c r="AT15" s="336"/>
      <c r="AU15" s="336"/>
      <c r="AV15" s="336"/>
      <c r="AW15" s="336"/>
    </row>
    <row r="16" spans="1:49" ht="14" outlineLevel="4">
      <c r="A16" s="336"/>
      <c r="B16" s="341"/>
      <c r="C16" s="354" t="s">
        <v>588</v>
      </c>
      <c r="D16" s="355" t="str">
        <f t="shared" si="0"/>
        <v/>
      </c>
      <c r="E16" s="355" t="str">
        <f t="shared" si="1"/>
        <v/>
      </c>
      <c r="F16" s="355" t="str">
        <f t="shared" si="2"/>
        <v/>
      </c>
      <c r="G16" s="355" t="str">
        <f t="shared" si="3"/>
        <v/>
      </c>
      <c r="H16" s="355" t="str">
        <f t="shared" si="4"/>
        <v/>
      </c>
      <c r="I16" s="355" t="str">
        <f t="shared" si="5"/>
        <v/>
      </c>
      <c r="J16" s="355" t="str">
        <f t="shared" si="6"/>
        <v/>
      </c>
      <c r="K16" s="356" t="str">
        <f t="shared" si="7"/>
        <v/>
      </c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43"/>
      <c r="Z16" s="336"/>
      <c r="AA16" s="336"/>
      <c r="AB16" s="336"/>
      <c r="AC16" s="336"/>
      <c r="AD16" s="336"/>
      <c r="AE16" s="336"/>
      <c r="AF16" s="336"/>
      <c r="AG16" s="336"/>
      <c r="AH16" s="336"/>
      <c r="AI16" s="336"/>
      <c r="AJ16" s="336"/>
      <c r="AK16" s="336"/>
      <c r="AL16" s="336"/>
      <c r="AM16" s="336"/>
      <c r="AN16" s="336"/>
      <c r="AO16" s="336"/>
      <c r="AP16" s="336"/>
      <c r="AQ16" s="336"/>
      <c r="AR16" s="336"/>
      <c r="AS16" s="336"/>
      <c r="AT16" s="336"/>
      <c r="AU16" s="336"/>
      <c r="AV16" s="336"/>
      <c r="AW16" s="336"/>
    </row>
    <row r="17" spans="1:49" ht="14" outlineLevel="5">
      <c r="A17" s="336"/>
      <c r="B17" s="341"/>
      <c r="C17" s="354" t="s">
        <v>589</v>
      </c>
      <c r="D17" s="355" t="str">
        <f t="shared" si="0"/>
        <v/>
      </c>
      <c r="E17" s="355" t="str">
        <f t="shared" si="1"/>
        <v/>
      </c>
      <c r="F17" s="355" t="str">
        <f t="shared" si="2"/>
        <v/>
      </c>
      <c r="G17" s="355" t="str">
        <f t="shared" si="3"/>
        <v/>
      </c>
      <c r="H17" s="355" t="str">
        <f t="shared" si="4"/>
        <v/>
      </c>
      <c r="I17" s="355" t="str">
        <f t="shared" si="5"/>
        <v/>
      </c>
      <c r="J17" s="355" t="str">
        <f t="shared" si="6"/>
        <v/>
      </c>
      <c r="K17" s="356" t="str">
        <f t="shared" si="7"/>
        <v/>
      </c>
      <c r="M17" s="357"/>
      <c r="N17" s="357"/>
      <c r="O17" s="357"/>
      <c r="P17" s="357"/>
      <c r="Q17" s="357"/>
      <c r="R17" s="357"/>
      <c r="S17" s="357"/>
      <c r="T17" s="357"/>
      <c r="U17" s="357"/>
      <c r="V17" s="357"/>
      <c r="W17" s="357"/>
      <c r="X17" s="357"/>
      <c r="Y17" s="343"/>
      <c r="Z17" s="336"/>
      <c r="AA17" s="336"/>
      <c r="AB17" s="336"/>
      <c r="AC17" s="336"/>
      <c r="AD17" s="336"/>
      <c r="AE17" s="336"/>
      <c r="AF17" s="336"/>
      <c r="AG17" s="336"/>
      <c r="AH17" s="336"/>
      <c r="AI17" s="336"/>
      <c r="AJ17" s="336"/>
      <c r="AK17" s="336"/>
      <c r="AL17" s="336"/>
      <c r="AM17" s="336"/>
      <c r="AN17" s="336"/>
      <c r="AO17" s="336"/>
      <c r="AP17" s="336"/>
      <c r="AQ17" s="336"/>
      <c r="AR17" s="336"/>
      <c r="AS17" s="336"/>
      <c r="AT17" s="336"/>
      <c r="AU17" s="336"/>
      <c r="AV17" s="336"/>
      <c r="AW17" s="336"/>
    </row>
    <row r="18" spans="1:49" ht="14" outlineLevel="6">
      <c r="A18" s="336"/>
      <c r="B18" s="341"/>
      <c r="C18" s="354" t="s">
        <v>590</v>
      </c>
      <c r="D18" s="355">
        <f t="shared" si="0"/>
        <v>35260</v>
      </c>
      <c r="E18" s="355">
        <f t="shared" si="1"/>
        <v>49561.36363636364</v>
      </c>
      <c r="F18" s="355">
        <f t="shared" si="2"/>
        <v>28808</v>
      </c>
      <c r="G18" s="355">
        <f t="shared" si="3"/>
        <v>111113</v>
      </c>
      <c r="H18" s="355">
        <f t="shared" si="4"/>
        <v>31959.5</v>
      </c>
      <c r="I18" s="355">
        <f t="shared" si="5"/>
        <v>49977.5</v>
      </c>
      <c r="J18" s="355">
        <f t="shared" si="6"/>
        <v>28395.649336730188</v>
      </c>
      <c r="K18" s="356">
        <f t="shared" si="7"/>
        <v>0.57293922631087646</v>
      </c>
      <c r="M18" s="357">
        <v>111113</v>
      </c>
      <c r="N18" s="357">
        <v>97931</v>
      </c>
      <c r="O18" s="357"/>
      <c r="P18" s="357">
        <v>46123</v>
      </c>
      <c r="Q18" s="357">
        <v>53832</v>
      </c>
      <c r="R18" s="357">
        <v>44346</v>
      </c>
      <c r="S18" s="357">
        <v>35260</v>
      </c>
      <c r="T18" s="357">
        <v>31761</v>
      </c>
      <c r="U18" s="357">
        <v>31502</v>
      </c>
      <c r="V18" s="357">
        <v>32158</v>
      </c>
      <c r="W18" s="357">
        <v>32341</v>
      </c>
      <c r="X18" s="357">
        <v>28808</v>
      </c>
      <c r="Y18" s="343"/>
      <c r="Z18" s="336"/>
      <c r="AA18" s="336"/>
      <c r="AB18" s="336"/>
      <c r="AC18" s="336"/>
      <c r="AD18" s="336"/>
      <c r="AE18" s="336"/>
      <c r="AF18" s="336"/>
      <c r="AG18" s="336"/>
      <c r="AH18" s="336"/>
      <c r="AI18" s="336"/>
      <c r="AJ18" s="336"/>
      <c r="AK18" s="336"/>
      <c r="AL18" s="336"/>
      <c r="AM18" s="336"/>
      <c r="AN18" s="336"/>
      <c r="AO18" s="336"/>
      <c r="AP18" s="336"/>
      <c r="AQ18" s="336"/>
      <c r="AR18" s="336"/>
      <c r="AS18" s="336"/>
      <c r="AT18" s="336"/>
      <c r="AU18" s="336"/>
      <c r="AV18" s="336"/>
      <c r="AW18" s="336"/>
    </row>
    <row r="19" spans="1:49" ht="14" outlineLevel="6">
      <c r="A19" s="336"/>
      <c r="B19" s="341"/>
      <c r="C19" s="354" t="s">
        <v>591</v>
      </c>
      <c r="D19" s="355">
        <f t="shared" si="0"/>
        <v>435</v>
      </c>
      <c r="E19" s="355">
        <f t="shared" si="1"/>
        <v>11995.5</v>
      </c>
      <c r="F19" s="355">
        <f t="shared" si="2"/>
        <v>237</v>
      </c>
      <c r="G19" s="355">
        <f t="shared" si="3"/>
        <v>51482</v>
      </c>
      <c r="H19" s="355">
        <f t="shared" si="4"/>
        <v>344.25</v>
      </c>
      <c r="I19" s="355">
        <f t="shared" si="5"/>
        <v>12633</v>
      </c>
      <c r="J19" s="355">
        <f t="shared" si="6"/>
        <v>20855.2917731794</v>
      </c>
      <c r="K19" s="356">
        <f t="shared" si="7"/>
        <v>1.7385929534558293</v>
      </c>
      <c r="M19" s="357">
        <v>49233</v>
      </c>
      <c r="N19" s="357">
        <v>51482</v>
      </c>
      <c r="O19" s="357"/>
      <c r="P19" s="357">
        <v>16677</v>
      </c>
      <c r="Q19" s="357"/>
      <c r="R19" s="357">
        <v>237</v>
      </c>
      <c r="S19" s="357">
        <v>375</v>
      </c>
      <c r="T19" s="357">
        <v>334</v>
      </c>
      <c r="U19" s="357">
        <v>392</v>
      </c>
      <c r="V19" s="357">
        <v>478</v>
      </c>
      <c r="W19" s="357">
        <v>501</v>
      </c>
      <c r="X19" s="357">
        <v>246</v>
      </c>
      <c r="Y19" s="343"/>
      <c r="Z19" s="336"/>
      <c r="AA19" s="336"/>
      <c r="AB19" s="336"/>
      <c r="AC19" s="336"/>
      <c r="AD19" s="336"/>
      <c r="AE19" s="336"/>
      <c r="AF19" s="336"/>
      <c r="AG19" s="336"/>
      <c r="AH19" s="336"/>
      <c r="AI19" s="336"/>
      <c r="AJ19" s="336"/>
      <c r="AK19" s="336"/>
      <c r="AL19" s="336"/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</row>
    <row r="20" spans="1:49" ht="14" outlineLevel="6">
      <c r="A20" s="336"/>
      <c r="B20" s="341"/>
      <c r="C20" s="358" t="s">
        <v>592</v>
      </c>
      <c r="D20" s="359">
        <f t="shared" si="0"/>
        <v>40109</v>
      </c>
      <c r="E20" s="359">
        <f t="shared" si="1"/>
        <v>65762.666666666672</v>
      </c>
      <c r="F20" s="359">
        <f t="shared" si="2"/>
        <v>29054</v>
      </c>
      <c r="G20" s="359">
        <f t="shared" si="3"/>
        <v>160346</v>
      </c>
      <c r="H20" s="359">
        <f t="shared" si="4"/>
        <v>32500.75</v>
      </c>
      <c r="I20" s="359">
        <f t="shared" si="5"/>
        <v>78105.5</v>
      </c>
      <c r="J20" s="359">
        <f t="shared" si="6"/>
        <v>49225.066433000706</v>
      </c>
      <c r="K20" s="360">
        <f t="shared" si="7"/>
        <v>0.74852600917948431</v>
      </c>
      <c r="L20" s="339"/>
      <c r="M20" s="361">
        <v>160346</v>
      </c>
      <c r="N20" s="361">
        <v>149413</v>
      </c>
      <c r="O20" s="361">
        <v>124022</v>
      </c>
      <c r="P20" s="361">
        <v>62800</v>
      </c>
      <c r="Q20" s="361">
        <v>53832</v>
      </c>
      <c r="R20" s="361">
        <v>44583</v>
      </c>
      <c r="S20" s="361">
        <v>35635</v>
      </c>
      <c r="T20" s="361">
        <v>32095</v>
      </c>
      <c r="U20" s="361">
        <v>31894</v>
      </c>
      <c r="V20" s="361">
        <v>32636</v>
      </c>
      <c r="W20" s="361">
        <v>32842</v>
      </c>
      <c r="X20" s="361">
        <v>29054</v>
      </c>
      <c r="Y20" s="343"/>
      <c r="Z20" s="336"/>
      <c r="AA20" s="336"/>
      <c r="AB20" s="336"/>
      <c r="AC20" s="336"/>
      <c r="AD20" s="336"/>
      <c r="AE20" s="336"/>
      <c r="AF20" s="336"/>
      <c r="AG20" s="336"/>
      <c r="AH20" s="336"/>
      <c r="AI20" s="336"/>
      <c r="AJ20" s="336"/>
      <c r="AK20" s="336"/>
      <c r="AL20" s="336"/>
      <c r="AM20" s="336"/>
      <c r="AN20" s="336"/>
      <c r="AO20" s="336"/>
      <c r="AP20" s="336"/>
      <c r="AQ20" s="336"/>
      <c r="AR20" s="336"/>
      <c r="AS20" s="336"/>
      <c r="AT20" s="336"/>
      <c r="AU20" s="336"/>
      <c r="AV20" s="336"/>
      <c r="AW20" s="336"/>
    </row>
    <row r="21" spans="1:49" ht="14" outlineLevel="5">
      <c r="A21" s="336"/>
      <c r="B21" s="341"/>
      <c r="C21" s="358" t="s">
        <v>593</v>
      </c>
      <c r="D21" s="359">
        <f t="shared" si="0"/>
        <v>40109</v>
      </c>
      <c r="E21" s="359">
        <f t="shared" si="1"/>
        <v>65762.666666666672</v>
      </c>
      <c r="F21" s="359">
        <f t="shared" si="2"/>
        <v>29054</v>
      </c>
      <c r="G21" s="359">
        <f t="shared" si="3"/>
        <v>160346</v>
      </c>
      <c r="H21" s="359">
        <f t="shared" si="4"/>
        <v>32500.75</v>
      </c>
      <c r="I21" s="359">
        <f t="shared" si="5"/>
        <v>78105.5</v>
      </c>
      <c r="J21" s="359">
        <f t="shared" si="6"/>
        <v>49225.066433000706</v>
      </c>
      <c r="K21" s="360">
        <f t="shared" si="7"/>
        <v>0.74852600917948431</v>
      </c>
      <c r="L21" s="339"/>
      <c r="M21" s="361">
        <v>160346</v>
      </c>
      <c r="N21" s="361">
        <v>149413</v>
      </c>
      <c r="O21" s="361">
        <v>124022</v>
      </c>
      <c r="P21" s="361">
        <v>62800</v>
      </c>
      <c r="Q21" s="361">
        <v>53832</v>
      </c>
      <c r="R21" s="361">
        <v>44583</v>
      </c>
      <c r="S21" s="361">
        <v>35635</v>
      </c>
      <c r="T21" s="361">
        <v>32095</v>
      </c>
      <c r="U21" s="361">
        <v>31894</v>
      </c>
      <c r="V21" s="361">
        <v>32636</v>
      </c>
      <c r="W21" s="361">
        <v>32842</v>
      </c>
      <c r="X21" s="361">
        <v>29054</v>
      </c>
      <c r="Y21" s="343"/>
      <c r="Z21" s="336"/>
      <c r="AA21" s="336"/>
      <c r="AB21" s="336"/>
      <c r="AC21" s="336"/>
      <c r="AD21" s="336"/>
      <c r="AE21" s="336"/>
      <c r="AF21" s="336"/>
      <c r="AG21" s="336"/>
      <c r="AH21" s="336"/>
      <c r="AI21" s="336"/>
      <c r="AJ21" s="336"/>
      <c r="AK21" s="336"/>
      <c r="AL21" s="336"/>
      <c r="AM21" s="336"/>
      <c r="AN21" s="336"/>
      <c r="AO21" s="336"/>
      <c r="AP21" s="336"/>
      <c r="AQ21" s="336"/>
      <c r="AR21" s="336"/>
      <c r="AS21" s="336"/>
      <c r="AT21" s="336"/>
      <c r="AU21" s="336"/>
      <c r="AV21" s="336"/>
      <c r="AW21" s="336"/>
    </row>
    <row r="22" spans="1:49" ht="14" outlineLevel="4">
      <c r="A22" s="336"/>
      <c r="B22" s="341"/>
      <c r="C22" s="354" t="s">
        <v>594</v>
      </c>
      <c r="D22" s="355">
        <f t="shared" si="0"/>
        <v>-1636.5</v>
      </c>
      <c r="E22" s="355">
        <f t="shared" si="1"/>
        <v>-1645</v>
      </c>
      <c r="F22" s="355">
        <f t="shared" si="2"/>
        <v>-3307</v>
      </c>
      <c r="G22" s="355">
        <f t="shared" si="3"/>
        <v>0</v>
      </c>
      <c r="H22" s="355">
        <f t="shared" si="4"/>
        <v>-3281.5</v>
      </c>
      <c r="I22" s="355">
        <f t="shared" si="5"/>
        <v>0</v>
      </c>
      <c r="J22" s="355">
        <f t="shared" si="6"/>
        <v>1899.5331005276007</v>
      </c>
      <c r="K22" s="356">
        <f t="shared" si="7"/>
        <v>-1.1547313681018849</v>
      </c>
      <c r="M22" s="357">
        <v>-3307</v>
      </c>
      <c r="N22" s="357">
        <v>-3273</v>
      </c>
      <c r="O22" s="357">
        <v>0</v>
      </c>
      <c r="P22" s="357">
        <v>0</v>
      </c>
      <c r="Q22" s="357"/>
      <c r="R22" s="357"/>
      <c r="S22" s="357"/>
      <c r="T22" s="357"/>
      <c r="U22" s="357"/>
      <c r="V22" s="357"/>
      <c r="W22" s="357"/>
      <c r="X22" s="357"/>
      <c r="Y22" s="343"/>
      <c r="Z22" s="336"/>
      <c r="AA22" s="336"/>
      <c r="AB22" s="336"/>
      <c r="AC22" s="336"/>
      <c r="AD22" s="336"/>
      <c r="AE22" s="336"/>
      <c r="AF22" s="336"/>
      <c r="AG22" s="336"/>
      <c r="AH22" s="336"/>
      <c r="AI22" s="336"/>
      <c r="AJ22" s="336"/>
      <c r="AK22" s="336"/>
      <c r="AL22" s="336"/>
      <c r="AM22" s="336"/>
      <c r="AN22" s="336"/>
      <c r="AO22" s="336"/>
      <c r="AP22" s="336"/>
      <c r="AQ22" s="336"/>
      <c r="AR22" s="336"/>
      <c r="AS22" s="336"/>
      <c r="AT22" s="336"/>
      <c r="AU22" s="336"/>
      <c r="AV22" s="336"/>
      <c r="AW22" s="336"/>
    </row>
    <row r="23" spans="1:49" ht="14" outlineLevel="4">
      <c r="A23" s="336"/>
      <c r="B23" s="341"/>
      <c r="C23" s="354" t="s">
        <v>595</v>
      </c>
      <c r="D23" s="355">
        <f t="shared" si="0"/>
        <v>4877</v>
      </c>
      <c r="E23" s="355">
        <f t="shared" si="1"/>
        <v>5264.545454545455</v>
      </c>
      <c r="F23" s="355">
        <f t="shared" si="2"/>
        <v>0</v>
      </c>
      <c r="G23" s="355">
        <f t="shared" si="3"/>
        <v>8913</v>
      </c>
      <c r="H23" s="355">
        <f t="shared" si="4"/>
        <v>3654</v>
      </c>
      <c r="I23" s="355">
        <f t="shared" si="5"/>
        <v>7987</v>
      </c>
      <c r="J23" s="355">
        <f t="shared" si="6"/>
        <v>2983.3495726661458</v>
      </c>
      <c r="K23" s="356">
        <f t="shared" si="7"/>
        <v>0.56668701950142641</v>
      </c>
      <c r="M23" s="357">
        <v>8913</v>
      </c>
      <c r="N23" s="357">
        <v>7906</v>
      </c>
      <c r="O23" s="357">
        <v>8068</v>
      </c>
      <c r="P23" s="357">
        <v>8805</v>
      </c>
      <c r="Q23" s="357">
        <v>4777</v>
      </c>
      <c r="R23" s="357">
        <v>4826</v>
      </c>
      <c r="S23" s="357">
        <v>5479</v>
      </c>
      <c r="T23" s="357">
        <v>2531</v>
      </c>
      <c r="U23" s="357">
        <v>1728</v>
      </c>
      <c r="V23" s="357">
        <v>4877</v>
      </c>
      <c r="W23" s="357">
        <v>0</v>
      </c>
      <c r="X23" s="357"/>
      <c r="Y23" s="343"/>
      <c r="Z23" s="336"/>
      <c r="AA23" s="336"/>
      <c r="AB23" s="336"/>
      <c r="AC23" s="336"/>
      <c r="AD23" s="336"/>
      <c r="AE23" s="336"/>
      <c r="AF23" s="336"/>
      <c r="AG23" s="336"/>
      <c r="AH23" s="336"/>
      <c r="AI23" s="336"/>
      <c r="AJ23" s="336"/>
      <c r="AK23" s="336"/>
      <c r="AL23" s="336"/>
      <c r="AM23" s="336"/>
      <c r="AN23" s="336"/>
      <c r="AO23" s="336"/>
      <c r="AP23" s="336"/>
      <c r="AQ23" s="336"/>
      <c r="AR23" s="336"/>
      <c r="AS23" s="336"/>
      <c r="AT23" s="336"/>
      <c r="AU23" s="336"/>
      <c r="AV23" s="336"/>
      <c r="AW23" s="336"/>
    </row>
    <row r="24" spans="1:49" ht="14" outlineLevel="4">
      <c r="A24" s="336"/>
      <c r="B24" s="341"/>
      <c r="C24" s="354" t="s">
        <v>596</v>
      </c>
      <c r="D24" s="355">
        <f t="shared" si="0"/>
        <v>21634.5</v>
      </c>
      <c r="E24" s="355">
        <f t="shared" si="1"/>
        <v>23721.5</v>
      </c>
      <c r="F24" s="355">
        <f t="shared" si="2"/>
        <v>-1430</v>
      </c>
      <c r="G24" s="355">
        <f t="shared" si="3"/>
        <v>56989</v>
      </c>
      <c r="H24" s="355">
        <f t="shared" si="4"/>
        <v>3005.5</v>
      </c>
      <c r="I24" s="355">
        <f t="shared" si="5"/>
        <v>38396.5</v>
      </c>
      <c r="J24" s="355">
        <f t="shared" si="6"/>
        <v>21708.934790248753</v>
      </c>
      <c r="K24" s="356">
        <f t="shared" si="7"/>
        <v>0.91515860254405301</v>
      </c>
      <c r="M24" s="357">
        <v>56989</v>
      </c>
      <c r="N24" s="357">
        <v>49225</v>
      </c>
      <c r="O24" s="357">
        <v>34787</v>
      </c>
      <c r="P24" s="357">
        <v>13265</v>
      </c>
      <c r="Q24" s="357">
        <v>1264</v>
      </c>
      <c r="R24" s="357">
        <v>27591</v>
      </c>
      <c r="S24" s="357">
        <v>28698</v>
      </c>
      <c r="T24" s="357">
        <v>55068</v>
      </c>
      <c r="U24" s="357">
        <v>15678</v>
      </c>
      <c r="V24" s="357">
        <v>3586</v>
      </c>
      <c r="W24" s="357">
        <v>-63</v>
      </c>
      <c r="X24" s="357">
        <v>-1430</v>
      </c>
      <c r="Y24" s="343"/>
      <c r="Z24" s="336"/>
      <c r="AA24" s="336"/>
      <c r="AB24" s="336"/>
      <c r="AC24" s="336"/>
      <c r="AD24" s="336"/>
      <c r="AE24" s="336"/>
      <c r="AF24" s="336"/>
      <c r="AG24" s="336"/>
      <c r="AH24" s="336"/>
      <c r="AI24" s="336"/>
      <c r="AJ24" s="336"/>
      <c r="AK24" s="336"/>
      <c r="AL24" s="336"/>
      <c r="AM24" s="336"/>
      <c r="AN24" s="336"/>
      <c r="AO24" s="336"/>
      <c r="AP24" s="336"/>
      <c r="AQ24" s="336"/>
      <c r="AR24" s="336"/>
      <c r="AS24" s="336"/>
      <c r="AT24" s="336"/>
      <c r="AU24" s="336"/>
      <c r="AV24" s="336"/>
      <c r="AW24" s="336"/>
    </row>
    <row r="25" spans="1:49" ht="14" outlineLevel="4">
      <c r="A25" s="336"/>
      <c r="B25" s="341"/>
      <c r="C25" s="354" t="s">
        <v>597</v>
      </c>
      <c r="D25" s="355">
        <f t="shared" si="0"/>
        <v>4953.5</v>
      </c>
      <c r="E25" s="355">
        <f t="shared" si="1"/>
        <v>4164.416666666667</v>
      </c>
      <c r="F25" s="355">
        <f t="shared" si="2"/>
        <v>1315</v>
      </c>
      <c r="G25" s="355">
        <f t="shared" si="3"/>
        <v>6411</v>
      </c>
      <c r="H25" s="355">
        <f t="shared" si="4"/>
        <v>2616</v>
      </c>
      <c r="I25" s="355">
        <f t="shared" si="5"/>
        <v>5497.5</v>
      </c>
      <c r="J25" s="355">
        <f t="shared" si="6"/>
        <v>1908.3974456611652</v>
      </c>
      <c r="K25" s="356">
        <f t="shared" si="7"/>
        <v>0.45826284889708402</v>
      </c>
      <c r="M25" s="357">
        <v>5362</v>
      </c>
      <c r="N25" s="357">
        <v>5492</v>
      </c>
      <c r="O25" s="357">
        <v>5514</v>
      </c>
      <c r="P25" s="357">
        <v>6346</v>
      </c>
      <c r="Q25" s="357">
        <v>6411</v>
      </c>
      <c r="R25" s="357">
        <v>5454</v>
      </c>
      <c r="S25" s="357">
        <v>3400</v>
      </c>
      <c r="T25" s="357">
        <v>2956</v>
      </c>
      <c r="U25" s="357">
        <v>4545</v>
      </c>
      <c r="V25" s="357">
        <v>1596</v>
      </c>
      <c r="W25" s="357">
        <v>1315</v>
      </c>
      <c r="X25" s="357">
        <v>1582</v>
      </c>
      <c r="Y25" s="343"/>
      <c r="Z25" s="336"/>
      <c r="AA25" s="336"/>
      <c r="AB25" s="336"/>
      <c r="AC25" s="336"/>
      <c r="AD25" s="336"/>
      <c r="AE25" s="336"/>
      <c r="AF25" s="336"/>
      <c r="AG25" s="336"/>
      <c r="AH25" s="336"/>
      <c r="AI25" s="336"/>
      <c r="AJ25" s="336"/>
      <c r="AK25" s="336"/>
      <c r="AL25" s="336"/>
      <c r="AM25" s="336"/>
      <c r="AN25" s="336"/>
      <c r="AO25" s="336"/>
      <c r="AP25" s="336"/>
      <c r="AQ25" s="336"/>
      <c r="AR25" s="336"/>
      <c r="AS25" s="336"/>
      <c r="AT25" s="336"/>
      <c r="AU25" s="336"/>
      <c r="AV25" s="336"/>
      <c r="AW25" s="336"/>
    </row>
    <row r="26" spans="1:49" ht="14" outlineLevel="4">
      <c r="A26" s="336"/>
      <c r="B26" s="341"/>
      <c r="C26" s="354" t="s">
        <v>598</v>
      </c>
      <c r="D26" s="355">
        <f t="shared" si="0"/>
        <v>59</v>
      </c>
      <c r="E26" s="355">
        <f t="shared" si="1"/>
        <v>144.14285714285714</v>
      </c>
      <c r="F26" s="355">
        <f t="shared" si="2"/>
        <v>-19</v>
      </c>
      <c r="G26" s="355">
        <f t="shared" si="3"/>
        <v>667</v>
      </c>
      <c r="H26" s="355">
        <f t="shared" si="4"/>
        <v>38</v>
      </c>
      <c r="I26" s="355">
        <f t="shared" si="5"/>
        <v>113</v>
      </c>
      <c r="J26" s="355">
        <f t="shared" si="6"/>
        <v>235.86396402123307</v>
      </c>
      <c r="K26" s="356">
        <f t="shared" si="7"/>
        <v>1.6363208604049866</v>
      </c>
      <c r="M26" s="357"/>
      <c r="N26" s="357"/>
      <c r="O26" s="357"/>
      <c r="P26" s="357"/>
      <c r="Q26" s="357"/>
      <c r="R26" s="357">
        <v>87</v>
      </c>
      <c r="S26" s="357">
        <v>19</v>
      </c>
      <c r="T26" s="357">
        <v>-19</v>
      </c>
      <c r="U26" s="357">
        <v>59</v>
      </c>
      <c r="V26" s="357">
        <v>667</v>
      </c>
      <c r="W26" s="357">
        <v>139</v>
      </c>
      <c r="X26" s="357">
        <v>57</v>
      </c>
      <c r="Y26" s="343"/>
      <c r="Z26" s="336"/>
      <c r="AA26" s="336"/>
      <c r="AB26" s="336"/>
      <c r="AC26" s="336"/>
      <c r="AD26" s="336"/>
      <c r="AE26" s="336"/>
      <c r="AF26" s="336"/>
      <c r="AG26" s="336"/>
      <c r="AH26" s="336"/>
      <c r="AI26" s="336"/>
      <c r="AJ26" s="336"/>
      <c r="AK26" s="336"/>
      <c r="AL26" s="336"/>
      <c r="AM26" s="336"/>
      <c r="AN26" s="336"/>
      <c r="AO26" s="336"/>
      <c r="AP26" s="336"/>
      <c r="AQ26" s="336"/>
      <c r="AR26" s="336"/>
      <c r="AS26" s="336"/>
      <c r="AT26" s="336"/>
      <c r="AU26" s="336"/>
      <c r="AV26" s="336"/>
      <c r="AW26" s="336"/>
    </row>
    <row r="27" spans="1:49" ht="14" outlineLevel="4">
      <c r="A27" s="336"/>
      <c r="B27" s="341"/>
      <c r="C27" s="354" t="s">
        <v>599</v>
      </c>
      <c r="D27" s="355" t="str">
        <f t="shared" si="0"/>
        <v/>
      </c>
      <c r="E27" s="355" t="str">
        <f t="shared" si="1"/>
        <v/>
      </c>
      <c r="F27" s="355" t="str">
        <f t="shared" si="2"/>
        <v/>
      </c>
      <c r="G27" s="355" t="str">
        <f t="shared" si="3"/>
        <v/>
      </c>
      <c r="H27" s="355" t="str">
        <f t="shared" si="4"/>
        <v/>
      </c>
      <c r="I27" s="355" t="str">
        <f t="shared" si="5"/>
        <v/>
      </c>
      <c r="J27" s="355" t="str">
        <f t="shared" si="6"/>
        <v/>
      </c>
      <c r="K27" s="356" t="str">
        <f t="shared" si="7"/>
        <v/>
      </c>
      <c r="M27" s="357"/>
      <c r="N27" s="357"/>
      <c r="O27" s="357"/>
      <c r="P27" s="357"/>
      <c r="Q27" s="357"/>
      <c r="R27" s="357"/>
      <c r="S27" s="357"/>
      <c r="T27" s="357"/>
      <c r="U27" s="357"/>
      <c r="V27" s="357"/>
      <c r="W27" s="357"/>
      <c r="X27" s="357"/>
      <c r="Y27" s="343"/>
      <c r="Z27" s="336"/>
      <c r="AA27" s="336"/>
      <c r="AB27" s="336"/>
      <c r="AC27" s="336"/>
      <c r="AD27" s="336"/>
      <c r="AE27" s="336"/>
      <c r="AF27" s="336"/>
      <c r="AG27" s="336"/>
      <c r="AH27" s="336"/>
      <c r="AI27" s="336"/>
      <c r="AJ27" s="336"/>
      <c r="AK27" s="336"/>
      <c r="AL27" s="336"/>
      <c r="AM27" s="336"/>
      <c r="AN27" s="336"/>
      <c r="AO27" s="336"/>
      <c r="AP27" s="336"/>
      <c r="AQ27" s="336"/>
      <c r="AR27" s="336"/>
      <c r="AS27" s="336"/>
      <c r="AT27" s="336"/>
      <c r="AU27" s="336"/>
      <c r="AV27" s="336"/>
      <c r="AW27" s="336"/>
    </row>
    <row r="28" spans="1:49" ht="14" outlineLevel="5">
      <c r="A28" s="336"/>
      <c r="B28" s="341"/>
      <c r="C28" s="354" t="s">
        <v>600</v>
      </c>
      <c r="D28" s="355">
        <f t="shared" si="0"/>
        <v>-1638.5</v>
      </c>
      <c r="E28" s="355">
        <f t="shared" si="1"/>
        <v>-1253.8333333333333</v>
      </c>
      <c r="F28" s="355">
        <f t="shared" si="2"/>
        <v>-2180</v>
      </c>
      <c r="G28" s="355">
        <f t="shared" si="3"/>
        <v>0</v>
      </c>
      <c r="H28" s="355">
        <f t="shared" si="4"/>
        <v>-2018.5</v>
      </c>
      <c r="I28" s="355">
        <f t="shared" si="5"/>
        <v>-350.25</v>
      </c>
      <c r="J28" s="355">
        <f t="shared" si="6"/>
        <v>1007.009913886982</v>
      </c>
      <c r="K28" s="356">
        <f t="shared" si="7"/>
        <v>-0.80314495325294322</v>
      </c>
      <c r="M28" s="357">
        <v>-2180</v>
      </c>
      <c r="N28" s="357">
        <v>-2066</v>
      </c>
      <c r="O28" s="357">
        <v>-1876</v>
      </c>
      <c r="P28" s="357">
        <v>-1401</v>
      </c>
      <c r="Q28" s="357">
        <v>0</v>
      </c>
      <c r="R28" s="357">
        <v>0</v>
      </c>
      <c r="S28" s="357"/>
      <c r="T28" s="357"/>
      <c r="U28" s="357"/>
      <c r="V28" s="357"/>
      <c r="W28" s="357"/>
      <c r="X28" s="357"/>
      <c r="Y28" s="343"/>
      <c r="Z28" s="336"/>
      <c r="AA28" s="336"/>
      <c r="AB28" s="336"/>
      <c r="AC28" s="336"/>
      <c r="AD28" s="336"/>
      <c r="AE28" s="336"/>
      <c r="AF28" s="336"/>
      <c r="AG28" s="336"/>
      <c r="AH28" s="336"/>
      <c r="AI28" s="336"/>
      <c r="AJ28" s="336"/>
      <c r="AK28" s="336"/>
      <c r="AL28" s="336"/>
      <c r="AM28" s="336"/>
      <c r="AN28" s="336"/>
      <c r="AO28" s="336"/>
      <c r="AP28" s="336"/>
      <c r="AQ28" s="336"/>
      <c r="AR28" s="336"/>
      <c r="AS28" s="336"/>
      <c r="AT28" s="336"/>
      <c r="AU28" s="336"/>
      <c r="AV28" s="336"/>
      <c r="AW28" s="336"/>
    </row>
    <row r="29" spans="1:49" ht="14" outlineLevel="5">
      <c r="A29" s="336"/>
      <c r="B29" s="341"/>
      <c r="C29" s="354" t="s">
        <v>601</v>
      </c>
      <c r="D29" s="355">
        <f t="shared" si="0"/>
        <v>1145</v>
      </c>
      <c r="E29" s="355">
        <f t="shared" si="1"/>
        <v>3766.8</v>
      </c>
      <c r="F29" s="355">
        <f t="shared" si="2"/>
        <v>-2505</v>
      </c>
      <c r="G29" s="355">
        <f t="shared" si="3"/>
        <v>17462</v>
      </c>
      <c r="H29" s="355">
        <f t="shared" si="4"/>
        <v>0</v>
      </c>
      <c r="I29" s="355">
        <f t="shared" si="5"/>
        <v>2732</v>
      </c>
      <c r="J29" s="355">
        <f t="shared" si="6"/>
        <v>7890.3011159270727</v>
      </c>
      <c r="K29" s="356">
        <f t="shared" si="7"/>
        <v>2.0946960592351789</v>
      </c>
      <c r="M29" s="357">
        <v>1145</v>
      </c>
      <c r="N29" s="357">
        <v>2732</v>
      </c>
      <c r="O29" s="357">
        <v>-2505</v>
      </c>
      <c r="P29" s="357">
        <v>17462</v>
      </c>
      <c r="Q29" s="357">
        <v>0</v>
      </c>
      <c r="R29" s="357"/>
      <c r="S29" s="357"/>
      <c r="T29" s="357"/>
      <c r="U29" s="357"/>
      <c r="V29" s="357"/>
      <c r="W29" s="357"/>
      <c r="X29" s="357"/>
      <c r="Y29" s="343"/>
      <c r="Z29" s="336"/>
      <c r="AA29" s="336"/>
      <c r="AB29" s="336"/>
      <c r="AC29" s="336"/>
      <c r="AD29" s="336"/>
      <c r="AE29" s="336"/>
      <c r="AF29" s="336"/>
      <c r="AG29" s="336"/>
      <c r="AH29" s="336"/>
      <c r="AI29" s="336"/>
      <c r="AJ29" s="336"/>
      <c r="AK29" s="336"/>
      <c r="AL29" s="336"/>
      <c r="AM29" s="336"/>
      <c r="AN29" s="336"/>
      <c r="AO29" s="336"/>
      <c r="AP29" s="336"/>
      <c r="AQ29" s="336"/>
      <c r="AR29" s="336"/>
      <c r="AS29" s="336"/>
      <c r="AT29" s="336"/>
      <c r="AU29" s="336"/>
      <c r="AV29" s="336"/>
      <c r="AW29" s="336"/>
    </row>
    <row r="30" spans="1:49" ht="14" outlineLevel="5">
      <c r="A30" s="336"/>
      <c r="B30" s="341"/>
      <c r="C30" s="354" t="s">
        <v>602</v>
      </c>
      <c r="D30" s="355">
        <f t="shared" si="0"/>
        <v>797</v>
      </c>
      <c r="E30" s="355">
        <f t="shared" si="1"/>
        <v>750</v>
      </c>
      <c r="F30" s="355">
        <f t="shared" si="2"/>
        <v>0</v>
      </c>
      <c r="G30" s="355">
        <f t="shared" si="3"/>
        <v>1755</v>
      </c>
      <c r="H30" s="355">
        <f t="shared" si="4"/>
        <v>28</v>
      </c>
      <c r="I30" s="355">
        <f t="shared" si="5"/>
        <v>1170</v>
      </c>
      <c r="J30" s="355">
        <f t="shared" si="6"/>
        <v>753.72707261979122</v>
      </c>
      <c r="K30" s="356">
        <f t="shared" si="7"/>
        <v>1.0049694301597216</v>
      </c>
      <c r="M30" s="357"/>
      <c r="N30" s="357"/>
      <c r="O30" s="357"/>
      <c r="P30" s="357"/>
      <c r="Q30" s="357"/>
      <c r="R30" s="357"/>
      <c r="S30" s="357">
        <v>1170</v>
      </c>
      <c r="T30" s="357">
        <v>1755</v>
      </c>
      <c r="U30" s="357">
        <v>797</v>
      </c>
      <c r="V30" s="357">
        <v>28</v>
      </c>
      <c r="W30" s="357">
        <v>0</v>
      </c>
      <c r="X30" s="357"/>
      <c r="Y30" s="343"/>
      <c r="Z30" s="336"/>
      <c r="AA30" s="336"/>
      <c r="AB30" s="336"/>
      <c r="AC30" s="336"/>
      <c r="AD30" s="336"/>
      <c r="AE30" s="336"/>
      <c r="AF30" s="336"/>
      <c r="AG30" s="336"/>
      <c r="AH30" s="336"/>
      <c r="AI30" s="336"/>
      <c r="AJ30" s="336"/>
      <c r="AK30" s="336"/>
      <c r="AL30" s="336"/>
      <c r="AM30" s="336"/>
      <c r="AN30" s="336"/>
      <c r="AO30" s="336"/>
      <c r="AP30" s="336"/>
      <c r="AQ30" s="336"/>
      <c r="AR30" s="336"/>
      <c r="AS30" s="336"/>
      <c r="AT30" s="336"/>
      <c r="AU30" s="336"/>
      <c r="AV30" s="336"/>
      <c r="AW30" s="336"/>
    </row>
    <row r="31" spans="1:49" ht="14" outlineLevel="5">
      <c r="A31" s="336"/>
      <c r="B31" s="341"/>
      <c r="C31" s="354" t="s">
        <v>603</v>
      </c>
      <c r="D31" s="355">
        <f t="shared" si="0"/>
        <v>323</v>
      </c>
      <c r="E31" s="355">
        <f t="shared" si="1"/>
        <v>1113.6666666666667</v>
      </c>
      <c r="F31" s="355">
        <f t="shared" si="2"/>
        <v>0</v>
      </c>
      <c r="G31" s="355">
        <f t="shared" si="3"/>
        <v>4042</v>
      </c>
      <c r="H31" s="355">
        <f t="shared" si="4"/>
        <v>44.75</v>
      </c>
      <c r="I31" s="355">
        <f t="shared" si="5"/>
        <v>1612.25</v>
      </c>
      <c r="J31" s="355">
        <f t="shared" si="6"/>
        <v>1620.0252672926636</v>
      </c>
      <c r="K31" s="356">
        <f t="shared" si="7"/>
        <v>1.454676983501344</v>
      </c>
      <c r="M31" s="357">
        <v>4042</v>
      </c>
      <c r="N31" s="357">
        <v>1994</v>
      </c>
      <c r="O31" s="357">
        <v>467</v>
      </c>
      <c r="P31" s="357">
        <v>179</v>
      </c>
      <c r="Q31" s="357">
        <v>0</v>
      </c>
      <c r="R31" s="357">
        <v>0</v>
      </c>
      <c r="S31" s="357"/>
      <c r="T31" s="357"/>
      <c r="U31" s="357"/>
      <c r="V31" s="357"/>
      <c r="W31" s="357"/>
      <c r="X31" s="357"/>
      <c r="Y31" s="343"/>
      <c r="Z31" s="336"/>
      <c r="AA31" s="336"/>
      <c r="AB31" s="336"/>
      <c r="AC31" s="336"/>
      <c r="AD31" s="336"/>
      <c r="AE31" s="336"/>
      <c r="AF31" s="336"/>
      <c r="AG31" s="336"/>
      <c r="AH31" s="336"/>
      <c r="AI31" s="336"/>
      <c r="AJ31" s="336"/>
      <c r="AK31" s="336"/>
      <c r="AL31" s="336"/>
      <c r="AM31" s="336"/>
      <c r="AN31" s="336"/>
      <c r="AO31" s="336"/>
      <c r="AP31" s="336"/>
      <c r="AQ31" s="336"/>
      <c r="AR31" s="336"/>
      <c r="AS31" s="336"/>
      <c r="AT31" s="336"/>
      <c r="AU31" s="336"/>
      <c r="AV31" s="336"/>
      <c r="AW31" s="336"/>
    </row>
    <row r="32" spans="1:49" ht="14" outlineLevel="5">
      <c r="A32" s="336"/>
      <c r="B32" s="341"/>
      <c r="C32" s="358" t="s">
        <v>604</v>
      </c>
      <c r="D32" s="359">
        <f t="shared" si="0"/>
        <v>797</v>
      </c>
      <c r="E32" s="359">
        <f t="shared" si="1"/>
        <v>1976.6363636363637</v>
      </c>
      <c r="F32" s="359">
        <f t="shared" si="2"/>
        <v>-3914</v>
      </c>
      <c r="G32" s="359">
        <f t="shared" si="3"/>
        <v>16240</v>
      </c>
      <c r="H32" s="359">
        <f t="shared" si="4"/>
        <v>0</v>
      </c>
      <c r="I32" s="359">
        <f t="shared" si="5"/>
        <v>2207.5</v>
      </c>
      <c r="J32" s="359">
        <f t="shared" si="6"/>
        <v>5072.2929582729603</v>
      </c>
      <c r="K32" s="360">
        <f t="shared" si="7"/>
        <v>2.5661234669090081</v>
      </c>
      <c r="L32" s="339"/>
      <c r="M32" s="361">
        <v>3007</v>
      </c>
      <c r="N32" s="361">
        <v>2660</v>
      </c>
      <c r="O32" s="361">
        <v>-3914</v>
      </c>
      <c r="P32" s="361">
        <v>16240</v>
      </c>
      <c r="Q32" s="361">
        <v>0</v>
      </c>
      <c r="R32" s="361">
        <v>0</v>
      </c>
      <c r="S32" s="361">
        <v>1170</v>
      </c>
      <c r="T32" s="361">
        <v>1755</v>
      </c>
      <c r="U32" s="361">
        <v>797</v>
      </c>
      <c r="V32" s="361">
        <v>28</v>
      </c>
      <c r="W32" s="361">
        <v>0</v>
      </c>
      <c r="X32" s="361"/>
      <c r="Y32" s="343"/>
      <c r="Z32" s="336"/>
      <c r="AA32" s="336"/>
      <c r="AB32" s="336"/>
      <c r="AC32" s="336"/>
      <c r="AD32" s="336"/>
      <c r="AE32" s="336"/>
      <c r="AF32" s="336"/>
      <c r="AG32" s="336"/>
      <c r="AH32" s="336"/>
      <c r="AI32" s="336"/>
      <c r="AJ32" s="336"/>
      <c r="AK32" s="336"/>
      <c r="AL32" s="336"/>
      <c r="AM32" s="336"/>
      <c r="AN32" s="336"/>
      <c r="AO32" s="336"/>
      <c r="AP32" s="336"/>
      <c r="AQ32" s="336"/>
      <c r="AR32" s="336"/>
      <c r="AS32" s="336"/>
      <c r="AT32" s="336"/>
      <c r="AU32" s="336"/>
      <c r="AV32" s="336"/>
      <c r="AW32" s="336"/>
    </row>
    <row r="33" spans="1:49" ht="14" outlineLevel="4">
      <c r="A33" s="336"/>
      <c r="B33" s="341"/>
      <c r="C33" s="354" t="s">
        <v>605</v>
      </c>
      <c r="D33" s="355" t="str">
        <f t="shared" si="0"/>
        <v/>
      </c>
      <c r="E33" s="355" t="str">
        <f t="shared" si="1"/>
        <v/>
      </c>
      <c r="F33" s="355" t="str">
        <f t="shared" si="2"/>
        <v/>
      </c>
      <c r="G33" s="355" t="str">
        <f t="shared" si="3"/>
        <v/>
      </c>
      <c r="H33" s="355" t="str">
        <f t="shared" si="4"/>
        <v/>
      </c>
      <c r="I33" s="355" t="str">
        <f t="shared" si="5"/>
        <v/>
      </c>
      <c r="J33" s="355" t="str">
        <f t="shared" si="6"/>
        <v/>
      </c>
      <c r="K33" s="356" t="str">
        <f t="shared" si="7"/>
        <v/>
      </c>
      <c r="M33" s="357"/>
      <c r="N33" s="357"/>
      <c r="O33" s="357"/>
      <c r="P33" s="357"/>
      <c r="Q33" s="357"/>
      <c r="R33" s="357"/>
      <c r="S33" s="357"/>
      <c r="T33" s="357"/>
      <c r="U33" s="357"/>
      <c r="V33" s="357"/>
      <c r="W33" s="357"/>
      <c r="X33" s="357"/>
      <c r="Y33" s="343"/>
      <c r="Z33" s="336"/>
      <c r="AA33" s="336"/>
      <c r="AB33" s="336"/>
      <c r="AC33" s="336"/>
      <c r="AD33" s="336"/>
      <c r="AE33" s="336"/>
      <c r="AF33" s="336"/>
      <c r="AG33" s="336"/>
      <c r="AH33" s="336"/>
      <c r="AI33" s="336"/>
      <c r="AJ33" s="336"/>
      <c r="AK33" s="336"/>
      <c r="AL33" s="336"/>
      <c r="AM33" s="336"/>
      <c r="AN33" s="336"/>
      <c r="AO33" s="336"/>
      <c r="AP33" s="336"/>
      <c r="AQ33" s="336"/>
      <c r="AR33" s="336"/>
      <c r="AS33" s="336"/>
      <c r="AT33" s="336"/>
      <c r="AU33" s="336"/>
      <c r="AV33" s="336"/>
      <c r="AW33" s="336"/>
    </row>
    <row r="34" spans="1:49" ht="14" outlineLevel="5">
      <c r="A34" s="336"/>
      <c r="B34" s="341"/>
      <c r="C34" s="354" t="s">
        <v>606</v>
      </c>
      <c r="D34" s="355" t="str">
        <f t="shared" si="0"/>
        <v/>
      </c>
      <c r="E34" s="355" t="str">
        <f t="shared" si="1"/>
        <v/>
      </c>
      <c r="F34" s="355" t="str">
        <f t="shared" si="2"/>
        <v/>
      </c>
      <c r="G34" s="355" t="str">
        <f t="shared" si="3"/>
        <v/>
      </c>
      <c r="H34" s="355" t="str">
        <f t="shared" si="4"/>
        <v/>
      </c>
      <c r="I34" s="355" t="str">
        <f t="shared" si="5"/>
        <v/>
      </c>
      <c r="J34" s="355" t="str">
        <f t="shared" si="6"/>
        <v/>
      </c>
      <c r="K34" s="356" t="str">
        <f t="shared" si="7"/>
        <v/>
      </c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357"/>
      <c r="X34" s="357"/>
      <c r="Y34" s="343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</row>
    <row r="35" spans="1:49" ht="14" outlineLevel="6">
      <c r="A35" s="336"/>
      <c r="B35" s="341"/>
      <c r="C35" s="354" t="s">
        <v>607</v>
      </c>
      <c r="D35" s="355">
        <f t="shared" si="0"/>
        <v>-159</v>
      </c>
      <c r="E35" s="355">
        <f t="shared" si="1"/>
        <v>-191</v>
      </c>
      <c r="F35" s="355">
        <f t="shared" si="2"/>
        <v>-671</v>
      </c>
      <c r="G35" s="355">
        <f t="shared" si="3"/>
        <v>462</v>
      </c>
      <c r="H35" s="355">
        <f t="shared" si="4"/>
        <v>-453.75</v>
      </c>
      <c r="I35" s="355">
        <f t="shared" si="5"/>
        <v>-54</v>
      </c>
      <c r="J35" s="355">
        <f t="shared" si="6"/>
        <v>332.53437583370402</v>
      </c>
      <c r="K35" s="356">
        <f t="shared" si="7"/>
        <v>-1.7410176745220105</v>
      </c>
      <c r="M35" s="357">
        <v>-671</v>
      </c>
      <c r="N35" s="357">
        <v>61</v>
      </c>
      <c r="O35" s="357">
        <v>-60</v>
      </c>
      <c r="P35" s="357"/>
      <c r="Q35" s="357"/>
      <c r="R35" s="357">
        <v>-159</v>
      </c>
      <c r="S35" s="357">
        <v>462</v>
      </c>
      <c r="T35" s="357">
        <v>-159</v>
      </c>
      <c r="U35" s="357">
        <v>-514</v>
      </c>
      <c r="V35" s="357">
        <v>-273</v>
      </c>
      <c r="W35" s="357">
        <v>-545</v>
      </c>
      <c r="X35" s="357">
        <v>-52</v>
      </c>
      <c r="Y35" s="343"/>
      <c r="Z35" s="336"/>
      <c r="AA35" s="336"/>
      <c r="AB35" s="336"/>
      <c r="AC35" s="336"/>
      <c r="AD35" s="336"/>
      <c r="AE35" s="336"/>
      <c r="AF35" s="336"/>
      <c r="AG35" s="336"/>
      <c r="AH35" s="336"/>
      <c r="AI35" s="336"/>
      <c r="AJ35" s="336"/>
      <c r="AK35" s="336"/>
      <c r="AL35" s="336"/>
      <c r="AM35" s="336"/>
      <c r="AN35" s="336"/>
      <c r="AO35" s="336"/>
      <c r="AP35" s="336"/>
      <c r="AQ35" s="336"/>
      <c r="AR35" s="336"/>
      <c r="AS35" s="336"/>
      <c r="AT35" s="336"/>
      <c r="AU35" s="336"/>
      <c r="AV35" s="336"/>
      <c r="AW35" s="336"/>
    </row>
    <row r="36" spans="1:49" ht="14" outlineLevel="6">
      <c r="A36" s="336"/>
      <c r="B36" s="341"/>
      <c r="C36" s="354" t="s">
        <v>608</v>
      </c>
      <c r="D36" s="355">
        <f t="shared" si="0"/>
        <v>0</v>
      </c>
      <c r="E36" s="355">
        <f t="shared" si="1"/>
        <v>0</v>
      </c>
      <c r="F36" s="355">
        <f t="shared" si="2"/>
        <v>0</v>
      </c>
      <c r="G36" s="355">
        <f t="shared" si="3"/>
        <v>0</v>
      </c>
      <c r="H36" s="355">
        <f t="shared" si="4"/>
        <v>0</v>
      </c>
      <c r="I36" s="355">
        <f t="shared" si="5"/>
        <v>0</v>
      </c>
      <c r="J36" s="355">
        <f t="shared" si="6"/>
        <v>0</v>
      </c>
      <c r="K36" s="356" t="e">
        <f t="shared" si="7"/>
        <v>#DIV/0!</v>
      </c>
      <c r="M36" s="357"/>
      <c r="N36" s="357"/>
      <c r="O36" s="357"/>
      <c r="P36" s="357">
        <v>0</v>
      </c>
      <c r="Q36" s="357">
        <v>0</v>
      </c>
      <c r="R36" s="357"/>
      <c r="S36" s="357"/>
      <c r="T36" s="357"/>
      <c r="U36" s="357"/>
      <c r="V36" s="357"/>
      <c r="W36" s="357"/>
      <c r="X36" s="357"/>
      <c r="Y36" s="343"/>
      <c r="Z36" s="336"/>
      <c r="AA36" s="336"/>
      <c r="AB36" s="336"/>
      <c r="AC36" s="336"/>
      <c r="AD36" s="336"/>
      <c r="AE36" s="336"/>
      <c r="AF36" s="336"/>
      <c r="AG36" s="336"/>
      <c r="AH36" s="336"/>
      <c r="AI36" s="336"/>
      <c r="AJ36" s="336"/>
      <c r="AK36" s="336"/>
      <c r="AL36" s="336"/>
      <c r="AM36" s="336"/>
      <c r="AN36" s="336"/>
      <c r="AO36" s="336"/>
      <c r="AP36" s="336"/>
      <c r="AQ36" s="336"/>
      <c r="AR36" s="336"/>
      <c r="AS36" s="336"/>
      <c r="AT36" s="336"/>
      <c r="AU36" s="336"/>
      <c r="AV36" s="336"/>
      <c r="AW36" s="336"/>
    </row>
    <row r="37" spans="1:49" ht="14" outlineLevel="6">
      <c r="A37" s="336"/>
      <c r="B37" s="341"/>
      <c r="C37" s="358" t="s">
        <v>609</v>
      </c>
      <c r="D37" s="359">
        <f t="shared" si="0"/>
        <v>-109.5</v>
      </c>
      <c r="E37" s="359">
        <f t="shared" si="1"/>
        <v>-159.16666666666666</v>
      </c>
      <c r="F37" s="359">
        <f t="shared" si="2"/>
        <v>-671</v>
      </c>
      <c r="G37" s="359">
        <f t="shared" si="3"/>
        <v>462</v>
      </c>
      <c r="H37" s="359">
        <f t="shared" si="4"/>
        <v>-333.25</v>
      </c>
      <c r="I37" s="359">
        <f t="shared" si="5"/>
        <v>0</v>
      </c>
      <c r="J37" s="359">
        <f t="shared" si="6"/>
        <v>309.84067264360635</v>
      </c>
      <c r="K37" s="360">
        <f t="shared" si="7"/>
        <v>-1.9466429694886265</v>
      </c>
      <c r="L37" s="339"/>
      <c r="M37" s="361">
        <v>-671</v>
      </c>
      <c r="N37" s="361">
        <v>61</v>
      </c>
      <c r="O37" s="361">
        <v>-60</v>
      </c>
      <c r="P37" s="361">
        <v>0</v>
      </c>
      <c r="Q37" s="361">
        <v>0</v>
      </c>
      <c r="R37" s="361">
        <v>-159</v>
      </c>
      <c r="S37" s="361">
        <v>462</v>
      </c>
      <c r="T37" s="361">
        <v>-159</v>
      </c>
      <c r="U37" s="361">
        <v>-514</v>
      </c>
      <c r="V37" s="361">
        <v>-273</v>
      </c>
      <c r="W37" s="361">
        <v>-545</v>
      </c>
      <c r="X37" s="361">
        <v>-52</v>
      </c>
      <c r="Y37" s="343"/>
      <c r="Z37" s="336"/>
      <c r="AA37" s="336"/>
      <c r="AB37" s="336"/>
      <c r="AC37" s="336"/>
      <c r="AD37" s="336"/>
      <c r="AE37" s="336"/>
      <c r="AF37" s="336"/>
      <c r="AG37" s="336"/>
      <c r="AH37" s="336"/>
      <c r="AI37" s="336"/>
      <c r="AJ37" s="336"/>
      <c r="AK37" s="336"/>
      <c r="AL37" s="336"/>
      <c r="AM37" s="336"/>
      <c r="AN37" s="336"/>
      <c r="AO37" s="336"/>
      <c r="AP37" s="336"/>
      <c r="AQ37" s="336"/>
      <c r="AR37" s="336"/>
      <c r="AS37" s="336"/>
      <c r="AT37" s="336"/>
      <c r="AU37" s="336"/>
      <c r="AV37" s="336"/>
      <c r="AW37" s="336"/>
    </row>
    <row r="38" spans="1:49" ht="14" outlineLevel="5">
      <c r="A38" s="336"/>
      <c r="B38" s="341"/>
      <c r="C38" s="354" t="s">
        <v>610</v>
      </c>
      <c r="D38" s="355">
        <f t="shared" si="0"/>
        <v>0</v>
      </c>
      <c r="E38" s="355">
        <f t="shared" si="1"/>
        <v>0</v>
      </c>
      <c r="F38" s="355">
        <f t="shared" si="2"/>
        <v>0</v>
      </c>
      <c r="G38" s="355">
        <f t="shared" si="3"/>
        <v>0</v>
      </c>
      <c r="H38" s="355">
        <f t="shared" si="4"/>
        <v>0</v>
      </c>
      <c r="I38" s="355">
        <f t="shared" si="5"/>
        <v>0</v>
      </c>
      <c r="J38" s="355" t="str">
        <f t="shared" si="6"/>
        <v/>
      </c>
      <c r="K38" s="356" t="str">
        <f t="shared" si="7"/>
        <v/>
      </c>
      <c r="M38" s="357"/>
      <c r="N38" s="357"/>
      <c r="O38" s="357"/>
      <c r="P38" s="357"/>
      <c r="Q38" s="357"/>
      <c r="R38" s="357">
        <v>0</v>
      </c>
      <c r="S38" s="357"/>
      <c r="T38" s="357"/>
      <c r="U38" s="357"/>
      <c r="V38" s="357"/>
      <c r="W38" s="357"/>
      <c r="X38" s="357"/>
      <c r="Y38" s="343"/>
      <c r="Z38" s="336"/>
      <c r="AA38" s="336"/>
      <c r="AB38" s="336"/>
      <c r="AC38" s="336"/>
      <c r="AD38" s="336"/>
      <c r="AE38" s="336"/>
      <c r="AF38" s="336"/>
      <c r="AG38" s="336"/>
      <c r="AH38" s="336"/>
      <c r="AI38" s="336"/>
      <c r="AJ38" s="336"/>
      <c r="AK38" s="336"/>
      <c r="AL38" s="336"/>
      <c r="AM38" s="336"/>
      <c r="AN38" s="336"/>
      <c r="AO38" s="336"/>
      <c r="AP38" s="336"/>
      <c r="AQ38" s="336"/>
      <c r="AR38" s="336"/>
      <c r="AS38" s="336"/>
      <c r="AT38" s="336"/>
      <c r="AU38" s="336"/>
      <c r="AV38" s="336"/>
      <c r="AW38" s="336"/>
    </row>
    <row r="39" spans="1:49" ht="14" outlineLevel="5">
      <c r="A39" s="336"/>
      <c r="B39" s="341"/>
      <c r="C39" s="354" t="s">
        <v>611</v>
      </c>
      <c r="D39" s="355">
        <f t="shared" si="0"/>
        <v>1583</v>
      </c>
      <c r="E39" s="355">
        <f t="shared" si="1"/>
        <v>1974.2857142857142</v>
      </c>
      <c r="F39" s="355">
        <f t="shared" si="2"/>
        <v>0</v>
      </c>
      <c r="G39" s="355">
        <f t="shared" si="3"/>
        <v>4697</v>
      </c>
      <c r="H39" s="355">
        <f t="shared" si="4"/>
        <v>342.5</v>
      </c>
      <c r="I39" s="355">
        <f t="shared" si="5"/>
        <v>3427.5</v>
      </c>
      <c r="J39" s="355">
        <f t="shared" si="6"/>
        <v>1990.0867413495419</v>
      </c>
      <c r="K39" s="356">
        <f t="shared" si="7"/>
        <v>1.0080034145764685</v>
      </c>
      <c r="M39" s="357">
        <v>2285</v>
      </c>
      <c r="N39" s="357">
        <v>0</v>
      </c>
      <c r="O39" s="357">
        <v>1583</v>
      </c>
      <c r="P39" s="357"/>
      <c r="Q39" s="357"/>
      <c r="R39" s="357"/>
      <c r="S39" s="357">
        <v>4570</v>
      </c>
      <c r="T39" s="357">
        <v>79</v>
      </c>
      <c r="U39" s="357">
        <v>606</v>
      </c>
      <c r="V39" s="357"/>
      <c r="W39" s="357">
        <v>4697</v>
      </c>
      <c r="X39" s="357"/>
      <c r="Y39" s="343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6"/>
      <c r="AN39" s="336"/>
      <c r="AO39" s="336"/>
      <c r="AP39" s="336"/>
      <c r="AQ39" s="336"/>
      <c r="AR39" s="336"/>
      <c r="AS39" s="336"/>
      <c r="AT39" s="336"/>
      <c r="AU39" s="336"/>
      <c r="AV39" s="336"/>
      <c r="AW39" s="336"/>
    </row>
    <row r="40" spans="1:49" ht="14" outlineLevel="5">
      <c r="A40" s="336"/>
      <c r="B40" s="341"/>
      <c r="C40" s="354" t="s">
        <v>612</v>
      </c>
      <c r="D40" s="355">
        <f t="shared" si="0"/>
        <v>0</v>
      </c>
      <c r="E40" s="355">
        <f t="shared" si="1"/>
        <v>0</v>
      </c>
      <c r="F40" s="355">
        <f t="shared" si="2"/>
        <v>0</v>
      </c>
      <c r="G40" s="355">
        <f t="shared" si="3"/>
        <v>0</v>
      </c>
      <c r="H40" s="355">
        <f t="shared" si="4"/>
        <v>0</v>
      </c>
      <c r="I40" s="355">
        <f t="shared" si="5"/>
        <v>0</v>
      </c>
      <c r="J40" s="355">
        <f t="shared" si="6"/>
        <v>0</v>
      </c>
      <c r="K40" s="356" t="e">
        <f t="shared" si="7"/>
        <v>#DIV/0!</v>
      </c>
      <c r="M40" s="357"/>
      <c r="N40" s="357"/>
      <c r="O40" s="357"/>
      <c r="P40" s="357">
        <v>0</v>
      </c>
      <c r="Q40" s="357">
        <v>0</v>
      </c>
      <c r="R40" s="357"/>
      <c r="S40" s="357"/>
      <c r="T40" s="357"/>
      <c r="U40" s="357"/>
      <c r="V40" s="357"/>
      <c r="W40" s="357"/>
      <c r="X40" s="357"/>
      <c r="Y40" s="343"/>
      <c r="Z40" s="336"/>
      <c r="AA40" s="336"/>
      <c r="AB40" s="336"/>
      <c r="AC40" s="336"/>
      <c r="AD40" s="336"/>
      <c r="AE40" s="336"/>
      <c r="AF40" s="336"/>
      <c r="AG40" s="336"/>
      <c r="AH40" s="336"/>
      <c r="AI40" s="336"/>
      <c r="AJ40" s="336"/>
      <c r="AK40" s="336"/>
      <c r="AL40" s="336"/>
      <c r="AM40" s="336"/>
      <c r="AN40" s="336"/>
      <c r="AO40" s="336"/>
      <c r="AP40" s="336"/>
      <c r="AQ40" s="336"/>
      <c r="AR40" s="336"/>
      <c r="AS40" s="336"/>
      <c r="AT40" s="336"/>
      <c r="AU40" s="336"/>
      <c r="AV40" s="336"/>
      <c r="AW40" s="336"/>
    </row>
    <row r="41" spans="1:49" ht="14" outlineLevel="5">
      <c r="A41" s="336"/>
      <c r="B41" s="341"/>
      <c r="C41" s="358" t="s">
        <v>613</v>
      </c>
      <c r="D41" s="359">
        <f t="shared" si="0"/>
        <v>30.5</v>
      </c>
      <c r="E41" s="359">
        <f t="shared" si="1"/>
        <v>992.5</v>
      </c>
      <c r="F41" s="359">
        <f t="shared" si="2"/>
        <v>-273</v>
      </c>
      <c r="G41" s="359">
        <f t="shared" si="3"/>
        <v>5032</v>
      </c>
      <c r="H41" s="359">
        <f t="shared" si="4"/>
        <v>-59</v>
      </c>
      <c r="I41" s="359">
        <f t="shared" si="5"/>
        <v>1545.75</v>
      </c>
      <c r="J41" s="359">
        <f t="shared" si="6"/>
        <v>1803.659839931526</v>
      </c>
      <c r="K41" s="360">
        <f t="shared" si="7"/>
        <v>1.8172895112660212</v>
      </c>
      <c r="L41" s="339"/>
      <c r="M41" s="361">
        <v>1614</v>
      </c>
      <c r="N41" s="361">
        <v>61</v>
      </c>
      <c r="O41" s="361">
        <v>1523</v>
      </c>
      <c r="P41" s="361">
        <v>0</v>
      </c>
      <c r="Q41" s="361">
        <v>0</v>
      </c>
      <c r="R41" s="361">
        <v>-159</v>
      </c>
      <c r="S41" s="361">
        <v>5032</v>
      </c>
      <c r="T41" s="361">
        <v>-80</v>
      </c>
      <c r="U41" s="361">
        <v>92</v>
      </c>
      <c r="V41" s="361">
        <v>-273</v>
      </c>
      <c r="W41" s="361">
        <v>4152</v>
      </c>
      <c r="X41" s="361">
        <v>-52</v>
      </c>
      <c r="Y41" s="343"/>
      <c r="Z41" s="336"/>
      <c r="AA41" s="336"/>
      <c r="AB41" s="336"/>
      <c r="AC41" s="336"/>
      <c r="AD41" s="336"/>
      <c r="AE41" s="336"/>
      <c r="AF41" s="336"/>
      <c r="AG41" s="336"/>
      <c r="AH41" s="336"/>
      <c r="AI41" s="336"/>
      <c r="AJ41" s="336"/>
      <c r="AK41" s="336"/>
      <c r="AL41" s="336"/>
      <c r="AM41" s="336"/>
      <c r="AN41" s="336"/>
      <c r="AO41" s="336"/>
      <c r="AP41" s="336"/>
      <c r="AQ41" s="336"/>
      <c r="AR41" s="336"/>
      <c r="AS41" s="336"/>
      <c r="AT41" s="336"/>
      <c r="AU41" s="336"/>
      <c r="AV41" s="336"/>
      <c r="AW41" s="336"/>
    </row>
    <row r="42" spans="1:49" ht="14" outlineLevel="4">
      <c r="A42" s="336"/>
      <c r="B42" s="341"/>
      <c r="C42" s="354" t="s">
        <v>614</v>
      </c>
      <c r="D42" s="355">
        <f t="shared" si="0"/>
        <v>13</v>
      </c>
      <c r="E42" s="355">
        <f t="shared" si="1"/>
        <v>307.11111111111109</v>
      </c>
      <c r="F42" s="355">
        <f t="shared" si="2"/>
        <v>-618</v>
      </c>
      <c r="G42" s="355">
        <f t="shared" si="3"/>
        <v>1338</v>
      </c>
      <c r="H42" s="355">
        <f t="shared" si="4"/>
        <v>0</v>
      </c>
      <c r="I42" s="355">
        <f t="shared" si="5"/>
        <v>938</v>
      </c>
      <c r="J42" s="355">
        <f t="shared" si="6"/>
        <v>705.84301449480336</v>
      </c>
      <c r="K42" s="356">
        <f t="shared" si="7"/>
        <v>2.2983310891654236</v>
      </c>
      <c r="M42" s="357">
        <v>1280</v>
      </c>
      <c r="N42" s="357">
        <v>-345</v>
      </c>
      <c r="O42" s="357">
        <v>158</v>
      </c>
      <c r="P42" s="357">
        <v>13</v>
      </c>
      <c r="Q42" s="357">
        <v>-618</v>
      </c>
      <c r="R42" s="357">
        <v>1338</v>
      </c>
      <c r="S42" s="357">
        <v>938</v>
      </c>
      <c r="T42" s="357">
        <v>0</v>
      </c>
      <c r="U42" s="357">
        <v>0</v>
      </c>
      <c r="V42" s="357"/>
      <c r="W42" s="357"/>
      <c r="X42" s="357"/>
      <c r="Y42" s="343"/>
      <c r="Z42" s="336"/>
      <c r="AA42" s="336"/>
      <c r="AB42" s="336"/>
      <c r="AC42" s="336"/>
      <c r="AD42" s="336"/>
      <c r="AE42" s="336"/>
      <c r="AF42" s="336"/>
      <c r="AG42" s="336"/>
      <c r="AH42" s="336"/>
      <c r="AI42" s="336"/>
      <c r="AJ42" s="336"/>
      <c r="AK42" s="336"/>
      <c r="AL42" s="336"/>
      <c r="AM42" s="336"/>
      <c r="AN42" s="336"/>
      <c r="AO42" s="336"/>
      <c r="AP42" s="336"/>
      <c r="AQ42" s="336"/>
      <c r="AR42" s="336"/>
      <c r="AS42" s="336"/>
      <c r="AT42" s="336"/>
      <c r="AU42" s="336"/>
      <c r="AV42" s="336"/>
      <c r="AW42" s="336"/>
    </row>
    <row r="43" spans="1:49" ht="14" outlineLevel="4">
      <c r="A43" s="336"/>
      <c r="B43" s="341"/>
      <c r="C43" s="358" t="s">
        <v>615</v>
      </c>
      <c r="D43" s="359">
        <f t="shared" si="0"/>
        <v>82045.5</v>
      </c>
      <c r="E43" s="359">
        <f t="shared" si="1"/>
        <v>101044.91666666667</v>
      </c>
      <c r="F43" s="359">
        <f t="shared" si="2"/>
        <v>29211</v>
      </c>
      <c r="G43" s="359">
        <f t="shared" si="3"/>
        <v>234204</v>
      </c>
      <c r="H43" s="359">
        <f t="shared" si="4"/>
        <v>51874</v>
      </c>
      <c r="I43" s="359">
        <f t="shared" si="5"/>
        <v>123141.25</v>
      </c>
      <c r="J43" s="359">
        <f t="shared" si="6"/>
        <v>68274.739218513758</v>
      </c>
      <c r="K43" s="360">
        <f t="shared" si="7"/>
        <v>0.67568702583765561</v>
      </c>
      <c r="L43" s="339"/>
      <c r="M43" s="361">
        <v>234204</v>
      </c>
      <c r="N43" s="361">
        <v>211139</v>
      </c>
      <c r="O43" s="361">
        <v>170158</v>
      </c>
      <c r="P43" s="361">
        <v>107469</v>
      </c>
      <c r="Q43" s="361">
        <v>65666</v>
      </c>
      <c r="R43" s="361">
        <v>83720</v>
      </c>
      <c r="S43" s="361">
        <v>80371</v>
      </c>
      <c r="T43" s="361">
        <v>94306</v>
      </c>
      <c r="U43" s="361">
        <v>54793</v>
      </c>
      <c r="V43" s="361">
        <v>43117</v>
      </c>
      <c r="W43" s="361">
        <v>38385</v>
      </c>
      <c r="X43" s="361">
        <v>29211</v>
      </c>
      <c r="Y43" s="343"/>
      <c r="Z43" s="336"/>
      <c r="AA43" s="336"/>
      <c r="AB43" s="336"/>
      <c r="AC43" s="336"/>
      <c r="AD43" s="336"/>
      <c r="AE43" s="336"/>
      <c r="AF43" s="336"/>
      <c r="AG43" s="336"/>
      <c r="AH43" s="336"/>
      <c r="AI43" s="336"/>
      <c r="AJ43" s="336"/>
      <c r="AK43" s="336"/>
      <c r="AL43" s="336"/>
      <c r="AM43" s="336"/>
      <c r="AN43" s="336"/>
      <c r="AO43" s="336"/>
      <c r="AP43" s="336"/>
      <c r="AQ43" s="336"/>
      <c r="AR43" s="336"/>
      <c r="AS43" s="336"/>
      <c r="AT43" s="336"/>
      <c r="AU43" s="336"/>
      <c r="AV43" s="336"/>
      <c r="AW43" s="336"/>
    </row>
    <row r="44" spans="1:49" ht="14" outlineLevel="3">
      <c r="A44" s="336"/>
      <c r="B44" s="341"/>
      <c r="C44" s="354" t="s">
        <v>616</v>
      </c>
      <c r="D44" s="355" t="str">
        <f t="shared" si="0"/>
        <v/>
      </c>
      <c r="E44" s="355" t="str">
        <f t="shared" si="1"/>
        <v/>
      </c>
      <c r="F44" s="355" t="str">
        <f t="shared" si="2"/>
        <v/>
      </c>
      <c r="G44" s="355" t="str">
        <f t="shared" si="3"/>
        <v/>
      </c>
      <c r="H44" s="355" t="str">
        <f t="shared" si="4"/>
        <v/>
      </c>
      <c r="I44" s="355" t="str">
        <f t="shared" si="5"/>
        <v/>
      </c>
      <c r="J44" s="355" t="str">
        <f t="shared" si="6"/>
        <v/>
      </c>
      <c r="K44" s="356" t="str">
        <f t="shared" si="7"/>
        <v/>
      </c>
      <c r="M44" s="357"/>
      <c r="N44" s="357"/>
      <c r="O44" s="357"/>
      <c r="P44" s="357"/>
      <c r="Q44" s="357"/>
      <c r="R44" s="357"/>
      <c r="S44" s="357"/>
      <c r="T44" s="357"/>
      <c r="U44" s="357"/>
      <c r="V44" s="357"/>
      <c r="W44" s="357"/>
      <c r="X44" s="357"/>
      <c r="Y44" s="343"/>
      <c r="Z44" s="336"/>
      <c r="AA44" s="336"/>
      <c r="AB44" s="336"/>
      <c r="AC44" s="336"/>
      <c r="AD44" s="336"/>
      <c r="AE44" s="336"/>
      <c r="AF44" s="336"/>
      <c r="AG44" s="336"/>
      <c r="AH44" s="336"/>
      <c r="AI44" s="336"/>
      <c r="AJ44" s="336"/>
      <c r="AK44" s="336"/>
      <c r="AL44" s="336"/>
      <c r="AM44" s="336"/>
      <c r="AN44" s="336"/>
      <c r="AO44" s="336"/>
      <c r="AP44" s="336"/>
      <c r="AQ44" s="336"/>
      <c r="AR44" s="336"/>
      <c r="AS44" s="336"/>
      <c r="AT44" s="336"/>
      <c r="AU44" s="336"/>
      <c r="AV44" s="336"/>
      <c r="AW44" s="336"/>
    </row>
    <row r="45" spans="1:49" ht="14" outlineLevel="4">
      <c r="A45" s="336"/>
      <c r="B45" s="341"/>
      <c r="C45" s="354" t="s">
        <v>617</v>
      </c>
      <c r="D45" s="355">
        <f t="shared" si="0"/>
        <v>-829.5</v>
      </c>
      <c r="E45" s="355">
        <f t="shared" si="1"/>
        <v>-471.58333333333331</v>
      </c>
      <c r="F45" s="355">
        <f t="shared" si="2"/>
        <v>-4112</v>
      </c>
      <c r="G45" s="355">
        <f t="shared" si="3"/>
        <v>4244</v>
      </c>
      <c r="H45" s="355">
        <f t="shared" si="4"/>
        <v>-1596.25</v>
      </c>
      <c r="I45" s="355">
        <f t="shared" si="5"/>
        <v>452.75</v>
      </c>
      <c r="J45" s="355">
        <f t="shared" si="6"/>
        <v>2251.6122489667196</v>
      </c>
      <c r="K45" s="356">
        <f t="shared" si="7"/>
        <v>-4.7745797822231202</v>
      </c>
      <c r="M45" s="357">
        <v>-1484</v>
      </c>
      <c r="N45" s="357">
        <v>599</v>
      </c>
      <c r="O45" s="357">
        <v>-4112</v>
      </c>
      <c r="P45" s="357">
        <v>-681</v>
      </c>
      <c r="Q45" s="357">
        <v>404</v>
      </c>
      <c r="R45" s="357">
        <v>4244</v>
      </c>
      <c r="S45" s="357">
        <v>-2430</v>
      </c>
      <c r="T45" s="357">
        <v>-890</v>
      </c>
      <c r="U45" s="357">
        <v>2755</v>
      </c>
      <c r="V45" s="357">
        <v>-1545</v>
      </c>
      <c r="W45" s="357">
        <v>-769</v>
      </c>
      <c r="X45" s="357">
        <v>-1750</v>
      </c>
      <c r="Y45" s="343"/>
      <c r="Z45" s="336"/>
      <c r="AA45" s="336"/>
      <c r="AB45" s="336"/>
      <c r="AC45" s="336"/>
      <c r="AD45" s="336"/>
      <c r="AE45" s="336"/>
      <c r="AF45" s="336"/>
      <c r="AG45" s="336"/>
      <c r="AH45" s="336"/>
      <c r="AI45" s="336"/>
      <c r="AJ45" s="336"/>
      <c r="AK45" s="336"/>
      <c r="AL45" s="336"/>
      <c r="AM45" s="336"/>
      <c r="AN45" s="336"/>
      <c r="AO45" s="336"/>
      <c r="AP45" s="336"/>
      <c r="AQ45" s="336"/>
      <c r="AR45" s="336"/>
      <c r="AS45" s="336"/>
      <c r="AT45" s="336"/>
      <c r="AU45" s="336"/>
      <c r="AV45" s="336"/>
      <c r="AW45" s="336"/>
    </row>
    <row r="46" spans="1:49" ht="14" outlineLevel="4">
      <c r="A46" s="336"/>
      <c r="B46" s="341"/>
      <c r="C46" s="354" t="s">
        <v>618</v>
      </c>
      <c r="D46" s="355" t="str">
        <f t="shared" si="0"/>
        <v/>
      </c>
      <c r="E46" s="355" t="str">
        <f t="shared" si="1"/>
        <v/>
      </c>
      <c r="F46" s="355" t="str">
        <f t="shared" si="2"/>
        <v/>
      </c>
      <c r="G46" s="355" t="str">
        <f t="shared" si="3"/>
        <v/>
      </c>
      <c r="H46" s="355" t="str">
        <f t="shared" si="4"/>
        <v/>
      </c>
      <c r="I46" s="355" t="str">
        <f t="shared" si="5"/>
        <v/>
      </c>
      <c r="J46" s="355" t="str">
        <f t="shared" si="6"/>
        <v/>
      </c>
      <c r="K46" s="356" t="str">
        <f t="shared" si="7"/>
        <v/>
      </c>
      <c r="M46" s="357"/>
      <c r="N46" s="357"/>
      <c r="O46" s="357"/>
      <c r="P46" s="357"/>
      <c r="Q46" s="357"/>
      <c r="R46" s="357"/>
      <c r="S46" s="357"/>
      <c r="T46" s="357"/>
      <c r="U46" s="357"/>
      <c r="V46" s="357"/>
      <c r="W46" s="357"/>
      <c r="X46" s="357"/>
      <c r="Y46" s="343"/>
      <c r="Z46" s="336"/>
      <c r="AA46" s="336"/>
      <c r="AB46" s="336"/>
      <c r="AC46" s="336"/>
      <c r="AD46" s="336"/>
      <c r="AE46" s="336"/>
      <c r="AF46" s="336"/>
      <c r="AG46" s="336"/>
      <c r="AH46" s="336"/>
      <c r="AI46" s="336"/>
      <c r="AJ46" s="336"/>
      <c r="AK46" s="336"/>
      <c r="AL46" s="336"/>
      <c r="AM46" s="336"/>
      <c r="AN46" s="336"/>
      <c r="AO46" s="336"/>
      <c r="AP46" s="336"/>
      <c r="AQ46" s="336"/>
      <c r="AR46" s="336"/>
      <c r="AS46" s="336"/>
      <c r="AT46" s="336"/>
      <c r="AU46" s="336"/>
      <c r="AV46" s="336"/>
      <c r="AW46" s="336"/>
    </row>
    <row r="47" spans="1:49" ht="14" outlineLevel="5">
      <c r="A47" s="336"/>
      <c r="B47" s="341"/>
      <c r="C47" s="354" t="s">
        <v>619</v>
      </c>
      <c r="D47" s="355">
        <f t="shared" si="0"/>
        <v>-3366.5</v>
      </c>
      <c r="E47" s="355">
        <f t="shared" si="1"/>
        <v>-5522.333333333333</v>
      </c>
      <c r="F47" s="355">
        <f t="shared" si="2"/>
        <v>-36459</v>
      </c>
      <c r="G47" s="355">
        <f t="shared" si="3"/>
        <v>23611</v>
      </c>
      <c r="H47" s="355">
        <f t="shared" si="4"/>
        <v>-10561.75</v>
      </c>
      <c r="I47" s="355">
        <f t="shared" si="5"/>
        <v>-774.75</v>
      </c>
      <c r="J47" s="355">
        <f t="shared" si="6"/>
        <v>14223.504026359988</v>
      </c>
      <c r="K47" s="356">
        <f t="shared" si="7"/>
        <v>-2.5756330101454679</v>
      </c>
      <c r="M47" s="357">
        <v>-36459</v>
      </c>
      <c r="N47" s="357">
        <v>4761</v>
      </c>
      <c r="O47" s="357">
        <v>-19177</v>
      </c>
      <c r="P47" s="357">
        <v>-10804</v>
      </c>
      <c r="Q47" s="357">
        <v>23611</v>
      </c>
      <c r="R47" s="357">
        <v>-895</v>
      </c>
      <c r="S47" s="357">
        <v>-1923</v>
      </c>
      <c r="T47" s="357">
        <v>-10481</v>
      </c>
      <c r="U47" s="357">
        <v>-7754</v>
      </c>
      <c r="V47" s="357">
        <v>-414</v>
      </c>
      <c r="W47" s="357">
        <v>-3632</v>
      </c>
      <c r="X47" s="357">
        <v>-3101</v>
      </c>
      <c r="Y47" s="343"/>
      <c r="Z47" s="336"/>
      <c r="AA47" s="336"/>
      <c r="AB47" s="336"/>
      <c r="AC47" s="336"/>
      <c r="AD47" s="336"/>
      <c r="AE47" s="336"/>
      <c r="AF47" s="336"/>
      <c r="AG47" s="336"/>
      <c r="AH47" s="336"/>
      <c r="AI47" s="336"/>
      <c r="AJ47" s="336"/>
      <c r="AK47" s="336"/>
      <c r="AL47" s="336"/>
      <c r="AM47" s="336"/>
      <c r="AN47" s="336"/>
      <c r="AO47" s="336"/>
      <c r="AP47" s="336"/>
      <c r="AQ47" s="336"/>
      <c r="AR47" s="336"/>
      <c r="AS47" s="336"/>
      <c r="AT47" s="336"/>
      <c r="AU47" s="336"/>
      <c r="AV47" s="336"/>
      <c r="AW47" s="336"/>
    </row>
    <row r="48" spans="1:49" ht="14" outlineLevel="5">
      <c r="A48" s="336"/>
      <c r="B48" s="341"/>
      <c r="C48" s="354" t="s">
        <v>620</v>
      </c>
      <c r="D48" s="355">
        <f t="shared" si="0"/>
        <v>729</v>
      </c>
      <c r="E48" s="355">
        <f t="shared" si="1"/>
        <v>729</v>
      </c>
      <c r="F48" s="355">
        <f t="shared" si="2"/>
        <v>177</v>
      </c>
      <c r="G48" s="355">
        <f t="shared" si="3"/>
        <v>1281</v>
      </c>
      <c r="H48" s="355">
        <f t="shared" si="4"/>
        <v>453</v>
      </c>
      <c r="I48" s="355">
        <f t="shared" si="5"/>
        <v>1005</v>
      </c>
      <c r="J48" s="355">
        <f t="shared" si="6"/>
        <v>780.64588642994852</v>
      </c>
      <c r="K48" s="356">
        <f t="shared" si="7"/>
        <v>1.070844837352467</v>
      </c>
      <c r="M48" s="357"/>
      <c r="N48" s="357"/>
      <c r="O48" s="357"/>
      <c r="P48" s="357"/>
      <c r="Q48" s="357"/>
      <c r="R48" s="357"/>
      <c r="S48" s="357"/>
      <c r="T48" s="357"/>
      <c r="U48" s="357"/>
      <c r="V48" s="357"/>
      <c r="W48" s="357">
        <v>177</v>
      </c>
      <c r="X48" s="357">
        <v>1281</v>
      </c>
      <c r="Y48" s="343"/>
      <c r="Z48" s="336"/>
      <c r="AA48" s="336"/>
      <c r="AB48" s="336"/>
      <c r="AC48" s="336"/>
      <c r="AD48" s="336"/>
      <c r="AE48" s="336"/>
      <c r="AF48" s="336"/>
      <c r="AG48" s="336"/>
      <c r="AH48" s="336"/>
      <c r="AI48" s="336"/>
      <c r="AJ48" s="336"/>
      <c r="AK48" s="336"/>
      <c r="AL48" s="336"/>
      <c r="AM48" s="336"/>
      <c r="AN48" s="336"/>
      <c r="AO48" s="336"/>
      <c r="AP48" s="336"/>
      <c r="AQ48" s="336"/>
      <c r="AR48" s="336"/>
      <c r="AS48" s="336"/>
      <c r="AT48" s="336"/>
      <c r="AU48" s="336"/>
      <c r="AV48" s="336"/>
      <c r="AW48" s="336"/>
    </row>
    <row r="49" spans="1:49" ht="14" outlineLevel="5">
      <c r="A49" s="336"/>
      <c r="B49" s="341"/>
      <c r="C49" s="354" t="s">
        <v>621</v>
      </c>
      <c r="D49" s="355">
        <f t="shared" si="0"/>
        <v>1208</v>
      </c>
      <c r="E49" s="355">
        <f t="shared" si="1"/>
        <v>1208</v>
      </c>
      <c r="F49" s="355">
        <f t="shared" si="2"/>
        <v>-604</v>
      </c>
      <c r="G49" s="355">
        <f t="shared" si="3"/>
        <v>3020</v>
      </c>
      <c r="H49" s="355">
        <f t="shared" si="4"/>
        <v>302</v>
      </c>
      <c r="I49" s="355">
        <f t="shared" si="5"/>
        <v>2114</v>
      </c>
      <c r="J49" s="355">
        <f t="shared" si="6"/>
        <v>2562.554975020048</v>
      </c>
      <c r="K49" s="356">
        <f t="shared" si="7"/>
        <v>2.1213203435596424</v>
      </c>
      <c r="M49" s="357"/>
      <c r="N49" s="357"/>
      <c r="O49" s="357"/>
      <c r="P49" s="357"/>
      <c r="Q49" s="357"/>
      <c r="R49" s="357"/>
      <c r="S49" s="357">
        <v>3020</v>
      </c>
      <c r="T49" s="357">
        <v>-604</v>
      </c>
      <c r="U49" s="357"/>
      <c r="V49" s="357"/>
      <c r="W49" s="357"/>
      <c r="X49" s="357"/>
      <c r="Y49" s="343"/>
      <c r="Z49" s="336"/>
      <c r="AA49" s="336"/>
      <c r="AB49" s="336"/>
      <c r="AC49" s="336"/>
      <c r="AD49" s="336"/>
      <c r="AE49" s="336"/>
      <c r="AF49" s="336"/>
      <c r="AG49" s="336"/>
      <c r="AH49" s="336"/>
      <c r="AI49" s="336"/>
      <c r="AJ49" s="336"/>
      <c r="AK49" s="336"/>
      <c r="AL49" s="336"/>
      <c r="AM49" s="336"/>
      <c r="AN49" s="336"/>
      <c r="AO49" s="336"/>
      <c r="AP49" s="336"/>
      <c r="AQ49" s="336"/>
      <c r="AR49" s="336"/>
      <c r="AS49" s="336"/>
      <c r="AT49" s="336"/>
      <c r="AU49" s="336"/>
      <c r="AV49" s="336"/>
      <c r="AW49" s="336"/>
    </row>
    <row r="50" spans="1:49" ht="14" outlineLevel="5">
      <c r="A50" s="336"/>
      <c r="B50" s="341"/>
      <c r="C50" s="358" t="s">
        <v>622</v>
      </c>
      <c r="D50" s="359">
        <f t="shared" si="0"/>
        <v>-2637.5</v>
      </c>
      <c r="E50" s="359">
        <f t="shared" si="1"/>
        <v>-5199.5</v>
      </c>
      <c r="F50" s="359">
        <f t="shared" si="2"/>
        <v>-36459</v>
      </c>
      <c r="G50" s="359">
        <f t="shared" si="3"/>
        <v>23611</v>
      </c>
      <c r="H50" s="359">
        <f t="shared" si="4"/>
        <v>-10874.25</v>
      </c>
      <c r="I50" s="359">
        <f t="shared" si="5"/>
        <v>-36.25</v>
      </c>
      <c r="J50" s="359">
        <f t="shared" si="6"/>
        <v>14365.040458127376</v>
      </c>
      <c r="K50" s="360">
        <f t="shared" si="7"/>
        <v>-2.7627734317006203</v>
      </c>
      <c r="L50" s="339"/>
      <c r="M50" s="361">
        <v>-36459</v>
      </c>
      <c r="N50" s="361">
        <v>4761</v>
      </c>
      <c r="O50" s="361">
        <v>-19177</v>
      </c>
      <c r="P50" s="361">
        <v>-10804</v>
      </c>
      <c r="Q50" s="361">
        <v>23611</v>
      </c>
      <c r="R50" s="361">
        <v>-895</v>
      </c>
      <c r="S50" s="361">
        <v>1097</v>
      </c>
      <c r="T50" s="361">
        <v>-11085</v>
      </c>
      <c r="U50" s="361">
        <v>-7754</v>
      </c>
      <c r="V50" s="361">
        <v>-414</v>
      </c>
      <c r="W50" s="361">
        <v>-3455</v>
      </c>
      <c r="X50" s="361">
        <v>-1820</v>
      </c>
      <c r="Y50" s="343"/>
      <c r="Z50" s="336"/>
      <c r="AA50" s="336"/>
      <c r="AB50" s="336"/>
      <c r="AC50" s="336"/>
      <c r="AD50" s="336"/>
      <c r="AE50" s="336"/>
      <c r="AF50" s="336"/>
      <c r="AG50" s="336"/>
      <c r="AH50" s="336"/>
      <c r="AI50" s="336"/>
      <c r="AJ50" s="336"/>
      <c r="AK50" s="336"/>
      <c r="AL50" s="336"/>
      <c r="AM50" s="336"/>
      <c r="AN50" s="336"/>
      <c r="AO50" s="336"/>
      <c r="AP50" s="336"/>
      <c r="AQ50" s="336"/>
      <c r="AR50" s="336"/>
      <c r="AS50" s="336"/>
      <c r="AT50" s="336"/>
      <c r="AU50" s="336"/>
      <c r="AV50" s="336"/>
      <c r="AW50" s="336"/>
    </row>
    <row r="51" spans="1:49" ht="14" outlineLevel="4">
      <c r="A51" s="336"/>
      <c r="B51" s="341"/>
      <c r="C51" s="354" t="s">
        <v>623</v>
      </c>
      <c r="D51" s="355">
        <f t="shared" si="0"/>
        <v>-2828.5</v>
      </c>
      <c r="E51" s="355">
        <f t="shared" si="1"/>
        <v>-2257</v>
      </c>
      <c r="F51" s="355">
        <f t="shared" si="2"/>
        <v>-11785</v>
      </c>
      <c r="G51" s="355">
        <f t="shared" si="3"/>
        <v>8259</v>
      </c>
      <c r="H51" s="355">
        <f t="shared" si="4"/>
        <v>-5294</v>
      </c>
      <c r="I51" s="355">
        <f t="shared" si="5"/>
        <v>-349.75</v>
      </c>
      <c r="J51" s="355">
        <f t="shared" si="6"/>
        <v>5500.1448245395404</v>
      </c>
      <c r="K51" s="356">
        <f t="shared" si="7"/>
        <v>-2.4369272594326721</v>
      </c>
      <c r="M51" s="357">
        <v>-11785</v>
      </c>
      <c r="N51" s="357">
        <v>929</v>
      </c>
      <c r="O51" s="357">
        <v>-5152</v>
      </c>
      <c r="P51" s="357">
        <v>8259</v>
      </c>
      <c r="Q51" s="357">
        <v>-2676</v>
      </c>
      <c r="R51" s="357">
        <v>-3198</v>
      </c>
      <c r="S51" s="357">
        <v>5778</v>
      </c>
      <c r="T51" s="357">
        <v>-2981</v>
      </c>
      <c r="U51" s="357">
        <v>-7944</v>
      </c>
      <c r="V51" s="357">
        <v>-5720</v>
      </c>
      <c r="W51" s="357">
        <v>-1818</v>
      </c>
      <c r="X51" s="357">
        <v>-776</v>
      </c>
      <c r="Y51" s="343"/>
      <c r="Z51" s="336"/>
      <c r="AA51" s="336"/>
      <c r="AB51" s="336"/>
      <c r="AC51" s="336"/>
      <c r="AD51" s="336"/>
      <c r="AE51" s="336"/>
      <c r="AF51" s="336"/>
      <c r="AG51" s="336"/>
      <c r="AH51" s="336"/>
      <c r="AI51" s="336"/>
      <c r="AJ51" s="336"/>
      <c r="AK51" s="336"/>
      <c r="AL51" s="336"/>
      <c r="AM51" s="336"/>
      <c r="AN51" s="336"/>
      <c r="AO51" s="336"/>
      <c r="AP51" s="336"/>
      <c r="AQ51" s="336"/>
      <c r="AR51" s="336"/>
      <c r="AS51" s="336"/>
      <c r="AT51" s="336"/>
      <c r="AU51" s="336"/>
      <c r="AV51" s="336"/>
      <c r="AW51" s="336"/>
    </row>
    <row r="52" spans="1:49" ht="14" outlineLevel="4">
      <c r="A52" s="336"/>
      <c r="B52" s="341"/>
      <c r="C52" s="354" t="s">
        <v>624</v>
      </c>
      <c r="D52" s="355" t="str">
        <f t="shared" si="0"/>
        <v/>
      </c>
      <c r="E52" s="355" t="str">
        <f t="shared" si="1"/>
        <v/>
      </c>
      <c r="F52" s="355" t="str">
        <f t="shared" si="2"/>
        <v/>
      </c>
      <c r="G52" s="355" t="str">
        <f t="shared" si="3"/>
        <v/>
      </c>
      <c r="H52" s="355" t="str">
        <f t="shared" si="4"/>
        <v/>
      </c>
      <c r="I52" s="355" t="str">
        <f t="shared" si="5"/>
        <v/>
      </c>
      <c r="J52" s="355" t="str">
        <f t="shared" si="6"/>
        <v/>
      </c>
      <c r="K52" s="356" t="str">
        <f t="shared" si="7"/>
        <v/>
      </c>
      <c r="M52" s="357"/>
      <c r="N52" s="357"/>
      <c r="O52" s="357"/>
      <c r="P52" s="357"/>
      <c r="Q52" s="357"/>
      <c r="R52" s="357"/>
      <c r="S52" s="357"/>
      <c r="T52" s="357"/>
      <c r="U52" s="357"/>
      <c r="V52" s="357"/>
      <c r="W52" s="357"/>
      <c r="X52" s="357"/>
      <c r="Y52" s="343"/>
      <c r="Z52" s="336"/>
      <c r="AA52" s="336"/>
      <c r="AB52" s="336"/>
      <c r="AC52" s="336"/>
      <c r="AD52" s="336"/>
      <c r="AE52" s="336"/>
      <c r="AF52" s="336"/>
      <c r="AG52" s="336"/>
      <c r="AH52" s="336"/>
      <c r="AI52" s="336"/>
      <c r="AJ52" s="336"/>
      <c r="AK52" s="336"/>
      <c r="AL52" s="336"/>
      <c r="AM52" s="336"/>
      <c r="AN52" s="336"/>
      <c r="AO52" s="336"/>
      <c r="AP52" s="336"/>
      <c r="AQ52" s="336"/>
      <c r="AR52" s="336"/>
      <c r="AS52" s="336"/>
      <c r="AT52" s="336"/>
      <c r="AU52" s="336"/>
      <c r="AV52" s="336"/>
      <c r="AW52" s="336"/>
    </row>
    <row r="53" spans="1:49" ht="14" outlineLevel="5">
      <c r="A53" s="336"/>
      <c r="B53" s="341"/>
      <c r="C53" s="354" t="s">
        <v>625</v>
      </c>
      <c r="D53" s="355" t="str">
        <f t="shared" si="0"/>
        <v/>
      </c>
      <c r="E53" s="355" t="str">
        <f t="shared" si="1"/>
        <v/>
      </c>
      <c r="F53" s="355" t="str">
        <f t="shared" si="2"/>
        <v/>
      </c>
      <c r="G53" s="355" t="str">
        <f t="shared" si="3"/>
        <v/>
      </c>
      <c r="H53" s="355" t="str">
        <f t="shared" si="4"/>
        <v/>
      </c>
      <c r="I53" s="355" t="str">
        <f t="shared" si="5"/>
        <v/>
      </c>
      <c r="J53" s="355" t="str">
        <f t="shared" si="6"/>
        <v/>
      </c>
      <c r="K53" s="356" t="str">
        <f t="shared" si="7"/>
        <v/>
      </c>
      <c r="M53" s="357"/>
      <c r="N53" s="357"/>
      <c r="O53" s="357"/>
      <c r="P53" s="357"/>
      <c r="Q53" s="357"/>
      <c r="R53" s="357"/>
      <c r="S53" s="357"/>
      <c r="T53" s="357"/>
      <c r="U53" s="357"/>
      <c r="V53" s="357"/>
      <c r="W53" s="357"/>
      <c r="X53" s="357"/>
      <c r="Y53" s="343"/>
      <c r="Z53" s="336"/>
      <c r="AA53" s="336"/>
      <c r="AB53" s="336"/>
      <c r="AC53" s="336"/>
      <c r="AD53" s="336"/>
      <c r="AE53" s="336"/>
      <c r="AF53" s="336"/>
      <c r="AG53" s="336"/>
      <c r="AH53" s="336"/>
      <c r="AI53" s="336"/>
      <c r="AJ53" s="336"/>
      <c r="AK53" s="336"/>
      <c r="AL53" s="336"/>
      <c r="AM53" s="336"/>
      <c r="AN53" s="336"/>
      <c r="AO53" s="336"/>
      <c r="AP53" s="336"/>
      <c r="AQ53" s="336"/>
      <c r="AR53" s="336"/>
      <c r="AS53" s="336"/>
      <c r="AT53" s="336"/>
      <c r="AU53" s="336"/>
      <c r="AV53" s="336"/>
      <c r="AW53" s="336"/>
    </row>
    <row r="54" spans="1:49" ht="14" outlineLevel="6">
      <c r="A54" s="336"/>
      <c r="B54" s="341"/>
      <c r="C54" s="354" t="s">
        <v>626</v>
      </c>
      <c r="D54" s="355">
        <f t="shared" si="0"/>
        <v>5042</v>
      </c>
      <c r="E54" s="355">
        <f t="shared" si="1"/>
        <v>5519.5714285714284</v>
      </c>
      <c r="F54" s="355">
        <f t="shared" si="2"/>
        <v>-6268</v>
      </c>
      <c r="G54" s="355">
        <f t="shared" si="3"/>
        <v>14506</v>
      </c>
      <c r="H54" s="355">
        <f t="shared" si="4"/>
        <v>2236.5</v>
      </c>
      <c r="I54" s="355">
        <f t="shared" si="5"/>
        <v>10442</v>
      </c>
      <c r="J54" s="355">
        <f t="shared" si="6"/>
        <v>7256.1046909284796</v>
      </c>
      <c r="K54" s="356">
        <f t="shared" si="7"/>
        <v>1.3146137856588078</v>
      </c>
      <c r="M54" s="357"/>
      <c r="N54" s="357"/>
      <c r="O54" s="357"/>
      <c r="P54" s="357"/>
      <c r="Q54" s="357"/>
      <c r="R54" s="357">
        <v>-6268</v>
      </c>
      <c r="S54" s="357">
        <v>14506</v>
      </c>
      <c r="T54" s="357">
        <v>4210</v>
      </c>
      <c r="U54" s="357">
        <v>7428</v>
      </c>
      <c r="V54" s="357">
        <v>263</v>
      </c>
      <c r="W54" s="357">
        <v>5042</v>
      </c>
      <c r="X54" s="357">
        <v>13456</v>
      </c>
      <c r="Y54" s="343"/>
      <c r="Z54" s="336"/>
      <c r="AA54" s="336"/>
      <c r="AB54" s="336"/>
      <c r="AC54" s="336"/>
      <c r="AD54" s="336"/>
      <c r="AE54" s="336"/>
      <c r="AF54" s="336"/>
      <c r="AG54" s="336"/>
      <c r="AH54" s="336"/>
      <c r="AI54" s="336"/>
      <c r="AJ54" s="336"/>
      <c r="AK54" s="336"/>
      <c r="AL54" s="336"/>
      <c r="AM54" s="336"/>
      <c r="AN54" s="336"/>
      <c r="AO54" s="336"/>
      <c r="AP54" s="336"/>
      <c r="AQ54" s="336"/>
      <c r="AR54" s="336"/>
      <c r="AS54" s="336"/>
      <c r="AT54" s="336"/>
      <c r="AU54" s="336"/>
      <c r="AV54" s="336"/>
      <c r="AW54" s="336"/>
    </row>
    <row r="55" spans="1:49" ht="14" outlineLevel="6">
      <c r="A55" s="336"/>
      <c r="B55" s="341"/>
      <c r="C55" s="354" t="s">
        <v>627</v>
      </c>
      <c r="D55" s="355">
        <f t="shared" si="0"/>
        <v>-11446</v>
      </c>
      <c r="E55" s="355">
        <f t="shared" si="1"/>
        <v>-14771.8</v>
      </c>
      <c r="F55" s="355">
        <f t="shared" si="2"/>
        <v>-30493</v>
      </c>
      <c r="G55" s="355">
        <f t="shared" si="3"/>
        <v>0</v>
      </c>
      <c r="H55" s="355">
        <f t="shared" si="4"/>
        <v>-24998</v>
      </c>
      <c r="I55" s="355">
        <f t="shared" si="5"/>
        <v>-6922</v>
      </c>
      <c r="J55" s="355">
        <f t="shared" si="6"/>
        <v>12674.952433835797</v>
      </c>
      <c r="K55" s="356">
        <f t="shared" si="7"/>
        <v>-0.8580506393151679</v>
      </c>
      <c r="M55" s="357"/>
      <c r="N55" s="357"/>
      <c r="O55" s="357"/>
      <c r="P55" s="357"/>
      <c r="Q55" s="357"/>
      <c r="R55" s="357">
        <v>-24998</v>
      </c>
      <c r="S55" s="357">
        <v>-30493</v>
      </c>
      <c r="T55" s="357">
        <v>-11446</v>
      </c>
      <c r="U55" s="357">
        <v>-6922</v>
      </c>
      <c r="V55" s="357"/>
      <c r="W55" s="357">
        <v>0</v>
      </c>
      <c r="X55" s="357"/>
      <c r="Y55" s="343"/>
      <c r="Z55" s="336"/>
      <c r="AA55" s="336"/>
      <c r="AB55" s="336"/>
      <c r="AC55" s="336"/>
      <c r="AD55" s="336"/>
      <c r="AE55" s="336"/>
      <c r="AF55" s="336"/>
      <c r="AG55" s="336"/>
      <c r="AH55" s="336"/>
      <c r="AI55" s="336"/>
      <c r="AJ55" s="336"/>
      <c r="AK55" s="336"/>
      <c r="AL55" s="336"/>
      <c r="AM55" s="336"/>
      <c r="AN55" s="336"/>
      <c r="AO55" s="336"/>
      <c r="AP55" s="336"/>
      <c r="AQ55" s="336"/>
      <c r="AR55" s="336"/>
      <c r="AS55" s="336"/>
      <c r="AT55" s="336"/>
      <c r="AU55" s="336"/>
      <c r="AV55" s="336"/>
      <c r="AW55" s="336"/>
    </row>
    <row r="56" spans="1:49" ht="14" outlineLevel="6">
      <c r="A56" s="336"/>
      <c r="B56" s="341"/>
      <c r="C56" s="358" t="s">
        <v>628</v>
      </c>
      <c r="D56" s="359">
        <f t="shared" si="0"/>
        <v>263</v>
      </c>
      <c r="E56" s="359">
        <f t="shared" si="1"/>
        <v>-5031.7142857142853</v>
      </c>
      <c r="F56" s="359">
        <f t="shared" si="2"/>
        <v>-31266</v>
      </c>
      <c r="G56" s="359">
        <f t="shared" si="3"/>
        <v>13456</v>
      </c>
      <c r="H56" s="359">
        <f t="shared" si="4"/>
        <v>-11611.5</v>
      </c>
      <c r="I56" s="359">
        <f t="shared" si="5"/>
        <v>2774</v>
      </c>
      <c r="J56" s="359">
        <f t="shared" si="6"/>
        <v>14804.787994815346</v>
      </c>
      <c r="K56" s="360">
        <f t="shared" si="7"/>
        <v>-2.9422950418405378</v>
      </c>
      <c r="L56" s="339"/>
      <c r="M56" s="361"/>
      <c r="N56" s="361"/>
      <c r="O56" s="361"/>
      <c r="P56" s="361"/>
      <c r="Q56" s="361"/>
      <c r="R56" s="361">
        <v>-31266</v>
      </c>
      <c r="S56" s="361">
        <v>-15987</v>
      </c>
      <c r="T56" s="361">
        <v>-7236</v>
      </c>
      <c r="U56" s="361">
        <v>506</v>
      </c>
      <c r="V56" s="361">
        <v>263</v>
      </c>
      <c r="W56" s="361">
        <v>5042</v>
      </c>
      <c r="X56" s="361">
        <v>13456</v>
      </c>
      <c r="Y56" s="343"/>
      <c r="Z56" s="336"/>
      <c r="AA56" s="336"/>
      <c r="AB56" s="336"/>
      <c r="AC56" s="336"/>
      <c r="AD56" s="336"/>
      <c r="AE56" s="336"/>
      <c r="AF56" s="336"/>
      <c r="AG56" s="336"/>
      <c r="AH56" s="336"/>
      <c r="AI56" s="336"/>
      <c r="AJ56" s="336"/>
      <c r="AK56" s="336"/>
      <c r="AL56" s="336"/>
      <c r="AM56" s="336"/>
      <c r="AN56" s="336"/>
      <c r="AO56" s="336"/>
      <c r="AP56" s="336"/>
      <c r="AQ56" s="336"/>
      <c r="AR56" s="336"/>
      <c r="AS56" s="336"/>
      <c r="AT56" s="336"/>
      <c r="AU56" s="336"/>
      <c r="AV56" s="336"/>
      <c r="AW56" s="336"/>
    </row>
    <row r="57" spans="1:49" ht="14" outlineLevel="5">
      <c r="A57" s="336"/>
      <c r="B57" s="341"/>
      <c r="C57" s="358" t="s">
        <v>629</v>
      </c>
      <c r="D57" s="359">
        <f t="shared" si="0"/>
        <v>-356</v>
      </c>
      <c r="E57" s="359">
        <f t="shared" si="1"/>
        <v>-1134.6666666666667</v>
      </c>
      <c r="F57" s="359">
        <f t="shared" si="2"/>
        <v>-31266</v>
      </c>
      <c r="G57" s="359">
        <f t="shared" si="3"/>
        <v>30928</v>
      </c>
      <c r="H57" s="359">
        <f t="shared" si="4"/>
        <v>-11883.75</v>
      </c>
      <c r="I57" s="359">
        <f t="shared" si="5"/>
        <v>7145.5</v>
      </c>
      <c r="J57" s="359">
        <f t="shared" si="6"/>
        <v>16707.137132121563</v>
      </c>
      <c r="K57" s="360">
        <f t="shared" si="7"/>
        <v>-14.724268917850965</v>
      </c>
      <c r="L57" s="339"/>
      <c r="M57" s="361">
        <v>17312</v>
      </c>
      <c r="N57" s="361">
        <v>-975</v>
      </c>
      <c r="O57" s="361">
        <v>-14721</v>
      </c>
      <c r="P57" s="361">
        <v>30928</v>
      </c>
      <c r="Q57" s="361">
        <v>-10938</v>
      </c>
      <c r="R57" s="361">
        <v>-31266</v>
      </c>
      <c r="S57" s="361">
        <v>-15987</v>
      </c>
      <c r="T57" s="361">
        <v>-7236</v>
      </c>
      <c r="U57" s="361">
        <v>506</v>
      </c>
      <c r="V57" s="361">
        <v>263</v>
      </c>
      <c r="W57" s="361">
        <v>5042</v>
      </c>
      <c r="X57" s="361">
        <v>13456</v>
      </c>
      <c r="Y57" s="343"/>
      <c r="Z57" s="336"/>
      <c r="AA57" s="336"/>
      <c r="AB57" s="336"/>
      <c r="AC57" s="336"/>
      <c r="AD57" s="336"/>
      <c r="AE57" s="336"/>
      <c r="AF57" s="336"/>
      <c r="AG57" s="336"/>
      <c r="AH57" s="336"/>
      <c r="AI57" s="336"/>
      <c r="AJ57" s="336"/>
      <c r="AK57" s="336"/>
      <c r="AL57" s="336"/>
      <c r="AM57" s="336"/>
      <c r="AN57" s="336"/>
      <c r="AO57" s="336"/>
      <c r="AP57" s="336"/>
      <c r="AQ57" s="336"/>
      <c r="AR57" s="336"/>
      <c r="AS57" s="336"/>
      <c r="AT57" s="336"/>
      <c r="AU57" s="336"/>
      <c r="AV57" s="336"/>
      <c r="AW57" s="336"/>
    </row>
    <row r="58" spans="1:49" ht="14" outlineLevel="4">
      <c r="A58" s="336"/>
      <c r="B58" s="341"/>
      <c r="C58" s="354" t="s">
        <v>630</v>
      </c>
      <c r="D58" s="355">
        <f t="shared" si="0"/>
        <v>3358.5</v>
      </c>
      <c r="E58" s="355">
        <f t="shared" si="1"/>
        <v>4702.583333333333</v>
      </c>
      <c r="F58" s="355">
        <f t="shared" si="2"/>
        <v>-2842</v>
      </c>
      <c r="G58" s="355">
        <f t="shared" si="3"/>
        <v>13639</v>
      </c>
      <c r="H58" s="355">
        <f t="shared" si="4"/>
        <v>2364</v>
      </c>
      <c r="I58" s="355">
        <f t="shared" si="5"/>
        <v>5777.75</v>
      </c>
      <c r="J58" s="355">
        <f t="shared" si="6"/>
        <v>4999.7672574618782</v>
      </c>
      <c r="K58" s="356">
        <f t="shared" si="7"/>
        <v>1.0631958868271436</v>
      </c>
      <c r="M58" s="357">
        <v>2775</v>
      </c>
      <c r="N58" s="357">
        <v>3942</v>
      </c>
      <c r="O58" s="357">
        <v>9404</v>
      </c>
      <c r="P58" s="357">
        <v>2349</v>
      </c>
      <c r="Q58" s="357">
        <v>-2842</v>
      </c>
      <c r="R58" s="357">
        <v>13275</v>
      </c>
      <c r="S58" s="357">
        <v>13639</v>
      </c>
      <c r="T58" s="357">
        <v>2475</v>
      </c>
      <c r="U58" s="357">
        <v>-20</v>
      </c>
      <c r="V58" s="357">
        <v>4496</v>
      </c>
      <c r="W58" s="357">
        <v>2369</v>
      </c>
      <c r="X58" s="357">
        <v>4569</v>
      </c>
      <c r="Y58" s="343"/>
      <c r="Z58" s="336"/>
      <c r="AA58" s="336"/>
      <c r="AB58" s="336"/>
      <c r="AC58" s="336"/>
      <c r="AD58" s="336"/>
      <c r="AE58" s="336"/>
      <c r="AF58" s="336"/>
      <c r="AG58" s="336"/>
      <c r="AH58" s="336"/>
      <c r="AI58" s="336"/>
      <c r="AJ58" s="336"/>
      <c r="AK58" s="336"/>
      <c r="AL58" s="336"/>
      <c r="AM58" s="336"/>
      <c r="AN58" s="336"/>
      <c r="AO58" s="336"/>
      <c r="AP58" s="336"/>
      <c r="AQ58" s="336"/>
      <c r="AR58" s="336"/>
      <c r="AS58" s="336"/>
      <c r="AT58" s="336"/>
      <c r="AU58" s="336"/>
      <c r="AV58" s="336"/>
      <c r="AW58" s="336"/>
    </row>
    <row r="59" spans="1:49" ht="14" outlineLevel="4">
      <c r="A59" s="336"/>
      <c r="B59" s="341"/>
      <c r="C59" s="354" t="s">
        <v>631</v>
      </c>
      <c r="D59" s="355">
        <f t="shared" si="0"/>
        <v>-829.5</v>
      </c>
      <c r="E59" s="355">
        <f t="shared" si="1"/>
        <v>35.583333333333336</v>
      </c>
      <c r="F59" s="355">
        <f t="shared" si="2"/>
        <v>-12043</v>
      </c>
      <c r="G59" s="355">
        <f t="shared" si="3"/>
        <v>11093</v>
      </c>
      <c r="H59" s="355">
        <f t="shared" si="4"/>
        <v>-1861.75</v>
      </c>
      <c r="I59" s="355">
        <f t="shared" si="5"/>
        <v>2593.5</v>
      </c>
      <c r="J59" s="355">
        <f t="shared" si="6"/>
        <v>5513.2389005232144</v>
      </c>
      <c r="K59" s="356">
        <f t="shared" si="7"/>
        <v>154.93879814116761</v>
      </c>
      <c r="M59" s="357">
        <v>-3172</v>
      </c>
      <c r="N59" s="357">
        <v>-12043</v>
      </c>
      <c r="O59" s="357">
        <v>11093</v>
      </c>
      <c r="P59" s="357">
        <v>2172</v>
      </c>
      <c r="Q59" s="357">
        <v>2172</v>
      </c>
      <c r="R59" s="357">
        <v>-3213</v>
      </c>
      <c r="S59" s="357">
        <v>-1425</v>
      </c>
      <c r="T59" s="357">
        <v>3858</v>
      </c>
      <c r="U59" s="357">
        <v>-670</v>
      </c>
      <c r="V59" s="357">
        <v>-989</v>
      </c>
      <c r="W59" s="357">
        <v>4026</v>
      </c>
      <c r="X59" s="357">
        <v>-1382</v>
      </c>
      <c r="Y59" s="343"/>
      <c r="Z59" s="336"/>
      <c r="AA59" s="336"/>
      <c r="AB59" s="336"/>
      <c r="AC59" s="336"/>
      <c r="AD59" s="336"/>
      <c r="AE59" s="336"/>
      <c r="AF59" s="336"/>
      <c r="AG59" s="336"/>
      <c r="AH59" s="336"/>
      <c r="AI59" s="336"/>
      <c r="AJ59" s="336"/>
      <c r="AK59" s="336"/>
      <c r="AL59" s="336"/>
      <c r="AM59" s="336"/>
      <c r="AN59" s="336"/>
      <c r="AO59" s="336"/>
      <c r="AP59" s="336"/>
      <c r="AQ59" s="336"/>
      <c r="AR59" s="336"/>
      <c r="AS59" s="336"/>
      <c r="AT59" s="336"/>
      <c r="AU59" s="336"/>
      <c r="AV59" s="336"/>
      <c r="AW59" s="336"/>
    </row>
    <row r="60" spans="1:49" ht="14" outlineLevel="4">
      <c r="A60" s="336"/>
      <c r="B60" s="341"/>
      <c r="C60" s="354" t="s">
        <v>632</v>
      </c>
      <c r="D60" s="355">
        <f t="shared" si="0"/>
        <v>852.5</v>
      </c>
      <c r="E60" s="355">
        <f t="shared" si="1"/>
        <v>2286.5833333333335</v>
      </c>
      <c r="F60" s="355">
        <f t="shared" si="2"/>
        <v>-4096</v>
      </c>
      <c r="G60" s="355">
        <f t="shared" si="3"/>
        <v>13185</v>
      </c>
      <c r="H60" s="355">
        <f t="shared" si="4"/>
        <v>-1861</v>
      </c>
      <c r="I60" s="355">
        <f t="shared" si="5"/>
        <v>4801.5</v>
      </c>
      <c r="J60" s="355">
        <f t="shared" si="6"/>
        <v>5347.041670754762</v>
      </c>
      <c r="K60" s="356">
        <f t="shared" si="7"/>
        <v>2.3384416359582034</v>
      </c>
      <c r="M60" s="357">
        <v>13185</v>
      </c>
      <c r="N60" s="357">
        <v>9664</v>
      </c>
      <c r="O60" s="357">
        <v>1511</v>
      </c>
      <c r="P60" s="357">
        <v>3920</v>
      </c>
      <c r="Q60" s="357">
        <v>-2434</v>
      </c>
      <c r="R60" s="357">
        <v>6231</v>
      </c>
      <c r="S60" s="357">
        <v>194</v>
      </c>
      <c r="T60" s="357">
        <v>-3027</v>
      </c>
      <c r="U60" s="357">
        <v>-4096</v>
      </c>
      <c r="V60" s="357">
        <v>4325</v>
      </c>
      <c r="W60" s="357">
        <v>-1670</v>
      </c>
      <c r="X60" s="357">
        <v>-364</v>
      </c>
      <c r="Y60" s="343"/>
      <c r="Z60" s="336"/>
      <c r="AA60" s="336"/>
      <c r="AB60" s="336"/>
      <c r="AC60" s="336"/>
      <c r="AD60" s="336"/>
      <c r="AE60" s="336"/>
      <c r="AF60" s="336"/>
      <c r="AG60" s="336"/>
      <c r="AH60" s="336"/>
      <c r="AI60" s="336"/>
      <c r="AJ60" s="336"/>
      <c r="AK60" s="336"/>
      <c r="AL60" s="336"/>
      <c r="AM60" s="336"/>
      <c r="AN60" s="336"/>
      <c r="AO60" s="336"/>
      <c r="AP60" s="336"/>
      <c r="AQ60" s="336"/>
      <c r="AR60" s="336"/>
      <c r="AS60" s="336"/>
      <c r="AT60" s="336"/>
      <c r="AU60" s="336"/>
      <c r="AV60" s="336"/>
      <c r="AW60" s="336"/>
    </row>
    <row r="61" spans="1:49" ht="14" outlineLevel="4">
      <c r="A61" s="336"/>
      <c r="B61" s="341"/>
      <c r="C61" s="358" t="s">
        <v>633</v>
      </c>
      <c r="D61" s="359">
        <f t="shared" si="0"/>
        <v>641</v>
      </c>
      <c r="E61" s="359">
        <f t="shared" si="1"/>
        <v>-2038</v>
      </c>
      <c r="F61" s="359">
        <f t="shared" si="2"/>
        <v>-21154</v>
      </c>
      <c r="G61" s="359">
        <f t="shared" si="3"/>
        <v>36143</v>
      </c>
      <c r="H61" s="359">
        <f t="shared" si="4"/>
        <v>-17638.75</v>
      </c>
      <c r="I61" s="359">
        <f t="shared" si="5"/>
        <v>6982</v>
      </c>
      <c r="J61" s="359">
        <f t="shared" si="6"/>
        <v>17109.179072809267</v>
      </c>
      <c r="K61" s="360">
        <f t="shared" si="7"/>
        <v>-8.3950829601615649</v>
      </c>
      <c r="L61" s="339"/>
      <c r="M61" s="361">
        <v>-19628</v>
      </c>
      <c r="N61" s="361">
        <v>6877</v>
      </c>
      <c r="O61" s="361">
        <v>-21154</v>
      </c>
      <c r="P61" s="361">
        <v>36143</v>
      </c>
      <c r="Q61" s="361">
        <v>7297</v>
      </c>
      <c r="R61" s="361">
        <v>-14822</v>
      </c>
      <c r="S61" s="361">
        <v>866</v>
      </c>
      <c r="T61" s="361">
        <v>-18886</v>
      </c>
      <c r="U61" s="361">
        <v>-17223</v>
      </c>
      <c r="V61" s="361">
        <v>416</v>
      </c>
      <c r="W61" s="361">
        <v>3725</v>
      </c>
      <c r="X61" s="361">
        <v>11933</v>
      </c>
      <c r="Y61" s="343"/>
      <c r="Z61" s="336"/>
      <c r="AA61" s="336"/>
      <c r="AB61" s="336"/>
      <c r="AC61" s="336"/>
      <c r="AD61" s="336"/>
      <c r="AE61" s="336"/>
      <c r="AF61" s="336"/>
      <c r="AG61" s="336"/>
      <c r="AH61" s="336"/>
      <c r="AI61" s="336"/>
      <c r="AJ61" s="336"/>
      <c r="AK61" s="336"/>
      <c r="AL61" s="336"/>
      <c r="AM61" s="336"/>
      <c r="AN61" s="336"/>
      <c r="AO61" s="336"/>
      <c r="AP61" s="336"/>
      <c r="AQ61" s="336"/>
      <c r="AR61" s="336"/>
      <c r="AS61" s="336"/>
      <c r="AT61" s="336"/>
      <c r="AU61" s="336"/>
      <c r="AV61" s="336"/>
      <c r="AW61" s="336"/>
    </row>
    <row r="62" spans="1:49" ht="14" outlineLevel="3">
      <c r="A62" s="336"/>
      <c r="B62" s="341"/>
      <c r="C62" s="358" t="s">
        <v>634</v>
      </c>
      <c r="D62" s="359">
        <f t="shared" si="0"/>
        <v>157710</v>
      </c>
      <c r="E62" s="359">
        <f t="shared" si="1"/>
        <v>176448.5</v>
      </c>
      <c r="F62" s="359">
        <f t="shared" si="2"/>
        <v>57759</v>
      </c>
      <c r="G62" s="359">
        <f t="shared" si="3"/>
        <v>388819</v>
      </c>
      <c r="H62" s="359">
        <f t="shared" si="4"/>
        <v>81098.5</v>
      </c>
      <c r="I62" s="359">
        <f t="shared" si="5"/>
        <v>218098.25</v>
      </c>
      <c r="J62" s="359">
        <f t="shared" si="6"/>
        <v>112693.1217821212</v>
      </c>
      <c r="K62" s="360">
        <f t="shared" si="7"/>
        <v>0.63867429749825699</v>
      </c>
      <c r="L62" s="339"/>
      <c r="M62" s="361">
        <v>388819</v>
      </c>
      <c r="N62" s="361">
        <v>365051</v>
      </c>
      <c r="O62" s="361">
        <v>259460</v>
      </c>
      <c r="P62" s="361">
        <v>189734</v>
      </c>
      <c r="Q62" s="361">
        <v>57759</v>
      </c>
      <c r="R62" s="361">
        <v>204311</v>
      </c>
      <c r="S62" s="361">
        <v>184399</v>
      </c>
      <c r="T62" s="361">
        <v>131021</v>
      </c>
      <c r="U62" s="361">
        <v>108817</v>
      </c>
      <c r="V62" s="361">
        <v>81663</v>
      </c>
      <c r="W62" s="361">
        <v>79405</v>
      </c>
      <c r="X62" s="361">
        <v>66943</v>
      </c>
      <c r="Y62" s="343"/>
      <c r="Z62" s="336"/>
      <c r="AA62" s="336"/>
      <c r="AB62" s="336"/>
      <c r="AC62" s="336"/>
      <c r="AD62" s="336"/>
      <c r="AE62" s="336"/>
      <c r="AF62" s="336"/>
      <c r="AG62" s="336"/>
      <c r="AH62" s="336"/>
      <c r="AI62" s="336"/>
      <c r="AJ62" s="336"/>
      <c r="AK62" s="336"/>
      <c r="AL62" s="336"/>
      <c r="AM62" s="336"/>
      <c r="AN62" s="336"/>
      <c r="AO62" s="336"/>
      <c r="AP62" s="336"/>
      <c r="AQ62" s="336"/>
      <c r="AR62" s="336"/>
      <c r="AS62" s="336"/>
      <c r="AT62" s="336"/>
      <c r="AU62" s="336"/>
      <c r="AV62" s="336"/>
      <c r="AW62" s="336"/>
    </row>
    <row r="63" spans="1:49" ht="14" outlineLevel="2">
      <c r="A63" s="336"/>
      <c r="B63" s="341"/>
      <c r="C63" s="354" t="s">
        <v>635</v>
      </c>
      <c r="D63" s="355">
        <f t="shared" si="0"/>
        <v>-26621</v>
      </c>
      <c r="E63" s="355">
        <f t="shared" si="1"/>
        <v>-25212.400000000001</v>
      </c>
      <c r="F63" s="355">
        <f t="shared" si="2"/>
        <v>-44946</v>
      </c>
      <c r="G63" s="355">
        <f t="shared" si="3"/>
        <v>-445</v>
      </c>
      <c r="H63" s="355">
        <f t="shared" si="4"/>
        <v>-34797</v>
      </c>
      <c r="I63" s="355">
        <f t="shared" si="5"/>
        <v>-19253</v>
      </c>
      <c r="J63" s="355">
        <f t="shared" si="6"/>
        <v>16824.106448783543</v>
      </c>
      <c r="K63" s="356">
        <f t="shared" si="7"/>
        <v>-0.66729492030840154</v>
      </c>
      <c r="M63" s="357">
        <v>-44946</v>
      </c>
      <c r="N63" s="357">
        <v>-34797</v>
      </c>
      <c r="O63" s="357">
        <v>-19253</v>
      </c>
      <c r="P63" s="357">
        <v>-445</v>
      </c>
      <c r="Q63" s="357">
        <v>-26621</v>
      </c>
      <c r="R63" s="357"/>
      <c r="S63" s="357"/>
      <c r="T63" s="357"/>
      <c r="U63" s="357"/>
      <c r="V63" s="357"/>
      <c r="W63" s="357"/>
      <c r="X63" s="357"/>
      <c r="Y63" s="343"/>
      <c r="Z63" s="336"/>
      <c r="AA63" s="336"/>
      <c r="AB63" s="336"/>
      <c r="AC63" s="336"/>
      <c r="AD63" s="336"/>
      <c r="AE63" s="336"/>
      <c r="AF63" s="336"/>
      <c r="AG63" s="336"/>
      <c r="AH63" s="336"/>
      <c r="AI63" s="336"/>
      <c r="AJ63" s="336"/>
      <c r="AK63" s="336"/>
      <c r="AL63" s="336"/>
      <c r="AM63" s="336"/>
      <c r="AN63" s="336"/>
      <c r="AO63" s="336"/>
      <c r="AP63" s="336"/>
      <c r="AQ63" s="336"/>
      <c r="AR63" s="336"/>
      <c r="AS63" s="336"/>
      <c r="AT63" s="336"/>
      <c r="AU63" s="336"/>
      <c r="AV63" s="336"/>
      <c r="AW63" s="336"/>
    </row>
    <row r="64" spans="1:49" ht="14" outlineLevel="2">
      <c r="A64" s="336"/>
      <c r="B64" s="341"/>
      <c r="C64" s="358" t="s">
        <v>636</v>
      </c>
      <c r="D64" s="359">
        <f t="shared" si="0"/>
        <v>157710</v>
      </c>
      <c r="E64" s="359">
        <f t="shared" si="1"/>
        <v>165943.33333333334</v>
      </c>
      <c r="F64" s="359">
        <f t="shared" si="2"/>
        <v>31138</v>
      </c>
      <c r="G64" s="359">
        <f t="shared" si="3"/>
        <v>343873</v>
      </c>
      <c r="H64" s="359">
        <f t="shared" si="4"/>
        <v>81098.5</v>
      </c>
      <c r="I64" s="359">
        <f t="shared" si="5"/>
        <v>213285</v>
      </c>
      <c r="J64" s="359">
        <f t="shared" si="6"/>
        <v>101613.50671703706</v>
      </c>
      <c r="K64" s="360">
        <f t="shared" si="7"/>
        <v>0.61233858978187572</v>
      </c>
      <c r="L64" s="339"/>
      <c r="M64" s="361">
        <v>343873</v>
      </c>
      <c r="N64" s="361">
        <v>330254</v>
      </c>
      <c r="O64" s="361">
        <v>240207</v>
      </c>
      <c r="P64" s="361">
        <v>189289</v>
      </c>
      <c r="Q64" s="361">
        <v>31138</v>
      </c>
      <c r="R64" s="361">
        <v>204311</v>
      </c>
      <c r="S64" s="361">
        <v>184399</v>
      </c>
      <c r="T64" s="361">
        <v>131021</v>
      </c>
      <c r="U64" s="361">
        <v>108817</v>
      </c>
      <c r="V64" s="361">
        <v>81663</v>
      </c>
      <c r="W64" s="361">
        <v>79405</v>
      </c>
      <c r="X64" s="361">
        <v>66943</v>
      </c>
      <c r="Y64" s="343"/>
      <c r="Z64" s="336"/>
      <c r="AA64" s="336"/>
      <c r="AB64" s="336"/>
      <c r="AC64" s="336"/>
      <c r="AD64" s="336"/>
      <c r="AE64" s="336"/>
      <c r="AF64" s="336"/>
      <c r="AG64" s="336"/>
      <c r="AH64" s="336"/>
      <c r="AI64" s="336"/>
      <c r="AJ64" s="336"/>
      <c r="AK64" s="336"/>
      <c r="AL64" s="336"/>
      <c r="AM64" s="336"/>
      <c r="AN64" s="336"/>
      <c r="AO64" s="336"/>
      <c r="AP64" s="336"/>
      <c r="AQ64" s="336"/>
      <c r="AR64" s="336"/>
      <c r="AS64" s="336"/>
      <c r="AT64" s="336"/>
      <c r="AU64" s="336"/>
      <c r="AV64" s="336"/>
      <c r="AW64" s="336"/>
    </row>
    <row r="65" spans="1:49" ht="14" outlineLevel="1">
      <c r="A65" s="336"/>
      <c r="B65" s="341"/>
      <c r="C65" s="351" t="s">
        <v>637</v>
      </c>
      <c r="D65" s="359">
        <f t="shared" si="0"/>
        <v>157710</v>
      </c>
      <c r="E65" s="359">
        <f t="shared" si="1"/>
        <v>165943.33333333334</v>
      </c>
      <c r="F65" s="359">
        <f t="shared" si="2"/>
        <v>31138</v>
      </c>
      <c r="G65" s="359">
        <f t="shared" si="3"/>
        <v>343873</v>
      </c>
      <c r="H65" s="359">
        <f t="shared" si="4"/>
        <v>81098.5</v>
      </c>
      <c r="I65" s="359">
        <f t="shared" si="5"/>
        <v>213285</v>
      </c>
      <c r="J65" s="359">
        <f t="shared" si="6"/>
        <v>101613.50671703706</v>
      </c>
      <c r="K65" s="360">
        <f t="shared" si="7"/>
        <v>0.61233858978187572</v>
      </c>
      <c r="L65" s="362"/>
      <c r="M65" s="359">
        <v>343873</v>
      </c>
      <c r="N65" s="359">
        <v>330254</v>
      </c>
      <c r="O65" s="359">
        <v>240207</v>
      </c>
      <c r="P65" s="359">
        <v>189289</v>
      </c>
      <c r="Q65" s="359">
        <v>31138</v>
      </c>
      <c r="R65" s="359">
        <v>204311</v>
      </c>
      <c r="S65" s="359">
        <v>184399</v>
      </c>
      <c r="T65" s="359">
        <v>131021</v>
      </c>
      <c r="U65" s="359">
        <v>108817</v>
      </c>
      <c r="V65" s="359">
        <v>81663</v>
      </c>
      <c r="W65" s="359">
        <v>79405</v>
      </c>
      <c r="X65" s="359">
        <v>66943</v>
      </c>
      <c r="Y65" s="343"/>
      <c r="Z65" s="336"/>
      <c r="AA65" s="336"/>
      <c r="AB65" s="336"/>
      <c r="AC65" s="336"/>
      <c r="AD65" s="336"/>
      <c r="AE65" s="336"/>
      <c r="AF65" s="336"/>
      <c r="AG65" s="336"/>
      <c r="AH65" s="336"/>
      <c r="AI65" s="336"/>
      <c r="AJ65" s="336"/>
      <c r="AK65" s="336"/>
      <c r="AL65" s="336"/>
      <c r="AM65" s="336"/>
      <c r="AN65" s="336"/>
      <c r="AO65" s="336"/>
      <c r="AP65" s="336"/>
      <c r="AQ65" s="336"/>
      <c r="AR65" s="336"/>
      <c r="AS65" s="336"/>
      <c r="AT65" s="336"/>
      <c r="AU65" s="336"/>
      <c r="AV65" s="336"/>
      <c r="AW65" s="336"/>
    </row>
    <row r="66" spans="1:49" ht="14">
      <c r="A66" s="336"/>
      <c r="B66" s="341"/>
      <c r="C66" s="351" t="s">
        <v>638</v>
      </c>
      <c r="D66" s="352" t="str">
        <f t="shared" si="0"/>
        <v/>
      </c>
      <c r="E66" s="352" t="str">
        <f t="shared" si="1"/>
        <v/>
      </c>
      <c r="F66" s="352" t="str">
        <f t="shared" si="2"/>
        <v/>
      </c>
      <c r="G66" s="352" t="str">
        <f t="shared" si="3"/>
        <v/>
      </c>
      <c r="H66" s="352" t="str">
        <f t="shared" si="4"/>
        <v/>
      </c>
      <c r="I66" s="352" t="str">
        <f t="shared" si="5"/>
        <v/>
      </c>
      <c r="J66" s="352" t="str">
        <f t="shared" si="6"/>
        <v/>
      </c>
      <c r="K66" s="353" t="str">
        <f t="shared" si="7"/>
        <v/>
      </c>
      <c r="L66" s="346"/>
      <c r="M66" s="352"/>
      <c r="N66" s="352"/>
      <c r="O66" s="352"/>
      <c r="P66" s="352"/>
      <c r="Q66" s="352"/>
      <c r="R66" s="352"/>
      <c r="S66" s="352"/>
      <c r="T66" s="352"/>
      <c r="U66" s="352"/>
      <c r="V66" s="352"/>
      <c r="W66" s="352"/>
      <c r="X66" s="352"/>
      <c r="Y66" s="343"/>
      <c r="Z66" s="336"/>
      <c r="AA66" s="336"/>
      <c r="AB66" s="336"/>
      <c r="AC66" s="336"/>
      <c r="AD66" s="336"/>
      <c r="AE66" s="336"/>
      <c r="AF66" s="336"/>
      <c r="AG66" s="336"/>
      <c r="AH66" s="336"/>
      <c r="AI66" s="336"/>
      <c r="AJ66" s="336"/>
      <c r="AK66" s="336"/>
      <c r="AL66" s="336"/>
      <c r="AM66" s="336"/>
      <c r="AN66" s="336"/>
      <c r="AO66" s="336"/>
      <c r="AP66" s="336"/>
      <c r="AQ66" s="336"/>
      <c r="AR66" s="336"/>
      <c r="AS66" s="336"/>
      <c r="AT66" s="336"/>
      <c r="AU66" s="336"/>
      <c r="AV66" s="336"/>
      <c r="AW66" s="336"/>
    </row>
    <row r="67" spans="1:49" ht="14" outlineLevel="1">
      <c r="A67" s="336"/>
      <c r="B67" s="341"/>
      <c r="C67" s="354" t="s">
        <v>639</v>
      </c>
      <c r="D67" s="355" t="str">
        <f t="shared" si="0"/>
        <v/>
      </c>
      <c r="E67" s="355" t="str">
        <f t="shared" si="1"/>
        <v/>
      </c>
      <c r="F67" s="355" t="str">
        <f t="shared" si="2"/>
        <v/>
      </c>
      <c r="G67" s="355" t="str">
        <f t="shared" si="3"/>
        <v/>
      </c>
      <c r="H67" s="355" t="str">
        <f t="shared" si="4"/>
        <v/>
      </c>
      <c r="I67" s="355" t="str">
        <f t="shared" si="5"/>
        <v/>
      </c>
      <c r="J67" s="355" t="str">
        <f t="shared" si="6"/>
        <v/>
      </c>
      <c r="K67" s="356" t="str">
        <f t="shared" si="7"/>
        <v/>
      </c>
      <c r="M67" s="357"/>
      <c r="N67" s="357"/>
      <c r="O67" s="357"/>
      <c r="P67" s="357"/>
      <c r="Q67" s="357"/>
      <c r="R67" s="357"/>
      <c r="S67" s="357"/>
      <c r="T67" s="357"/>
      <c r="U67" s="357"/>
      <c r="V67" s="357"/>
      <c r="W67" s="357"/>
      <c r="X67" s="357"/>
      <c r="Y67" s="343"/>
      <c r="Z67" s="336"/>
      <c r="AA67" s="336"/>
      <c r="AB67" s="336"/>
      <c r="AC67" s="336"/>
      <c r="AD67" s="336"/>
      <c r="AE67" s="336"/>
      <c r="AF67" s="336"/>
      <c r="AG67" s="336"/>
      <c r="AH67" s="336"/>
      <c r="AI67" s="336"/>
      <c r="AJ67" s="336"/>
      <c r="AK67" s="336"/>
      <c r="AL67" s="336"/>
      <c r="AM67" s="336"/>
      <c r="AN67" s="336"/>
      <c r="AO67" s="336"/>
      <c r="AP67" s="336"/>
      <c r="AQ67" s="336"/>
      <c r="AR67" s="336"/>
      <c r="AS67" s="336"/>
      <c r="AT67" s="336"/>
      <c r="AU67" s="336"/>
      <c r="AV67" s="336"/>
      <c r="AW67" s="336"/>
    </row>
    <row r="68" spans="1:49" ht="14" outlineLevel="2">
      <c r="A68" s="336"/>
      <c r="B68" s="341"/>
      <c r="C68" s="354" t="s">
        <v>640</v>
      </c>
      <c r="D68" s="355" t="str">
        <f t="shared" si="0"/>
        <v/>
      </c>
      <c r="E68" s="355" t="str">
        <f t="shared" si="1"/>
        <v/>
      </c>
      <c r="F68" s="355" t="str">
        <f t="shared" si="2"/>
        <v/>
      </c>
      <c r="G68" s="355" t="str">
        <f t="shared" si="3"/>
        <v/>
      </c>
      <c r="H68" s="355" t="str">
        <f t="shared" si="4"/>
        <v/>
      </c>
      <c r="I68" s="355" t="str">
        <f t="shared" si="5"/>
        <v/>
      </c>
      <c r="J68" s="355" t="str">
        <f t="shared" si="6"/>
        <v/>
      </c>
      <c r="K68" s="356" t="str">
        <f t="shared" si="7"/>
        <v/>
      </c>
      <c r="M68" s="357"/>
      <c r="N68" s="357"/>
      <c r="O68" s="357"/>
      <c r="P68" s="357"/>
      <c r="Q68" s="357"/>
      <c r="R68" s="357"/>
      <c r="S68" s="357"/>
      <c r="T68" s="357"/>
      <c r="U68" s="357"/>
      <c r="V68" s="357"/>
      <c r="W68" s="357"/>
      <c r="X68" s="357"/>
      <c r="Y68" s="343"/>
      <c r="Z68" s="336"/>
      <c r="AA68" s="336"/>
      <c r="AB68" s="336"/>
      <c r="AC68" s="336"/>
      <c r="AD68" s="336"/>
      <c r="AE68" s="336"/>
      <c r="AF68" s="336"/>
      <c r="AG68" s="336"/>
      <c r="AH68" s="336"/>
      <c r="AI68" s="336"/>
      <c r="AJ68" s="336"/>
      <c r="AK68" s="336"/>
      <c r="AL68" s="336"/>
      <c r="AM68" s="336"/>
      <c r="AN68" s="336"/>
      <c r="AO68" s="336"/>
      <c r="AP68" s="336"/>
      <c r="AQ68" s="336"/>
      <c r="AR68" s="336"/>
      <c r="AS68" s="336"/>
      <c r="AT68" s="336"/>
      <c r="AU68" s="336"/>
      <c r="AV68" s="336"/>
      <c r="AW68" s="336"/>
    </row>
    <row r="69" spans="1:49" ht="14" outlineLevel="3">
      <c r="A69" s="336"/>
      <c r="B69" s="341"/>
      <c r="C69" s="354" t="s">
        <v>641</v>
      </c>
      <c r="D69" s="355">
        <f t="shared" si="0"/>
        <v>-46710</v>
      </c>
      <c r="E69" s="355">
        <f t="shared" si="1"/>
        <v>-57751</v>
      </c>
      <c r="F69" s="355">
        <f t="shared" si="2"/>
        <v>-155061</v>
      </c>
      <c r="G69" s="355">
        <f t="shared" si="3"/>
        <v>-7287</v>
      </c>
      <c r="H69" s="355">
        <f t="shared" si="4"/>
        <v>-68431.75</v>
      </c>
      <c r="I69" s="355">
        <f t="shared" si="5"/>
        <v>-18778.5</v>
      </c>
      <c r="J69" s="355">
        <f t="shared" si="6"/>
        <v>48243.909041829967</v>
      </c>
      <c r="K69" s="356">
        <f t="shared" si="7"/>
        <v>-0.83537789894252856</v>
      </c>
      <c r="M69" s="357">
        <v>-155061</v>
      </c>
      <c r="N69" s="357">
        <v>-135986</v>
      </c>
      <c r="O69" s="357">
        <v>-100057</v>
      </c>
      <c r="P69" s="357">
        <v>-54074</v>
      </c>
      <c r="Q69" s="357">
        <v>-52560</v>
      </c>
      <c r="R69" s="357">
        <v>-57890</v>
      </c>
      <c r="S69" s="357">
        <v>-40860</v>
      </c>
      <c r="T69" s="357">
        <v>-37722</v>
      </c>
      <c r="U69" s="357">
        <v>-15377</v>
      </c>
      <c r="V69" s="357">
        <v>-19488</v>
      </c>
      <c r="W69" s="357">
        <v>-16650</v>
      </c>
      <c r="X69" s="357">
        <v>-7287</v>
      </c>
      <c r="Y69" s="343"/>
      <c r="Z69" s="336"/>
      <c r="AA69" s="336"/>
      <c r="AB69" s="336"/>
      <c r="AC69" s="336"/>
      <c r="AD69" s="336"/>
      <c r="AE69" s="336"/>
      <c r="AF69" s="336"/>
      <c r="AG69" s="336"/>
      <c r="AH69" s="336"/>
      <c r="AI69" s="336"/>
      <c r="AJ69" s="336"/>
      <c r="AK69" s="336"/>
      <c r="AL69" s="336"/>
      <c r="AM69" s="336"/>
      <c r="AN69" s="336"/>
      <c r="AO69" s="336"/>
      <c r="AP69" s="336"/>
      <c r="AQ69" s="336"/>
      <c r="AR69" s="336"/>
      <c r="AS69" s="336"/>
      <c r="AT69" s="336"/>
      <c r="AU69" s="336"/>
      <c r="AV69" s="336"/>
      <c r="AW69" s="336"/>
    </row>
    <row r="70" spans="1:49" ht="14" outlineLevel="3">
      <c r="A70" s="336"/>
      <c r="B70" s="341"/>
      <c r="C70" s="354" t="s">
        <v>642</v>
      </c>
      <c r="D70" s="355">
        <f t="shared" si="0"/>
        <v>239</v>
      </c>
      <c r="E70" s="355">
        <f t="shared" si="1"/>
        <v>412.83333333333331</v>
      </c>
      <c r="F70" s="355">
        <f t="shared" si="2"/>
        <v>46</v>
      </c>
      <c r="G70" s="355">
        <f t="shared" si="3"/>
        <v>1396</v>
      </c>
      <c r="H70" s="355">
        <f t="shared" si="4"/>
        <v>106.5</v>
      </c>
      <c r="I70" s="355">
        <f t="shared" si="5"/>
        <v>680.75</v>
      </c>
      <c r="J70" s="355">
        <f t="shared" si="6"/>
        <v>422.62939564186263</v>
      </c>
      <c r="K70" s="356">
        <f t="shared" si="7"/>
        <v>1.0237288550065304</v>
      </c>
      <c r="M70" s="357">
        <v>1396</v>
      </c>
      <c r="N70" s="357">
        <v>99</v>
      </c>
      <c r="O70" s="357">
        <v>60</v>
      </c>
      <c r="P70" s="357">
        <v>46</v>
      </c>
      <c r="Q70" s="357">
        <v>282</v>
      </c>
      <c r="R70" s="357">
        <v>109</v>
      </c>
      <c r="S70" s="357">
        <v>196</v>
      </c>
      <c r="T70" s="357">
        <v>680</v>
      </c>
      <c r="U70" s="357">
        <v>683</v>
      </c>
      <c r="V70" s="357">
        <v>327</v>
      </c>
      <c r="W70" s="357">
        <v>926</v>
      </c>
      <c r="X70" s="357">
        <v>150</v>
      </c>
      <c r="Y70" s="343"/>
      <c r="Z70" s="336"/>
      <c r="AA70" s="336"/>
      <c r="AB70" s="336"/>
      <c r="AC70" s="336"/>
      <c r="AD70" s="336"/>
      <c r="AE70" s="336"/>
      <c r="AF70" s="336"/>
      <c r="AG70" s="336"/>
      <c r="AH70" s="336"/>
      <c r="AI70" s="336"/>
      <c r="AJ70" s="336"/>
      <c r="AK70" s="336"/>
      <c r="AL70" s="336"/>
      <c r="AM70" s="336"/>
      <c r="AN70" s="336"/>
      <c r="AO70" s="336"/>
      <c r="AP70" s="336"/>
      <c r="AQ70" s="336"/>
      <c r="AR70" s="336"/>
      <c r="AS70" s="336"/>
      <c r="AT70" s="336"/>
      <c r="AU70" s="336"/>
      <c r="AV70" s="336"/>
      <c r="AW70" s="336"/>
    </row>
    <row r="71" spans="1:49" ht="14" outlineLevel="3">
      <c r="A71" s="336"/>
      <c r="B71" s="341"/>
      <c r="C71" s="358" t="s">
        <v>643</v>
      </c>
      <c r="D71" s="359">
        <f t="shared" si="0"/>
        <v>-46471</v>
      </c>
      <c r="E71" s="359">
        <f t="shared" si="1"/>
        <v>-57338.166666666664</v>
      </c>
      <c r="F71" s="359">
        <f t="shared" si="2"/>
        <v>-153665</v>
      </c>
      <c r="G71" s="359">
        <f t="shared" si="3"/>
        <v>-7137</v>
      </c>
      <c r="H71" s="359">
        <f t="shared" si="4"/>
        <v>-68335</v>
      </c>
      <c r="I71" s="359">
        <f t="shared" si="5"/>
        <v>-18301.75</v>
      </c>
      <c r="J71" s="359">
        <f t="shared" si="6"/>
        <v>48169.390425556521</v>
      </c>
      <c r="K71" s="360">
        <f t="shared" si="7"/>
        <v>-0.84009296470163597</v>
      </c>
      <c r="L71" s="339"/>
      <c r="M71" s="361">
        <v>-153665</v>
      </c>
      <c r="N71" s="361">
        <v>-135887</v>
      </c>
      <c r="O71" s="361">
        <v>-99997</v>
      </c>
      <c r="P71" s="361">
        <v>-54028</v>
      </c>
      <c r="Q71" s="361">
        <v>-52278</v>
      </c>
      <c r="R71" s="361">
        <v>-57781</v>
      </c>
      <c r="S71" s="361">
        <v>-40664</v>
      </c>
      <c r="T71" s="361">
        <v>-37042</v>
      </c>
      <c r="U71" s="361">
        <v>-14694</v>
      </c>
      <c r="V71" s="361">
        <v>-19161</v>
      </c>
      <c r="W71" s="361">
        <v>-15724</v>
      </c>
      <c r="X71" s="361">
        <v>-7137</v>
      </c>
      <c r="Y71" s="343"/>
      <c r="Z71" s="336"/>
      <c r="AA71" s="336"/>
      <c r="AB71" s="336"/>
      <c r="AC71" s="336"/>
      <c r="AD71" s="336"/>
      <c r="AE71" s="336"/>
      <c r="AF71" s="336"/>
      <c r="AG71" s="336"/>
      <c r="AH71" s="336"/>
      <c r="AI71" s="336"/>
      <c r="AJ71" s="336"/>
      <c r="AK71" s="336"/>
      <c r="AL71" s="336"/>
      <c r="AM71" s="336"/>
      <c r="AN71" s="336"/>
      <c r="AO71" s="336"/>
      <c r="AP71" s="336"/>
      <c r="AQ71" s="336"/>
      <c r="AR71" s="336"/>
      <c r="AS71" s="336"/>
      <c r="AT71" s="336"/>
      <c r="AU71" s="336"/>
      <c r="AV71" s="336"/>
      <c r="AW71" s="336"/>
    </row>
    <row r="72" spans="1:49" ht="14" outlineLevel="2">
      <c r="A72" s="336"/>
      <c r="B72" s="341"/>
      <c r="C72" s="354" t="s">
        <v>644</v>
      </c>
      <c r="D72" s="355" t="str">
        <f t="shared" si="0"/>
        <v/>
      </c>
      <c r="E72" s="355" t="str">
        <f t="shared" si="1"/>
        <v/>
      </c>
      <c r="F72" s="355" t="str">
        <f t="shared" si="2"/>
        <v/>
      </c>
      <c r="G72" s="355" t="str">
        <f t="shared" si="3"/>
        <v/>
      </c>
      <c r="H72" s="355" t="str">
        <f t="shared" si="4"/>
        <v/>
      </c>
      <c r="I72" s="355" t="str">
        <f t="shared" si="5"/>
        <v/>
      </c>
      <c r="J72" s="355" t="str">
        <f t="shared" si="6"/>
        <v/>
      </c>
      <c r="K72" s="356" t="str">
        <f t="shared" si="7"/>
        <v/>
      </c>
      <c r="M72" s="357"/>
      <c r="N72" s="357"/>
      <c r="O72" s="357"/>
      <c r="P72" s="357"/>
      <c r="Q72" s="357"/>
      <c r="R72" s="357"/>
      <c r="S72" s="357"/>
      <c r="T72" s="357"/>
      <c r="U72" s="357"/>
      <c r="V72" s="357"/>
      <c r="W72" s="357"/>
      <c r="X72" s="357"/>
      <c r="Y72" s="343"/>
      <c r="Z72" s="336"/>
      <c r="AA72" s="336"/>
      <c r="AB72" s="336"/>
      <c r="AC72" s="336"/>
      <c r="AD72" s="336"/>
      <c r="AE72" s="336"/>
      <c r="AF72" s="336"/>
      <c r="AG72" s="336"/>
      <c r="AH72" s="336"/>
      <c r="AI72" s="336"/>
      <c r="AJ72" s="336"/>
      <c r="AK72" s="336"/>
      <c r="AL72" s="336"/>
      <c r="AM72" s="336"/>
      <c r="AN72" s="336"/>
      <c r="AO72" s="336"/>
      <c r="AP72" s="336"/>
      <c r="AQ72" s="336"/>
      <c r="AR72" s="336"/>
      <c r="AS72" s="336"/>
      <c r="AT72" s="336"/>
      <c r="AU72" s="336"/>
      <c r="AV72" s="336"/>
      <c r="AW72" s="336"/>
    </row>
    <row r="73" spans="1:49" ht="14" outlineLevel="3">
      <c r="A73" s="336"/>
      <c r="B73" s="341"/>
      <c r="C73" s="354" t="s">
        <v>645</v>
      </c>
      <c r="D73" s="355">
        <f t="shared" si="0"/>
        <v>-19319</v>
      </c>
      <c r="E73" s="355">
        <f t="shared" si="1"/>
        <v>-22883.833333333332</v>
      </c>
      <c r="F73" s="355">
        <f t="shared" si="2"/>
        <v>-52913</v>
      </c>
      <c r="G73" s="355">
        <f t="shared" si="3"/>
        <v>0</v>
      </c>
      <c r="H73" s="355">
        <f t="shared" si="4"/>
        <v>-43973.5</v>
      </c>
      <c r="I73" s="355">
        <f t="shared" si="5"/>
        <v>0</v>
      </c>
      <c r="J73" s="355">
        <f t="shared" si="6"/>
        <v>25471.188228401646</v>
      </c>
      <c r="K73" s="356">
        <f t="shared" si="7"/>
        <v>-1.1130647500084476</v>
      </c>
      <c r="M73" s="357"/>
      <c r="N73" s="357"/>
      <c r="O73" s="357"/>
      <c r="P73" s="357"/>
      <c r="Q73" s="357">
        <v>0</v>
      </c>
      <c r="R73" s="357">
        <v>-52913</v>
      </c>
      <c r="S73" s="357">
        <v>-45752</v>
      </c>
      <c r="T73" s="357">
        <v>0</v>
      </c>
      <c r="U73" s="357">
        <v>0</v>
      </c>
      <c r="V73" s="357"/>
      <c r="W73" s="357">
        <v>-38638</v>
      </c>
      <c r="X73" s="357"/>
      <c r="Y73" s="343"/>
      <c r="Z73" s="336"/>
      <c r="AA73" s="336"/>
      <c r="AB73" s="336"/>
      <c r="AC73" s="336"/>
      <c r="AD73" s="336"/>
      <c r="AE73" s="336"/>
      <c r="AF73" s="336"/>
      <c r="AG73" s="336"/>
      <c r="AH73" s="336"/>
      <c r="AI73" s="336"/>
      <c r="AJ73" s="336"/>
      <c r="AK73" s="336"/>
      <c r="AL73" s="336"/>
      <c r="AM73" s="336"/>
      <c r="AN73" s="336"/>
      <c r="AO73" s="336"/>
      <c r="AP73" s="336"/>
      <c r="AQ73" s="336"/>
      <c r="AR73" s="336"/>
      <c r="AS73" s="336"/>
      <c r="AT73" s="336"/>
      <c r="AU73" s="336"/>
      <c r="AV73" s="336"/>
      <c r="AW73" s="336"/>
    </row>
    <row r="74" spans="1:49" ht="14" outlineLevel="3">
      <c r="A74" s="336"/>
      <c r="B74" s="341"/>
      <c r="C74" s="358" t="s">
        <v>646</v>
      </c>
      <c r="D74" s="359">
        <f t="shared" si="0"/>
        <v>-19319</v>
      </c>
      <c r="E74" s="359">
        <f t="shared" si="1"/>
        <v>-22883.833333333332</v>
      </c>
      <c r="F74" s="359">
        <f t="shared" si="2"/>
        <v>-52913</v>
      </c>
      <c r="G74" s="359">
        <f t="shared" si="3"/>
        <v>0</v>
      </c>
      <c r="H74" s="359">
        <f t="shared" si="4"/>
        <v>-43973.5</v>
      </c>
      <c r="I74" s="359">
        <f t="shared" si="5"/>
        <v>0</v>
      </c>
      <c r="J74" s="359">
        <f t="shared" si="6"/>
        <v>25471.188228401646</v>
      </c>
      <c r="K74" s="360">
        <f t="shared" si="7"/>
        <v>-1.1130647500084476</v>
      </c>
      <c r="L74" s="339"/>
      <c r="M74" s="361"/>
      <c r="N74" s="361"/>
      <c r="O74" s="361"/>
      <c r="P74" s="361"/>
      <c r="Q74" s="361">
        <v>0</v>
      </c>
      <c r="R74" s="361">
        <v>-52913</v>
      </c>
      <c r="S74" s="361">
        <v>-45752</v>
      </c>
      <c r="T74" s="361">
        <v>0</v>
      </c>
      <c r="U74" s="361">
        <v>0</v>
      </c>
      <c r="V74" s="361"/>
      <c r="W74" s="361">
        <v>-38638</v>
      </c>
      <c r="X74" s="361"/>
      <c r="Y74" s="343"/>
      <c r="Z74" s="336"/>
      <c r="AA74" s="336"/>
      <c r="AB74" s="336"/>
      <c r="AC74" s="336"/>
      <c r="AD74" s="336"/>
      <c r="AE74" s="336"/>
      <c r="AF74" s="336"/>
      <c r="AG74" s="336"/>
      <c r="AH74" s="336"/>
      <c r="AI74" s="336"/>
      <c r="AJ74" s="336"/>
      <c r="AK74" s="336"/>
      <c r="AL74" s="336"/>
      <c r="AM74" s="336"/>
      <c r="AN74" s="336"/>
      <c r="AO74" s="336"/>
      <c r="AP74" s="336"/>
      <c r="AQ74" s="336"/>
      <c r="AR74" s="336"/>
      <c r="AS74" s="336"/>
      <c r="AT74" s="336"/>
      <c r="AU74" s="336"/>
      <c r="AV74" s="336"/>
      <c r="AW74" s="336"/>
    </row>
    <row r="75" spans="1:49" ht="14" outlineLevel="2">
      <c r="A75" s="336"/>
      <c r="B75" s="341"/>
      <c r="C75" s="354" t="s">
        <v>647</v>
      </c>
      <c r="D75" s="355" t="str">
        <f t="shared" ref="D75:D138" si="8">IF(COUNT(L75:X75)&gt;0,MEDIAN(L75:X75),"")</f>
        <v/>
      </c>
      <c r="E75" s="355" t="str">
        <f t="shared" ref="E75:E138" si="9">IF(COUNT(L75:X75)&gt;0,AVERAGE(L75:X75),"")</f>
        <v/>
      </c>
      <c r="F75" s="355" t="str">
        <f t="shared" ref="F75:F138" si="10">IF(COUNT(L75:X75)&gt;0,MIN(L75:X75),"")</f>
        <v/>
      </c>
      <c r="G75" s="355" t="str">
        <f t="shared" ref="G75:G138" si="11">IF(COUNT(L75:X75)&gt;0,MAX(L75:X75),"")</f>
        <v/>
      </c>
      <c r="H75" s="355" t="str">
        <f t="shared" ref="H75:H138" si="12">IF(COUNT(L75:X75)&gt;0,QUARTILE(L75:X75,1),"")</f>
        <v/>
      </c>
      <c r="I75" s="355" t="str">
        <f t="shared" ref="I75:I138" si="13">IF(COUNT(L75:X75)&gt;0,QUARTILE(L75:X75,3),"")</f>
        <v/>
      </c>
      <c r="J75" s="355" t="str">
        <f t="shared" ref="J75:J138" si="14">IF(COUNT(L75:X75)&gt;1,STDEV(L75:X75),"")</f>
        <v/>
      </c>
      <c r="K75" s="356" t="str">
        <f t="shared" ref="K75:K138" si="15">IF(COUNT(L75:X75)&gt;1,STDEV(L75:X75)/AVERAGE(L75:X75),"")</f>
        <v/>
      </c>
      <c r="M75" s="357"/>
      <c r="N75" s="357"/>
      <c r="O75" s="357"/>
      <c r="P75" s="357"/>
      <c r="Q75" s="357"/>
      <c r="R75" s="357"/>
      <c r="S75" s="357"/>
      <c r="T75" s="357"/>
      <c r="U75" s="357"/>
      <c r="V75" s="357"/>
      <c r="W75" s="357"/>
      <c r="X75" s="357"/>
      <c r="Y75" s="343"/>
      <c r="Z75" s="336"/>
      <c r="AA75" s="336"/>
      <c r="AB75" s="336"/>
      <c r="AC75" s="336"/>
      <c r="AD75" s="336"/>
      <c r="AE75" s="336"/>
      <c r="AF75" s="336"/>
      <c r="AG75" s="336"/>
      <c r="AH75" s="336"/>
      <c r="AI75" s="336"/>
      <c r="AJ75" s="336"/>
      <c r="AK75" s="336"/>
      <c r="AL75" s="336"/>
      <c r="AM75" s="336"/>
      <c r="AN75" s="336"/>
      <c r="AO75" s="336"/>
      <c r="AP75" s="336"/>
      <c r="AQ75" s="336"/>
      <c r="AR75" s="336"/>
      <c r="AS75" s="336"/>
      <c r="AT75" s="336"/>
      <c r="AU75" s="336"/>
      <c r="AV75" s="336"/>
      <c r="AW75" s="336"/>
    </row>
    <row r="76" spans="1:49" ht="14" outlineLevel="3">
      <c r="A76" s="336"/>
      <c r="B76" s="341"/>
      <c r="C76" s="354" t="s">
        <v>648</v>
      </c>
      <c r="D76" s="355">
        <f t="shared" si="8"/>
        <v>-22576</v>
      </c>
      <c r="E76" s="355">
        <f t="shared" si="9"/>
        <v>-117523</v>
      </c>
      <c r="F76" s="355">
        <f t="shared" si="10"/>
        <v>-424940</v>
      </c>
      <c r="G76" s="355">
        <f t="shared" si="11"/>
        <v>0</v>
      </c>
      <c r="H76" s="355">
        <f t="shared" si="12"/>
        <v>-138683</v>
      </c>
      <c r="I76" s="355">
        <f t="shared" si="13"/>
        <v>-1416</v>
      </c>
      <c r="J76" s="355">
        <f t="shared" si="14"/>
        <v>205914.80416586532</v>
      </c>
      <c r="K76" s="356">
        <f t="shared" si="15"/>
        <v>-1.7521234495874451</v>
      </c>
      <c r="M76" s="357">
        <v>0</v>
      </c>
      <c r="N76" s="357">
        <v>-43264</v>
      </c>
      <c r="O76" s="357">
        <v>-424940</v>
      </c>
      <c r="P76" s="357">
        <v>-1888</v>
      </c>
      <c r="Q76" s="357"/>
      <c r="R76" s="357"/>
      <c r="S76" s="357"/>
      <c r="T76" s="357"/>
      <c r="U76" s="357"/>
      <c r="V76" s="357"/>
      <c r="W76" s="357"/>
      <c r="X76" s="357"/>
      <c r="Y76" s="343"/>
      <c r="Z76" s="336"/>
      <c r="AA76" s="336"/>
      <c r="AB76" s="336"/>
      <c r="AC76" s="336"/>
      <c r="AD76" s="336"/>
      <c r="AE76" s="336"/>
      <c r="AF76" s="336"/>
      <c r="AG76" s="336"/>
      <c r="AH76" s="336"/>
      <c r="AI76" s="336"/>
      <c r="AJ76" s="336"/>
      <c r="AK76" s="336"/>
      <c r="AL76" s="336"/>
      <c r="AM76" s="336"/>
      <c r="AN76" s="336"/>
      <c r="AO76" s="336"/>
      <c r="AP76" s="336"/>
      <c r="AQ76" s="336"/>
      <c r="AR76" s="336"/>
      <c r="AS76" s="336"/>
      <c r="AT76" s="336"/>
      <c r="AU76" s="336"/>
      <c r="AV76" s="336"/>
      <c r="AW76" s="336"/>
    </row>
    <row r="77" spans="1:49" ht="14" outlineLevel="3">
      <c r="A77" s="336"/>
      <c r="B77" s="341"/>
      <c r="C77" s="354" t="s">
        <v>649</v>
      </c>
      <c r="D77" s="355">
        <f t="shared" si="8"/>
        <v>0</v>
      </c>
      <c r="E77" s="355">
        <f t="shared" si="9"/>
        <v>4164</v>
      </c>
      <c r="F77" s="355">
        <f t="shared" si="10"/>
        <v>0</v>
      </c>
      <c r="G77" s="355">
        <f t="shared" si="11"/>
        <v>20820</v>
      </c>
      <c r="H77" s="355">
        <f t="shared" si="12"/>
        <v>0</v>
      </c>
      <c r="I77" s="355">
        <f t="shared" si="13"/>
        <v>0</v>
      </c>
      <c r="J77" s="355">
        <f t="shared" si="14"/>
        <v>9310.9870583091251</v>
      </c>
      <c r="K77" s="356">
        <f t="shared" si="15"/>
        <v>2.2360679774997898</v>
      </c>
      <c r="M77" s="357">
        <v>0</v>
      </c>
      <c r="N77" s="357">
        <v>0</v>
      </c>
      <c r="O77" s="357">
        <v>20820</v>
      </c>
      <c r="P77" s="357">
        <v>0</v>
      </c>
      <c r="Q77" s="357">
        <v>0</v>
      </c>
      <c r="R77" s="357"/>
      <c r="S77" s="357"/>
      <c r="T77" s="357"/>
      <c r="U77" s="357"/>
      <c r="V77" s="357"/>
      <c r="W77" s="357"/>
      <c r="X77" s="357"/>
      <c r="Y77" s="343"/>
      <c r="Z77" s="336"/>
      <c r="AA77" s="336"/>
      <c r="AB77" s="336"/>
      <c r="AC77" s="336"/>
      <c r="AD77" s="336"/>
      <c r="AE77" s="336"/>
      <c r="AF77" s="336"/>
      <c r="AG77" s="336"/>
      <c r="AH77" s="336"/>
      <c r="AI77" s="336"/>
      <c r="AJ77" s="336"/>
      <c r="AK77" s="336"/>
      <c r="AL77" s="336"/>
      <c r="AM77" s="336"/>
      <c r="AN77" s="336"/>
      <c r="AO77" s="336"/>
      <c r="AP77" s="336"/>
      <c r="AQ77" s="336"/>
      <c r="AR77" s="336"/>
      <c r="AS77" s="336"/>
      <c r="AT77" s="336"/>
      <c r="AU77" s="336"/>
      <c r="AV77" s="336"/>
      <c r="AW77" s="336"/>
    </row>
    <row r="78" spans="1:49" ht="14" outlineLevel="3">
      <c r="A78" s="336"/>
      <c r="B78" s="341"/>
      <c r="C78" s="358" t="s">
        <v>650</v>
      </c>
      <c r="D78" s="359">
        <f t="shared" si="8"/>
        <v>-1888</v>
      </c>
      <c r="E78" s="359">
        <f t="shared" si="9"/>
        <v>-89854.399999999994</v>
      </c>
      <c r="F78" s="359">
        <f t="shared" si="10"/>
        <v>-404120</v>
      </c>
      <c r="G78" s="359">
        <f t="shared" si="11"/>
        <v>0</v>
      </c>
      <c r="H78" s="359">
        <f t="shared" si="12"/>
        <v>-43264</v>
      </c>
      <c r="I78" s="359">
        <f t="shared" si="13"/>
        <v>0</v>
      </c>
      <c r="J78" s="359">
        <f t="shared" si="14"/>
        <v>176648.83713401569</v>
      </c>
      <c r="K78" s="360">
        <f t="shared" si="15"/>
        <v>-1.965945319695148</v>
      </c>
      <c r="L78" s="339"/>
      <c r="M78" s="361">
        <v>0</v>
      </c>
      <c r="N78" s="361">
        <v>-43264</v>
      </c>
      <c r="O78" s="361">
        <v>-404120</v>
      </c>
      <c r="P78" s="361">
        <v>-1888</v>
      </c>
      <c r="Q78" s="361">
        <v>0</v>
      </c>
      <c r="R78" s="361"/>
      <c r="S78" s="361"/>
      <c r="T78" s="361"/>
      <c r="U78" s="361"/>
      <c r="V78" s="361"/>
      <c r="W78" s="361"/>
      <c r="X78" s="361"/>
      <c r="Y78" s="343"/>
      <c r="Z78" s="336"/>
      <c r="AA78" s="336"/>
      <c r="AB78" s="336"/>
      <c r="AC78" s="336"/>
      <c r="AD78" s="336"/>
      <c r="AE78" s="336"/>
      <c r="AF78" s="336"/>
      <c r="AG78" s="336"/>
      <c r="AH78" s="336"/>
      <c r="AI78" s="336"/>
      <c r="AJ78" s="336"/>
      <c r="AK78" s="336"/>
      <c r="AL78" s="336"/>
      <c r="AM78" s="336"/>
      <c r="AN78" s="336"/>
      <c r="AO78" s="336"/>
      <c r="AP78" s="336"/>
      <c r="AQ78" s="336"/>
      <c r="AR78" s="336"/>
      <c r="AS78" s="336"/>
      <c r="AT78" s="336"/>
      <c r="AU78" s="336"/>
      <c r="AV78" s="336"/>
      <c r="AW78" s="336"/>
    </row>
    <row r="79" spans="1:49" ht="14" outlineLevel="2">
      <c r="A79" s="336"/>
      <c r="B79" s="341"/>
      <c r="C79" s="354" t="s">
        <v>651</v>
      </c>
      <c r="D79" s="355" t="str">
        <f t="shared" si="8"/>
        <v/>
      </c>
      <c r="E79" s="355" t="str">
        <f t="shared" si="9"/>
        <v/>
      </c>
      <c r="F79" s="355" t="str">
        <f t="shared" si="10"/>
        <v/>
      </c>
      <c r="G79" s="355" t="str">
        <f t="shared" si="11"/>
        <v/>
      </c>
      <c r="H79" s="355" t="str">
        <f t="shared" si="12"/>
        <v/>
      </c>
      <c r="I79" s="355" t="str">
        <f t="shared" si="13"/>
        <v/>
      </c>
      <c r="J79" s="355" t="str">
        <f t="shared" si="14"/>
        <v/>
      </c>
      <c r="K79" s="356" t="str">
        <f t="shared" si="15"/>
        <v/>
      </c>
      <c r="M79" s="357"/>
      <c r="N79" s="357"/>
      <c r="O79" s="357"/>
      <c r="P79" s="357"/>
      <c r="Q79" s="357"/>
      <c r="R79" s="357"/>
      <c r="S79" s="357"/>
      <c r="T79" s="357"/>
      <c r="U79" s="357"/>
      <c r="V79" s="357"/>
      <c r="W79" s="357"/>
      <c r="X79" s="357"/>
      <c r="Y79" s="343"/>
      <c r="Z79" s="336"/>
      <c r="AA79" s="336"/>
      <c r="AB79" s="336"/>
      <c r="AC79" s="336"/>
      <c r="AD79" s="336"/>
      <c r="AE79" s="336"/>
      <c r="AF79" s="336"/>
      <c r="AG79" s="336"/>
      <c r="AH79" s="336"/>
      <c r="AI79" s="336"/>
      <c r="AJ79" s="336"/>
      <c r="AK79" s="336"/>
      <c r="AL79" s="336"/>
      <c r="AM79" s="336"/>
      <c r="AN79" s="336"/>
      <c r="AO79" s="336"/>
      <c r="AP79" s="336"/>
      <c r="AQ79" s="336"/>
      <c r="AR79" s="336"/>
      <c r="AS79" s="336"/>
      <c r="AT79" s="336"/>
      <c r="AU79" s="336"/>
      <c r="AV79" s="336"/>
      <c r="AW79" s="336"/>
    </row>
    <row r="80" spans="1:49" ht="14" outlineLevel="3">
      <c r="A80" s="336"/>
      <c r="B80" s="341"/>
      <c r="C80" s="354" t="s">
        <v>652</v>
      </c>
      <c r="D80" s="355">
        <f t="shared" si="8"/>
        <v>-95786.5</v>
      </c>
      <c r="E80" s="355">
        <f t="shared" si="9"/>
        <v>-108838</v>
      </c>
      <c r="F80" s="355">
        <f t="shared" si="10"/>
        <v>-241330</v>
      </c>
      <c r="G80" s="355">
        <f t="shared" si="11"/>
        <v>-2449</v>
      </c>
      <c r="H80" s="355">
        <f t="shared" si="12"/>
        <v>-177762.25</v>
      </c>
      <c r="I80" s="355">
        <f t="shared" si="13"/>
        <v>-26862.25</v>
      </c>
      <c r="J80" s="355">
        <f t="shared" si="14"/>
        <v>110458.78545714082</v>
      </c>
      <c r="K80" s="356">
        <f t="shared" si="15"/>
        <v>-1.0148917240039401</v>
      </c>
      <c r="M80" s="357">
        <v>-156573</v>
      </c>
      <c r="N80" s="357">
        <v>-241330</v>
      </c>
      <c r="O80" s="357">
        <v>-2449</v>
      </c>
      <c r="P80" s="357">
        <v>-35000</v>
      </c>
      <c r="Q80" s="357"/>
      <c r="R80" s="357"/>
      <c r="S80" s="357"/>
      <c r="T80" s="357"/>
      <c r="U80" s="357"/>
      <c r="V80" s="357"/>
      <c r="W80" s="357"/>
      <c r="X80" s="357"/>
      <c r="Y80" s="343"/>
      <c r="Z80" s="336"/>
      <c r="AA80" s="336"/>
      <c r="AB80" s="336"/>
      <c r="AC80" s="336"/>
      <c r="AD80" s="336"/>
      <c r="AE80" s="336"/>
      <c r="AF80" s="336"/>
      <c r="AG80" s="336"/>
      <c r="AH80" s="336"/>
      <c r="AI80" s="336"/>
      <c r="AJ80" s="336"/>
      <c r="AK80" s="336"/>
      <c r="AL80" s="336"/>
      <c r="AM80" s="336"/>
      <c r="AN80" s="336"/>
      <c r="AO80" s="336"/>
      <c r="AP80" s="336"/>
      <c r="AQ80" s="336"/>
      <c r="AR80" s="336"/>
      <c r="AS80" s="336"/>
      <c r="AT80" s="336"/>
      <c r="AU80" s="336"/>
      <c r="AV80" s="336"/>
      <c r="AW80" s="336"/>
    </row>
    <row r="81" spans="1:49" ht="14" outlineLevel="3">
      <c r="A81" s="336"/>
      <c r="B81" s="341"/>
      <c r="C81" s="354" t="s">
        <v>653</v>
      </c>
      <c r="D81" s="355">
        <f t="shared" si="8"/>
        <v>40245</v>
      </c>
      <c r="E81" s="355">
        <f t="shared" si="9"/>
        <v>46040.5</v>
      </c>
      <c r="F81" s="355">
        <f t="shared" si="10"/>
        <v>0</v>
      </c>
      <c r="G81" s="355">
        <f t="shared" si="11"/>
        <v>103672</v>
      </c>
      <c r="H81" s="355">
        <f t="shared" si="12"/>
        <v>0</v>
      </c>
      <c r="I81" s="355">
        <f t="shared" si="13"/>
        <v>86285.5</v>
      </c>
      <c r="J81" s="355">
        <f t="shared" si="14"/>
        <v>53998.805921983127</v>
      </c>
      <c r="K81" s="356">
        <f t="shared" si="15"/>
        <v>1.172854463395991</v>
      </c>
      <c r="M81" s="357">
        <v>103672</v>
      </c>
      <c r="N81" s="357">
        <v>80490</v>
      </c>
      <c r="O81" s="357">
        <v>0</v>
      </c>
      <c r="P81" s="357">
        <v>0</v>
      </c>
      <c r="Q81" s="357"/>
      <c r="R81" s="357"/>
      <c r="S81" s="357"/>
      <c r="T81" s="357"/>
      <c r="U81" s="357"/>
      <c r="V81" s="357"/>
      <c r="W81" s="357"/>
      <c r="X81" s="357"/>
      <c r="Y81" s="343"/>
      <c r="Z81" s="336"/>
      <c r="AA81" s="336"/>
      <c r="AB81" s="336"/>
      <c r="AC81" s="336"/>
      <c r="AD81" s="336"/>
      <c r="AE81" s="336"/>
      <c r="AF81" s="336"/>
      <c r="AG81" s="336"/>
      <c r="AH81" s="336"/>
      <c r="AI81" s="336"/>
      <c r="AJ81" s="336"/>
      <c r="AK81" s="336"/>
      <c r="AL81" s="336"/>
      <c r="AM81" s="336"/>
      <c r="AN81" s="336"/>
      <c r="AO81" s="336"/>
      <c r="AP81" s="336"/>
      <c r="AQ81" s="336"/>
      <c r="AR81" s="336"/>
      <c r="AS81" s="336"/>
      <c r="AT81" s="336"/>
      <c r="AU81" s="336"/>
      <c r="AV81" s="336"/>
      <c r="AW81" s="336"/>
    </row>
    <row r="82" spans="1:49" ht="14" outlineLevel="3">
      <c r="A82" s="336"/>
      <c r="B82" s="341"/>
      <c r="C82" s="358" t="s">
        <v>654</v>
      </c>
      <c r="D82" s="359">
        <f t="shared" si="8"/>
        <v>-18724.5</v>
      </c>
      <c r="E82" s="359">
        <f t="shared" si="9"/>
        <v>-41865</v>
      </c>
      <c r="F82" s="359">
        <f t="shared" si="10"/>
        <v>-160840</v>
      </c>
      <c r="G82" s="359">
        <f t="shared" si="11"/>
        <v>0</v>
      </c>
      <c r="H82" s="359">
        <f t="shared" si="12"/>
        <v>-48425.75</v>
      </c>
      <c r="I82" s="359">
        <f t="shared" si="13"/>
        <v>-612.25</v>
      </c>
      <c r="J82" s="359">
        <f t="shared" si="14"/>
        <v>62262.267308539289</v>
      </c>
      <c r="K82" s="360">
        <f t="shared" si="15"/>
        <v>-1.4872152707163331</v>
      </c>
      <c r="L82" s="339"/>
      <c r="M82" s="361">
        <v>-52901</v>
      </c>
      <c r="N82" s="361">
        <v>-160840</v>
      </c>
      <c r="O82" s="361">
        <v>-2449</v>
      </c>
      <c r="P82" s="361">
        <v>-35000</v>
      </c>
      <c r="Q82" s="361">
        <v>0</v>
      </c>
      <c r="R82" s="361">
        <v>0</v>
      </c>
      <c r="S82" s="361"/>
      <c r="T82" s="361"/>
      <c r="U82" s="361"/>
      <c r="V82" s="361"/>
      <c r="W82" s="361"/>
      <c r="X82" s="361"/>
      <c r="Y82" s="343"/>
      <c r="Z82" s="336"/>
      <c r="AA82" s="336"/>
      <c r="AB82" s="336"/>
      <c r="AC82" s="336"/>
      <c r="AD82" s="336"/>
      <c r="AE82" s="336"/>
      <c r="AF82" s="336"/>
      <c r="AG82" s="336"/>
      <c r="AH82" s="336"/>
      <c r="AI82" s="336"/>
      <c r="AJ82" s="336"/>
      <c r="AK82" s="336"/>
      <c r="AL82" s="336"/>
      <c r="AM82" s="336"/>
      <c r="AN82" s="336"/>
      <c r="AO82" s="336"/>
      <c r="AP82" s="336"/>
      <c r="AQ82" s="336"/>
      <c r="AR82" s="336"/>
      <c r="AS82" s="336"/>
      <c r="AT82" s="336"/>
      <c r="AU82" s="336"/>
      <c r="AV82" s="336"/>
      <c r="AW82" s="336"/>
    </row>
    <row r="83" spans="1:49" ht="14" outlineLevel="2">
      <c r="A83" s="336"/>
      <c r="B83" s="341"/>
      <c r="C83" s="354" t="s">
        <v>655</v>
      </c>
      <c r="D83" s="355" t="str">
        <f t="shared" si="8"/>
        <v/>
      </c>
      <c r="E83" s="355" t="str">
        <f t="shared" si="9"/>
        <v/>
      </c>
      <c r="F83" s="355" t="str">
        <f t="shared" si="10"/>
        <v/>
      </c>
      <c r="G83" s="355" t="str">
        <f t="shared" si="11"/>
        <v/>
      </c>
      <c r="H83" s="355" t="str">
        <f t="shared" si="12"/>
        <v/>
      </c>
      <c r="I83" s="355" t="str">
        <f t="shared" si="13"/>
        <v/>
      </c>
      <c r="J83" s="355" t="str">
        <f t="shared" si="14"/>
        <v/>
      </c>
      <c r="K83" s="356" t="str">
        <f t="shared" si="15"/>
        <v/>
      </c>
      <c r="M83" s="357"/>
      <c r="N83" s="357"/>
      <c r="O83" s="357"/>
      <c r="P83" s="357"/>
      <c r="Q83" s="357"/>
      <c r="R83" s="357"/>
      <c r="S83" s="357"/>
      <c r="T83" s="357"/>
      <c r="U83" s="357"/>
      <c r="V83" s="357"/>
      <c r="W83" s="357"/>
      <c r="X83" s="357"/>
      <c r="Y83" s="343"/>
      <c r="Z83" s="336"/>
      <c r="AA83" s="336"/>
      <c r="AB83" s="336"/>
      <c r="AC83" s="336"/>
      <c r="AD83" s="336"/>
      <c r="AE83" s="336"/>
      <c r="AF83" s="336"/>
      <c r="AG83" s="336"/>
      <c r="AH83" s="336"/>
      <c r="AI83" s="336"/>
      <c r="AJ83" s="336"/>
      <c r="AK83" s="336"/>
      <c r="AL83" s="336"/>
      <c r="AM83" s="336"/>
      <c r="AN83" s="336"/>
      <c r="AO83" s="336"/>
      <c r="AP83" s="336"/>
      <c r="AQ83" s="336"/>
      <c r="AR83" s="336"/>
      <c r="AS83" s="336"/>
      <c r="AT83" s="336"/>
      <c r="AU83" s="336"/>
      <c r="AV83" s="336"/>
      <c r="AW83" s="336"/>
    </row>
    <row r="84" spans="1:49" ht="14" outlineLevel="3">
      <c r="A84" s="336"/>
      <c r="B84" s="341"/>
      <c r="C84" s="354" t="s">
        <v>656</v>
      </c>
      <c r="D84" s="355">
        <f t="shared" si="8"/>
        <v>0</v>
      </c>
      <c r="E84" s="355">
        <f t="shared" si="9"/>
        <v>-715</v>
      </c>
      <c r="F84" s="355">
        <f t="shared" si="10"/>
        <v>-2145</v>
      </c>
      <c r="G84" s="355">
        <f t="shared" si="11"/>
        <v>0</v>
      </c>
      <c r="H84" s="355">
        <f t="shared" si="12"/>
        <v>-1072.5</v>
      </c>
      <c r="I84" s="355">
        <f t="shared" si="13"/>
        <v>0</v>
      </c>
      <c r="J84" s="355">
        <f t="shared" si="14"/>
        <v>1238.4163274117473</v>
      </c>
      <c r="K84" s="356">
        <f t="shared" si="15"/>
        <v>-1.7320508075688772</v>
      </c>
      <c r="M84" s="357">
        <v>-2145</v>
      </c>
      <c r="N84" s="357">
        <v>0</v>
      </c>
      <c r="O84" s="357">
        <v>0</v>
      </c>
      <c r="P84" s="357"/>
      <c r="Q84" s="357"/>
      <c r="R84" s="357"/>
      <c r="S84" s="357"/>
      <c r="T84" s="357"/>
      <c r="U84" s="357"/>
      <c r="V84" s="357"/>
      <c r="W84" s="357"/>
      <c r="X84" s="357"/>
      <c r="Y84" s="343"/>
      <c r="Z84" s="336"/>
      <c r="AA84" s="336"/>
      <c r="AB84" s="336"/>
      <c r="AC84" s="336"/>
      <c r="AD84" s="336"/>
      <c r="AE84" s="336"/>
      <c r="AF84" s="336"/>
      <c r="AG84" s="336"/>
      <c r="AH84" s="336"/>
      <c r="AI84" s="336"/>
      <c r="AJ84" s="336"/>
      <c r="AK84" s="336"/>
      <c r="AL84" s="336"/>
      <c r="AM84" s="336"/>
      <c r="AN84" s="336"/>
      <c r="AO84" s="336"/>
      <c r="AP84" s="336"/>
      <c r="AQ84" s="336"/>
      <c r="AR84" s="336"/>
      <c r="AS84" s="336"/>
      <c r="AT84" s="336"/>
      <c r="AU84" s="336"/>
      <c r="AV84" s="336"/>
      <c r="AW84" s="336"/>
    </row>
    <row r="85" spans="1:49" ht="14" outlineLevel="3">
      <c r="A85" s="336"/>
      <c r="B85" s="341"/>
      <c r="C85" s="358" t="s">
        <v>657</v>
      </c>
      <c r="D85" s="359">
        <f t="shared" si="8"/>
        <v>0</v>
      </c>
      <c r="E85" s="359">
        <f t="shared" si="9"/>
        <v>-715</v>
      </c>
      <c r="F85" s="359">
        <f t="shared" si="10"/>
        <v>-2145</v>
      </c>
      <c r="G85" s="359">
        <f t="shared" si="11"/>
        <v>0</v>
      </c>
      <c r="H85" s="359">
        <f t="shared" si="12"/>
        <v>-1072.5</v>
      </c>
      <c r="I85" s="359">
        <f t="shared" si="13"/>
        <v>0</v>
      </c>
      <c r="J85" s="359">
        <f t="shared" si="14"/>
        <v>1238.4163274117473</v>
      </c>
      <c r="K85" s="360">
        <f t="shared" si="15"/>
        <v>-1.7320508075688772</v>
      </c>
      <c r="L85" s="339"/>
      <c r="M85" s="361">
        <v>-2145</v>
      </c>
      <c r="N85" s="361">
        <v>0</v>
      </c>
      <c r="O85" s="361">
        <v>0</v>
      </c>
      <c r="P85" s="361"/>
      <c r="Q85" s="361"/>
      <c r="R85" s="361"/>
      <c r="S85" s="361"/>
      <c r="T85" s="361"/>
      <c r="U85" s="361"/>
      <c r="V85" s="361"/>
      <c r="W85" s="361"/>
      <c r="X85" s="361"/>
      <c r="Y85" s="343"/>
      <c r="Z85" s="336"/>
      <c r="AA85" s="336"/>
      <c r="AB85" s="336"/>
      <c r="AC85" s="336"/>
      <c r="AD85" s="336"/>
      <c r="AE85" s="336"/>
      <c r="AF85" s="336"/>
      <c r="AG85" s="336"/>
      <c r="AH85" s="336"/>
      <c r="AI85" s="336"/>
      <c r="AJ85" s="336"/>
      <c r="AK85" s="336"/>
      <c r="AL85" s="336"/>
      <c r="AM85" s="336"/>
      <c r="AN85" s="336"/>
      <c r="AO85" s="336"/>
      <c r="AP85" s="336"/>
      <c r="AQ85" s="336"/>
      <c r="AR85" s="336"/>
      <c r="AS85" s="336"/>
      <c r="AT85" s="336"/>
      <c r="AU85" s="336"/>
      <c r="AV85" s="336"/>
      <c r="AW85" s="336"/>
    </row>
    <row r="86" spans="1:49" ht="14" outlineLevel="2">
      <c r="A86" s="336"/>
      <c r="B86" s="341"/>
      <c r="C86" s="358" t="s">
        <v>658</v>
      </c>
      <c r="D86" s="359">
        <f t="shared" si="8"/>
        <v>-70389</v>
      </c>
      <c r="E86" s="359">
        <f t="shared" si="9"/>
        <v>-127330.66666666667</v>
      </c>
      <c r="F86" s="359">
        <f t="shared" si="10"/>
        <v>-506566</v>
      </c>
      <c r="G86" s="359">
        <f t="shared" si="11"/>
        <v>-7137</v>
      </c>
      <c r="H86" s="359">
        <f t="shared" si="12"/>
        <v>-135198.25</v>
      </c>
      <c r="I86" s="359">
        <f t="shared" si="13"/>
        <v>-32571.75</v>
      </c>
      <c r="J86" s="359">
        <f t="shared" si="14"/>
        <v>152818.07842799308</v>
      </c>
      <c r="K86" s="360">
        <f t="shared" si="15"/>
        <v>-1.2001671115729629</v>
      </c>
      <c r="L86" s="339"/>
      <c r="M86" s="361">
        <v>-208711</v>
      </c>
      <c r="N86" s="361">
        <v>-339991</v>
      </c>
      <c r="O86" s="361">
        <v>-506566</v>
      </c>
      <c r="P86" s="361">
        <v>-90916</v>
      </c>
      <c r="Q86" s="361">
        <v>-52278</v>
      </c>
      <c r="R86" s="361">
        <v>-110694</v>
      </c>
      <c r="S86" s="361">
        <v>-86416</v>
      </c>
      <c r="T86" s="361">
        <v>-37042</v>
      </c>
      <c r="U86" s="361">
        <v>-14694</v>
      </c>
      <c r="V86" s="361">
        <v>-19161</v>
      </c>
      <c r="W86" s="361">
        <v>-54362</v>
      </c>
      <c r="X86" s="361">
        <v>-7137</v>
      </c>
      <c r="Y86" s="343"/>
      <c r="Z86" s="336"/>
      <c r="AA86" s="336"/>
      <c r="AB86" s="336"/>
      <c r="AC86" s="336"/>
      <c r="AD86" s="336"/>
      <c r="AE86" s="336"/>
      <c r="AF86" s="336"/>
      <c r="AG86" s="336"/>
      <c r="AH86" s="336"/>
      <c r="AI86" s="336"/>
      <c r="AJ86" s="336"/>
      <c r="AK86" s="336"/>
      <c r="AL86" s="336"/>
      <c r="AM86" s="336"/>
      <c r="AN86" s="336"/>
      <c r="AO86" s="336"/>
      <c r="AP86" s="336"/>
      <c r="AQ86" s="336"/>
      <c r="AR86" s="336"/>
      <c r="AS86" s="336"/>
      <c r="AT86" s="336"/>
      <c r="AU86" s="336"/>
      <c r="AV86" s="336"/>
      <c r="AW86" s="336"/>
    </row>
    <row r="87" spans="1:49" ht="14" outlineLevel="1">
      <c r="A87" s="336"/>
      <c r="B87" s="341"/>
      <c r="C87" s="351" t="s">
        <v>659</v>
      </c>
      <c r="D87" s="359">
        <f t="shared" si="8"/>
        <v>-70389</v>
      </c>
      <c r="E87" s="359">
        <f t="shared" si="9"/>
        <v>-127330.66666666667</v>
      </c>
      <c r="F87" s="359">
        <f t="shared" si="10"/>
        <v>-506566</v>
      </c>
      <c r="G87" s="359">
        <f t="shared" si="11"/>
        <v>-7137</v>
      </c>
      <c r="H87" s="359">
        <f t="shared" si="12"/>
        <v>-135198.25</v>
      </c>
      <c r="I87" s="359">
        <f t="shared" si="13"/>
        <v>-32571.75</v>
      </c>
      <c r="J87" s="359">
        <f t="shared" si="14"/>
        <v>152818.07842799308</v>
      </c>
      <c r="K87" s="360">
        <f t="shared" si="15"/>
        <v>-1.2001671115729629</v>
      </c>
      <c r="L87" s="362"/>
      <c r="M87" s="359">
        <v>-208711</v>
      </c>
      <c r="N87" s="359">
        <v>-339991</v>
      </c>
      <c r="O87" s="359">
        <v>-506566</v>
      </c>
      <c r="P87" s="359">
        <v>-90916</v>
      </c>
      <c r="Q87" s="359">
        <v>-52278</v>
      </c>
      <c r="R87" s="359">
        <v>-110694</v>
      </c>
      <c r="S87" s="359">
        <v>-86416</v>
      </c>
      <c r="T87" s="359">
        <v>-37042</v>
      </c>
      <c r="U87" s="359">
        <v>-14694</v>
      </c>
      <c r="V87" s="359">
        <v>-19161</v>
      </c>
      <c r="W87" s="359">
        <v>-54362</v>
      </c>
      <c r="X87" s="359">
        <v>-7137</v>
      </c>
      <c r="Y87" s="343"/>
      <c r="Z87" s="336"/>
      <c r="AA87" s="336"/>
      <c r="AB87" s="336"/>
      <c r="AC87" s="336"/>
      <c r="AD87" s="336"/>
      <c r="AE87" s="336"/>
      <c r="AF87" s="336"/>
      <c r="AG87" s="336"/>
      <c r="AH87" s="336"/>
      <c r="AI87" s="336"/>
      <c r="AJ87" s="336"/>
      <c r="AK87" s="336"/>
      <c r="AL87" s="336"/>
      <c r="AM87" s="336"/>
      <c r="AN87" s="336"/>
      <c r="AO87" s="336"/>
      <c r="AP87" s="336"/>
      <c r="AQ87" s="336"/>
      <c r="AR87" s="336"/>
      <c r="AS87" s="336"/>
      <c r="AT87" s="336"/>
      <c r="AU87" s="336"/>
      <c r="AV87" s="336"/>
      <c r="AW87" s="336"/>
    </row>
    <row r="88" spans="1:49" ht="14">
      <c r="A88" s="336"/>
      <c r="B88" s="341"/>
      <c r="C88" s="351" t="s">
        <v>660</v>
      </c>
      <c r="D88" s="352" t="str">
        <f t="shared" si="8"/>
        <v/>
      </c>
      <c r="E88" s="352" t="str">
        <f t="shared" si="9"/>
        <v/>
      </c>
      <c r="F88" s="352" t="str">
        <f t="shared" si="10"/>
        <v/>
      </c>
      <c r="G88" s="352" t="str">
        <f t="shared" si="11"/>
        <v/>
      </c>
      <c r="H88" s="352" t="str">
        <f t="shared" si="12"/>
        <v/>
      </c>
      <c r="I88" s="352" t="str">
        <f t="shared" si="13"/>
        <v/>
      </c>
      <c r="J88" s="352" t="str">
        <f t="shared" si="14"/>
        <v/>
      </c>
      <c r="K88" s="353" t="str">
        <f t="shared" si="15"/>
        <v/>
      </c>
      <c r="L88" s="346"/>
      <c r="M88" s="352"/>
      <c r="N88" s="352"/>
      <c r="O88" s="352"/>
      <c r="P88" s="352"/>
      <c r="Q88" s="352"/>
      <c r="R88" s="352"/>
      <c r="S88" s="352"/>
      <c r="T88" s="352"/>
      <c r="U88" s="352"/>
      <c r="V88" s="352"/>
      <c r="W88" s="352"/>
      <c r="X88" s="352"/>
      <c r="Y88" s="343"/>
      <c r="Z88" s="336"/>
      <c r="AA88" s="336"/>
      <c r="AB88" s="336"/>
      <c r="AC88" s="336"/>
      <c r="AD88" s="336"/>
      <c r="AE88" s="336"/>
      <c r="AF88" s="336"/>
      <c r="AG88" s="336"/>
      <c r="AH88" s="336"/>
      <c r="AI88" s="336"/>
      <c r="AJ88" s="336"/>
      <c r="AK88" s="336"/>
      <c r="AL88" s="336"/>
      <c r="AM88" s="336"/>
      <c r="AN88" s="336"/>
      <c r="AO88" s="336"/>
      <c r="AP88" s="336"/>
      <c r="AQ88" s="336"/>
      <c r="AR88" s="336"/>
      <c r="AS88" s="336"/>
      <c r="AT88" s="336"/>
      <c r="AU88" s="336"/>
      <c r="AV88" s="336"/>
      <c r="AW88" s="336"/>
    </row>
    <row r="89" spans="1:49" ht="14" outlineLevel="1">
      <c r="A89" s="336"/>
      <c r="B89" s="341"/>
      <c r="C89" s="354" t="s">
        <v>661</v>
      </c>
      <c r="D89" s="355" t="str">
        <f t="shared" si="8"/>
        <v/>
      </c>
      <c r="E89" s="355" t="str">
        <f t="shared" si="9"/>
        <v/>
      </c>
      <c r="F89" s="355" t="str">
        <f t="shared" si="10"/>
        <v/>
      </c>
      <c r="G89" s="355" t="str">
        <f t="shared" si="11"/>
        <v/>
      </c>
      <c r="H89" s="355" t="str">
        <f t="shared" si="12"/>
        <v/>
      </c>
      <c r="I89" s="355" t="str">
        <f t="shared" si="13"/>
        <v/>
      </c>
      <c r="J89" s="355" t="str">
        <f t="shared" si="14"/>
        <v/>
      </c>
      <c r="K89" s="356" t="str">
        <f t="shared" si="15"/>
        <v/>
      </c>
      <c r="M89" s="357"/>
      <c r="N89" s="357"/>
      <c r="O89" s="357"/>
      <c r="P89" s="357"/>
      <c r="Q89" s="357"/>
      <c r="R89" s="357"/>
      <c r="S89" s="357"/>
      <c r="T89" s="357"/>
      <c r="U89" s="357"/>
      <c r="V89" s="357"/>
      <c r="W89" s="357"/>
      <c r="X89" s="357"/>
      <c r="Y89" s="343"/>
      <c r="Z89" s="336"/>
      <c r="AA89" s="336"/>
      <c r="AB89" s="336"/>
      <c r="AC89" s="336"/>
      <c r="AD89" s="336"/>
      <c r="AE89" s="336"/>
      <c r="AF89" s="336"/>
      <c r="AG89" s="336"/>
      <c r="AH89" s="336"/>
      <c r="AI89" s="336"/>
      <c r="AJ89" s="336"/>
      <c r="AK89" s="336"/>
      <c r="AL89" s="336"/>
      <c r="AM89" s="336"/>
      <c r="AN89" s="336"/>
      <c r="AO89" s="336"/>
      <c r="AP89" s="336"/>
      <c r="AQ89" s="336"/>
      <c r="AR89" s="336"/>
      <c r="AS89" s="336"/>
      <c r="AT89" s="336"/>
      <c r="AU89" s="336"/>
      <c r="AV89" s="336"/>
      <c r="AW89" s="336"/>
    </row>
    <row r="90" spans="1:49" ht="14" outlineLevel="2">
      <c r="A90" s="336"/>
      <c r="B90" s="341"/>
      <c r="C90" s="354" t="s">
        <v>662</v>
      </c>
      <c r="D90" s="355" t="str">
        <f t="shared" si="8"/>
        <v/>
      </c>
      <c r="E90" s="355" t="str">
        <f t="shared" si="9"/>
        <v/>
      </c>
      <c r="F90" s="355" t="str">
        <f t="shared" si="10"/>
        <v/>
      </c>
      <c r="G90" s="355" t="str">
        <f t="shared" si="11"/>
        <v/>
      </c>
      <c r="H90" s="355" t="str">
        <f t="shared" si="12"/>
        <v/>
      </c>
      <c r="I90" s="355" t="str">
        <f t="shared" si="13"/>
        <v/>
      </c>
      <c r="J90" s="355" t="str">
        <f t="shared" si="14"/>
        <v/>
      </c>
      <c r="K90" s="356" t="str">
        <f t="shared" si="15"/>
        <v/>
      </c>
      <c r="M90" s="357"/>
      <c r="N90" s="357"/>
      <c r="O90" s="357"/>
      <c r="P90" s="357"/>
      <c r="Q90" s="357"/>
      <c r="R90" s="357"/>
      <c r="S90" s="357"/>
      <c r="T90" s="357"/>
      <c r="U90" s="357"/>
      <c r="V90" s="357"/>
      <c r="W90" s="357"/>
      <c r="X90" s="357"/>
      <c r="Y90" s="343"/>
      <c r="Z90" s="336"/>
      <c r="AA90" s="336"/>
      <c r="AB90" s="336"/>
      <c r="AC90" s="336"/>
      <c r="AD90" s="336"/>
      <c r="AE90" s="336"/>
      <c r="AF90" s="336"/>
      <c r="AG90" s="336"/>
      <c r="AH90" s="336"/>
      <c r="AI90" s="336"/>
      <c r="AJ90" s="336"/>
      <c r="AK90" s="336"/>
      <c r="AL90" s="336"/>
      <c r="AM90" s="336"/>
      <c r="AN90" s="336"/>
      <c r="AO90" s="336"/>
      <c r="AP90" s="336"/>
      <c r="AQ90" s="336"/>
      <c r="AR90" s="336"/>
      <c r="AS90" s="336"/>
      <c r="AT90" s="336"/>
      <c r="AU90" s="336"/>
      <c r="AV90" s="336"/>
      <c r="AW90" s="336"/>
    </row>
    <row r="91" spans="1:49" ht="14" outlineLevel="3">
      <c r="A91" s="336"/>
      <c r="B91" s="341"/>
      <c r="C91" s="354" t="s">
        <v>663</v>
      </c>
      <c r="D91" s="355">
        <f t="shared" si="8"/>
        <v>2571</v>
      </c>
      <c r="E91" s="355">
        <f t="shared" si="9"/>
        <v>18577.363636363636</v>
      </c>
      <c r="F91" s="355">
        <f t="shared" si="10"/>
        <v>0</v>
      </c>
      <c r="G91" s="355">
        <f t="shared" si="11"/>
        <v>156946</v>
      </c>
      <c r="H91" s="355">
        <f t="shared" si="12"/>
        <v>702.5</v>
      </c>
      <c r="I91" s="355">
        <f t="shared" si="13"/>
        <v>8673</v>
      </c>
      <c r="J91" s="355">
        <f t="shared" si="14"/>
        <v>46349.2706658319</v>
      </c>
      <c r="K91" s="356">
        <f t="shared" si="15"/>
        <v>2.4949326273135481</v>
      </c>
      <c r="M91" s="357">
        <v>21875</v>
      </c>
      <c r="N91" s="357">
        <v>9160</v>
      </c>
      <c r="O91" s="357">
        <v>925</v>
      </c>
      <c r="P91" s="357">
        <v>8186</v>
      </c>
      <c r="Q91" s="357">
        <v>2571</v>
      </c>
      <c r="R91" s="357">
        <v>2863</v>
      </c>
      <c r="S91" s="357">
        <v>1209</v>
      </c>
      <c r="T91" s="357">
        <v>480</v>
      </c>
      <c r="U91" s="357">
        <v>136</v>
      </c>
      <c r="V91" s="357">
        <v>156946</v>
      </c>
      <c r="W91" s="357">
        <v>0</v>
      </c>
      <c r="X91" s="357"/>
      <c r="Y91" s="343"/>
      <c r="Z91" s="336"/>
      <c r="AA91" s="336"/>
      <c r="AB91" s="336"/>
      <c r="AC91" s="336"/>
      <c r="AD91" s="336"/>
      <c r="AE91" s="336"/>
      <c r="AF91" s="336"/>
      <c r="AG91" s="336"/>
      <c r="AH91" s="336"/>
      <c r="AI91" s="336"/>
      <c r="AJ91" s="336"/>
      <c r="AK91" s="336"/>
      <c r="AL91" s="336"/>
      <c r="AM91" s="336"/>
      <c r="AN91" s="336"/>
      <c r="AO91" s="336"/>
      <c r="AP91" s="336"/>
      <c r="AQ91" s="336"/>
      <c r="AR91" s="336"/>
      <c r="AS91" s="336"/>
      <c r="AT91" s="336"/>
      <c r="AU91" s="336"/>
      <c r="AV91" s="336"/>
      <c r="AW91" s="336"/>
    </row>
    <row r="92" spans="1:49" ht="14" outlineLevel="3">
      <c r="A92" s="336"/>
      <c r="B92" s="341"/>
      <c r="C92" s="354" t="s">
        <v>664</v>
      </c>
      <c r="D92" s="355">
        <f t="shared" si="8"/>
        <v>-94315</v>
      </c>
      <c r="E92" s="355">
        <f t="shared" si="9"/>
        <v>-134420.72727272726</v>
      </c>
      <c r="F92" s="355">
        <f t="shared" si="10"/>
        <v>-458166</v>
      </c>
      <c r="G92" s="355">
        <f t="shared" si="11"/>
        <v>0</v>
      </c>
      <c r="H92" s="355">
        <f t="shared" si="12"/>
        <v>-228575.5</v>
      </c>
      <c r="I92" s="355">
        <f t="shared" si="13"/>
        <v>0</v>
      </c>
      <c r="J92" s="355">
        <f t="shared" si="14"/>
        <v>163606.04086468869</v>
      </c>
      <c r="K92" s="356">
        <f t="shared" si="15"/>
        <v>-1.2171191466085964</v>
      </c>
      <c r="M92" s="357">
        <v>-300205</v>
      </c>
      <c r="N92" s="357">
        <v>-125030</v>
      </c>
      <c r="O92" s="357">
        <v>-94315</v>
      </c>
      <c r="P92" s="357">
        <v>0</v>
      </c>
      <c r="Q92" s="357">
        <v>0</v>
      </c>
      <c r="R92" s="357">
        <v>-458166</v>
      </c>
      <c r="S92" s="357">
        <v>-342383</v>
      </c>
      <c r="T92" s="357">
        <v>0</v>
      </c>
      <c r="U92" s="357">
        <v>-1583</v>
      </c>
      <c r="V92" s="357">
        <v>-156946</v>
      </c>
      <c r="W92" s="357">
        <v>0</v>
      </c>
      <c r="X92" s="357"/>
      <c r="Y92" s="343"/>
      <c r="Z92" s="336"/>
      <c r="AA92" s="336"/>
      <c r="AB92" s="336"/>
      <c r="AC92" s="336"/>
      <c r="AD92" s="336"/>
      <c r="AE92" s="336"/>
      <c r="AF92" s="336"/>
      <c r="AG92" s="336"/>
      <c r="AH92" s="336"/>
      <c r="AI92" s="336"/>
      <c r="AJ92" s="336"/>
      <c r="AK92" s="336"/>
      <c r="AL92" s="336"/>
      <c r="AM92" s="336"/>
      <c r="AN92" s="336"/>
      <c r="AO92" s="336"/>
      <c r="AP92" s="336"/>
      <c r="AQ92" s="336"/>
      <c r="AR92" s="336"/>
      <c r="AS92" s="336"/>
      <c r="AT92" s="336"/>
      <c r="AU92" s="336"/>
      <c r="AV92" s="336"/>
      <c r="AW92" s="336"/>
    </row>
    <row r="93" spans="1:49" ht="14" outlineLevel="3">
      <c r="A93" s="336"/>
      <c r="B93" s="341"/>
      <c r="C93" s="358" t="s">
        <v>665</v>
      </c>
      <c r="D93" s="359">
        <f t="shared" si="8"/>
        <v>-1447</v>
      </c>
      <c r="E93" s="359">
        <f t="shared" si="9"/>
        <v>-115843.36363636363</v>
      </c>
      <c r="F93" s="359">
        <f t="shared" si="10"/>
        <v>-455303</v>
      </c>
      <c r="G93" s="359">
        <f t="shared" si="11"/>
        <v>8186</v>
      </c>
      <c r="H93" s="359">
        <f t="shared" si="12"/>
        <v>-197100</v>
      </c>
      <c r="I93" s="359">
        <f t="shared" si="13"/>
        <v>240</v>
      </c>
      <c r="J93" s="359">
        <f t="shared" si="14"/>
        <v>166064.76716827849</v>
      </c>
      <c r="K93" s="360">
        <f t="shared" si="15"/>
        <v>-1.4335285333181589</v>
      </c>
      <c r="L93" s="339"/>
      <c r="M93" s="361">
        <v>-278330</v>
      </c>
      <c r="N93" s="361">
        <v>-115870</v>
      </c>
      <c r="O93" s="361">
        <v>-93390</v>
      </c>
      <c r="P93" s="361">
        <v>8186</v>
      </c>
      <c r="Q93" s="361">
        <v>2571</v>
      </c>
      <c r="R93" s="361">
        <v>-455303</v>
      </c>
      <c r="S93" s="361">
        <v>-341174</v>
      </c>
      <c r="T93" s="361">
        <v>480</v>
      </c>
      <c r="U93" s="361">
        <v>-1447</v>
      </c>
      <c r="V93" s="361">
        <v>0</v>
      </c>
      <c r="W93" s="361">
        <v>0</v>
      </c>
      <c r="X93" s="361"/>
      <c r="Y93" s="343"/>
      <c r="Z93" s="336"/>
      <c r="AA93" s="336"/>
      <c r="AB93" s="336"/>
      <c r="AC93" s="336"/>
      <c r="AD93" s="336"/>
      <c r="AE93" s="336"/>
      <c r="AF93" s="336"/>
      <c r="AG93" s="336"/>
      <c r="AH93" s="336"/>
      <c r="AI93" s="336"/>
      <c r="AJ93" s="336"/>
      <c r="AK93" s="336"/>
      <c r="AL93" s="336"/>
      <c r="AM93" s="336"/>
      <c r="AN93" s="336"/>
      <c r="AO93" s="336"/>
      <c r="AP93" s="336"/>
      <c r="AQ93" s="336"/>
      <c r="AR93" s="336"/>
      <c r="AS93" s="336"/>
      <c r="AT93" s="336"/>
      <c r="AU93" s="336"/>
      <c r="AV93" s="336"/>
      <c r="AW93" s="336"/>
    </row>
    <row r="94" spans="1:49" ht="14" outlineLevel="2">
      <c r="A94" s="336"/>
      <c r="B94" s="341"/>
      <c r="C94" s="354" t="s">
        <v>666</v>
      </c>
      <c r="D94" s="355" t="str">
        <f t="shared" si="8"/>
        <v/>
      </c>
      <c r="E94" s="355" t="str">
        <f t="shared" si="9"/>
        <v/>
      </c>
      <c r="F94" s="355" t="str">
        <f t="shared" si="10"/>
        <v/>
      </c>
      <c r="G94" s="355" t="str">
        <f t="shared" si="11"/>
        <v/>
      </c>
      <c r="H94" s="355" t="str">
        <f t="shared" si="12"/>
        <v/>
      </c>
      <c r="I94" s="355" t="str">
        <f t="shared" si="13"/>
        <v/>
      </c>
      <c r="J94" s="355" t="str">
        <f t="shared" si="14"/>
        <v/>
      </c>
      <c r="K94" s="356" t="str">
        <f t="shared" si="15"/>
        <v/>
      </c>
      <c r="M94" s="357"/>
      <c r="N94" s="357"/>
      <c r="O94" s="357"/>
      <c r="P94" s="357"/>
      <c r="Q94" s="357"/>
      <c r="R94" s="357"/>
      <c r="S94" s="357"/>
      <c r="T94" s="357"/>
      <c r="U94" s="357"/>
      <c r="V94" s="357"/>
      <c r="W94" s="357"/>
      <c r="X94" s="357"/>
      <c r="Y94" s="343"/>
      <c r="Z94" s="336"/>
      <c r="AA94" s="336"/>
      <c r="AB94" s="336"/>
      <c r="AC94" s="336"/>
      <c r="AD94" s="336"/>
      <c r="AE94" s="336"/>
      <c r="AF94" s="336"/>
      <c r="AG94" s="336"/>
      <c r="AH94" s="336"/>
      <c r="AI94" s="336"/>
      <c r="AJ94" s="336"/>
      <c r="AK94" s="336"/>
      <c r="AL94" s="336"/>
      <c r="AM94" s="336"/>
      <c r="AN94" s="336"/>
      <c r="AO94" s="336"/>
      <c r="AP94" s="336"/>
      <c r="AQ94" s="336"/>
      <c r="AR94" s="336"/>
      <c r="AS94" s="336"/>
      <c r="AT94" s="336"/>
      <c r="AU94" s="336"/>
      <c r="AV94" s="336"/>
      <c r="AW94" s="336"/>
    </row>
    <row r="95" spans="1:49" ht="14" outlineLevel="3">
      <c r="A95" s="336"/>
      <c r="B95" s="341"/>
      <c r="C95" s="354" t="s">
        <v>667</v>
      </c>
      <c r="D95" s="355" t="str">
        <f t="shared" si="8"/>
        <v/>
      </c>
      <c r="E95" s="355" t="str">
        <f t="shared" si="9"/>
        <v/>
      </c>
      <c r="F95" s="355" t="str">
        <f t="shared" si="10"/>
        <v/>
      </c>
      <c r="G95" s="355" t="str">
        <f t="shared" si="11"/>
        <v/>
      </c>
      <c r="H95" s="355" t="str">
        <f t="shared" si="12"/>
        <v/>
      </c>
      <c r="I95" s="355" t="str">
        <f t="shared" si="13"/>
        <v/>
      </c>
      <c r="J95" s="355" t="str">
        <f t="shared" si="14"/>
        <v/>
      </c>
      <c r="K95" s="356" t="str">
        <f t="shared" si="15"/>
        <v/>
      </c>
      <c r="M95" s="357"/>
      <c r="N95" s="357"/>
      <c r="O95" s="357"/>
      <c r="P95" s="357"/>
      <c r="Q95" s="357"/>
      <c r="R95" s="357"/>
      <c r="S95" s="357"/>
      <c r="T95" s="357"/>
      <c r="U95" s="357"/>
      <c r="V95" s="357"/>
      <c r="W95" s="357"/>
      <c r="X95" s="357"/>
      <c r="Y95" s="343"/>
      <c r="Z95" s="336"/>
      <c r="AA95" s="336"/>
      <c r="AB95" s="336"/>
      <c r="AC95" s="336"/>
      <c r="AD95" s="336"/>
      <c r="AE95" s="336"/>
      <c r="AF95" s="336"/>
      <c r="AG95" s="336"/>
      <c r="AH95" s="336"/>
      <c r="AI95" s="336"/>
      <c r="AJ95" s="336"/>
      <c r="AK95" s="336"/>
      <c r="AL95" s="336"/>
      <c r="AM95" s="336"/>
      <c r="AN95" s="336"/>
      <c r="AO95" s="336"/>
      <c r="AP95" s="336"/>
      <c r="AQ95" s="336"/>
      <c r="AR95" s="336"/>
      <c r="AS95" s="336"/>
      <c r="AT95" s="336"/>
      <c r="AU95" s="336"/>
      <c r="AV95" s="336"/>
      <c r="AW95" s="336"/>
    </row>
    <row r="96" spans="1:49" ht="14" outlineLevel="4">
      <c r="A96" s="336"/>
      <c r="B96" s="341"/>
      <c r="C96" s="354" t="s">
        <v>668</v>
      </c>
      <c r="D96" s="355">
        <f t="shared" si="8"/>
        <v>230000</v>
      </c>
      <c r="E96" s="355">
        <f t="shared" si="9"/>
        <v>394545.45454545453</v>
      </c>
      <c r="F96" s="355">
        <f t="shared" si="10"/>
        <v>0</v>
      </c>
      <c r="G96" s="355">
        <f t="shared" si="11"/>
        <v>1200000</v>
      </c>
      <c r="H96" s="355">
        <f t="shared" si="12"/>
        <v>37500</v>
      </c>
      <c r="I96" s="355">
        <f t="shared" si="13"/>
        <v>675000</v>
      </c>
      <c r="J96" s="355">
        <f t="shared" si="14"/>
        <v>429630.39083294926</v>
      </c>
      <c r="K96" s="356">
        <f t="shared" si="15"/>
        <v>1.0889249537240651</v>
      </c>
      <c r="M96" s="357">
        <v>800000</v>
      </c>
      <c r="N96" s="357">
        <v>0</v>
      </c>
      <c r="O96" s="357">
        <v>975000</v>
      </c>
      <c r="P96" s="357">
        <v>0</v>
      </c>
      <c r="Q96" s="357">
        <v>75000</v>
      </c>
      <c r="R96" s="357">
        <v>550000</v>
      </c>
      <c r="S96" s="357">
        <v>1200000</v>
      </c>
      <c r="T96" s="357">
        <v>0</v>
      </c>
      <c r="U96" s="357">
        <v>230000</v>
      </c>
      <c r="V96" s="357">
        <v>120000</v>
      </c>
      <c r="W96" s="357">
        <v>390000</v>
      </c>
      <c r="X96" s="357"/>
      <c r="Y96" s="343"/>
      <c r="Z96" s="336"/>
      <c r="AA96" s="336"/>
      <c r="AB96" s="336"/>
      <c r="AC96" s="336"/>
      <c r="AD96" s="336"/>
      <c r="AE96" s="336"/>
      <c r="AF96" s="336"/>
      <c r="AG96" s="336"/>
      <c r="AH96" s="336"/>
      <c r="AI96" s="336"/>
      <c r="AJ96" s="336"/>
      <c r="AK96" s="336"/>
      <c r="AL96" s="336"/>
      <c r="AM96" s="336"/>
      <c r="AN96" s="336"/>
      <c r="AO96" s="336"/>
      <c r="AP96" s="336"/>
      <c r="AQ96" s="336"/>
      <c r="AR96" s="336"/>
      <c r="AS96" s="336"/>
      <c r="AT96" s="336"/>
      <c r="AU96" s="336"/>
      <c r="AV96" s="336"/>
      <c r="AW96" s="336"/>
    </row>
    <row r="97" spans="1:49" ht="14" outlineLevel="4">
      <c r="A97" s="336"/>
      <c r="B97" s="341"/>
      <c r="C97" s="354" t="s">
        <v>669</v>
      </c>
      <c r="D97" s="355">
        <f t="shared" si="8"/>
        <v>-17500</v>
      </c>
      <c r="E97" s="355">
        <f t="shared" si="9"/>
        <v>-195099.5</v>
      </c>
      <c r="F97" s="355">
        <f t="shared" si="10"/>
        <v>-724813</v>
      </c>
      <c r="G97" s="355">
        <f t="shared" si="11"/>
        <v>-5621</v>
      </c>
      <c r="H97" s="355">
        <f t="shared" si="12"/>
        <v>-291522</v>
      </c>
      <c r="I97" s="355">
        <f t="shared" si="13"/>
        <v>-13551.75</v>
      </c>
      <c r="J97" s="355">
        <f t="shared" si="14"/>
        <v>298923.84574412013</v>
      </c>
      <c r="K97" s="356">
        <f t="shared" si="15"/>
        <v>-1.5321610037141056</v>
      </c>
      <c r="M97" s="357">
        <v>-608688</v>
      </c>
      <c r="N97" s="357">
        <v>-20749</v>
      </c>
      <c r="O97" s="357">
        <v>-724813</v>
      </c>
      <c r="P97" s="357">
        <v>-17500</v>
      </c>
      <c r="Q97" s="357">
        <v>-17500</v>
      </c>
      <c r="R97" s="357">
        <v>-12000</v>
      </c>
      <c r="S97" s="357">
        <v>-712469</v>
      </c>
      <c r="T97" s="357">
        <v>-7185</v>
      </c>
      <c r="U97" s="357">
        <v>-5621</v>
      </c>
      <c r="V97" s="357">
        <v>-14800</v>
      </c>
      <c r="W97" s="357">
        <v>-185800</v>
      </c>
      <c r="X97" s="357">
        <v>-14069</v>
      </c>
      <c r="Y97" s="343"/>
      <c r="Z97" s="336"/>
      <c r="AA97" s="336"/>
      <c r="AB97" s="336"/>
      <c r="AC97" s="336"/>
      <c r="AD97" s="336"/>
      <c r="AE97" s="336"/>
      <c r="AF97" s="336"/>
      <c r="AG97" s="336"/>
      <c r="AH97" s="336"/>
      <c r="AI97" s="336"/>
      <c r="AJ97" s="336"/>
      <c r="AK97" s="336"/>
      <c r="AL97" s="336"/>
      <c r="AM97" s="336"/>
      <c r="AN97" s="336"/>
      <c r="AO97" s="336"/>
      <c r="AP97" s="336"/>
      <c r="AQ97" s="336"/>
      <c r="AR97" s="336"/>
      <c r="AS97" s="336"/>
      <c r="AT97" s="336"/>
      <c r="AU97" s="336"/>
      <c r="AV97" s="336"/>
      <c r="AW97" s="336"/>
    </row>
    <row r="98" spans="1:49" ht="14" outlineLevel="4">
      <c r="A98" s="336"/>
      <c r="B98" s="341"/>
      <c r="C98" s="358" t="s">
        <v>670</v>
      </c>
      <c r="D98" s="359">
        <f t="shared" si="8"/>
        <v>148256</v>
      </c>
      <c r="E98" s="359">
        <f t="shared" si="9"/>
        <v>166567.16666666666</v>
      </c>
      <c r="F98" s="359">
        <f t="shared" si="10"/>
        <v>-20749</v>
      </c>
      <c r="G98" s="359">
        <f t="shared" si="11"/>
        <v>538000</v>
      </c>
      <c r="H98" s="359">
        <f t="shared" si="12"/>
        <v>-8906</v>
      </c>
      <c r="I98" s="359">
        <f t="shared" si="13"/>
        <v>230831</v>
      </c>
      <c r="J98" s="359">
        <f t="shared" si="14"/>
        <v>190881.21907845934</v>
      </c>
      <c r="K98" s="360">
        <f t="shared" si="15"/>
        <v>1.1459714594320369</v>
      </c>
      <c r="L98" s="339"/>
      <c r="M98" s="361">
        <v>191312</v>
      </c>
      <c r="N98" s="361">
        <v>-20749</v>
      </c>
      <c r="O98" s="361">
        <v>250187</v>
      </c>
      <c r="P98" s="361">
        <v>-17500</v>
      </c>
      <c r="Q98" s="361">
        <v>57500</v>
      </c>
      <c r="R98" s="361">
        <v>538000</v>
      </c>
      <c r="S98" s="361">
        <v>487531</v>
      </c>
      <c r="T98" s="361">
        <v>-7185</v>
      </c>
      <c r="U98" s="361">
        <v>224379</v>
      </c>
      <c r="V98" s="361">
        <v>105200</v>
      </c>
      <c r="W98" s="361">
        <v>204200</v>
      </c>
      <c r="X98" s="361">
        <v>-14069</v>
      </c>
      <c r="Y98" s="343"/>
      <c r="Z98" s="336"/>
      <c r="AA98" s="336"/>
      <c r="AB98" s="336"/>
      <c r="AC98" s="336"/>
      <c r="AD98" s="336"/>
      <c r="AE98" s="336"/>
      <c r="AF98" s="336"/>
      <c r="AG98" s="336"/>
      <c r="AH98" s="336"/>
      <c r="AI98" s="336"/>
      <c r="AJ98" s="336"/>
      <c r="AK98" s="336"/>
      <c r="AL98" s="336"/>
      <c r="AM98" s="336"/>
      <c r="AN98" s="336"/>
      <c r="AO98" s="336"/>
      <c r="AP98" s="336"/>
      <c r="AQ98" s="336"/>
      <c r="AR98" s="336"/>
      <c r="AS98" s="336"/>
      <c r="AT98" s="336"/>
      <c r="AU98" s="336"/>
      <c r="AV98" s="336"/>
      <c r="AW98" s="336"/>
    </row>
    <row r="99" spans="1:49" ht="14" outlineLevel="3">
      <c r="A99" s="336"/>
      <c r="B99" s="341"/>
      <c r="C99" s="358" t="s">
        <v>671</v>
      </c>
      <c r="D99" s="359">
        <f t="shared" si="8"/>
        <v>148256</v>
      </c>
      <c r="E99" s="359">
        <f t="shared" si="9"/>
        <v>166567.16666666666</v>
      </c>
      <c r="F99" s="359">
        <f t="shared" si="10"/>
        <v>-20749</v>
      </c>
      <c r="G99" s="359">
        <f t="shared" si="11"/>
        <v>538000</v>
      </c>
      <c r="H99" s="359">
        <f t="shared" si="12"/>
        <v>-8906</v>
      </c>
      <c r="I99" s="359">
        <f t="shared" si="13"/>
        <v>230831</v>
      </c>
      <c r="J99" s="359">
        <f t="shared" si="14"/>
        <v>190881.21907845934</v>
      </c>
      <c r="K99" s="360">
        <f t="shared" si="15"/>
        <v>1.1459714594320369</v>
      </c>
      <c r="L99" s="339"/>
      <c r="M99" s="361">
        <v>191312</v>
      </c>
      <c r="N99" s="361">
        <v>-20749</v>
      </c>
      <c r="O99" s="361">
        <v>250187</v>
      </c>
      <c r="P99" s="361">
        <v>-17500</v>
      </c>
      <c r="Q99" s="361">
        <v>57500</v>
      </c>
      <c r="R99" s="361">
        <v>538000</v>
      </c>
      <c r="S99" s="361">
        <v>487531</v>
      </c>
      <c r="T99" s="361">
        <v>-7185</v>
      </c>
      <c r="U99" s="361">
        <v>224379</v>
      </c>
      <c r="V99" s="361">
        <v>105200</v>
      </c>
      <c r="W99" s="361">
        <v>204200</v>
      </c>
      <c r="X99" s="361">
        <v>-14069</v>
      </c>
      <c r="Y99" s="343"/>
      <c r="Z99" s="336"/>
      <c r="AA99" s="336"/>
      <c r="AB99" s="336"/>
      <c r="AC99" s="336"/>
      <c r="AD99" s="336"/>
      <c r="AE99" s="336"/>
      <c r="AF99" s="336"/>
      <c r="AG99" s="336"/>
      <c r="AH99" s="336"/>
      <c r="AI99" s="336"/>
      <c r="AJ99" s="336"/>
      <c r="AK99" s="336"/>
      <c r="AL99" s="336"/>
      <c r="AM99" s="336"/>
      <c r="AN99" s="336"/>
      <c r="AO99" s="336"/>
      <c r="AP99" s="336"/>
      <c r="AQ99" s="336"/>
      <c r="AR99" s="336"/>
      <c r="AS99" s="336"/>
      <c r="AT99" s="336"/>
      <c r="AU99" s="336"/>
      <c r="AV99" s="336"/>
      <c r="AW99" s="336"/>
    </row>
    <row r="100" spans="1:49" ht="14" outlineLevel="2">
      <c r="A100" s="336"/>
      <c r="B100" s="341"/>
      <c r="C100" s="354" t="s">
        <v>672</v>
      </c>
      <c r="D100" s="355" t="str">
        <f t="shared" si="8"/>
        <v/>
      </c>
      <c r="E100" s="355" t="str">
        <f t="shared" si="9"/>
        <v/>
      </c>
      <c r="F100" s="355" t="str">
        <f t="shared" si="10"/>
        <v/>
      </c>
      <c r="G100" s="355" t="str">
        <f t="shared" si="11"/>
        <v/>
      </c>
      <c r="H100" s="355" t="str">
        <f t="shared" si="12"/>
        <v/>
      </c>
      <c r="I100" s="355" t="str">
        <f t="shared" si="13"/>
        <v/>
      </c>
      <c r="J100" s="355" t="str">
        <f t="shared" si="14"/>
        <v/>
      </c>
      <c r="K100" s="356" t="str">
        <f t="shared" si="15"/>
        <v/>
      </c>
      <c r="M100" s="357"/>
      <c r="N100" s="357"/>
      <c r="O100" s="357"/>
      <c r="P100" s="357"/>
      <c r="Q100" s="357"/>
      <c r="R100" s="357"/>
      <c r="S100" s="357"/>
      <c r="T100" s="357"/>
      <c r="U100" s="357"/>
      <c r="V100" s="357"/>
      <c r="W100" s="357"/>
      <c r="X100" s="357"/>
      <c r="Y100" s="343"/>
      <c r="Z100" s="336"/>
      <c r="AA100" s="336"/>
      <c r="AB100" s="336"/>
      <c r="AC100" s="336"/>
      <c r="AD100" s="336"/>
      <c r="AE100" s="336"/>
      <c r="AF100" s="336"/>
      <c r="AG100" s="336"/>
      <c r="AH100" s="336"/>
      <c r="AI100" s="336"/>
      <c r="AJ100" s="336"/>
      <c r="AK100" s="336"/>
      <c r="AL100" s="336"/>
      <c r="AM100" s="336"/>
      <c r="AN100" s="336"/>
      <c r="AO100" s="336"/>
      <c r="AP100" s="336"/>
      <c r="AQ100" s="336"/>
      <c r="AR100" s="336"/>
      <c r="AS100" s="336"/>
      <c r="AT100" s="336"/>
      <c r="AU100" s="336"/>
      <c r="AV100" s="336"/>
      <c r="AW100" s="336"/>
    </row>
    <row r="101" spans="1:49" ht="14" outlineLevel="3">
      <c r="A101" s="336"/>
      <c r="B101" s="341"/>
      <c r="C101" s="354" t="s">
        <v>673</v>
      </c>
      <c r="D101" s="355">
        <f t="shared" si="8"/>
        <v>-173.5</v>
      </c>
      <c r="E101" s="355">
        <f t="shared" si="9"/>
        <v>-495.25</v>
      </c>
      <c r="F101" s="355">
        <f t="shared" si="10"/>
        <v>-3291</v>
      </c>
      <c r="G101" s="355">
        <f t="shared" si="11"/>
        <v>-22</v>
      </c>
      <c r="H101" s="355">
        <f t="shared" si="12"/>
        <v>-295</v>
      </c>
      <c r="I101" s="355">
        <f t="shared" si="13"/>
        <v>-81.5</v>
      </c>
      <c r="J101" s="355">
        <f t="shared" si="14"/>
        <v>932.81169540851545</v>
      </c>
      <c r="K101" s="356">
        <f t="shared" si="15"/>
        <v>-1.8835168004210308</v>
      </c>
      <c r="M101" s="357">
        <v>-98</v>
      </c>
      <c r="N101" s="357">
        <v>-193</v>
      </c>
      <c r="O101" s="357">
        <v>-268</v>
      </c>
      <c r="P101" s="357">
        <v>-182</v>
      </c>
      <c r="Q101" s="357">
        <v>-165</v>
      </c>
      <c r="R101" s="357">
        <v>-93</v>
      </c>
      <c r="S101" s="357">
        <v>-47</v>
      </c>
      <c r="T101" s="357">
        <v>-22</v>
      </c>
      <c r="U101" s="357">
        <v>-46</v>
      </c>
      <c r="V101" s="357">
        <v>-376</v>
      </c>
      <c r="W101" s="357">
        <v>-1162</v>
      </c>
      <c r="X101" s="357">
        <v>-3291</v>
      </c>
      <c r="Y101" s="343"/>
      <c r="Z101" s="336"/>
      <c r="AA101" s="336"/>
      <c r="AB101" s="336"/>
      <c r="AC101" s="336"/>
      <c r="AD101" s="336"/>
      <c r="AE101" s="336"/>
      <c r="AF101" s="336"/>
      <c r="AG101" s="336"/>
      <c r="AH101" s="336"/>
      <c r="AI101" s="336"/>
      <c r="AJ101" s="336"/>
      <c r="AK101" s="336"/>
      <c r="AL101" s="336"/>
      <c r="AM101" s="336"/>
      <c r="AN101" s="336"/>
      <c r="AO101" s="336"/>
      <c r="AP101" s="336"/>
      <c r="AQ101" s="336"/>
      <c r="AR101" s="336"/>
      <c r="AS101" s="336"/>
      <c r="AT101" s="336"/>
      <c r="AU101" s="336"/>
      <c r="AV101" s="336"/>
      <c r="AW101" s="336"/>
    </row>
    <row r="102" spans="1:49" ht="14" outlineLevel="3">
      <c r="A102" s="336"/>
      <c r="B102" s="341"/>
      <c r="C102" s="358" t="s">
        <v>674</v>
      </c>
      <c r="D102" s="359">
        <f t="shared" si="8"/>
        <v>-173.5</v>
      </c>
      <c r="E102" s="359">
        <f t="shared" si="9"/>
        <v>-495.25</v>
      </c>
      <c r="F102" s="359">
        <f t="shared" si="10"/>
        <v>-3291</v>
      </c>
      <c r="G102" s="359">
        <f t="shared" si="11"/>
        <v>-22</v>
      </c>
      <c r="H102" s="359">
        <f t="shared" si="12"/>
        <v>-295</v>
      </c>
      <c r="I102" s="359">
        <f t="shared" si="13"/>
        <v>-81.5</v>
      </c>
      <c r="J102" s="359">
        <f t="shared" si="14"/>
        <v>932.81169540851545</v>
      </c>
      <c r="K102" s="360">
        <f t="shared" si="15"/>
        <v>-1.8835168004210308</v>
      </c>
      <c r="L102" s="339"/>
      <c r="M102" s="361">
        <v>-98</v>
      </c>
      <c r="N102" s="361">
        <v>-193</v>
      </c>
      <c r="O102" s="361">
        <v>-268</v>
      </c>
      <c r="P102" s="361">
        <v>-182</v>
      </c>
      <c r="Q102" s="361">
        <v>-165</v>
      </c>
      <c r="R102" s="361">
        <v>-93</v>
      </c>
      <c r="S102" s="361">
        <v>-47</v>
      </c>
      <c r="T102" s="361">
        <v>-22</v>
      </c>
      <c r="U102" s="361">
        <v>-46</v>
      </c>
      <c r="V102" s="361">
        <v>-376</v>
      </c>
      <c r="W102" s="361">
        <v>-1162</v>
      </c>
      <c r="X102" s="361">
        <v>-3291</v>
      </c>
      <c r="Y102" s="343"/>
      <c r="Z102" s="336"/>
      <c r="AA102" s="336"/>
      <c r="AB102" s="336"/>
      <c r="AC102" s="336"/>
      <c r="AD102" s="336"/>
      <c r="AE102" s="336"/>
      <c r="AF102" s="336"/>
      <c r="AG102" s="336"/>
      <c r="AH102" s="336"/>
      <c r="AI102" s="336"/>
      <c r="AJ102" s="336"/>
      <c r="AK102" s="336"/>
      <c r="AL102" s="336"/>
      <c r="AM102" s="336"/>
      <c r="AN102" s="336"/>
      <c r="AO102" s="336"/>
      <c r="AP102" s="336"/>
      <c r="AQ102" s="336"/>
      <c r="AR102" s="336"/>
      <c r="AS102" s="336"/>
      <c r="AT102" s="336"/>
      <c r="AU102" s="336"/>
      <c r="AV102" s="336"/>
      <c r="AW102" s="336"/>
    </row>
    <row r="103" spans="1:49" ht="14" outlineLevel="2">
      <c r="A103" s="336"/>
      <c r="B103" s="341"/>
      <c r="C103" s="354" t="s">
        <v>675</v>
      </c>
      <c r="D103" s="355">
        <f t="shared" si="8"/>
        <v>3402</v>
      </c>
      <c r="E103" s="355">
        <f t="shared" si="9"/>
        <v>3402</v>
      </c>
      <c r="F103" s="355">
        <f t="shared" si="10"/>
        <v>3402</v>
      </c>
      <c r="G103" s="355">
        <f t="shared" si="11"/>
        <v>3402</v>
      </c>
      <c r="H103" s="355">
        <f t="shared" si="12"/>
        <v>3402</v>
      </c>
      <c r="I103" s="355">
        <f t="shared" si="13"/>
        <v>3402</v>
      </c>
      <c r="J103" s="355" t="str">
        <f t="shared" si="14"/>
        <v/>
      </c>
      <c r="K103" s="356" t="str">
        <f t="shared" si="15"/>
        <v/>
      </c>
      <c r="M103" s="357"/>
      <c r="N103" s="357"/>
      <c r="O103" s="357"/>
      <c r="P103" s="357"/>
      <c r="Q103" s="357"/>
      <c r="R103" s="357"/>
      <c r="S103" s="357"/>
      <c r="T103" s="357"/>
      <c r="U103" s="357"/>
      <c r="V103" s="357"/>
      <c r="W103" s="357"/>
      <c r="X103" s="357">
        <v>3402</v>
      </c>
      <c r="Y103" s="343"/>
      <c r="Z103" s="336"/>
      <c r="AA103" s="336"/>
      <c r="AB103" s="336"/>
      <c r="AC103" s="336"/>
      <c r="AD103" s="336"/>
      <c r="AE103" s="336"/>
      <c r="AF103" s="336"/>
      <c r="AG103" s="336"/>
      <c r="AH103" s="336"/>
      <c r="AI103" s="336"/>
      <c r="AJ103" s="336"/>
      <c r="AK103" s="336"/>
      <c r="AL103" s="336"/>
      <c r="AM103" s="336"/>
      <c r="AN103" s="336"/>
      <c r="AO103" s="336"/>
      <c r="AP103" s="336"/>
      <c r="AQ103" s="336"/>
      <c r="AR103" s="336"/>
      <c r="AS103" s="336"/>
      <c r="AT103" s="336"/>
      <c r="AU103" s="336"/>
      <c r="AV103" s="336"/>
      <c r="AW103" s="336"/>
    </row>
    <row r="104" spans="1:49" ht="14" outlineLevel="2">
      <c r="A104" s="336"/>
      <c r="B104" s="341"/>
      <c r="C104" s="354" t="s">
        <v>676</v>
      </c>
      <c r="D104" s="355" t="str">
        <f t="shared" si="8"/>
        <v/>
      </c>
      <c r="E104" s="355" t="str">
        <f t="shared" si="9"/>
        <v/>
      </c>
      <c r="F104" s="355" t="str">
        <f t="shared" si="10"/>
        <v/>
      </c>
      <c r="G104" s="355" t="str">
        <f t="shared" si="11"/>
        <v/>
      </c>
      <c r="H104" s="355" t="str">
        <f t="shared" si="12"/>
        <v/>
      </c>
      <c r="I104" s="355" t="str">
        <f t="shared" si="13"/>
        <v/>
      </c>
      <c r="J104" s="355" t="str">
        <f t="shared" si="14"/>
        <v/>
      </c>
      <c r="K104" s="356" t="str">
        <f t="shared" si="15"/>
        <v/>
      </c>
      <c r="M104" s="357"/>
      <c r="N104" s="357"/>
      <c r="O104" s="357"/>
      <c r="P104" s="357"/>
      <c r="Q104" s="357"/>
      <c r="R104" s="357"/>
      <c r="S104" s="357"/>
      <c r="T104" s="357"/>
      <c r="U104" s="357"/>
      <c r="V104" s="357"/>
      <c r="W104" s="357"/>
      <c r="X104" s="357"/>
      <c r="Y104" s="343"/>
      <c r="Z104" s="336"/>
      <c r="AA104" s="336"/>
      <c r="AB104" s="336"/>
      <c r="AC104" s="336"/>
      <c r="AD104" s="336"/>
      <c r="AE104" s="336"/>
      <c r="AF104" s="336"/>
      <c r="AG104" s="336"/>
      <c r="AH104" s="336"/>
      <c r="AI104" s="336"/>
      <c r="AJ104" s="336"/>
      <c r="AK104" s="336"/>
      <c r="AL104" s="336"/>
      <c r="AM104" s="336"/>
      <c r="AN104" s="336"/>
      <c r="AO104" s="336"/>
      <c r="AP104" s="336"/>
      <c r="AQ104" s="336"/>
      <c r="AR104" s="336"/>
      <c r="AS104" s="336"/>
      <c r="AT104" s="336"/>
      <c r="AU104" s="336"/>
      <c r="AV104" s="336"/>
      <c r="AW104" s="336"/>
    </row>
    <row r="105" spans="1:49" ht="14" outlineLevel="3">
      <c r="A105" s="336"/>
      <c r="B105" s="341"/>
      <c r="C105" s="354" t="s">
        <v>677</v>
      </c>
      <c r="D105" s="355">
        <f t="shared" si="8"/>
        <v>-5220</v>
      </c>
      <c r="E105" s="355">
        <f t="shared" si="9"/>
        <v>-7449.181818181818</v>
      </c>
      <c r="F105" s="355">
        <f t="shared" si="10"/>
        <v>-27133</v>
      </c>
      <c r="G105" s="355">
        <f t="shared" si="11"/>
        <v>0</v>
      </c>
      <c r="H105" s="355">
        <f t="shared" si="12"/>
        <v>-11316</v>
      </c>
      <c r="I105" s="355">
        <f t="shared" si="13"/>
        <v>-648.5</v>
      </c>
      <c r="J105" s="355">
        <f t="shared" si="14"/>
        <v>8585.0840743487406</v>
      </c>
      <c r="K105" s="356">
        <f t="shared" si="15"/>
        <v>-1.1524868480716144</v>
      </c>
      <c r="M105" s="357">
        <v>-12055</v>
      </c>
      <c r="N105" s="357">
        <v>0</v>
      </c>
      <c r="O105" s="357">
        <v>-16176</v>
      </c>
      <c r="P105" s="357">
        <v>0</v>
      </c>
      <c r="Q105" s="357"/>
      <c r="R105" s="357">
        <v>-10577</v>
      </c>
      <c r="S105" s="357">
        <v>-27133</v>
      </c>
      <c r="T105" s="357">
        <v>-1278</v>
      </c>
      <c r="U105" s="357">
        <v>-5220</v>
      </c>
      <c r="V105" s="357">
        <v>-1698</v>
      </c>
      <c r="W105" s="357">
        <v>-7785</v>
      </c>
      <c r="X105" s="357">
        <v>-19</v>
      </c>
      <c r="Y105" s="343"/>
      <c r="Z105" s="336"/>
      <c r="AA105" s="336"/>
      <c r="AB105" s="336"/>
      <c r="AC105" s="336"/>
      <c r="AD105" s="336"/>
      <c r="AE105" s="336"/>
      <c r="AF105" s="336"/>
      <c r="AG105" s="336"/>
      <c r="AH105" s="336"/>
      <c r="AI105" s="336"/>
      <c r="AJ105" s="336"/>
      <c r="AK105" s="336"/>
      <c r="AL105" s="336"/>
      <c r="AM105" s="336"/>
      <c r="AN105" s="336"/>
      <c r="AO105" s="336"/>
      <c r="AP105" s="336"/>
      <c r="AQ105" s="336"/>
      <c r="AR105" s="336"/>
      <c r="AS105" s="336"/>
      <c r="AT105" s="336"/>
      <c r="AU105" s="336"/>
      <c r="AV105" s="336"/>
      <c r="AW105" s="336"/>
    </row>
    <row r="106" spans="1:49" ht="14" outlineLevel="3">
      <c r="A106" s="336"/>
      <c r="B106" s="341"/>
      <c r="C106" s="358" t="s">
        <v>678</v>
      </c>
      <c r="D106" s="359">
        <f t="shared" si="8"/>
        <v>-3459</v>
      </c>
      <c r="E106" s="359">
        <f t="shared" si="9"/>
        <v>-6828.416666666667</v>
      </c>
      <c r="F106" s="359">
        <f t="shared" si="10"/>
        <v>-27133</v>
      </c>
      <c r="G106" s="359">
        <f t="shared" si="11"/>
        <v>0</v>
      </c>
      <c r="H106" s="359">
        <f t="shared" si="12"/>
        <v>-10946.5</v>
      </c>
      <c r="I106" s="359">
        <f t="shared" si="13"/>
        <v>-14.25</v>
      </c>
      <c r="J106" s="359">
        <f t="shared" si="14"/>
        <v>8463.3047645632359</v>
      </c>
      <c r="K106" s="360">
        <f t="shared" si="15"/>
        <v>-1.2394241853865442</v>
      </c>
      <c r="L106" s="339"/>
      <c r="M106" s="361">
        <v>-12055</v>
      </c>
      <c r="N106" s="361">
        <v>0</v>
      </c>
      <c r="O106" s="361">
        <v>-16176</v>
      </c>
      <c r="P106" s="361">
        <v>0</v>
      </c>
      <c r="Q106" s="361">
        <v>0</v>
      </c>
      <c r="R106" s="361">
        <v>-10577</v>
      </c>
      <c r="S106" s="361">
        <v>-27133</v>
      </c>
      <c r="T106" s="361">
        <v>-1278</v>
      </c>
      <c r="U106" s="361">
        <v>-5220</v>
      </c>
      <c r="V106" s="361">
        <v>-1698</v>
      </c>
      <c r="W106" s="361">
        <v>-7785</v>
      </c>
      <c r="X106" s="361">
        <v>-19</v>
      </c>
      <c r="Y106" s="343"/>
      <c r="Z106" s="336"/>
      <c r="AA106" s="336"/>
      <c r="AB106" s="336"/>
      <c r="AC106" s="336"/>
      <c r="AD106" s="336"/>
      <c r="AE106" s="336"/>
      <c r="AF106" s="336"/>
      <c r="AG106" s="336"/>
      <c r="AH106" s="336"/>
      <c r="AI106" s="336"/>
      <c r="AJ106" s="336"/>
      <c r="AK106" s="336"/>
      <c r="AL106" s="336"/>
      <c r="AM106" s="336"/>
      <c r="AN106" s="336"/>
      <c r="AO106" s="336"/>
      <c r="AP106" s="336"/>
      <c r="AQ106" s="336"/>
      <c r="AR106" s="336"/>
      <c r="AS106" s="336"/>
      <c r="AT106" s="336"/>
      <c r="AU106" s="336"/>
      <c r="AV106" s="336"/>
      <c r="AW106" s="336"/>
    </row>
    <row r="107" spans="1:49" ht="14" outlineLevel="2">
      <c r="A107" s="336"/>
      <c r="B107" s="341"/>
      <c r="C107" s="354" t="s">
        <v>679</v>
      </c>
      <c r="D107" s="355" t="str">
        <f t="shared" si="8"/>
        <v/>
      </c>
      <c r="E107" s="355" t="str">
        <f t="shared" si="9"/>
        <v/>
      </c>
      <c r="F107" s="355" t="str">
        <f t="shared" si="10"/>
        <v/>
      </c>
      <c r="G107" s="355" t="str">
        <f t="shared" si="11"/>
        <v/>
      </c>
      <c r="H107" s="355" t="str">
        <f t="shared" si="12"/>
        <v/>
      </c>
      <c r="I107" s="355" t="str">
        <f t="shared" si="13"/>
        <v/>
      </c>
      <c r="J107" s="355" t="str">
        <f t="shared" si="14"/>
        <v/>
      </c>
      <c r="K107" s="356" t="str">
        <f t="shared" si="15"/>
        <v/>
      </c>
      <c r="M107" s="357"/>
      <c r="N107" s="357"/>
      <c r="O107" s="357"/>
      <c r="P107" s="357"/>
      <c r="Q107" s="357"/>
      <c r="R107" s="357"/>
      <c r="S107" s="357"/>
      <c r="T107" s="357"/>
      <c r="U107" s="357"/>
      <c r="V107" s="357"/>
      <c r="W107" s="357"/>
      <c r="X107" s="357"/>
      <c r="Y107" s="343"/>
      <c r="Z107" s="336"/>
      <c r="AA107" s="336"/>
      <c r="AB107" s="336"/>
      <c r="AC107" s="336"/>
      <c r="AD107" s="336"/>
      <c r="AE107" s="336"/>
      <c r="AF107" s="336"/>
      <c r="AG107" s="336"/>
      <c r="AH107" s="336"/>
      <c r="AI107" s="336"/>
      <c r="AJ107" s="336"/>
      <c r="AK107" s="336"/>
      <c r="AL107" s="336"/>
      <c r="AM107" s="336"/>
      <c r="AN107" s="336"/>
      <c r="AO107" s="336"/>
      <c r="AP107" s="336"/>
      <c r="AQ107" s="336"/>
      <c r="AR107" s="336"/>
      <c r="AS107" s="336"/>
      <c r="AT107" s="336"/>
      <c r="AU107" s="336"/>
      <c r="AV107" s="336"/>
      <c r="AW107" s="336"/>
    </row>
    <row r="108" spans="1:49" ht="14" outlineLevel="3">
      <c r="A108" s="336"/>
      <c r="B108" s="341"/>
      <c r="C108" s="354" t="s">
        <v>680</v>
      </c>
      <c r="D108" s="355" t="str">
        <f t="shared" si="8"/>
        <v/>
      </c>
      <c r="E108" s="355" t="str">
        <f t="shared" si="9"/>
        <v/>
      </c>
      <c r="F108" s="355" t="str">
        <f t="shared" si="10"/>
        <v/>
      </c>
      <c r="G108" s="355" t="str">
        <f t="shared" si="11"/>
        <v/>
      </c>
      <c r="H108" s="355" t="str">
        <f t="shared" si="12"/>
        <v/>
      </c>
      <c r="I108" s="355" t="str">
        <f t="shared" si="13"/>
        <v/>
      </c>
      <c r="J108" s="355" t="str">
        <f t="shared" si="14"/>
        <v/>
      </c>
      <c r="K108" s="356" t="str">
        <f t="shared" si="15"/>
        <v/>
      </c>
      <c r="M108" s="357"/>
      <c r="N108" s="357"/>
      <c r="O108" s="357"/>
      <c r="P108" s="357"/>
      <c r="Q108" s="357"/>
      <c r="R108" s="357"/>
      <c r="S108" s="357"/>
      <c r="T108" s="357"/>
      <c r="U108" s="357"/>
      <c r="V108" s="357"/>
      <c r="W108" s="357"/>
      <c r="X108" s="357"/>
      <c r="Y108" s="343"/>
      <c r="Z108" s="336"/>
      <c r="AA108" s="336"/>
      <c r="AB108" s="336"/>
      <c r="AC108" s="336"/>
      <c r="AD108" s="336"/>
      <c r="AE108" s="336"/>
      <c r="AF108" s="336"/>
      <c r="AG108" s="336"/>
      <c r="AH108" s="336"/>
      <c r="AI108" s="336"/>
      <c r="AJ108" s="336"/>
      <c r="AK108" s="336"/>
      <c r="AL108" s="336"/>
      <c r="AM108" s="336"/>
      <c r="AN108" s="336"/>
      <c r="AO108" s="336"/>
      <c r="AP108" s="336"/>
      <c r="AQ108" s="336"/>
      <c r="AR108" s="336"/>
      <c r="AS108" s="336"/>
      <c r="AT108" s="336"/>
      <c r="AU108" s="336"/>
      <c r="AV108" s="336"/>
      <c r="AW108" s="336"/>
    </row>
    <row r="109" spans="1:49" ht="14" outlineLevel="4">
      <c r="A109" s="336"/>
      <c r="B109" s="341"/>
      <c r="C109" s="354" t="s">
        <v>681</v>
      </c>
      <c r="D109" s="355">
        <f t="shared" si="8"/>
        <v>-84641</v>
      </c>
      <c r="E109" s="355">
        <f t="shared" si="9"/>
        <v>-84641</v>
      </c>
      <c r="F109" s="355">
        <f t="shared" si="10"/>
        <v>-169282</v>
      </c>
      <c r="G109" s="355">
        <f t="shared" si="11"/>
        <v>0</v>
      </c>
      <c r="H109" s="355">
        <f t="shared" si="12"/>
        <v>-126961.5</v>
      </c>
      <c r="I109" s="355">
        <f t="shared" si="13"/>
        <v>-42320.5</v>
      </c>
      <c r="J109" s="355">
        <f t="shared" si="14"/>
        <v>119700.45013282113</v>
      </c>
      <c r="K109" s="356">
        <f t="shared" si="15"/>
        <v>-1.4142135623730949</v>
      </c>
      <c r="M109" s="357"/>
      <c r="N109" s="357"/>
      <c r="O109" s="357"/>
      <c r="P109" s="357"/>
      <c r="Q109" s="357"/>
      <c r="R109" s="357"/>
      <c r="S109" s="357"/>
      <c r="T109" s="357"/>
      <c r="U109" s="357">
        <v>-169282</v>
      </c>
      <c r="V109" s="357"/>
      <c r="W109" s="357">
        <v>0</v>
      </c>
      <c r="X109" s="357"/>
      <c r="Y109" s="343"/>
      <c r="Z109" s="336"/>
      <c r="AA109" s="336"/>
      <c r="AB109" s="336"/>
      <c r="AC109" s="336"/>
      <c r="AD109" s="336"/>
      <c r="AE109" s="336"/>
      <c r="AF109" s="336"/>
      <c r="AG109" s="336"/>
      <c r="AH109" s="336"/>
      <c r="AI109" s="336"/>
      <c r="AJ109" s="336"/>
      <c r="AK109" s="336"/>
      <c r="AL109" s="336"/>
      <c r="AM109" s="336"/>
      <c r="AN109" s="336"/>
      <c r="AO109" s="336"/>
      <c r="AP109" s="336"/>
      <c r="AQ109" s="336"/>
      <c r="AR109" s="336"/>
      <c r="AS109" s="336"/>
      <c r="AT109" s="336"/>
      <c r="AU109" s="336"/>
      <c r="AV109" s="336"/>
      <c r="AW109" s="336"/>
    </row>
    <row r="110" spans="1:49" ht="14" outlineLevel="4">
      <c r="A110" s="336"/>
      <c r="B110" s="341"/>
      <c r="C110" s="358" t="s">
        <v>682</v>
      </c>
      <c r="D110" s="359">
        <f t="shared" si="8"/>
        <v>-84641</v>
      </c>
      <c r="E110" s="359">
        <f t="shared" si="9"/>
        <v>-84641</v>
      </c>
      <c r="F110" s="359">
        <f t="shared" si="10"/>
        <v>-169282</v>
      </c>
      <c r="G110" s="359">
        <f t="shared" si="11"/>
        <v>0</v>
      </c>
      <c r="H110" s="359">
        <f t="shared" si="12"/>
        <v>-126961.5</v>
      </c>
      <c r="I110" s="359">
        <f t="shared" si="13"/>
        <v>-42320.5</v>
      </c>
      <c r="J110" s="359">
        <f t="shared" si="14"/>
        <v>119700.45013282113</v>
      </c>
      <c r="K110" s="360">
        <f t="shared" si="15"/>
        <v>-1.4142135623730949</v>
      </c>
      <c r="L110" s="339"/>
      <c r="M110" s="361"/>
      <c r="N110" s="361"/>
      <c r="O110" s="361"/>
      <c r="P110" s="361"/>
      <c r="Q110" s="361"/>
      <c r="R110" s="361"/>
      <c r="S110" s="361"/>
      <c r="T110" s="361"/>
      <c r="U110" s="361">
        <v>-169282</v>
      </c>
      <c r="V110" s="361"/>
      <c r="W110" s="361">
        <v>0</v>
      </c>
      <c r="X110" s="361"/>
      <c r="Y110" s="343"/>
      <c r="Z110" s="336"/>
      <c r="AA110" s="336"/>
      <c r="AB110" s="336"/>
      <c r="AC110" s="336"/>
      <c r="AD110" s="336"/>
      <c r="AE110" s="336"/>
      <c r="AF110" s="336"/>
      <c r="AG110" s="336"/>
      <c r="AH110" s="336"/>
      <c r="AI110" s="336"/>
      <c r="AJ110" s="336"/>
      <c r="AK110" s="336"/>
      <c r="AL110" s="336"/>
      <c r="AM110" s="336"/>
      <c r="AN110" s="336"/>
      <c r="AO110" s="336"/>
      <c r="AP110" s="336"/>
      <c r="AQ110" s="336"/>
      <c r="AR110" s="336"/>
      <c r="AS110" s="336"/>
      <c r="AT110" s="336"/>
      <c r="AU110" s="336"/>
      <c r="AV110" s="336"/>
      <c r="AW110" s="336"/>
    </row>
    <row r="111" spans="1:49" ht="14" outlineLevel="3">
      <c r="A111" s="336"/>
      <c r="B111" s="341"/>
      <c r="C111" s="358" t="s">
        <v>683</v>
      </c>
      <c r="D111" s="359">
        <f t="shared" si="8"/>
        <v>-84641</v>
      </c>
      <c r="E111" s="359">
        <f t="shared" si="9"/>
        <v>-84641</v>
      </c>
      <c r="F111" s="359">
        <f t="shared" si="10"/>
        <v>-169282</v>
      </c>
      <c r="G111" s="359">
        <f t="shared" si="11"/>
        <v>0</v>
      </c>
      <c r="H111" s="359">
        <f t="shared" si="12"/>
        <v>-126961.5</v>
      </c>
      <c r="I111" s="359">
        <f t="shared" si="13"/>
        <v>-42320.5</v>
      </c>
      <c r="J111" s="359">
        <f t="shared" si="14"/>
        <v>119700.45013282113</v>
      </c>
      <c r="K111" s="360">
        <f t="shared" si="15"/>
        <v>-1.4142135623730949</v>
      </c>
      <c r="L111" s="339"/>
      <c r="M111" s="361"/>
      <c r="N111" s="361"/>
      <c r="O111" s="361"/>
      <c r="P111" s="361"/>
      <c r="Q111" s="361"/>
      <c r="R111" s="361"/>
      <c r="S111" s="361"/>
      <c r="T111" s="361"/>
      <c r="U111" s="361">
        <v>-169282</v>
      </c>
      <c r="V111" s="361"/>
      <c r="W111" s="361">
        <v>0</v>
      </c>
      <c r="X111" s="361"/>
      <c r="Y111" s="343"/>
      <c r="Z111" s="336"/>
      <c r="AA111" s="336"/>
      <c r="AB111" s="336"/>
      <c r="AC111" s="336"/>
      <c r="AD111" s="336"/>
      <c r="AE111" s="336"/>
      <c r="AF111" s="336"/>
      <c r="AG111" s="336"/>
      <c r="AH111" s="336"/>
      <c r="AI111" s="336"/>
      <c r="AJ111" s="336"/>
      <c r="AK111" s="336"/>
      <c r="AL111" s="336"/>
      <c r="AM111" s="336"/>
      <c r="AN111" s="336"/>
      <c r="AO111" s="336"/>
      <c r="AP111" s="336"/>
      <c r="AQ111" s="336"/>
      <c r="AR111" s="336"/>
      <c r="AS111" s="336"/>
      <c r="AT111" s="336"/>
      <c r="AU111" s="336"/>
      <c r="AV111" s="336"/>
      <c r="AW111" s="336"/>
    </row>
    <row r="112" spans="1:49" ht="14" outlineLevel="2">
      <c r="A112" s="336"/>
      <c r="B112" s="341"/>
      <c r="C112" s="354" t="s">
        <v>684</v>
      </c>
      <c r="D112" s="355">
        <f t="shared" si="8"/>
        <v>-8468</v>
      </c>
      <c r="E112" s="355">
        <f t="shared" si="9"/>
        <v>-48916.75</v>
      </c>
      <c r="F112" s="355">
        <f t="shared" si="10"/>
        <v>-205832</v>
      </c>
      <c r="G112" s="355">
        <f t="shared" si="11"/>
        <v>-750</v>
      </c>
      <c r="H112" s="355">
        <f t="shared" si="12"/>
        <v>-51404.5</v>
      </c>
      <c r="I112" s="355">
        <f t="shared" si="13"/>
        <v>-4622.25</v>
      </c>
      <c r="J112" s="355">
        <f t="shared" si="14"/>
        <v>76044.052815247705</v>
      </c>
      <c r="K112" s="356">
        <f t="shared" si="15"/>
        <v>-1.5545606119631354</v>
      </c>
      <c r="M112" s="357">
        <v>-4792</v>
      </c>
      <c r="N112" s="357">
        <v>-4605</v>
      </c>
      <c r="O112" s="357">
        <v>-4628</v>
      </c>
      <c r="P112" s="357">
        <v>-750</v>
      </c>
      <c r="Q112" s="357">
        <v>-2056</v>
      </c>
      <c r="R112" s="357">
        <v>-7679</v>
      </c>
      <c r="S112" s="357">
        <v>-9257</v>
      </c>
      <c r="T112" s="357">
        <v>-13332</v>
      </c>
      <c r="U112" s="357">
        <v>-133567</v>
      </c>
      <c r="V112" s="357">
        <v>-176486</v>
      </c>
      <c r="W112" s="357">
        <v>-205832</v>
      </c>
      <c r="X112" s="357">
        <v>-24017</v>
      </c>
      <c r="Y112" s="343"/>
      <c r="Z112" s="336"/>
      <c r="AA112" s="336"/>
      <c r="AB112" s="336"/>
      <c r="AC112" s="336"/>
      <c r="AD112" s="336"/>
      <c r="AE112" s="336"/>
      <c r="AF112" s="336"/>
      <c r="AG112" s="336"/>
      <c r="AH112" s="336"/>
      <c r="AI112" s="336"/>
      <c r="AJ112" s="336"/>
      <c r="AK112" s="336"/>
      <c r="AL112" s="336"/>
      <c r="AM112" s="336"/>
      <c r="AN112" s="336"/>
      <c r="AO112" s="336"/>
      <c r="AP112" s="336"/>
      <c r="AQ112" s="336"/>
      <c r="AR112" s="336"/>
      <c r="AS112" s="336"/>
      <c r="AT112" s="336"/>
      <c r="AU112" s="336"/>
      <c r="AV112" s="336"/>
      <c r="AW112" s="336"/>
    </row>
    <row r="113" spans="1:49" ht="14" outlineLevel="2">
      <c r="A113" s="336"/>
      <c r="B113" s="341"/>
      <c r="C113" s="354" t="s">
        <v>685</v>
      </c>
      <c r="D113" s="355">
        <f t="shared" si="8"/>
        <v>-366</v>
      </c>
      <c r="E113" s="355">
        <f t="shared" si="9"/>
        <v>-664.42857142857144</v>
      </c>
      <c r="F113" s="355">
        <f t="shared" si="10"/>
        <v>-2373</v>
      </c>
      <c r="G113" s="355">
        <f t="shared" si="11"/>
        <v>0</v>
      </c>
      <c r="H113" s="355">
        <f t="shared" si="12"/>
        <v>-956</v>
      </c>
      <c r="I113" s="355">
        <f t="shared" si="13"/>
        <v>0</v>
      </c>
      <c r="J113" s="355">
        <f t="shared" si="14"/>
        <v>867.39569154699279</v>
      </c>
      <c r="K113" s="356">
        <f t="shared" si="15"/>
        <v>-1.3054762074454846</v>
      </c>
      <c r="M113" s="357">
        <v>-1032</v>
      </c>
      <c r="N113" s="357">
        <v>0</v>
      </c>
      <c r="O113" s="357">
        <v>0</v>
      </c>
      <c r="P113" s="357"/>
      <c r="Q113" s="357"/>
      <c r="R113" s="357"/>
      <c r="S113" s="357"/>
      <c r="T113" s="357">
        <v>-366</v>
      </c>
      <c r="U113" s="357">
        <v>0</v>
      </c>
      <c r="V113" s="357">
        <v>-880</v>
      </c>
      <c r="W113" s="357">
        <v>-2373</v>
      </c>
      <c r="X113" s="357"/>
      <c r="Y113" s="343"/>
      <c r="Z113" s="336"/>
      <c r="AA113" s="336"/>
      <c r="AB113" s="336"/>
      <c r="AC113" s="336"/>
      <c r="AD113" s="336"/>
      <c r="AE113" s="336"/>
      <c r="AF113" s="336"/>
      <c r="AG113" s="336"/>
      <c r="AH113" s="336"/>
      <c r="AI113" s="336"/>
      <c r="AJ113" s="336"/>
      <c r="AK113" s="336"/>
      <c r="AL113" s="336"/>
      <c r="AM113" s="336"/>
      <c r="AN113" s="336"/>
      <c r="AO113" s="336"/>
      <c r="AP113" s="336"/>
      <c r="AQ113" s="336"/>
      <c r="AR113" s="336"/>
      <c r="AS113" s="336"/>
      <c r="AT113" s="336"/>
      <c r="AU113" s="336"/>
      <c r="AV113" s="336"/>
      <c r="AW113" s="336"/>
    </row>
    <row r="114" spans="1:49" ht="14" outlineLevel="2">
      <c r="A114" s="336"/>
      <c r="B114" s="341"/>
      <c r="C114" s="358" t="s">
        <v>686</v>
      </c>
      <c r="D114" s="359">
        <f t="shared" si="8"/>
        <v>-17327.5</v>
      </c>
      <c r="E114" s="359">
        <f t="shared" si="9"/>
        <v>-10073.916666666666</v>
      </c>
      <c r="F114" s="359">
        <f t="shared" si="10"/>
        <v>-141417</v>
      </c>
      <c r="G114" s="359">
        <f t="shared" si="11"/>
        <v>135725</v>
      </c>
      <c r="H114" s="359">
        <f t="shared" si="12"/>
        <v>-76975.75</v>
      </c>
      <c r="I114" s="359">
        <f t="shared" si="13"/>
        <v>59474.5</v>
      </c>
      <c r="J114" s="359">
        <f t="shared" si="14"/>
        <v>86734.129872908772</v>
      </c>
      <c r="K114" s="360">
        <f t="shared" si="15"/>
        <v>-8.609772419490147</v>
      </c>
      <c r="L114" s="339"/>
      <c r="M114" s="361">
        <v>-104995</v>
      </c>
      <c r="N114" s="361">
        <v>-141417</v>
      </c>
      <c r="O114" s="361">
        <v>135725</v>
      </c>
      <c r="P114" s="361">
        <v>-10246</v>
      </c>
      <c r="Q114" s="361">
        <v>57850</v>
      </c>
      <c r="R114" s="361">
        <v>64348</v>
      </c>
      <c r="S114" s="361">
        <v>109920</v>
      </c>
      <c r="T114" s="361">
        <v>-21703</v>
      </c>
      <c r="U114" s="361">
        <v>-85183</v>
      </c>
      <c r="V114" s="361">
        <v>-74240</v>
      </c>
      <c r="W114" s="361">
        <v>-12952</v>
      </c>
      <c r="X114" s="361">
        <v>-37994</v>
      </c>
      <c r="Y114" s="343"/>
      <c r="Z114" s="336"/>
      <c r="AA114" s="336"/>
      <c r="AB114" s="336"/>
      <c r="AC114" s="336"/>
      <c r="AD114" s="336"/>
      <c r="AE114" s="336"/>
      <c r="AF114" s="336"/>
      <c r="AG114" s="336"/>
      <c r="AH114" s="336"/>
      <c r="AI114" s="336"/>
      <c r="AJ114" s="336"/>
      <c r="AK114" s="336"/>
      <c r="AL114" s="336"/>
      <c r="AM114" s="336"/>
      <c r="AN114" s="336"/>
      <c r="AO114" s="336"/>
      <c r="AP114" s="336"/>
      <c r="AQ114" s="336"/>
      <c r="AR114" s="336"/>
      <c r="AS114" s="336"/>
      <c r="AT114" s="336"/>
      <c r="AU114" s="336"/>
      <c r="AV114" s="336"/>
      <c r="AW114" s="336"/>
    </row>
    <row r="115" spans="1:49" ht="14" outlineLevel="1">
      <c r="A115" s="336"/>
      <c r="B115" s="341"/>
      <c r="C115" s="351" t="s">
        <v>687</v>
      </c>
      <c r="D115" s="359">
        <f t="shared" si="8"/>
        <v>-17327.5</v>
      </c>
      <c r="E115" s="359">
        <f t="shared" si="9"/>
        <v>-10073.916666666666</v>
      </c>
      <c r="F115" s="359">
        <f t="shared" si="10"/>
        <v>-141417</v>
      </c>
      <c r="G115" s="359">
        <f t="shared" si="11"/>
        <v>135725</v>
      </c>
      <c r="H115" s="359">
        <f t="shared" si="12"/>
        <v>-76975.75</v>
      </c>
      <c r="I115" s="359">
        <f t="shared" si="13"/>
        <v>59474.5</v>
      </c>
      <c r="J115" s="359">
        <f t="shared" si="14"/>
        <v>86734.129872908772</v>
      </c>
      <c r="K115" s="360">
        <f t="shared" si="15"/>
        <v>-8.609772419490147</v>
      </c>
      <c r="L115" s="362"/>
      <c r="M115" s="359">
        <v>-104995</v>
      </c>
      <c r="N115" s="359">
        <v>-141417</v>
      </c>
      <c r="O115" s="359">
        <v>135725</v>
      </c>
      <c r="P115" s="359">
        <v>-10246</v>
      </c>
      <c r="Q115" s="359">
        <v>57850</v>
      </c>
      <c r="R115" s="359">
        <v>64348</v>
      </c>
      <c r="S115" s="359">
        <v>109920</v>
      </c>
      <c r="T115" s="359">
        <v>-21703</v>
      </c>
      <c r="U115" s="359">
        <v>-85183</v>
      </c>
      <c r="V115" s="359">
        <v>-74240</v>
      </c>
      <c r="W115" s="359">
        <v>-12952</v>
      </c>
      <c r="X115" s="359">
        <v>-37994</v>
      </c>
      <c r="Y115" s="343"/>
      <c r="Z115" s="336"/>
      <c r="AA115" s="336"/>
      <c r="AB115" s="336"/>
      <c r="AC115" s="336"/>
      <c r="AD115" s="336"/>
      <c r="AE115" s="336"/>
      <c r="AF115" s="336"/>
      <c r="AG115" s="336"/>
      <c r="AH115" s="336"/>
      <c r="AI115" s="336"/>
      <c r="AJ115" s="336"/>
      <c r="AK115" s="336"/>
      <c r="AL115" s="336"/>
      <c r="AM115" s="336"/>
      <c r="AN115" s="336"/>
      <c r="AO115" s="336"/>
      <c r="AP115" s="336"/>
      <c r="AQ115" s="336"/>
      <c r="AR115" s="336"/>
      <c r="AS115" s="336"/>
      <c r="AT115" s="336"/>
      <c r="AU115" s="336"/>
      <c r="AV115" s="336"/>
      <c r="AW115" s="336"/>
    </row>
    <row r="116" spans="1:49" ht="14">
      <c r="A116" s="336"/>
      <c r="B116" s="341"/>
      <c r="C116" s="351" t="s">
        <v>688</v>
      </c>
      <c r="D116" s="352" t="str">
        <f t="shared" si="8"/>
        <v/>
      </c>
      <c r="E116" s="352" t="str">
        <f t="shared" si="9"/>
        <v/>
      </c>
      <c r="F116" s="352" t="str">
        <f t="shared" si="10"/>
        <v/>
      </c>
      <c r="G116" s="352" t="str">
        <f t="shared" si="11"/>
        <v/>
      </c>
      <c r="H116" s="352" t="str">
        <f t="shared" si="12"/>
        <v/>
      </c>
      <c r="I116" s="352" t="str">
        <f t="shared" si="13"/>
        <v/>
      </c>
      <c r="J116" s="352" t="str">
        <f t="shared" si="14"/>
        <v/>
      </c>
      <c r="K116" s="353" t="str">
        <f t="shared" si="15"/>
        <v/>
      </c>
      <c r="L116" s="346"/>
      <c r="M116" s="352"/>
      <c r="N116" s="352"/>
      <c r="O116" s="352"/>
      <c r="P116" s="352"/>
      <c r="Q116" s="352"/>
      <c r="R116" s="352"/>
      <c r="S116" s="352"/>
      <c r="T116" s="352"/>
      <c r="U116" s="352"/>
      <c r="V116" s="352"/>
      <c r="W116" s="352"/>
      <c r="X116" s="352"/>
      <c r="Y116" s="343"/>
      <c r="Z116" s="336"/>
      <c r="AA116" s="336"/>
      <c r="AB116" s="336"/>
      <c r="AC116" s="336"/>
      <c r="AD116" s="336"/>
      <c r="AE116" s="336"/>
      <c r="AF116" s="336"/>
      <c r="AG116" s="336"/>
      <c r="AH116" s="336"/>
      <c r="AI116" s="336"/>
      <c r="AJ116" s="336"/>
      <c r="AK116" s="336"/>
      <c r="AL116" s="336"/>
      <c r="AM116" s="336"/>
      <c r="AN116" s="336"/>
      <c r="AO116" s="336"/>
      <c r="AP116" s="336"/>
      <c r="AQ116" s="336"/>
      <c r="AR116" s="336"/>
      <c r="AS116" s="336"/>
      <c r="AT116" s="336"/>
      <c r="AU116" s="336"/>
      <c r="AV116" s="336"/>
      <c r="AW116" s="336"/>
    </row>
    <row r="117" spans="1:49" ht="14" outlineLevel="1">
      <c r="A117" s="336"/>
      <c r="B117" s="341"/>
      <c r="C117" s="354" t="s">
        <v>689</v>
      </c>
      <c r="D117" s="355">
        <f t="shared" si="8"/>
        <v>25989.5</v>
      </c>
      <c r="E117" s="355">
        <f t="shared" si="9"/>
        <v>28538.75</v>
      </c>
      <c r="F117" s="355">
        <f t="shared" si="10"/>
        <v>-151154</v>
      </c>
      <c r="G117" s="355">
        <f t="shared" si="11"/>
        <v>207903</v>
      </c>
      <c r="H117" s="355">
        <f t="shared" si="12"/>
        <v>3770.5</v>
      </c>
      <c r="I117" s="355">
        <f t="shared" si="13"/>
        <v>76238.75</v>
      </c>
      <c r="J117" s="355">
        <f t="shared" si="14"/>
        <v>101981.89208707146</v>
      </c>
      <c r="K117" s="356">
        <f t="shared" si="15"/>
        <v>3.5734533603283767</v>
      </c>
      <c r="M117" s="357">
        <v>30167</v>
      </c>
      <c r="N117" s="357">
        <v>-151154</v>
      </c>
      <c r="O117" s="357">
        <v>-130634</v>
      </c>
      <c r="P117" s="357">
        <v>88127</v>
      </c>
      <c r="Q117" s="357">
        <v>36710</v>
      </c>
      <c r="R117" s="357">
        <v>157965</v>
      </c>
      <c r="S117" s="357">
        <v>207903</v>
      </c>
      <c r="T117" s="357">
        <v>72276</v>
      </c>
      <c r="U117" s="357">
        <v>8940</v>
      </c>
      <c r="V117" s="357">
        <v>-11738</v>
      </c>
      <c r="W117" s="357">
        <v>12091</v>
      </c>
      <c r="X117" s="357">
        <v>21812</v>
      </c>
      <c r="Y117" s="343"/>
      <c r="Z117" s="336"/>
      <c r="AA117" s="336"/>
      <c r="AB117" s="336"/>
      <c r="AC117" s="336"/>
      <c r="AD117" s="336"/>
      <c r="AE117" s="336"/>
      <c r="AF117" s="336"/>
      <c r="AG117" s="336"/>
      <c r="AH117" s="336"/>
      <c r="AI117" s="336"/>
      <c r="AJ117" s="336"/>
      <c r="AK117" s="336"/>
      <c r="AL117" s="336"/>
      <c r="AM117" s="336"/>
      <c r="AN117" s="336"/>
      <c r="AO117" s="336"/>
      <c r="AP117" s="336"/>
      <c r="AQ117" s="336"/>
      <c r="AR117" s="336"/>
      <c r="AS117" s="336"/>
      <c r="AT117" s="336"/>
      <c r="AU117" s="336"/>
      <c r="AV117" s="336"/>
      <c r="AW117" s="336"/>
    </row>
    <row r="118" spans="1:49" ht="14" outlineLevel="1">
      <c r="A118" s="336"/>
      <c r="B118" s="341"/>
      <c r="C118" s="354" t="s">
        <v>690</v>
      </c>
      <c r="D118" s="355">
        <f t="shared" si="8"/>
        <v>14</v>
      </c>
      <c r="E118" s="355">
        <f t="shared" si="9"/>
        <v>-204.18181818181819</v>
      </c>
      <c r="F118" s="355">
        <f t="shared" si="10"/>
        <v>-2614</v>
      </c>
      <c r="G118" s="355">
        <f t="shared" si="11"/>
        <v>776</v>
      </c>
      <c r="H118" s="355">
        <f t="shared" si="12"/>
        <v>-465.5</v>
      </c>
      <c r="I118" s="355">
        <f t="shared" si="13"/>
        <v>353</v>
      </c>
      <c r="J118" s="355">
        <f t="shared" si="14"/>
        <v>953.70591045477101</v>
      </c>
      <c r="K118" s="356">
        <f t="shared" si="15"/>
        <v>-4.6708659906511487</v>
      </c>
      <c r="M118" s="357">
        <v>-2614</v>
      </c>
      <c r="N118" s="357">
        <v>776</v>
      </c>
      <c r="O118" s="357">
        <v>-808</v>
      </c>
      <c r="P118" s="357">
        <v>14</v>
      </c>
      <c r="Q118" s="357">
        <v>295</v>
      </c>
      <c r="R118" s="357">
        <v>691</v>
      </c>
      <c r="S118" s="357">
        <v>-844</v>
      </c>
      <c r="T118" s="357">
        <v>411</v>
      </c>
      <c r="U118" s="357">
        <v>23</v>
      </c>
      <c r="V118" s="357">
        <v>-123</v>
      </c>
      <c r="W118" s="357">
        <v>-67</v>
      </c>
      <c r="X118" s="357"/>
      <c r="Y118" s="343"/>
      <c r="Z118" s="336"/>
      <c r="AA118" s="336"/>
      <c r="AB118" s="336"/>
      <c r="AC118" s="336"/>
      <c r="AD118" s="336"/>
      <c r="AE118" s="336"/>
      <c r="AF118" s="336"/>
      <c r="AG118" s="336"/>
      <c r="AH118" s="336"/>
      <c r="AI118" s="336"/>
      <c r="AJ118" s="336"/>
      <c r="AK118" s="336"/>
      <c r="AL118" s="336"/>
      <c r="AM118" s="336"/>
      <c r="AN118" s="336"/>
      <c r="AO118" s="336"/>
      <c r="AP118" s="336"/>
      <c r="AQ118" s="336"/>
      <c r="AR118" s="336"/>
      <c r="AS118" s="336"/>
      <c r="AT118" s="336"/>
      <c r="AU118" s="336"/>
      <c r="AV118" s="336"/>
      <c r="AW118" s="336"/>
    </row>
    <row r="119" spans="1:49" ht="14" outlineLevel="1">
      <c r="A119" s="336"/>
      <c r="B119" s="341"/>
      <c r="C119" s="354" t="s">
        <v>691</v>
      </c>
      <c r="D119" s="355">
        <f t="shared" si="8"/>
        <v>216609.5</v>
      </c>
      <c r="E119" s="355">
        <f t="shared" si="9"/>
        <v>248517.58333333334</v>
      </c>
      <c r="F119" s="355">
        <f t="shared" si="10"/>
        <v>9455</v>
      </c>
      <c r="G119" s="355">
        <f t="shared" si="11"/>
        <v>603941</v>
      </c>
      <c r="H119" s="355">
        <f t="shared" si="12"/>
        <v>38152.25</v>
      </c>
      <c r="I119" s="355">
        <f t="shared" si="13"/>
        <v>474073</v>
      </c>
      <c r="J119" s="355">
        <f t="shared" si="14"/>
        <v>226988.39267538782</v>
      </c>
      <c r="K119" s="356">
        <f t="shared" si="15"/>
        <v>0.91336954766267497</v>
      </c>
      <c r="M119" s="357">
        <v>322121</v>
      </c>
      <c r="N119" s="357">
        <v>472499</v>
      </c>
      <c r="O119" s="357">
        <v>603941</v>
      </c>
      <c r="P119" s="357">
        <v>515800</v>
      </c>
      <c r="Q119" s="357">
        <v>478795</v>
      </c>
      <c r="R119" s="357">
        <v>320139</v>
      </c>
      <c r="S119" s="357">
        <v>113080</v>
      </c>
      <c r="T119" s="357">
        <v>40393</v>
      </c>
      <c r="U119" s="357">
        <v>31430</v>
      </c>
      <c r="V119" s="357">
        <v>43291</v>
      </c>
      <c r="W119" s="357">
        <v>31267</v>
      </c>
      <c r="X119" s="357">
        <v>9455</v>
      </c>
      <c r="Y119" s="343"/>
      <c r="Z119" s="336"/>
      <c r="AA119" s="336"/>
      <c r="AB119" s="336"/>
      <c r="AC119" s="336"/>
      <c r="AD119" s="336"/>
      <c r="AE119" s="336"/>
      <c r="AF119" s="336"/>
      <c r="AG119" s="336"/>
      <c r="AH119" s="336"/>
      <c r="AI119" s="336"/>
      <c r="AJ119" s="336"/>
      <c r="AK119" s="336"/>
      <c r="AL119" s="336"/>
      <c r="AM119" s="336"/>
      <c r="AN119" s="336"/>
      <c r="AO119" s="336"/>
      <c r="AP119" s="336"/>
      <c r="AQ119" s="336"/>
      <c r="AR119" s="336"/>
      <c r="AS119" s="336"/>
      <c r="AT119" s="336"/>
      <c r="AU119" s="336"/>
      <c r="AV119" s="336"/>
      <c r="AW119" s="336"/>
    </row>
    <row r="120" spans="1:49" ht="14" outlineLevel="1">
      <c r="A120" s="336"/>
      <c r="B120" s="341"/>
      <c r="C120" s="351" t="s">
        <v>692</v>
      </c>
      <c r="D120" s="359">
        <f t="shared" si="8"/>
        <v>321130</v>
      </c>
      <c r="E120" s="359">
        <f t="shared" si="9"/>
        <v>276869.16666666669</v>
      </c>
      <c r="F120" s="359">
        <f t="shared" si="10"/>
        <v>31267</v>
      </c>
      <c r="G120" s="359">
        <f t="shared" si="11"/>
        <v>603941</v>
      </c>
      <c r="H120" s="359">
        <f t="shared" si="12"/>
        <v>42566.5</v>
      </c>
      <c r="I120" s="359">
        <f t="shared" si="13"/>
        <v>474073</v>
      </c>
      <c r="J120" s="359">
        <f t="shared" si="14"/>
        <v>215363.74917707496</v>
      </c>
      <c r="K120" s="360">
        <f t="shared" si="15"/>
        <v>0.777853857003729</v>
      </c>
      <c r="L120" s="362"/>
      <c r="M120" s="359">
        <v>349674</v>
      </c>
      <c r="N120" s="359">
        <v>322121</v>
      </c>
      <c r="O120" s="359">
        <v>472499</v>
      </c>
      <c r="P120" s="359">
        <v>603941</v>
      </c>
      <c r="Q120" s="359">
        <v>515800</v>
      </c>
      <c r="R120" s="359">
        <v>478795</v>
      </c>
      <c r="S120" s="359">
        <v>320139</v>
      </c>
      <c r="T120" s="359">
        <v>113080</v>
      </c>
      <c r="U120" s="359">
        <v>40393</v>
      </c>
      <c r="V120" s="359">
        <v>31430</v>
      </c>
      <c r="W120" s="359">
        <v>43291</v>
      </c>
      <c r="X120" s="359">
        <v>31267</v>
      </c>
      <c r="Y120" s="343"/>
      <c r="Z120" s="336"/>
      <c r="AA120" s="336"/>
      <c r="AB120" s="336"/>
      <c r="AC120" s="336"/>
      <c r="AD120" s="336"/>
      <c r="AE120" s="336"/>
      <c r="AF120" s="336"/>
      <c r="AG120" s="336"/>
      <c r="AH120" s="336"/>
      <c r="AI120" s="336"/>
      <c r="AJ120" s="336"/>
      <c r="AK120" s="336"/>
      <c r="AL120" s="336"/>
      <c r="AM120" s="336"/>
      <c r="AN120" s="336"/>
      <c r="AO120" s="336"/>
      <c r="AP120" s="336"/>
      <c r="AQ120" s="336"/>
      <c r="AR120" s="336"/>
      <c r="AS120" s="336"/>
      <c r="AT120" s="336"/>
      <c r="AU120" s="336"/>
      <c r="AV120" s="336"/>
      <c r="AW120" s="336"/>
    </row>
    <row r="121" spans="1:49" ht="14">
      <c r="A121" s="336"/>
      <c r="B121" s="341"/>
      <c r="C121" s="351" t="s">
        <v>693</v>
      </c>
      <c r="D121" s="364" t="str">
        <f t="shared" si="8"/>
        <v/>
      </c>
      <c r="E121" s="364" t="str">
        <f t="shared" si="9"/>
        <v/>
      </c>
      <c r="F121" s="364" t="str">
        <f t="shared" si="10"/>
        <v/>
      </c>
      <c r="G121" s="364" t="str">
        <f t="shared" si="11"/>
        <v/>
      </c>
      <c r="H121" s="364" t="str">
        <f t="shared" si="12"/>
        <v/>
      </c>
      <c r="I121" s="364" t="str">
        <f t="shared" si="13"/>
        <v/>
      </c>
      <c r="J121" s="364" t="str">
        <f t="shared" si="14"/>
        <v/>
      </c>
      <c r="K121" s="353" t="str">
        <f t="shared" si="15"/>
        <v/>
      </c>
      <c r="L121" s="346"/>
      <c r="M121" s="364"/>
      <c r="N121" s="364"/>
      <c r="O121" s="364"/>
      <c r="P121" s="364"/>
      <c r="Q121" s="364"/>
      <c r="R121" s="364"/>
      <c r="S121" s="364"/>
      <c r="T121" s="364"/>
      <c r="U121" s="364"/>
      <c r="V121" s="364"/>
      <c r="W121" s="364"/>
      <c r="X121" s="364"/>
      <c r="Y121" s="343"/>
      <c r="Z121" s="336"/>
      <c r="AA121" s="336"/>
      <c r="AB121" s="336"/>
      <c r="AC121" s="336"/>
      <c r="AD121" s="336"/>
      <c r="AE121" s="336"/>
      <c r="AF121" s="336"/>
      <c r="AG121" s="336"/>
      <c r="AH121" s="336"/>
      <c r="AI121" s="336"/>
      <c r="AJ121" s="336"/>
      <c r="AK121" s="336"/>
      <c r="AL121" s="336"/>
      <c r="AM121" s="336"/>
      <c r="AN121" s="336"/>
      <c r="AO121" s="336"/>
      <c r="AP121" s="336"/>
      <c r="AQ121" s="336"/>
      <c r="AR121" s="336"/>
      <c r="AS121" s="336"/>
      <c r="AT121" s="336"/>
      <c r="AU121" s="336"/>
      <c r="AV121" s="336"/>
      <c r="AW121" s="336"/>
    </row>
    <row r="122" spans="1:49" ht="14" outlineLevel="1">
      <c r="A122" s="336"/>
      <c r="B122" s="341"/>
      <c r="C122" s="354" t="s">
        <v>694</v>
      </c>
      <c r="D122" s="355">
        <f t="shared" si="8"/>
        <v>24682.5</v>
      </c>
      <c r="E122" s="355">
        <f t="shared" si="9"/>
        <v>28351.583333333332</v>
      </c>
      <c r="F122" s="355">
        <f t="shared" si="10"/>
        <v>-150378</v>
      </c>
      <c r="G122" s="355">
        <f t="shared" si="11"/>
        <v>207059</v>
      </c>
      <c r="H122" s="355">
        <f t="shared" si="12"/>
        <v>3757</v>
      </c>
      <c r="I122" s="355">
        <f t="shared" si="13"/>
        <v>76550.5</v>
      </c>
      <c r="J122" s="355">
        <f t="shared" si="14"/>
        <v>101941.19652075569</v>
      </c>
      <c r="K122" s="356">
        <f t="shared" si="15"/>
        <v>3.5956085881419568</v>
      </c>
      <c r="M122" s="357">
        <v>27553</v>
      </c>
      <c r="N122" s="357">
        <v>-150378</v>
      </c>
      <c r="O122" s="357">
        <v>-131442</v>
      </c>
      <c r="P122" s="357">
        <v>88141</v>
      </c>
      <c r="Q122" s="357">
        <v>37005</v>
      </c>
      <c r="R122" s="357">
        <v>158656</v>
      </c>
      <c r="S122" s="357">
        <v>207059</v>
      </c>
      <c r="T122" s="357">
        <v>72687</v>
      </c>
      <c r="U122" s="357">
        <v>8963</v>
      </c>
      <c r="V122" s="357">
        <v>-11861</v>
      </c>
      <c r="W122" s="357">
        <v>12024</v>
      </c>
      <c r="X122" s="357">
        <v>21812</v>
      </c>
      <c r="Y122" s="343"/>
      <c r="Z122" s="336"/>
      <c r="AA122" s="336"/>
      <c r="AB122" s="336"/>
      <c r="AC122" s="336"/>
      <c r="AD122" s="336"/>
      <c r="AE122" s="336"/>
      <c r="AF122" s="336"/>
      <c r="AG122" s="336"/>
      <c r="AH122" s="336"/>
      <c r="AI122" s="336"/>
      <c r="AJ122" s="336"/>
      <c r="AK122" s="336"/>
      <c r="AL122" s="336"/>
      <c r="AM122" s="336"/>
      <c r="AN122" s="336"/>
      <c r="AO122" s="336"/>
      <c r="AP122" s="336"/>
      <c r="AQ122" s="336"/>
      <c r="AR122" s="336"/>
      <c r="AS122" s="336"/>
      <c r="AT122" s="336"/>
      <c r="AU122" s="336"/>
      <c r="AV122" s="336"/>
      <c r="AW122" s="336"/>
    </row>
    <row r="123" spans="1:49" ht="14" outlineLevel="1">
      <c r="A123" s="336"/>
      <c r="B123" s="341"/>
      <c r="C123" s="354" t="s">
        <v>695</v>
      </c>
      <c r="D123" s="355">
        <f t="shared" si="8"/>
        <v>-3722</v>
      </c>
      <c r="E123" s="355">
        <f t="shared" si="9"/>
        <v>-4986</v>
      </c>
      <c r="F123" s="355">
        <f t="shared" si="10"/>
        <v>-12072</v>
      </c>
      <c r="G123" s="355">
        <f t="shared" si="11"/>
        <v>-1604</v>
      </c>
      <c r="H123" s="355">
        <f t="shared" si="12"/>
        <v>-6149</v>
      </c>
      <c r="I123" s="355">
        <f t="shared" si="13"/>
        <v>-2341</v>
      </c>
      <c r="J123" s="355">
        <f t="shared" si="14"/>
        <v>3449.7407148943817</v>
      </c>
      <c r="K123" s="356">
        <f t="shared" si="15"/>
        <v>-0.69188542216092697</v>
      </c>
      <c r="M123" s="357">
        <v>-12072</v>
      </c>
      <c r="N123" s="357">
        <v>-5258</v>
      </c>
      <c r="O123" s="357">
        <v>-3625</v>
      </c>
      <c r="P123" s="357">
        <v>-1848</v>
      </c>
      <c r="Q123" s="357"/>
      <c r="R123" s="357">
        <v>-10001</v>
      </c>
      <c r="S123" s="357">
        <v>-5016</v>
      </c>
      <c r="T123" s="357">
        <v>-3722</v>
      </c>
      <c r="U123" s="357">
        <v>-7040</v>
      </c>
      <c r="V123" s="357">
        <v>-2834</v>
      </c>
      <c r="W123" s="357">
        <v>-1604</v>
      </c>
      <c r="X123" s="357">
        <v>-1826</v>
      </c>
      <c r="Y123" s="343"/>
      <c r="Z123" s="336"/>
      <c r="AA123" s="336"/>
      <c r="AB123" s="336"/>
      <c r="AC123" s="336"/>
      <c r="AD123" s="336"/>
      <c r="AE123" s="336"/>
      <c r="AF123" s="336"/>
      <c r="AG123" s="336"/>
      <c r="AH123" s="336"/>
      <c r="AI123" s="336"/>
      <c r="AJ123" s="336"/>
      <c r="AK123" s="336"/>
      <c r="AL123" s="336"/>
      <c r="AM123" s="336"/>
      <c r="AN123" s="336"/>
      <c r="AO123" s="336"/>
      <c r="AP123" s="336"/>
      <c r="AQ123" s="336"/>
      <c r="AR123" s="336"/>
      <c r="AS123" s="336"/>
      <c r="AT123" s="336"/>
      <c r="AU123" s="336"/>
      <c r="AV123" s="336"/>
      <c r="AW123" s="336"/>
    </row>
    <row r="124" spans="1:49" ht="14" outlineLevel="1">
      <c r="A124" s="336"/>
      <c r="B124" s="341"/>
      <c r="C124" s="354" t="s">
        <v>696</v>
      </c>
      <c r="D124" s="355">
        <f t="shared" si="8"/>
        <v>2157</v>
      </c>
      <c r="E124" s="355">
        <f t="shared" si="9"/>
        <v>2157</v>
      </c>
      <c r="F124" s="355">
        <f t="shared" si="10"/>
        <v>2157</v>
      </c>
      <c r="G124" s="355">
        <f t="shared" si="11"/>
        <v>2157</v>
      </c>
      <c r="H124" s="355">
        <f t="shared" si="12"/>
        <v>2157</v>
      </c>
      <c r="I124" s="355">
        <f t="shared" si="13"/>
        <v>2157</v>
      </c>
      <c r="J124" s="355" t="str">
        <f t="shared" si="14"/>
        <v/>
      </c>
      <c r="K124" s="356" t="str">
        <f t="shared" si="15"/>
        <v/>
      </c>
      <c r="M124" s="357"/>
      <c r="N124" s="357"/>
      <c r="O124" s="357"/>
      <c r="P124" s="357"/>
      <c r="Q124" s="357">
        <v>2157</v>
      </c>
      <c r="R124" s="357"/>
      <c r="S124" s="357"/>
      <c r="T124" s="357"/>
      <c r="U124" s="357"/>
      <c r="V124" s="357"/>
      <c r="W124" s="357"/>
      <c r="X124" s="357"/>
      <c r="Y124" s="343"/>
      <c r="Z124" s="336"/>
      <c r="AA124" s="336"/>
      <c r="AB124" s="336"/>
      <c r="AC124" s="336"/>
      <c r="AD124" s="336"/>
      <c r="AE124" s="336"/>
      <c r="AF124" s="336"/>
      <c r="AG124" s="336"/>
      <c r="AH124" s="336"/>
      <c r="AI124" s="336"/>
      <c r="AJ124" s="336"/>
      <c r="AK124" s="336"/>
      <c r="AL124" s="336"/>
      <c r="AM124" s="336"/>
      <c r="AN124" s="336"/>
      <c r="AO124" s="336"/>
      <c r="AP124" s="336"/>
      <c r="AQ124" s="336"/>
      <c r="AR124" s="336"/>
      <c r="AS124" s="336"/>
      <c r="AT124" s="336"/>
      <c r="AU124" s="336"/>
      <c r="AV124" s="336"/>
      <c r="AW124" s="336"/>
    </row>
    <row r="125" spans="1:49" ht="14" outlineLevel="1">
      <c r="A125" s="336"/>
      <c r="B125" s="341"/>
      <c r="C125" s="354" t="s">
        <v>697</v>
      </c>
      <c r="D125" s="355">
        <f t="shared" si="8"/>
        <v>-46168.5</v>
      </c>
      <c r="E125" s="355">
        <f t="shared" si="9"/>
        <v>-50263.916666666664</v>
      </c>
      <c r="F125" s="355">
        <f t="shared" si="10"/>
        <v>-90853</v>
      </c>
      <c r="G125" s="355">
        <f t="shared" si="11"/>
        <v>-7638</v>
      </c>
      <c r="H125" s="355">
        <f t="shared" si="12"/>
        <v>-76962</v>
      </c>
      <c r="I125" s="355">
        <f t="shared" si="13"/>
        <v>-24031.5</v>
      </c>
      <c r="J125" s="355">
        <f t="shared" si="14"/>
        <v>29217.470827193083</v>
      </c>
      <c r="K125" s="356">
        <f t="shared" si="15"/>
        <v>-0.58128122050164721</v>
      </c>
      <c r="M125" s="357">
        <v>-90853</v>
      </c>
      <c r="N125" s="357">
        <v>-81184</v>
      </c>
      <c r="O125" s="357">
        <v>-80961</v>
      </c>
      <c r="P125" s="357">
        <v>-74869</v>
      </c>
      <c r="Q125" s="357">
        <v>-75629</v>
      </c>
      <c r="R125" s="357">
        <v>-53713</v>
      </c>
      <c r="S125" s="357">
        <v>-38624</v>
      </c>
      <c r="T125" s="357">
        <v>-31418</v>
      </c>
      <c r="U125" s="357">
        <v>-24302</v>
      </c>
      <c r="V125" s="357">
        <v>-23220</v>
      </c>
      <c r="W125" s="357">
        <v>-20756</v>
      </c>
      <c r="X125" s="357">
        <v>-7638</v>
      </c>
      <c r="Y125" s="343"/>
      <c r="Z125" s="336"/>
      <c r="AA125" s="336"/>
      <c r="AB125" s="336"/>
      <c r="AC125" s="336"/>
      <c r="AD125" s="336"/>
      <c r="AE125" s="336"/>
      <c r="AF125" s="336"/>
      <c r="AG125" s="336"/>
      <c r="AH125" s="336"/>
      <c r="AI125" s="336"/>
      <c r="AJ125" s="336"/>
      <c r="AK125" s="336"/>
      <c r="AL125" s="336"/>
      <c r="AM125" s="336"/>
      <c r="AN125" s="336"/>
      <c r="AO125" s="336"/>
      <c r="AP125" s="336"/>
      <c r="AQ125" s="336"/>
      <c r="AR125" s="336"/>
      <c r="AS125" s="336"/>
      <c r="AT125" s="336"/>
      <c r="AU125" s="336"/>
      <c r="AV125" s="336"/>
      <c r="AW125" s="336"/>
    </row>
    <row r="126" spans="1:49" ht="14">
      <c r="A126" s="336"/>
      <c r="B126" s="341"/>
      <c r="C126" s="351" t="s">
        <v>698</v>
      </c>
      <c r="D126" s="364" t="str">
        <f t="shared" si="8"/>
        <v/>
      </c>
      <c r="E126" s="364" t="str">
        <f t="shared" si="9"/>
        <v/>
      </c>
      <c r="F126" s="364" t="str">
        <f t="shared" si="10"/>
        <v/>
      </c>
      <c r="G126" s="364" t="str">
        <f t="shared" si="11"/>
        <v/>
      </c>
      <c r="H126" s="364" t="str">
        <f t="shared" si="12"/>
        <v/>
      </c>
      <c r="I126" s="364" t="str">
        <f t="shared" si="13"/>
        <v/>
      </c>
      <c r="J126" s="364" t="str">
        <f t="shared" si="14"/>
        <v/>
      </c>
      <c r="K126" s="353" t="str">
        <f t="shared" si="15"/>
        <v/>
      </c>
      <c r="L126" s="346"/>
      <c r="M126" s="364"/>
      <c r="N126" s="364"/>
      <c r="O126" s="364"/>
      <c r="P126" s="364"/>
      <c r="Q126" s="364"/>
      <c r="R126" s="364"/>
      <c r="S126" s="364"/>
      <c r="T126" s="364"/>
      <c r="U126" s="364"/>
      <c r="V126" s="364"/>
      <c r="W126" s="364"/>
      <c r="X126" s="364"/>
      <c r="Y126" s="343"/>
      <c r="Z126" s="336"/>
      <c r="AA126" s="336"/>
      <c r="AB126" s="336"/>
      <c r="AC126" s="336"/>
      <c r="AD126" s="336"/>
      <c r="AE126" s="336"/>
      <c r="AF126" s="336"/>
      <c r="AG126" s="336"/>
      <c r="AH126" s="336"/>
      <c r="AI126" s="336"/>
      <c r="AJ126" s="336"/>
      <c r="AK126" s="336"/>
      <c r="AL126" s="336"/>
      <c r="AM126" s="336"/>
      <c r="AN126" s="336"/>
      <c r="AO126" s="336"/>
      <c r="AP126" s="336"/>
      <c r="AQ126" s="336"/>
      <c r="AR126" s="336"/>
      <c r="AS126" s="336"/>
      <c r="AT126" s="336"/>
      <c r="AU126" s="336"/>
      <c r="AV126" s="336"/>
      <c r="AW126" s="336"/>
    </row>
    <row r="127" spans="1:49" ht="14" outlineLevel="1">
      <c r="A127" s="336"/>
      <c r="B127" s="341"/>
      <c r="C127" s="354" t="s">
        <v>699</v>
      </c>
      <c r="D127" s="355">
        <f t="shared" si="8"/>
        <v>135013.35636551242</v>
      </c>
      <c r="E127" s="355">
        <f t="shared" si="9"/>
        <v>141063.5503697703</v>
      </c>
      <c r="F127" s="355">
        <f t="shared" si="10"/>
        <v>31226.41</v>
      </c>
      <c r="G127" s="355">
        <f t="shared" si="11"/>
        <v>280766.75099999999</v>
      </c>
      <c r="H127" s="355">
        <f t="shared" si="12"/>
        <v>75264.513811138022</v>
      </c>
      <c r="I127" s="355">
        <f t="shared" si="13"/>
        <v>184121.10975</v>
      </c>
      <c r="J127" s="355">
        <f t="shared" si="14"/>
        <v>80818.834034468498</v>
      </c>
      <c r="K127" s="356">
        <f t="shared" si="15"/>
        <v>0.5729249960221322</v>
      </c>
      <c r="M127" s="357">
        <v>280766.75099999999</v>
      </c>
      <c r="N127" s="357">
        <v>249552.568</v>
      </c>
      <c r="O127" s="357">
        <v>222191.43599999999</v>
      </c>
      <c r="P127" s="357">
        <v>171431.00099999999</v>
      </c>
      <c r="Q127" s="357">
        <v>31226.41</v>
      </c>
      <c r="R127" s="357">
        <v>155916.264</v>
      </c>
      <c r="S127" s="357">
        <v>136639.51273102485</v>
      </c>
      <c r="T127" s="357">
        <v>133387.20000000001</v>
      </c>
      <c r="U127" s="357">
        <v>132162.63200000001</v>
      </c>
      <c r="V127" s="357">
        <v>81545.494000000006</v>
      </c>
      <c r="W127" s="357">
        <v>41521.762461666403</v>
      </c>
      <c r="X127" s="357">
        <v>56421.573244552063</v>
      </c>
      <c r="Y127" s="343"/>
      <c r="Z127" s="336"/>
      <c r="AA127" s="336"/>
      <c r="AB127" s="336"/>
      <c r="AC127" s="336"/>
      <c r="AD127" s="336"/>
      <c r="AE127" s="336"/>
      <c r="AF127" s="336"/>
      <c r="AG127" s="336"/>
      <c r="AH127" s="336"/>
      <c r="AI127" s="336"/>
      <c r="AJ127" s="336"/>
      <c r="AK127" s="336"/>
      <c r="AL127" s="336"/>
      <c r="AM127" s="336"/>
      <c r="AN127" s="336"/>
      <c r="AO127" s="336"/>
      <c r="AP127" s="336"/>
      <c r="AQ127" s="336"/>
      <c r="AR127" s="336"/>
      <c r="AS127" s="336"/>
      <c r="AT127" s="336"/>
      <c r="AU127" s="336"/>
      <c r="AV127" s="336"/>
      <c r="AW127" s="336"/>
    </row>
    <row r="128" spans="1:49" ht="14" outlineLevel="1">
      <c r="A128" s="336"/>
      <c r="B128" s="341"/>
      <c r="C128" s="354" t="s">
        <v>700</v>
      </c>
      <c r="D128" s="355">
        <f t="shared" si="8"/>
        <v>103701</v>
      </c>
      <c r="E128" s="355">
        <f t="shared" si="9"/>
        <v>98788.416666666672</v>
      </c>
      <c r="F128" s="355">
        <f t="shared" si="10"/>
        <v>-28719</v>
      </c>
      <c r="G128" s="355">
        <f t="shared" si="11"/>
        <v>208440</v>
      </c>
      <c r="H128" s="355">
        <f t="shared" si="12"/>
        <v>58250</v>
      </c>
      <c r="I128" s="355">
        <f t="shared" si="13"/>
        <v>124464.75</v>
      </c>
      <c r="J128" s="355">
        <f t="shared" si="14"/>
        <v>67810.004116392389</v>
      </c>
      <c r="K128" s="356">
        <f t="shared" si="15"/>
        <v>0.68641654967705279</v>
      </c>
      <c r="M128" s="357">
        <v>208440</v>
      </c>
      <c r="N128" s="357">
        <v>187391</v>
      </c>
      <c r="O128" s="357">
        <v>161304</v>
      </c>
      <c r="P128" s="357">
        <v>99072</v>
      </c>
      <c r="Q128" s="357">
        <v>-28719</v>
      </c>
      <c r="R128" s="357">
        <v>108330</v>
      </c>
      <c r="S128" s="357">
        <v>96921</v>
      </c>
      <c r="T128" s="357">
        <v>112185</v>
      </c>
      <c r="U128" s="357">
        <v>110663</v>
      </c>
      <c r="V128" s="357">
        <v>61759</v>
      </c>
      <c r="W128" s="357">
        <v>20392</v>
      </c>
      <c r="X128" s="357">
        <v>47723</v>
      </c>
      <c r="Y128" s="343"/>
      <c r="Z128" s="336"/>
      <c r="AA128" s="336"/>
      <c r="AB128" s="336"/>
      <c r="AC128" s="336"/>
      <c r="AD128" s="336"/>
      <c r="AE128" s="336"/>
      <c r="AF128" s="336"/>
      <c r="AG128" s="336"/>
      <c r="AH128" s="336"/>
      <c r="AI128" s="336"/>
      <c r="AJ128" s="336"/>
      <c r="AK128" s="336"/>
      <c r="AL128" s="336"/>
      <c r="AM128" s="336"/>
      <c r="AN128" s="336"/>
      <c r="AO128" s="336"/>
      <c r="AP128" s="336"/>
      <c r="AQ128" s="336"/>
      <c r="AR128" s="336"/>
      <c r="AS128" s="336"/>
      <c r="AT128" s="336"/>
      <c r="AU128" s="336"/>
      <c r="AV128" s="336"/>
      <c r="AW128" s="336"/>
    </row>
    <row r="129" spans="1:49" ht="14" outlineLevel="1">
      <c r="A129" s="336"/>
      <c r="B129" s="341"/>
      <c r="C129" s="354" t="s">
        <v>701</v>
      </c>
      <c r="D129" s="355">
        <f t="shared" si="8"/>
        <v>1890</v>
      </c>
      <c r="E129" s="355">
        <f t="shared" si="9"/>
        <v>17029.25</v>
      </c>
      <c r="F129" s="355">
        <f t="shared" si="10"/>
        <v>0</v>
      </c>
      <c r="G129" s="355">
        <f t="shared" si="11"/>
        <v>156946</v>
      </c>
      <c r="H129" s="355">
        <f t="shared" si="12"/>
        <v>394</v>
      </c>
      <c r="I129" s="355">
        <f t="shared" si="13"/>
        <v>8429.5</v>
      </c>
      <c r="J129" s="355">
        <f t="shared" si="14"/>
        <v>44516.501008308449</v>
      </c>
      <c r="K129" s="356">
        <f t="shared" si="15"/>
        <v>2.6141198824556837</v>
      </c>
      <c r="M129" s="357">
        <v>21875</v>
      </c>
      <c r="N129" s="357">
        <v>9160</v>
      </c>
      <c r="O129" s="357">
        <v>925</v>
      </c>
      <c r="P129" s="357">
        <v>8186</v>
      </c>
      <c r="Q129" s="357">
        <v>2571</v>
      </c>
      <c r="R129" s="357">
        <v>2863</v>
      </c>
      <c r="S129" s="357">
        <v>1209</v>
      </c>
      <c r="T129" s="357">
        <v>480</v>
      </c>
      <c r="U129" s="357">
        <v>136</v>
      </c>
      <c r="V129" s="357">
        <v>156946</v>
      </c>
      <c r="W129" s="357">
        <v>0</v>
      </c>
      <c r="X129" s="357">
        <v>0</v>
      </c>
      <c r="Y129" s="343"/>
      <c r="Z129" s="336"/>
      <c r="AA129" s="336"/>
      <c r="AB129" s="336"/>
      <c r="AC129" s="336"/>
      <c r="AD129" s="336"/>
      <c r="AE129" s="336"/>
      <c r="AF129" s="336"/>
      <c r="AG129" s="336"/>
      <c r="AH129" s="336"/>
      <c r="AI129" s="336"/>
      <c r="AJ129" s="336"/>
      <c r="AK129" s="336"/>
      <c r="AL129" s="336"/>
      <c r="AM129" s="336"/>
      <c r="AN129" s="336"/>
      <c r="AO129" s="336"/>
      <c r="AP129" s="336"/>
      <c r="AQ129" s="336"/>
      <c r="AR129" s="336"/>
      <c r="AS129" s="336"/>
      <c r="AT129" s="336"/>
      <c r="AU129" s="336"/>
      <c r="AV129" s="336"/>
      <c r="AW129" s="336"/>
    </row>
    <row r="130" spans="1:49" ht="14" outlineLevel="1">
      <c r="A130" s="336"/>
      <c r="B130" s="341"/>
      <c r="C130" s="354" t="s">
        <v>702</v>
      </c>
      <c r="D130" s="355">
        <f t="shared" si="8"/>
        <v>175000</v>
      </c>
      <c r="E130" s="355">
        <f t="shared" si="9"/>
        <v>361666.66666666669</v>
      </c>
      <c r="F130" s="355">
        <f t="shared" si="10"/>
        <v>0</v>
      </c>
      <c r="G130" s="355">
        <f t="shared" si="11"/>
        <v>1200000</v>
      </c>
      <c r="H130" s="355">
        <f t="shared" si="12"/>
        <v>0</v>
      </c>
      <c r="I130" s="355">
        <f t="shared" si="13"/>
        <v>612500</v>
      </c>
      <c r="J130" s="355">
        <f t="shared" si="14"/>
        <v>425175.54306926264</v>
      </c>
      <c r="K130" s="356">
        <f t="shared" si="15"/>
        <v>1.1756005799150118</v>
      </c>
      <c r="M130" s="357">
        <v>800000</v>
      </c>
      <c r="N130" s="357">
        <v>0</v>
      </c>
      <c r="O130" s="357">
        <v>975000</v>
      </c>
      <c r="P130" s="357">
        <v>0</v>
      </c>
      <c r="Q130" s="357">
        <v>75000</v>
      </c>
      <c r="R130" s="357">
        <v>550000</v>
      </c>
      <c r="S130" s="357">
        <v>1200000</v>
      </c>
      <c r="T130" s="357">
        <v>0</v>
      </c>
      <c r="U130" s="357">
        <v>230000</v>
      </c>
      <c r="V130" s="357">
        <v>120000</v>
      </c>
      <c r="W130" s="357">
        <v>390000</v>
      </c>
      <c r="X130" s="357">
        <v>0</v>
      </c>
      <c r="Y130" s="343"/>
      <c r="Z130" s="336"/>
      <c r="AA130" s="336"/>
      <c r="AB130" s="336"/>
      <c r="AC130" s="336"/>
      <c r="AD130" s="336"/>
      <c r="AE130" s="336"/>
      <c r="AF130" s="336"/>
      <c r="AG130" s="336"/>
      <c r="AH130" s="336"/>
      <c r="AI130" s="336"/>
      <c r="AJ130" s="336"/>
      <c r="AK130" s="336"/>
      <c r="AL130" s="336"/>
      <c r="AM130" s="336"/>
      <c r="AN130" s="336"/>
      <c r="AO130" s="336"/>
      <c r="AP130" s="336"/>
      <c r="AQ130" s="336"/>
      <c r="AR130" s="336"/>
      <c r="AS130" s="336"/>
      <c r="AT130" s="336"/>
      <c r="AU130" s="336"/>
      <c r="AV130" s="336"/>
      <c r="AW130" s="336"/>
    </row>
    <row r="131" spans="1:49" ht="14" outlineLevel="1">
      <c r="A131" s="336"/>
      <c r="B131" s="341"/>
      <c r="C131" s="354" t="s">
        <v>703</v>
      </c>
      <c r="D131" s="355">
        <f t="shared" si="8"/>
        <v>-17673.5</v>
      </c>
      <c r="E131" s="355">
        <f t="shared" si="9"/>
        <v>-195594.75</v>
      </c>
      <c r="F131" s="355">
        <f t="shared" si="10"/>
        <v>-725081</v>
      </c>
      <c r="G131" s="355">
        <f t="shared" si="11"/>
        <v>-5667</v>
      </c>
      <c r="H131" s="355">
        <f t="shared" si="12"/>
        <v>-292418</v>
      </c>
      <c r="I131" s="355">
        <f t="shared" si="13"/>
        <v>-14405.25</v>
      </c>
      <c r="J131" s="355">
        <f t="shared" si="14"/>
        <v>298744.99082940136</v>
      </c>
      <c r="K131" s="356">
        <f t="shared" si="15"/>
        <v>-1.527367124267913</v>
      </c>
      <c r="M131" s="357">
        <v>-608786</v>
      </c>
      <c r="N131" s="357">
        <v>-20942</v>
      </c>
      <c r="O131" s="357">
        <v>-725081</v>
      </c>
      <c r="P131" s="357">
        <v>-17682</v>
      </c>
      <c r="Q131" s="357">
        <v>-17665</v>
      </c>
      <c r="R131" s="357">
        <v>-12093</v>
      </c>
      <c r="S131" s="357">
        <v>-712516</v>
      </c>
      <c r="T131" s="357">
        <v>-7207</v>
      </c>
      <c r="U131" s="357">
        <v>-5667</v>
      </c>
      <c r="V131" s="357">
        <v>-15176</v>
      </c>
      <c r="W131" s="357">
        <v>-186962</v>
      </c>
      <c r="X131" s="357">
        <v>-17360</v>
      </c>
      <c r="Y131" s="343"/>
      <c r="Z131" s="336"/>
      <c r="AA131" s="336"/>
      <c r="AB131" s="336"/>
      <c r="AC131" s="336"/>
      <c r="AD131" s="336"/>
      <c r="AE131" s="336"/>
      <c r="AF131" s="336"/>
      <c r="AG131" s="336"/>
      <c r="AH131" s="336"/>
      <c r="AI131" s="336"/>
      <c r="AJ131" s="336"/>
      <c r="AK131" s="336"/>
      <c r="AL131" s="336"/>
      <c r="AM131" s="336"/>
      <c r="AN131" s="336"/>
      <c r="AO131" s="336"/>
      <c r="AP131" s="336"/>
      <c r="AQ131" s="336"/>
      <c r="AR131" s="336"/>
      <c r="AS131" s="336"/>
      <c r="AT131" s="336"/>
      <c r="AU131" s="336"/>
      <c r="AV131" s="336"/>
      <c r="AW131" s="336"/>
    </row>
    <row r="132" spans="1:49" ht="14" outlineLevel="1">
      <c r="A132" s="336"/>
      <c r="B132" s="341"/>
      <c r="C132" s="354" t="s">
        <v>704</v>
      </c>
      <c r="D132" s="355">
        <f t="shared" si="8"/>
        <v>-47949</v>
      </c>
      <c r="E132" s="355">
        <f t="shared" si="9"/>
        <v>-123219</v>
      </c>
      <c r="F132" s="355">
        <f t="shared" si="10"/>
        <v>-458166</v>
      </c>
      <c r="G132" s="355">
        <f t="shared" si="11"/>
        <v>0</v>
      </c>
      <c r="H132" s="355">
        <f t="shared" si="12"/>
        <v>-192760.75</v>
      </c>
      <c r="I132" s="355">
        <f t="shared" si="13"/>
        <v>0</v>
      </c>
      <c r="J132" s="355">
        <f t="shared" si="14"/>
        <v>160746.1447771836</v>
      </c>
      <c r="K132" s="356">
        <f t="shared" si="15"/>
        <v>-1.3045564789292527</v>
      </c>
      <c r="M132" s="357">
        <v>-300205</v>
      </c>
      <c r="N132" s="357">
        <v>-125030</v>
      </c>
      <c r="O132" s="357">
        <v>-94315</v>
      </c>
      <c r="P132" s="357">
        <v>0</v>
      </c>
      <c r="Q132" s="357">
        <v>0</v>
      </c>
      <c r="R132" s="357">
        <v>-458166</v>
      </c>
      <c r="S132" s="357">
        <v>-342383</v>
      </c>
      <c r="T132" s="357">
        <v>0</v>
      </c>
      <c r="U132" s="357">
        <v>-1583</v>
      </c>
      <c r="V132" s="357">
        <v>-156946</v>
      </c>
      <c r="W132" s="357">
        <v>0</v>
      </c>
      <c r="X132" s="357">
        <v>0</v>
      </c>
      <c r="Y132" s="343"/>
      <c r="Z132" s="336"/>
      <c r="AA132" s="336"/>
      <c r="AB132" s="336"/>
      <c r="AC132" s="336"/>
      <c r="AD132" s="336"/>
      <c r="AE132" s="336"/>
      <c r="AF132" s="336"/>
      <c r="AG132" s="336"/>
      <c r="AH132" s="336"/>
      <c r="AI132" s="336"/>
      <c r="AJ132" s="336"/>
      <c r="AK132" s="336"/>
      <c r="AL132" s="336"/>
      <c r="AM132" s="336"/>
      <c r="AN132" s="336"/>
      <c r="AO132" s="336"/>
      <c r="AP132" s="336"/>
      <c r="AQ132" s="336"/>
      <c r="AR132" s="336"/>
      <c r="AS132" s="336"/>
      <c r="AT132" s="336"/>
      <c r="AU132" s="336"/>
      <c r="AV132" s="336"/>
      <c r="AW132" s="336"/>
    </row>
    <row r="133" spans="1:49" ht="14" outlineLevel="1">
      <c r="A133" s="336"/>
      <c r="B133" s="341"/>
      <c r="C133" s="354" t="s">
        <v>705</v>
      </c>
      <c r="D133" s="383">
        <f t="shared" si="8"/>
        <v>0.5983254448662052</v>
      </c>
      <c r="E133" s="383">
        <f t="shared" si="9"/>
        <v>0.47985903917857081</v>
      </c>
      <c r="F133" s="383">
        <f t="shared" si="10"/>
        <v>-1.2046055115137788</v>
      </c>
      <c r="G133" s="383">
        <f t="shared" si="11"/>
        <v>0.8779990479212948</v>
      </c>
      <c r="H133" s="383">
        <f t="shared" si="12"/>
        <v>0.51965297770832797</v>
      </c>
      <c r="I133" s="383">
        <f t="shared" si="13"/>
        <v>0.75130769822720689</v>
      </c>
      <c r="J133" s="383">
        <f t="shared" si="14"/>
        <v>0.55670514029666673</v>
      </c>
      <c r="K133" s="356">
        <f t="shared" si="15"/>
        <v>1.1601430729525115</v>
      </c>
      <c r="M133" s="384">
        <v>0.57342345688182428</v>
      </c>
      <c r="N133" s="384">
        <v>0.57948153393716928</v>
      </c>
      <c r="O133" s="384">
        <v>0.61716935579524101</v>
      </c>
      <c r="P133" s="384">
        <v>0.64691209695323415</v>
      </c>
      <c r="Q133" s="384">
        <v>-1.2046055115137788</v>
      </c>
      <c r="R133" s="384">
        <v>0.49435730811881368</v>
      </c>
      <c r="S133" s="384">
        <v>0.52808486757149942</v>
      </c>
      <c r="T133" s="384">
        <v>0.74836398567111606</v>
      </c>
      <c r="U133" s="384">
        <v>0.8779990479212948</v>
      </c>
      <c r="V133" s="384">
        <v>0.76013883589547926</v>
      </c>
      <c r="W133" s="384">
        <v>0.26945031712473572</v>
      </c>
      <c r="X133" s="384">
        <v>0.86753317578622069</v>
      </c>
      <c r="Y133" s="343"/>
      <c r="Z133" s="336"/>
      <c r="AA133" s="336"/>
      <c r="AB133" s="336"/>
      <c r="AC133" s="336"/>
      <c r="AD133" s="336"/>
      <c r="AE133" s="336"/>
      <c r="AF133" s="336"/>
      <c r="AG133" s="336"/>
      <c r="AH133" s="336"/>
      <c r="AI133" s="336"/>
      <c r="AJ133" s="336"/>
      <c r="AK133" s="336"/>
      <c r="AL133" s="336"/>
      <c r="AM133" s="336"/>
      <c r="AN133" s="336"/>
      <c r="AO133" s="336"/>
      <c r="AP133" s="336"/>
      <c r="AQ133" s="336"/>
      <c r="AR133" s="336"/>
      <c r="AS133" s="336"/>
      <c r="AT133" s="336"/>
      <c r="AU133" s="336"/>
      <c r="AV133" s="336"/>
      <c r="AW133" s="336"/>
    </row>
    <row r="134" spans="1:49" ht="14">
      <c r="A134" s="336"/>
      <c r="B134" s="341"/>
      <c r="C134" s="351" t="s">
        <v>576</v>
      </c>
      <c r="D134" s="364" t="str">
        <f t="shared" si="8"/>
        <v/>
      </c>
      <c r="E134" s="364" t="str">
        <f t="shared" si="9"/>
        <v/>
      </c>
      <c r="F134" s="364" t="str">
        <f t="shared" si="10"/>
        <v/>
      </c>
      <c r="G134" s="364" t="str">
        <f t="shared" si="11"/>
        <v/>
      </c>
      <c r="H134" s="364" t="str">
        <f t="shared" si="12"/>
        <v/>
      </c>
      <c r="I134" s="364" t="str">
        <f t="shared" si="13"/>
        <v/>
      </c>
      <c r="J134" s="364" t="str">
        <f t="shared" si="14"/>
        <v/>
      </c>
      <c r="K134" s="353" t="str">
        <f t="shared" si="15"/>
        <v/>
      </c>
      <c r="L134" s="346"/>
      <c r="M134" s="364"/>
      <c r="N134" s="364"/>
      <c r="O134" s="364"/>
      <c r="P134" s="364"/>
      <c r="Q134" s="364"/>
      <c r="R134" s="364"/>
      <c r="S134" s="364"/>
      <c r="T134" s="364"/>
      <c r="U134" s="364"/>
      <c r="V134" s="364"/>
      <c r="W134" s="364"/>
      <c r="X134" s="364"/>
      <c r="Y134" s="343"/>
      <c r="Z134" s="336"/>
      <c r="AA134" s="336"/>
      <c r="AB134" s="336"/>
      <c r="AC134" s="336"/>
      <c r="AD134" s="336"/>
      <c r="AE134" s="336"/>
      <c r="AF134" s="336"/>
      <c r="AG134" s="336"/>
      <c r="AH134" s="336"/>
      <c r="AI134" s="336"/>
      <c r="AJ134" s="336"/>
      <c r="AK134" s="336"/>
      <c r="AL134" s="336"/>
      <c r="AM134" s="336"/>
      <c r="AN134" s="336"/>
      <c r="AO134" s="336"/>
      <c r="AP134" s="336"/>
      <c r="AQ134" s="336"/>
      <c r="AR134" s="336"/>
      <c r="AS134" s="336"/>
      <c r="AT134" s="336"/>
      <c r="AU134" s="336"/>
      <c r="AV134" s="336"/>
      <c r="AW134" s="336"/>
    </row>
    <row r="135" spans="1:49" ht="14" outlineLevel="1">
      <c r="A135" s="336"/>
      <c r="B135" s="341"/>
      <c r="C135" s="354" t="s">
        <v>706</v>
      </c>
      <c r="D135" s="356">
        <f t="shared" si="8"/>
        <v>1.3875896646445571</v>
      </c>
      <c r="E135" s="356">
        <f t="shared" si="9"/>
        <v>1.4519212733881561</v>
      </c>
      <c r="F135" s="356">
        <f t="shared" si="10"/>
        <v>-0.35763173151700894</v>
      </c>
      <c r="G135" s="356">
        <f t="shared" si="11"/>
        <v>2.5554323981064542</v>
      </c>
      <c r="H135" s="356">
        <f t="shared" si="12"/>
        <v>1.1620522306055474</v>
      </c>
      <c r="I135" s="356">
        <f t="shared" si="13"/>
        <v>1.9808991131645781</v>
      </c>
      <c r="J135" s="356">
        <f t="shared" si="14"/>
        <v>0.81434569276579649</v>
      </c>
      <c r="K135" s="356">
        <f t="shared" si="15"/>
        <v>0.56087455132155062</v>
      </c>
      <c r="M135" s="363">
        <v>2.4285940170857017</v>
      </c>
      <c r="N135" s="363">
        <v>2.1998142910696936</v>
      </c>
      <c r="O135" s="363">
        <v>1.9079273871962061</v>
      </c>
      <c r="P135" s="363">
        <v>1.1809166810905967</v>
      </c>
      <c r="Q135" s="363">
        <v>-0.35763173151700894</v>
      </c>
      <c r="R135" s="363">
        <v>1.2955161722466066</v>
      </c>
      <c r="S135" s="363">
        <v>1.1054588791503994</v>
      </c>
      <c r="T135" s="363">
        <v>1.420566783163653</v>
      </c>
      <c r="U135" s="363">
        <v>2.5554323981064542</v>
      </c>
      <c r="V135" s="363">
        <v>1.7530229917683793</v>
      </c>
      <c r="W135" s="363">
        <v>0.5788248651717286</v>
      </c>
      <c r="X135" s="363">
        <v>1.3546125461254612</v>
      </c>
      <c r="Y135" s="343"/>
      <c r="Z135" s="336"/>
      <c r="AA135" s="336"/>
      <c r="AB135" s="336"/>
      <c r="AC135" s="336"/>
      <c r="AD135" s="336"/>
      <c r="AE135" s="336"/>
      <c r="AF135" s="336"/>
      <c r="AG135" s="336"/>
      <c r="AH135" s="336"/>
      <c r="AI135" s="336"/>
      <c r="AJ135" s="336"/>
      <c r="AK135" s="336"/>
      <c r="AL135" s="336"/>
      <c r="AM135" s="336"/>
      <c r="AN135" s="336"/>
      <c r="AO135" s="336"/>
      <c r="AP135" s="336"/>
      <c r="AQ135" s="336"/>
      <c r="AR135" s="336"/>
      <c r="AS135" s="336"/>
      <c r="AT135" s="336"/>
      <c r="AU135" s="336"/>
      <c r="AV135" s="336"/>
      <c r="AW135" s="336"/>
    </row>
    <row r="136" spans="1:49" ht="14" outlineLevel="1">
      <c r="A136" s="336"/>
      <c r="B136" s="341"/>
      <c r="C136" s="354" t="s">
        <v>707</v>
      </c>
      <c r="D136" s="356">
        <f t="shared" si="8"/>
        <v>2.2271785410161797</v>
      </c>
      <c r="E136" s="356">
        <f t="shared" si="9"/>
        <v>2.3986418432130283</v>
      </c>
      <c r="F136" s="356">
        <f t="shared" si="10"/>
        <v>0.29688701246899302</v>
      </c>
      <c r="G136" s="356">
        <f t="shared" si="11"/>
        <v>4.2352540481897414</v>
      </c>
      <c r="H136" s="356">
        <f t="shared" si="12"/>
        <v>1.8800390627700874</v>
      </c>
      <c r="I136" s="356">
        <f t="shared" si="13"/>
        <v>2.9557428791503124</v>
      </c>
      <c r="J136" s="356">
        <f t="shared" si="14"/>
        <v>1.0435588756701384</v>
      </c>
      <c r="K136" s="356">
        <f t="shared" si="15"/>
        <v>0.43506239942528085</v>
      </c>
      <c r="M136" s="363">
        <v>4.2352540481897414</v>
      </c>
      <c r="N136" s="363">
        <v>3.7961766893994073</v>
      </c>
      <c r="O136" s="363">
        <v>3.0914162689393172</v>
      </c>
      <c r="P136" s="363">
        <v>1.8254669941285178</v>
      </c>
      <c r="Q136" s="363">
        <v>0.29688701246899302</v>
      </c>
      <c r="R136" s="363">
        <v>2.6206068990391915</v>
      </c>
      <c r="S136" s="363">
        <v>2.0933356493134645</v>
      </c>
      <c r="T136" s="363">
        <v>1.8982297523172771</v>
      </c>
      <c r="U136" s="363">
        <v>2.910518415887311</v>
      </c>
      <c r="V136" s="363">
        <v>2.3061879080329266</v>
      </c>
      <c r="W136" s="363">
        <v>2.1481691739994324</v>
      </c>
      <c r="X136" s="363">
        <v>1.5614533068407608</v>
      </c>
      <c r="Y136" s="343"/>
      <c r="Z136" s="336"/>
      <c r="AA136" s="336"/>
      <c r="AB136" s="336"/>
      <c r="AC136" s="336"/>
      <c r="AD136" s="336"/>
      <c r="AE136" s="336"/>
      <c r="AF136" s="336"/>
      <c r="AG136" s="336"/>
      <c r="AH136" s="336"/>
      <c r="AI136" s="336"/>
      <c r="AJ136" s="336"/>
      <c r="AK136" s="336"/>
      <c r="AL136" s="336"/>
      <c r="AM136" s="336"/>
      <c r="AN136" s="336"/>
      <c r="AO136" s="336"/>
      <c r="AP136" s="336"/>
      <c r="AQ136" s="336"/>
      <c r="AR136" s="336"/>
      <c r="AS136" s="336"/>
      <c r="AT136" s="336"/>
      <c r="AU136" s="336"/>
      <c r="AV136" s="336"/>
      <c r="AW136" s="336"/>
    </row>
    <row r="137" spans="1:49" ht="14">
      <c r="A137" s="336"/>
      <c r="B137" s="341"/>
      <c r="C137" s="351" t="s">
        <v>353</v>
      </c>
      <c r="D137" s="364" t="str">
        <f t="shared" si="8"/>
        <v/>
      </c>
      <c r="E137" s="364" t="str">
        <f t="shared" si="9"/>
        <v/>
      </c>
      <c r="F137" s="364" t="str">
        <f t="shared" si="10"/>
        <v/>
      </c>
      <c r="G137" s="364" t="str">
        <f t="shared" si="11"/>
        <v/>
      </c>
      <c r="H137" s="364" t="str">
        <f t="shared" si="12"/>
        <v/>
      </c>
      <c r="I137" s="364" t="str">
        <f t="shared" si="13"/>
        <v/>
      </c>
      <c r="J137" s="364" t="str">
        <f t="shared" si="14"/>
        <v/>
      </c>
      <c r="K137" s="353" t="str">
        <f t="shared" si="15"/>
        <v/>
      </c>
      <c r="L137" s="346"/>
      <c r="M137" s="364"/>
      <c r="N137" s="364"/>
      <c r="O137" s="364"/>
      <c r="P137" s="364"/>
      <c r="Q137" s="364"/>
      <c r="R137" s="364"/>
      <c r="S137" s="364"/>
      <c r="T137" s="364"/>
      <c r="U137" s="364"/>
      <c r="V137" s="364"/>
      <c r="W137" s="364"/>
      <c r="X137" s="364"/>
      <c r="Y137" s="343"/>
      <c r="Z137" s="336"/>
      <c r="AA137" s="336"/>
      <c r="AB137" s="336"/>
      <c r="AC137" s="336"/>
      <c r="AD137" s="336"/>
      <c r="AE137" s="336"/>
      <c r="AF137" s="336"/>
      <c r="AG137" s="336"/>
      <c r="AH137" s="336"/>
      <c r="AI137" s="336"/>
      <c r="AJ137" s="336"/>
      <c r="AK137" s="336"/>
      <c r="AL137" s="336"/>
      <c r="AM137" s="336"/>
      <c r="AN137" s="336"/>
      <c r="AO137" s="336"/>
      <c r="AP137" s="336"/>
      <c r="AQ137" s="336"/>
      <c r="AR137" s="336"/>
      <c r="AS137" s="336"/>
      <c r="AT137" s="336"/>
      <c r="AU137" s="336"/>
      <c r="AV137" s="336"/>
      <c r="AW137" s="336"/>
    </row>
    <row r="138" spans="1:49" ht="14" outlineLevel="1">
      <c r="A138" s="336"/>
      <c r="B138" s="341"/>
      <c r="C138" s="354" t="s">
        <v>354</v>
      </c>
      <c r="D138" s="365" t="str">
        <f t="shared" si="8"/>
        <v/>
      </c>
      <c r="E138" s="365" t="str">
        <f t="shared" si="9"/>
        <v/>
      </c>
      <c r="F138" s="365" t="str">
        <f t="shared" si="10"/>
        <v/>
      </c>
      <c r="G138" s="365" t="str">
        <f t="shared" si="11"/>
        <v/>
      </c>
      <c r="H138" s="365" t="str">
        <f t="shared" si="12"/>
        <v/>
      </c>
      <c r="I138" s="365" t="str">
        <f t="shared" si="13"/>
        <v/>
      </c>
      <c r="J138" s="365" t="str">
        <f t="shared" si="14"/>
        <v/>
      </c>
      <c r="K138" s="356" t="str">
        <f t="shared" si="15"/>
        <v/>
      </c>
      <c r="M138" s="366" t="s">
        <v>355</v>
      </c>
      <c r="N138" s="366" t="s">
        <v>355</v>
      </c>
      <c r="O138" s="366" t="s">
        <v>355</v>
      </c>
      <c r="P138" s="366" t="s">
        <v>355</v>
      </c>
      <c r="Q138" s="366" t="s">
        <v>355</v>
      </c>
      <c r="R138" s="366" t="s">
        <v>355</v>
      </c>
      <c r="S138" s="366" t="s">
        <v>355</v>
      </c>
      <c r="T138" s="366" t="s">
        <v>355</v>
      </c>
      <c r="U138" s="366" t="s">
        <v>355</v>
      </c>
      <c r="V138" s="366" t="s">
        <v>355</v>
      </c>
      <c r="W138" s="366" t="s">
        <v>355</v>
      </c>
      <c r="X138" s="366" t="s">
        <v>355</v>
      </c>
      <c r="Y138" s="343"/>
      <c r="Z138" s="336"/>
      <c r="AA138" s="336"/>
      <c r="AB138" s="336"/>
      <c r="AC138" s="336"/>
      <c r="AD138" s="336"/>
      <c r="AE138" s="336"/>
      <c r="AF138" s="336"/>
      <c r="AG138" s="336"/>
      <c r="AH138" s="336"/>
      <c r="AI138" s="336"/>
      <c r="AJ138" s="336"/>
      <c r="AK138" s="336"/>
      <c r="AL138" s="336"/>
      <c r="AM138" s="336"/>
      <c r="AN138" s="336"/>
      <c r="AO138" s="336"/>
      <c r="AP138" s="336"/>
      <c r="AQ138" s="336"/>
      <c r="AR138" s="336"/>
      <c r="AS138" s="336"/>
      <c r="AT138" s="336"/>
      <c r="AU138" s="336"/>
      <c r="AV138" s="336"/>
      <c r="AW138" s="336"/>
    </row>
    <row r="139" spans="1:49" ht="14" outlineLevel="1">
      <c r="A139" s="336"/>
      <c r="B139" s="341"/>
      <c r="C139" s="354" t="s">
        <v>356</v>
      </c>
      <c r="D139" s="365" t="str">
        <f t="shared" ref="D139:D141" si="16">IF(COUNT(L139:X139)&gt;0,MEDIAN(L139:X139),"")</f>
        <v/>
      </c>
      <c r="E139" s="365" t="str">
        <f t="shared" ref="E139:E141" si="17">IF(COUNT(L139:X139)&gt;0,AVERAGE(L139:X139),"")</f>
        <v/>
      </c>
      <c r="F139" s="365" t="str">
        <f t="shared" ref="F139:F141" si="18">IF(COUNT(L139:X139)&gt;0,MIN(L139:X139),"")</f>
        <v/>
      </c>
      <c r="G139" s="365" t="str">
        <f t="shared" ref="G139:G141" si="19">IF(COUNT(L139:X139)&gt;0,MAX(L139:X139),"")</f>
        <v/>
      </c>
      <c r="H139" s="365" t="str">
        <f t="shared" ref="H139:H141" si="20">IF(COUNT(L139:X139)&gt;0,QUARTILE(L139:X139,1),"")</f>
        <v/>
      </c>
      <c r="I139" s="365" t="str">
        <f t="shared" ref="I139:I141" si="21">IF(COUNT(L139:X139)&gt;0,QUARTILE(L139:X139,3),"")</f>
        <v/>
      </c>
      <c r="J139" s="365" t="str">
        <f t="shared" ref="J139:J141" si="22">IF(COUNT(L139:X139)&gt;1,STDEV(L139:X139),"")</f>
        <v/>
      </c>
      <c r="K139" s="356" t="str">
        <f t="shared" ref="K139:K141" si="23">IF(COUNT(L139:X139)&gt;1,STDEV(L139:X139)/AVERAGE(L139:X139),"")</f>
        <v/>
      </c>
      <c r="M139" s="366" t="s">
        <v>355</v>
      </c>
      <c r="N139" s="366" t="s">
        <v>355</v>
      </c>
      <c r="O139" s="366" t="s">
        <v>355</v>
      </c>
      <c r="P139" s="366" t="s">
        <v>355</v>
      </c>
      <c r="Q139" s="366" t="s">
        <v>355</v>
      </c>
      <c r="R139" s="366" t="s">
        <v>355</v>
      </c>
      <c r="S139" s="366" t="s">
        <v>355</v>
      </c>
      <c r="T139" s="366" t="s">
        <v>355</v>
      </c>
      <c r="U139" s="366" t="s">
        <v>355</v>
      </c>
      <c r="V139" s="366" t="s">
        <v>355</v>
      </c>
      <c r="W139" s="366" t="s">
        <v>355</v>
      </c>
      <c r="X139" s="366" t="s">
        <v>355</v>
      </c>
      <c r="Y139" s="343"/>
      <c r="Z139" s="336"/>
      <c r="AA139" s="336"/>
      <c r="AB139" s="336"/>
      <c r="AC139" s="336"/>
      <c r="AD139" s="336"/>
      <c r="AE139" s="336"/>
      <c r="AF139" s="336"/>
      <c r="AG139" s="336"/>
      <c r="AH139" s="336"/>
      <c r="AI139" s="336"/>
      <c r="AJ139" s="336"/>
      <c r="AK139" s="336"/>
      <c r="AL139" s="336"/>
      <c r="AM139" s="336"/>
      <c r="AN139" s="336"/>
      <c r="AO139" s="336"/>
      <c r="AP139" s="336"/>
      <c r="AQ139" s="336"/>
      <c r="AR139" s="336"/>
      <c r="AS139" s="336"/>
      <c r="AT139" s="336"/>
      <c r="AU139" s="336"/>
      <c r="AV139" s="336"/>
      <c r="AW139" s="336"/>
    </row>
    <row r="140" spans="1:49" ht="14" outlineLevel="1">
      <c r="A140" s="336"/>
      <c r="B140" s="341"/>
      <c r="C140" s="354" t="s">
        <v>358</v>
      </c>
      <c r="D140" s="365" t="str">
        <f t="shared" si="16"/>
        <v/>
      </c>
      <c r="E140" s="365" t="str">
        <f t="shared" si="17"/>
        <v/>
      </c>
      <c r="F140" s="365" t="str">
        <f t="shared" si="18"/>
        <v/>
      </c>
      <c r="G140" s="365" t="str">
        <f t="shared" si="19"/>
        <v/>
      </c>
      <c r="H140" s="365" t="str">
        <f t="shared" si="20"/>
        <v/>
      </c>
      <c r="I140" s="365" t="str">
        <f t="shared" si="21"/>
        <v/>
      </c>
      <c r="J140" s="365" t="str">
        <f t="shared" si="22"/>
        <v/>
      </c>
      <c r="K140" s="356" t="str">
        <f t="shared" si="23"/>
        <v/>
      </c>
      <c r="M140" s="366" t="s">
        <v>357</v>
      </c>
      <c r="N140" s="366" t="s">
        <v>357</v>
      </c>
      <c r="O140" s="366" t="s">
        <v>357</v>
      </c>
      <c r="P140" s="366" t="s">
        <v>357</v>
      </c>
      <c r="Q140" s="366" t="s">
        <v>357</v>
      </c>
      <c r="R140" s="366" t="s">
        <v>357</v>
      </c>
      <c r="S140" s="366" t="s">
        <v>357</v>
      </c>
      <c r="T140" s="366" t="s">
        <v>357</v>
      </c>
      <c r="U140" s="366" t="s">
        <v>357</v>
      </c>
      <c r="V140" s="366" t="s">
        <v>357</v>
      </c>
      <c r="W140" s="366" t="s">
        <v>357</v>
      </c>
      <c r="X140" s="366" t="s">
        <v>357</v>
      </c>
      <c r="Y140" s="343"/>
      <c r="Z140" s="336"/>
      <c r="AA140" s="336"/>
      <c r="AB140" s="336"/>
      <c r="AC140" s="336"/>
      <c r="AD140" s="336"/>
      <c r="AE140" s="336"/>
      <c r="AF140" s="336"/>
      <c r="AG140" s="336"/>
      <c r="AH140" s="336"/>
      <c r="AI140" s="336"/>
      <c r="AJ140" s="336"/>
      <c r="AK140" s="336"/>
      <c r="AL140" s="336"/>
      <c r="AM140" s="336"/>
      <c r="AN140" s="336"/>
      <c r="AO140" s="336"/>
      <c r="AP140" s="336"/>
      <c r="AQ140" s="336"/>
      <c r="AR140" s="336"/>
      <c r="AS140" s="336"/>
      <c r="AT140" s="336"/>
      <c r="AU140" s="336"/>
      <c r="AV140" s="336"/>
      <c r="AW140" s="336"/>
    </row>
    <row r="141" spans="1:49" ht="14" outlineLevel="1">
      <c r="A141" s="336"/>
      <c r="B141" s="341"/>
      <c r="C141" s="354" t="s">
        <v>359</v>
      </c>
      <c r="D141" s="365" t="str">
        <f t="shared" si="16"/>
        <v/>
      </c>
      <c r="E141" s="365" t="str">
        <f t="shared" si="17"/>
        <v/>
      </c>
      <c r="F141" s="365" t="str">
        <f t="shared" si="18"/>
        <v/>
      </c>
      <c r="G141" s="365" t="str">
        <f t="shared" si="19"/>
        <v/>
      </c>
      <c r="H141" s="365" t="str">
        <f t="shared" si="20"/>
        <v/>
      </c>
      <c r="I141" s="365" t="str">
        <f t="shared" si="21"/>
        <v/>
      </c>
      <c r="J141" s="365" t="str">
        <f t="shared" si="22"/>
        <v/>
      </c>
      <c r="K141" s="356" t="str">
        <f t="shared" si="23"/>
        <v/>
      </c>
      <c r="M141" s="366" t="s">
        <v>355</v>
      </c>
      <c r="N141" s="366" t="s">
        <v>355</v>
      </c>
      <c r="O141" s="366" t="s">
        <v>355</v>
      </c>
      <c r="P141" s="366" t="s">
        <v>355</v>
      </c>
      <c r="Q141" s="366" t="s">
        <v>355</v>
      </c>
      <c r="R141" s="366" t="s">
        <v>355</v>
      </c>
      <c r="S141" s="366" t="s">
        <v>355</v>
      </c>
      <c r="T141" s="366" t="s">
        <v>355</v>
      </c>
      <c r="U141" s="366" t="s">
        <v>355</v>
      </c>
      <c r="V141" s="366" t="s">
        <v>355</v>
      </c>
      <c r="W141" s="366" t="s">
        <v>355</v>
      </c>
      <c r="X141" s="366" t="s">
        <v>355</v>
      </c>
      <c r="Y141" s="343"/>
      <c r="Z141" s="336"/>
      <c r="AA141" s="336"/>
      <c r="AB141" s="336"/>
      <c r="AC141" s="336"/>
      <c r="AD141" s="336"/>
      <c r="AE141" s="336"/>
      <c r="AF141" s="336"/>
      <c r="AG141" s="336"/>
      <c r="AH141" s="336"/>
      <c r="AI141" s="336"/>
      <c r="AJ141" s="336"/>
      <c r="AK141" s="336"/>
      <c r="AL141" s="336"/>
      <c r="AM141" s="336"/>
      <c r="AN141" s="336"/>
      <c r="AO141" s="336"/>
      <c r="AP141" s="336"/>
      <c r="AQ141" s="336"/>
      <c r="AR141" s="336"/>
      <c r="AS141" s="336"/>
      <c r="AT141" s="336"/>
      <c r="AU141" s="336"/>
      <c r="AV141" s="336"/>
      <c r="AW141" s="336"/>
    </row>
    <row r="142" spans="1:49">
      <c r="A142" s="336"/>
      <c r="B142" s="341"/>
      <c r="Y142" s="343"/>
      <c r="Z142" s="336"/>
      <c r="AA142" s="336"/>
      <c r="AB142" s="336"/>
      <c r="AC142" s="336"/>
      <c r="AD142" s="336"/>
      <c r="AE142" s="336"/>
      <c r="AF142" s="336"/>
      <c r="AG142" s="336"/>
      <c r="AH142" s="336"/>
      <c r="AI142" s="336"/>
      <c r="AJ142" s="336"/>
      <c r="AK142" s="336"/>
      <c r="AL142" s="336"/>
      <c r="AM142" s="336"/>
      <c r="AN142" s="336"/>
      <c r="AO142" s="336"/>
      <c r="AP142" s="336"/>
      <c r="AQ142" s="336"/>
      <c r="AR142" s="336"/>
      <c r="AS142" s="336"/>
      <c r="AT142" s="336"/>
      <c r="AU142" s="336"/>
      <c r="AV142" s="336"/>
      <c r="AW142" s="336"/>
    </row>
    <row r="143" spans="1:49">
      <c r="A143" s="336"/>
      <c r="B143" s="341"/>
      <c r="C143" s="344" t="s">
        <v>360</v>
      </c>
      <c r="Y143" s="343"/>
      <c r="Z143" s="336"/>
      <c r="AA143" s="336"/>
      <c r="AB143" s="336"/>
      <c r="AC143" s="336"/>
      <c r="AD143" s="336"/>
      <c r="AE143" s="336"/>
      <c r="AF143" s="336"/>
      <c r="AG143" s="336"/>
      <c r="AH143" s="336"/>
      <c r="AI143" s="336"/>
      <c r="AJ143" s="336"/>
      <c r="AK143" s="336"/>
      <c r="AL143" s="336"/>
      <c r="AM143" s="336"/>
      <c r="AN143" s="336"/>
      <c r="AO143" s="336"/>
      <c r="AP143" s="336"/>
      <c r="AQ143" s="336"/>
      <c r="AR143" s="336"/>
      <c r="AS143" s="336"/>
      <c r="AT143" s="336"/>
      <c r="AU143" s="336"/>
      <c r="AV143" s="336"/>
      <c r="AW143" s="336"/>
    </row>
    <row r="144" spans="1:49">
      <c r="A144" s="336"/>
      <c r="B144" s="341"/>
      <c r="Y144" s="343"/>
      <c r="Z144" s="336"/>
      <c r="AA144" s="336"/>
      <c r="AB144" s="336"/>
      <c r="AC144" s="336"/>
      <c r="AD144" s="336"/>
      <c r="AE144" s="336"/>
      <c r="AF144" s="336"/>
      <c r="AG144" s="336"/>
      <c r="AH144" s="336"/>
      <c r="AI144" s="336"/>
      <c r="AJ144" s="336"/>
      <c r="AK144" s="336"/>
      <c r="AL144" s="336"/>
      <c r="AM144" s="336"/>
      <c r="AN144" s="336"/>
      <c r="AO144" s="336"/>
      <c r="AP144" s="336"/>
      <c r="AQ144" s="336"/>
      <c r="AR144" s="336"/>
      <c r="AS144" s="336"/>
      <c r="AT144" s="336"/>
      <c r="AU144" s="336"/>
      <c r="AV144" s="336"/>
      <c r="AW144" s="336"/>
    </row>
    <row r="145" spans="1:49">
      <c r="A145" s="336"/>
      <c r="B145" s="341"/>
      <c r="Y145" s="343"/>
      <c r="Z145" s="336"/>
      <c r="AA145" s="336"/>
      <c r="AB145" s="336"/>
      <c r="AC145" s="336"/>
      <c r="AD145" s="336"/>
      <c r="AE145" s="336"/>
      <c r="AF145" s="336"/>
      <c r="AG145" s="336"/>
      <c r="AH145" s="336"/>
      <c r="AI145" s="336"/>
      <c r="AJ145" s="336"/>
      <c r="AK145" s="336"/>
      <c r="AL145" s="336"/>
      <c r="AM145" s="336"/>
      <c r="AN145" s="336"/>
      <c r="AO145" s="336"/>
      <c r="AP145" s="336"/>
      <c r="AQ145" s="336"/>
      <c r="AR145" s="336"/>
      <c r="AS145" s="336"/>
      <c r="AT145" s="336"/>
      <c r="AU145" s="336"/>
      <c r="AV145" s="336"/>
      <c r="AW145" s="336"/>
    </row>
    <row r="146" spans="1:49">
      <c r="A146" s="336"/>
      <c r="B146" s="369"/>
      <c r="C146" s="370"/>
      <c r="D146" s="370"/>
      <c r="E146" s="370"/>
      <c r="F146" s="370"/>
      <c r="G146" s="370"/>
      <c r="H146" s="370"/>
      <c r="I146" s="370"/>
      <c r="J146" s="370"/>
      <c r="K146" s="370"/>
      <c r="L146" s="370"/>
      <c r="M146" s="370"/>
      <c r="N146" s="370"/>
      <c r="O146" s="370"/>
      <c r="P146" s="370"/>
      <c r="Q146" s="370"/>
      <c r="R146" s="370"/>
      <c r="S146" s="370"/>
      <c r="T146" s="370"/>
      <c r="U146" s="370"/>
      <c r="V146" s="370"/>
      <c r="W146" s="370"/>
      <c r="X146" s="370"/>
      <c r="Y146" s="371"/>
      <c r="Z146" s="336"/>
      <c r="AA146" s="336"/>
      <c r="AB146" s="336"/>
      <c r="AC146" s="336"/>
      <c r="AD146" s="336"/>
      <c r="AE146" s="336"/>
      <c r="AF146" s="336"/>
      <c r="AG146" s="336"/>
      <c r="AH146" s="336"/>
      <c r="AI146" s="336"/>
      <c r="AJ146" s="336"/>
      <c r="AK146" s="336"/>
      <c r="AL146" s="336"/>
      <c r="AM146" s="336"/>
      <c r="AN146" s="336"/>
      <c r="AO146" s="336"/>
      <c r="AP146" s="336"/>
      <c r="AQ146" s="336"/>
      <c r="AR146" s="336"/>
      <c r="AS146" s="336"/>
      <c r="AT146" s="336"/>
      <c r="AU146" s="336"/>
      <c r="AV146" s="336"/>
      <c r="AW146" s="336"/>
    </row>
    <row r="147" spans="1:49">
      <c r="A147" s="336"/>
      <c r="B147" s="336"/>
      <c r="C147" s="336"/>
      <c r="D147" s="336"/>
      <c r="E147" s="336"/>
      <c r="F147" s="336"/>
      <c r="G147" s="336"/>
      <c r="H147" s="336"/>
      <c r="I147" s="336"/>
      <c r="J147" s="336"/>
      <c r="K147" s="336"/>
      <c r="L147" s="336"/>
      <c r="M147" s="336"/>
      <c r="N147" s="336"/>
      <c r="O147" s="336"/>
      <c r="P147" s="336"/>
      <c r="Q147" s="336"/>
      <c r="R147" s="336"/>
      <c r="S147" s="336"/>
      <c r="T147" s="336"/>
      <c r="U147" s="336"/>
      <c r="V147" s="336"/>
      <c r="W147" s="336"/>
      <c r="X147" s="336"/>
      <c r="Y147" s="336"/>
      <c r="Z147" s="336"/>
      <c r="AA147" s="336"/>
      <c r="AB147" s="336"/>
      <c r="AC147" s="336"/>
      <c r="AD147" s="336"/>
      <c r="AE147" s="336"/>
      <c r="AF147" s="336"/>
      <c r="AG147" s="336"/>
      <c r="AH147" s="336"/>
      <c r="AI147" s="336"/>
      <c r="AJ147" s="336"/>
      <c r="AK147" s="336"/>
      <c r="AL147" s="336"/>
      <c r="AM147" s="336"/>
      <c r="AN147" s="336"/>
      <c r="AO147" s="336"/>
      <c r="AP147" s="336"/>
      <c r="AQ147" s="336"/>
      <c r="AR147" s="336"/>
      <c r="AS147" s="336"/>
      <c r="AT147" s="336"/>
      <c r="AU147" s="336"/>
      <c r="AV147" s="336"/>
      <c r="AW147" s="336"/>
    </row>
  </sheetData>
  <mergeCells count="8">
    <mergeCell ref="J5:J6"/>
    <mergeCell ref="K5:K6"/>
    <mergeCell ref="D5:D6"/>
    <mergeCell ref="E5:E6"/>
    <mergeCell ref="F5:F6"/>
    <mergeCell ref="G5:G6"/>
    <mergeCell ref="H5:H6"/>
    <mergeCell ref="I5:I6"/>
  </mergeCells>
  <phoneticPr fontId="213" type="noConversion"/>
  <hyperlinks>
    <hyperlink ref="M5" r:id="rId1" xr:uid="{EB5D5374-D3CA-1B46-A63E-C82D84239A4E}"/>
    <hyperlink ref="N5" r:id="rId2" xr:uid="{341017EB-AD7F-D849-8BCE-B0C845FC72B9}"/>
    <hyperlink ref="O5" r:id="rId3" xr:uid="{F6C77E7E-C089-2743-8B2E-2F7B820DFBEB}"/>
    <hyperlink ref="P5" r:id="rId4" xr:uid="{AAD227F9-04D2-F243-B53E-ACD9DE7C7F66}"/>
    <hyperlink ref="Q5" r:id="rId5" xr:uid="{9D3FBE58-DFD6-0D40-8D25-1E6C07F1804E}"/>
    <hyperlink ref="R5" r:id="rId6" xr:uid="{4418A0ED-65BC-F940-8D3C-602C8D0E5F97}"/>
    <hyperlink ref="S5" r:id="rId7" xr:uid="{3BCE403B-6DEA-6640-9D27-62E4342EFE3C}"/>
    <hyperlink ref="T5" r:id="rId8" xr:uid="{1391A008-189D-8040-8BA0-05B34599B33E}"/>
    <hyperlink ref="U5" r:id="rId9" xr:uid="{2A210705-40D0-2145-9F0B-54604B591EF4}"/>
    <hyperlink ref="V5" r:id="rId10" xr:uid="{89D0E603-857C-1944-9DCB-EC0033AD00B8}"/>
    <hyperlink ref="W5" r:id="rId11" xr:uid="{D6059614-519D-2241-9AD9-54D5002C9C9D}"/>
    <hyperlink ref="X5" r:id="rId12" xr:uid="{0314C484-090F-6749-90E7-207526FDD2C7}"/>
    <hyperlink ref="M10" r:id="rId13" xr:uid="{1665D89B-E9B6-B54B-8E60-66DCF915FDCE}"/>
    <hyperlink ref="N10" r:id="rId14" xr:uid="{4115BCC1-7B9C-CA4B-92DF-02EABFF086F6}"/>
    <hyperlink ref="O10" r:id="rId15" xr:uid="{CE265241-95F5-FF46-948B-7F17B2823D4F}"/>
    <hyperlink ref="P10" r:id="rId16" xr:uid="{C365FD2F-A687-904B-AEA5-71030421918B}"/>
    <hyperlink ref="Q10" r:id="rId17" xr:uid="{E9AD6A78-7083-8946-B075-ADD704AD8824}"/>
    <hyperlink ref="R10" r:id="rId18" xr:uid="{2D9CA5B8-5350-0940-8B48-88F8D438C784}"/>
    <hyperlink ref="S10" r:id="rId19" xr:uid="{0931305F-7896-F543-8BA1-F9B79E09F53E}"/>
    <hyperlink ref="T10" r:id="rId20" xr:uid="{E405B385-82B4-6B4D-91BF-04468BF04714}"/>
    <hyperlink ref="U10" r:id="rId21" xr:uid="{E4D83C5C-8D60-CC49-9E06-FC202F3BC284}"/>
    <hyperlink ref="V10" r:id="rId22" xr:uid="{ED7BF5C8-F05C-D349-9942-0C365173E474}"/>
    <hyperlink ref="W10" r:id="rId23" xr:uid="{90D84D26-6766-DD4E-A57F-1DAC34E4339B}"/>
    <hyperlink ref="X10" r:id="rId24" xr:uid="{6EE950B2-8913-FF46-BC3D-D9DD1323D9D4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Cover</vt:lpstr>
      <vt:lpstr>DCF</vt:lpstr>
      <vt:lpstr>NWC</vt:lpstr>
      <vt:lpstr>WACC</vt:lpstr>
      <vt:lpstr>AS1</vt:lpstr>
      <vt:lpstr>AS2</vt:lpstr>
      <vt:lpstr>IS</vt:lpstr>
      <vt:lpstr>BS</vt:lpstr>
      <vt:lpstr>CF</vt:lpstr>
      <vt:lpstr>DCF!Print_Area</vt:lpstr>
      <vt:lpstr>WACC!Print_Area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Joshua Pearl</dc:creator>
  <cp:keywords/>
  <dc:description/>
  <cp:lastModifiedBy>Alexandre LY</cp:lastModifiedBy>
  <cp:revision>0</cp:revision>
  <dcterms:created xsi:type="dcterms:W3CDTF">2005-09-05T20:36:21Z</dcterms:created>
  <dcterms:modified xsi:type="dcterms:W3CDTF">2026-02-22T22:40:52Z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SMenuDocLevelBtnStates">
    <vt:lpwstr>&lt;btnStates&gt;&lt;btn tag="1001" state="UP"/&gt;&lt;/btnStates&gt;_x000d_
</vt:lpwstr>
  </property>
</Properties>
</file>