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pdime/Desktop/M.Sc.Investments/"/>
    </mc:Choice>
  </mc:AlternateContent>
  <xr:revisionPtr revIDLastSave="0" documentId="8_{A4421ED6-396C-9E44-9192-6750A64E80E6}" xr6:coauthVersionLast="47" xr6:coauthVersionMax="47" xr10:uidLastSave="{00000000-0000-0000-0000-000000000000}"/>
  <bookViews>
    <workbookView xWindow="0" yWindow="660" windowWidth="30240" windowHeight="18980" activeTab="9" xr2:uid="{3545E4DF-745B-4FF4-B54C-CAD89FD593BD}"/>
  </bookViews>
  <sheets>
    <sheet name="Cover" sheetId="3" r:id="rId1"/>
    <sheet name="PitchBook_IS" sheetId="5" r:id="rId2"/>
    <sheet name="PitchBook_BS" sheetId="6" r:id="rId3"/>
    <sheet name="PitchBook_CF" sheetId="7" r:id="rId4"/>
    <sheet name="Assumptions1" sheetId="4" r:id="rId5"/>
    <sheet name="Assumptions2" sheetId="2" r:id="rId6"/>
    <sheet name="Financial Statements" sheetId="11" r:id="rId7"/>
    <sheet name="DCF&amp;SensivityAnalysis" sheetId="1" r:id="rId8"/>
    <sheet name="Comparables&amp;WACC" sheetId="8" r:id="rId9"/>
    <sheet name="NWC" sheetId="9" r:id="rId10"/>
  </sheets>
  <externalReferences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" l="1"/>
  <c r="I47" i="1"/>
  <c r="J43" i="1"/>
  <c r="I43" i="1"/>
  <c r="J42" i="1"/>
  <c r="I42" i="1"/>
  <c r="J40" i="1"/>
  <c r="I40" i="1"/>
  <c r="H40" i="1"/>
  <c r="H42" i="1"/>
  <c r="H43" i="1"/>
  <c r="E77" i="11"/>
  <c r="F77" i="11" s="1"/>
  <c r="G77" i="11" s="1"/>
  <c r="H77" i="11" s="1"/>
  <c r="I77" i="11" s="1"/>
  <c r="D59" i="11"/>
  <c r="D73" i="11"/>
  <c r="I49" i="11"/>
  <c r="J49" i="11" s="1"/>
  <c r="K49" i="11" s="1"/>
  <c r="L49" i="11" s="1"/>
  <c r="M49" i="11" s="1"/>
  <c r="N49" i="11" s="1"/>
  <c r="H49" i="11"/>
  <c r="G49" i="11"/>
  <c r="F49" i="11"/>
  <c r="E49" i="11"/>
  <c r="D49" i="11"/>
  <c r="I47" i="11"/>
  <c r="H47" i="11"/>
  <c r="G47" i="11"/>
  <c r="F47" i="11"/>
  <c r="E47" i="11"/>
  <c r="D47" i="11"/>
  <c r="I46" i="11"/>
  <c r="J46" i="11" s="1"/>
  <c r="K46" i="11" s="1"/>
  <c r="L46" i="11" s="1"/>
  <c r="M46" i="11" s="1"/>
  <c r="N46" i="11" s="1"/>
  <c r="H46" i="11"/>
  <c r="G46" i="11"/>
  <c r="F46" i="11"/>
  <c r="E46" i="11"/>
  <c r="D46" i="11"/>
  <c r="I37" i="11"/>
  <c r="H37" i="11"/>
  <c r="H96" i="11" s="1"/>
  <c r="G37" i="11"/>
  <c r="F37" i="11"/>
  <c r="E37" i="11"/>
  <c r="D37" i="11"/>
  <c r="I45" i="11"/>
  <c r="J45" i="11" s="1"/>
  <c r="H45" i="11"/>
  <c r="G45" i="11"/>
  <c r="F45" i="11"/>
  <c r="E45" i="11"/>
  <c r="D45" i="11"/>
  <c r="I44" i="11"/>
  <c r="J44" i="11" s="1"/>
  <c r="H44" i="11"/>
  <c r="G44" i="11"/>
  <c r="F44" i="11"/>
  <c r="E44" i="11"/>
  <c r="D44" i="11"/>
  <c r="D74" i="11"/>
  <c r="E73" i="11" s="1"/>
  <c r="I69" i="11"/>
  <c r="J69" i="11" s="1"/>
  <c r="H69" i="11"/>
  <c r="G69" i="11"/>
  <c r="F69" i="11"/>
  <c r="E69" i="11"/>
  <c r="D69" i="11"/>
  <c r="I68" i="11"/>
  <c r="H68" i="11"/>
  <c r="G68" i="11"/>
  <c r="F68" i="11"/>
  <c r="E68" i="11"/>
  <c r="D68" i="11"/>
  <c r="I67" i="11"/>
  <c r="J32" i="1" s="1"/>
  <c r="H67" i="11"/>
  <c r="G67" i="11"/>
  <c r="F67" i="11"/>
  <c r="E67" i="11"/>
  <c r="D67" i="11"/>
  <c r="H66" i="11"/>
  <c r="G66" i="11"/>
  <c r="F66" i="11"/>
  <c r="E66" i="11"/>
  <c r="E32" i="1" s="1"/>
  <c r="D66" i="11"/>
  <c r="D32" i="1" s="1"/>
  <c r="I62" i="11"/>
  <c r="I64" i="11" s="1"/>
  <c r="H62" i="11"/>
  <c r="H64" i="11" s="1"/>
  <c r="G62" i="11"/>
  <c r="G64" i="11" s="1"/>
  <c r="F62" i="11"/>
  <c r="F64" i="11" s="1"/>
  <c r="E62" i="11"/>
  <c r="E64" i="11" s="1"/>
  <c r="D62" i="11"/>
  <c r="D64" i="11" s="1"/>
  <c r="D58" i="11"/>
  <c r="I18" i="11"/>
  <c r="H18" i="11"/>
  <c r="G18" i="11"/>
  <c r="F18" i="11"/>
  <c r="E18" i="11"/>
  <c r="D18" i="11"/>
  <c r="I16" i="11"/>
  <c r="H16" i="11"/>
  <c r="G16" i="11"/>
  <c r="F16" i="11"/>
  <c r="E16" i="11"/>
  <c r="D16" i="11"/>
  <c r="E54" i="11"/>
  <c r="F54" i="11" s="1"/>
  <c r="G54" i="11" s="1"/>
  <c r="H54" i="11" s="1"/>
  <c r="I54" i="11" s="1"/>
  <c r="I40" i="11"/>
  <c r="J40" i="11" s="1"/>
  <c r="K40" i="11" s="1"/>
  <c r="L40" i="11" s="1"/>
  <c r="M40" i="11" s="1"/>
  <c r="M96" i="11" s="1"/>
  <c r="H40" i="11"/>
  <c r="G40" i="11"/>
  <c r="F40" i="11"/>
  <c r="E40" i="11"/>
  <c r="D40" i="11"/>
  <c r="I36" i="11"/>
  <c r="H36" i="11"/>
  <c r="G36" i="11"/>
  <c r="F36" i="11"/>
  <c r="E36" i="11"/>
  <c r="D36" i="11"/>
  <c r="I35" i="11"/>
  <c r="H35" i="11"/>
  <c r="G35" i="11"/>
  <c r="F35" i="11"/>
  <c r="E35" i="11"/>
  <c r="D35" i="11"/>
  <c r="I34" i="11"/>
  <c r="H34" i="11"/>
  <c r="G34" i="11"/>
  <c r="F34" i="11"/>
  <c r="E34" i="11"/>
  <c r="D34" i="11"/>
  <c r="I31" i="11"/>
  <c r="H31" i="11"/>
  <c r="G31" i="11"/>
  <c r="D31" i="11"/>
  <c r="F31" i="11"/>
  <c r="E31" i="11"/>
  <c r="R76" i="6"/>
  <c r="M76" i="6"/>
  <c r="N76" i="6"/>
  <c r="O76" i="6"/>
  <c r="P76" i="6"/>
  <c r="Q76" i="6"/>
  <c r="I30" i="11"/>
  <c r="H30" i="11"/>
  <c r="G30" i="11"/>
  <c r="F30" i="11"/>
  <c r="E30" i="11"/>
  <c r="D30" i="11"/>
  <c r="I27" i="11"/>
  <c r="H27" i="11"/>
  <c r="G27" i="11"/>
  <c r="F27" i="11"/>
  <c r="E27" i="11"/>
  <c r="D27" i="11"/>
  <c r="I26" i="11"/>
  <c r="H26" i="11"/>
  <c r="G26" i="11"/>
  <c r="F26" i="11"/>
  <c r="E26" i="11"/>
  <c r="D26" i="11"/>
  <c r="H25" i="11"/>
  <c r="I25" i="11"/>
  <c r="G25" i="11"/>
  <c r="F25" i="11"/>
  <c r="E25" i="11"/>
  <c r="D25" i="11"/>
  <c r="I24" i="11"/>
  <c r="I74" i="11" s="1"/>
  <c r="J73" i="11" s="1"/>
  <c r="H24" i="11"/>
  <c r="H74" i="11" s="1"/>
  <c r="I73" i="11" s="1"/>
  <c r="G24" i="11"/>
  <c r="G74" i="11" s="1"/>
  <c r="H73" i="11" s="1"/>
  <c r="F24" i="11"/>
  <c r="F74" i="11" s="1"/>
  <c r="G73" i="11" s="1"/>
  <c r="E24" i="11"/>
  <c r="E74" i="11" s="1"/>
  <c r="F73" i="11" s="1"/>
  <c r="D24" i="11"/>
  <c r="E22" i="11"/>
  <c r="F22" i="11" s="1"/>
  <c r="G22" i="11" s="1"/>
  <c r="H22" i="11" s="1"/>
  <c r="I22" i="11" s="1"/>
  <c r="I14" i="11"/>
  <c r="J28" i="1" s="1"/>
  <c r="H14" i="11"/>
  <c r="H28" i="1" s="1"/>
  <c r="G14" i="11"/>
  <c r="G28" i="1" s="1"/>
  <c r="F14" i="11"/>
  <c r="F28" i="1" s="1"/>
  <c r="E14" i="11"/>
  <c r="E28" i="1" s="1"/>
  <c r="D14" i="11"/>
  <c r="D28" i="1" s="1"/>
  <c r="E96" i="11" l="1"/>
  <c r="F96" i="11"/>
  <c r="G96" i="11"/>
  <c r="G32" i="1"/>
  <c r="F32" i="1"/>
  <c r="H32" i="1"/>
  <c r="D96" i="11"/>
  <c r="K96" i="11"/>
  <c r="J96" i="11"/>
  <c r="I96" i="11"/>
  <c r="L96" i="11"/>
  <c r="N40" i="11"/>
  <c r="N96" i="11" s="1"/>
  <c r="P40" i="11"/>
  <c r="P67" i="11"/>
  <c r="J67" i="11"/>
  <c r="K32" i="1" s="1"/>
  <c r="E29" i="11"/>
  <c r="J70" i="11"/>
  <c r="K69" i="11"/>
  <c r="L69" i="11" s="1"/>
  <c r="M69" i="11" s="1"/>
  <c r="N69" i="11" s="1"/>
  <c r="G19" i="11"/>
  <c r="I29" i="11"/>
  <c r="H29" i="11"/>
  <c r="G29" i="11"/>
  <c r="F29" i="11"/>
  <c r="E59" i="11"/>
  <c r="H70" i="11"/>
  <c r="H38" i="11"/>
  <c r="F59" i="11"/>
  <c r="E19" i="11"/>
  <c r="P30" i="11"/>
  <c r="F19" i="11"/>
  <c r="J30" i="11"/>
  <c r="K30" i="11" s="1"/>
  <c r="L30" i="11" s="1"/>
  <c r="M30" i="11" s="1"/>
  <c r="N30" i="11" s="1"/>
  <c r="G38" i="11"/>
  <c r="I38" i="11"/>
  <c r="G48" i="11"/>
  <c r="G50" i="11" s="1"/>
  <c r="F38" i="11"/>
  <c r="G70" i="11"/>
  <c r="D48" i="11"/>
  <c r="D50" i="11" s="1"/>
  <c r="G58" i="11"/>
  <c r="F48" i="11"/>
  <c r="F50" i="11" s="1"/>
  <c r="E70" i="11"/>
  <c r="H58" i="11"/>
  <c r="F70" i="11"/>
  <c r="E58" i="11"/>
  <c r="I70" i="11"/>
  <c r="I58" i="11"/>
  <c r="D38" i="11"/>
  <c r="H59" i="11"/>
  <c r="H48" i="11"/>
  <c r="H50" i="11" s="1"/>
  <c r="F58" i="11"/>
  <c r="D70" i="11"/>
  <c r="E48" i="11"/>
  <c r="E50" i="11" s="1"/>
  <c r="E38" i="11"/>
  <c r="I59" i="11"/>
  <c r="I48" i="11"/>
  <c r="I50" i="11" s="1"/>
  <c r="J47" i="11"/>
  <c r="K47" i="11" s="1"/>
  <c r="L47" i="11" s="1"/>
  <c r="M47" i="11" s="1"/>
  <c r="N47" i="11" s="1"/>
  <c r="G59" i="11"/>
  <c r="K44" i="11"/>
  <c r="K45" i="11"/>
  <c r="L45" i="11" s="1"/>
  <c r="M45" i="11" s="1"/>
  <c r="N45" i="11" s="1"/>
  <c r="H23" i="4"/>
  <c r="I12" i="11"/>
  <c r="I57" i="11" s="1"/>
  <c r="H12" i="11"/>
  <c r="H57" i="11" s="1"/>
  <c r="G12" i="11"/>
  <c r="G57" i="11" s="1"/>
  <c r="F12" i="11"/>
  <c r="F57" i="11" s="1"/>
  <c r="E12" i="11"/>
  <c r="E57" i="11" s="1"/>
  <c r="D12" i="11"/>
  <c r="D57" i="11" s="1"/>
  <c r="I9" i="11"/>
  <c r="H9" i="11"/>
  <c r="G9" i="11"/>
  <c r="F9" i="11"/>
  <c r="E9" i="11"/>
  <c r="D9" i="11"/>
  <c r="D8" i="11"/>
  <c r="E8" i="11"/>
  <c r="F8" i="11"/>
  <c r="G8" i="11"/>
  <c r="H8" i="11"/>
  <c r="I8" i="11"/>
  <c r="E6" i="11"/>
  <c r="F6" i="11" s="1"/>
  <c r="G6" i="11" s="1"/>
  <c r="H6" i="11" s="1"/>
  <c r="I6" i="11" s="1"/>
  <c r="I19" i="11"/>
  <c r="H19" i="11"/>
  <c r="I99" i="11" l="1"/>
  <c r="D99" i="11"/>
  <c r="G99" i="11"/>
  <c r="H99" i="11"/>
  <c r="F99" i="11"/>
  <c r="E99" i="11"/>
  <c r="D89" i="11"/>
  <c r="D92" i="11"/>
  <c r="D81" i="11"/>
  <c r="D82" i="11" s="1"/>
  <c r="E92" i="11"/>
  <c r="E81" i="11"/>
  <c r="E82" i="11" s="1"/>
  <c r="E89" i="11"/>
  <c r="P27" i="11"/>
  <c r="Q27" i="11" s="1"/>
  <c r="R27" i="11" s="1"/>
  <c r="S27" i="11" s="1"/>
  <c r="T27" i="11" s="1"/>
  <c r="U27" i="11" s="1"/>
  <c r="I81" i="11"/>
  <c r="I82" i="11" s="1"/>
  <c r="I89" i="11"/>
  <c r="I92" i="11"/>
  <c r="F86" i="11"/>
  <c r="F87" i="11" s="1"/>
  <c r="F83" i="11"/>
  <c r="F84" i="11" s="1"/>
  <c r="G32" i="11"/>
  <c r="G102" i="11" s="1"/>
  <c r="G80" i="11"/>
  <c r="G79" i="11"/>
  <c r="D32" i="11"/>
  <c r="D80" i="11"/>
  <c r="D79" i="11"/>
  <c r="E32" i="11"/>
  <c r="E79" i="11"/>
  <c r="E80" i="11"/>
  <c r="E86" i="11"/>
  <c r="E87" i="11" s="1"/>
  <c r="E83" i="11"/>
  <c r="E84" i="11" s="1"/>
  <c r="F32" i="11"/>
  <c r="F88" i="11" s="1"/>
  <c r="F79" i="11"/>
  <c r="F80" i="11"/>
  <c r="H89" i="11"/>
  <c r="H92" i="11"/>
  <c r="H81" i="11"/>
  <c r="H82" i="11" s="1"/>
  <c r="G86" i="11"/>
  <c r="G87" i="11" s="1"/>
  <c r="G83" i="11"/>
  <c r="G84" i="11" s="1"/>
  <c r="H32" i="11"/>
  <c r="H102" i="11" s="1"/>
  <c r="H80" i="11"/>
  <c r="H79" i="11"/>
  <c r="D86" i="11"/>
  <c r="D87" i="11" s="1"/>
  <c r="D83" i="11"/>
  <c r="D84" i="11" s="1"/>
  <c r="G10" i="11"/>
  <c r="G91" i="11" s="1"/>
  <c r="G89" i="11"/>
  <c r="G92" i="11"/>
  <c r="G81" i="11"/>
  <c r="G82" i="11" s="1"/>
  <c r="I32" i="11"/>
  <c r="I80" i="11"/>
  <c r="I79" i="11"/>
  <c r="H83" i="11"/>
  <c r="H84" i="11" s="1"/>
  <c r="H86" i="11"/>
  <c r="H87" i="11" s="1"/>
  <c r="F92" i="11"/>
  <c r="F81" i="11"/>
  <c r="F82" i="11" s="1"/>
  <c r="F89" i="11"/>
  <c r="I83" i="11"/>
  <c r="I84" i="11" s="1"/>
  <c r="I86" i="11"/>
  <c r="I87" i="11" s="1"/>
  <c r="H10" i="11"/>
  <c r="P62" i="11"/>
  <c r="P24" i="11"/>
  <c r="Q24" i="11" s="1"/>
  <c r="R24" i="11" s="1"/>
  <c r="S24" i="11" s="1"/>
  <c r="T24" i="11" s="1"/>
  <c r="U24" i="11" s="1"/>
  <c r="P25" i="11"/>
  <c r="Q25" i="11" s="1"/>
  <c r="R25" i="11" s="1"/>
  <c r="S25" i="11" s="1"/>
  <c r="T25" i="11" s="1"/>
  <c r="U25" i="11" s="1"/>
  <c r="F10" i="11"/>
  <c r="E10" i="11"/>
  <c r="P26" i="11"/>
  <c r="Q26" i="11" s="1"/>
  <c r="R26" i="11" s="1"/>
  <c r="S26" i="11" s="1"/>
  <c r="T26" i="11" s="1"/>
  <c r="U26" i="11" s="1"/>
  <c r="J48" i="11"/>
  <c r="J50" i="11" s="1"/>
  <c r="K48" i="11"/>
  <c r="K50" i="11" s="1"/>
  <c r="L44" i="11"/>
  <c r="I10" i="11"/>
  <c r="P12" i="11"/>
  <c r="D10" i="11"/>
  <c r="P9" i="11"/>
  <c r="P8" i="11"/>
  <c r="E41" i="11" l="1"/>
  <c r="E42" i="11" s="1"/>
  <c r="E97" i="11"/>
  <c r="E103" i="11"/>
  <c r="F106" i="11"/>
  <c r="I88" i="11"/>
  <c r="I103" i="11"/>
  <c r="I97" i="11"/>
  <c r="F97" i="11"/>
  <c r="F103" i="11"/>
  <c r="D88" i="11"/>
  <c r="D97" i="11"/>
  <c r="D103" i="11"/>
  <c r="G106" i="11"/>
  <c r="D41" i="11"/>
  <c r="D42" i="11" s="1"/>
  <c r="H106" i="11"/>
  <c r="E106" i="11"/>
  <c r="E102" i="11"/>
  <c r="D102" i="11"/>
  <c r="H103" i="11"/>
  <c r="H97" i="11"/>
  <c r="F41" i="11"/>
  <c r="F42" i="11" s="1"/>
  <c r="H88" i="11"/>
  <c r="G41" i="11"/>
  <c r="G42" i="11" s="1"/>
  <c r="G97" i="11"/>
  <c r="G103" i="11"/>
  <c r="F102" i="11"/>
  <c r="I102" i="11"/>
  <c r="H41" i="11"/>
  <c r="H42" i="11" s="1"/>
  <c r="I106" i="11"/>
  <c r="D106" i="11"/>
  <c r="E88" i="11"/>
  <c r="G13" i="11"/>
  <c r="G15" i="11" s="1"/>
  <c r="G17" i="11" s="1"/>
  <c r="I13" i="11"/>
  <c r="I15" i="11" s="1"/>
  <c r="P16" i="11" s="1"/>
  <c r="I91" i="11"/>
  <c r="H13" i="11"/>
  <c r="H15" i="11" s="1"/>
  <c r="H17" i="11" s="1"/>
  <c r="H91" i="11"/>
  <c r="F13" i="11"/>
  <c r="F15" i="11" s="1"/>
  <c r="F17" i="11" s="1"/>
  <c r="F91" i="11"/>
  <c r="I41" i="11"/>
  <c r="G88" i="11"/>
  <c r="E13" i="11"/>
  <c r="E15" i="11" s="1"/>
  <c r="E17" i="11" s="1"/>
  <c r="E91" i="11"/>
  <c r="D13" i="11"/>
  <c r="D15" i="11" s="1"/>
  <c r="D17" i="11" s="1"/>
  <c r="D91" i="11"/>
  <c r="I17" i="11"/>
  <c r="L48" i="11"/>
  <c r="L50" i="11" s="1"/>
  <c r="M44" i="11"/>
  <c r="G101" i="11" l="1"/>
  <c r="G104" i="11" s="1"/>
  <c r="G94" i="11"/>
  <c r="G51" i="11"/>
  <c r="G98" i="11"/>
  <c r="F101" i="11"/>
  <c r="F104" i="11" s="1"/>
  <c r="F94" i="11"/>
  <c r="I94" i="11"/>
  <c r="I101" i="11"/>
  <c r="I104" i="11" s="1"/>
  <c r="D51" i="11"/>
  <c r="D98" i="11"/>
  <c r="F51" i="11"/>
  <c r="F98" i="11"/>
  <c r="H101" i="11"/>
  <c r="H104" i="11" s="1"/>
  <c r="H94" i="11"/>
  <c r="H51" i="11"/>
  <c r="H98" i="11"/>
  <c r="D94" i="11"/>
  <c r="D101" i="11"/>
  <c r="D104" i="11" s="1"/>
  <c r="E101" i="11"/>
  <c r="E104" i="11" s="1"/>
  <c r="E94" i="11"/>
  <c r="E51" i="11"/>
  <c r="E98" i="11"/>
  <c r="I56" i="11"/>
  <c r="I60" i="11" s="1"/>
  <c r="I72" i="11" s="1"/>
  <c r="I93" i="11"/>
  <c r="F56" i="11"/>
  <c r="F60" i="11" s="1"/>
  <c r="F72" i="11" s="1"/>
  <c r="F93" i="11"/>
  <c r="D56" i="11"/>
  <c r="D60" i="11" s="1"/>
  <c r="D72" i="11" s="1"/>
  <c r="D93" i="11"/>
  <c r="H56" i="11"/>
  <c r="H60" i="11" s="1"/>
  <c r="H72" i="11" s="1"/>
  <c r="H93" i="11"/>
  <c r="E56" i="11"/>
  <c r="E60" i="11" s="1"/>
  <c r="E72" i="11" s="1"/>
  <c r="E93" i="11"/>
  <c r="G56" i="11"/>
  <c r="G60" i="11" s="1"/>
  <c r="G72" i="11" s="1"/>
  <c r="G93" i="11"/>
  <c r="I42" i="11"/>
  <c r="J41" i="11"/>
  <c r="K41" i="11" s="1"/>
  <c r="L41" i="11" s="1"/>
  <c r="M41" i="11" s="1"/>
  <c r="N41" i="11" s="1"/>
  <c r="M48" i="11"/>
  <c r="M50" i="11" s="1"/>
  <c r="N44" i="11"/>
  <c r="N48" i="11" s="1"/>
  <c r="N50" i="11" s="1"/>
  <c r="I51" i="11" l="1"/>
  <c r="I98" i="11"/>
  <c r="I66" i="8" l="1"/>
  <c r="I65" i="8"/>
  <c r="I64" i="8"/>
  <c r="I63" i="8"/>
  <c r="I62" i="8"/>
  <c r="I61" i="8"/>
  <c r="H66" i="8"/>
  <c r="H65" i="8"/>
  <c r="H64" i="8"/>
  <c r="H63" i="8"/>
  <c r="H62" i="8"/>
  <c r="H61" i="8"/>
  <c r="G66" i="8"/>
  <c r="G65" i="8"/>
  <c r="G64" i="8"/>
  <c r="G63" i="8"/>
  <c r="G62" i="8"/>
  <c r="G61" i="8"/>
  <c r="C65" i="8"/>
  <c r="C67" i="8"/>
  <c r="C62" i="8"/>
  <c r="C61" i="8"/>
  <c r="H137" i="6"/>
  <c r="F57" i="8"/>
  <c r="G57" i="8"/>
  <c r="H57" i="8"/>
  <c r="I57" i="8"/>
  <c r="J57" i="8"/>
  <c r="K57" i="8"/>
  <c r="L57" i="8"/>
  <c r="E57" i="8"/>
  <c r="F55" i="8"/>
  <c r="G55" i="8"/>
  <c r="H55" i="8"/>
  <c r="I55" i="8"/>
  <c r="J55" i="8"/>
  <c r="K55" i="8"/>
  <c r="L55" i="8"/>
  <c r="E55" i="8"/>
  <c r="F53" i="8"/>
  <c r="G53" i="8"/>
  <c r="H53" i="8"/>
  <c r="I53" i="8"/>
  <c r="J53" i="8"/>
  <c r="K53" i="8"/>
  <c r="L53" i="8"/>
  <c r="E53" i="8"/>
  <c r="M67" i="1" l="1"/>
  <c r="F77" i="1"/>
  <c r="G77" i="1" s="1"/>
  <c r="D15" i="8"/>
  <c r="G38" i="8"/>
  <c r="G39" i="8" s="1"/>
  <c r="G40" i="8" s="1"/>
  <c r="F21" i="2"/>
  <c r="F87" i="1"/>
  <c r="G87" i="1" s="1"/>
  <c r="D87" i="1"/>
  <c r="C87" i="1" s="1"/>
  <c r="M87" i="1"/>
  <c r="N87" i="1" s="1"/>
  <c r="K87" i="1"/>
  <c r="J87" i="1" s="1"/>
  <c r="A60" i="1"/>
  <c r="M77" i="1"/>
  <c r="N77" i="1" s="1"/>
  <c r="K77" i="1"/>
  <c r="J77" i="1" s="1"/>
  <c r="H47" i="1"/>
  <c r="J57" i="1"/>
  <c r="H57" i="1"/>
  <c r="G57" i="1"/>
  <c r="F57" i="1"/>
  <c r="E57" i="1"/>
  <c r="D57" i="1"/>
  <c r="O47" i="1"/>
  <c r="D56" i="1"/>
  <c r="E56" i="1"/>
  <c r="L46" i="1"/>
  <c r="A42" i="1"/>
  <c r="L41" i="1"/>
  <c r="L39" i="1"/>
  <c r="J56" i="1"/>
  <c r="F56" i="1"/>
  <c r="G56" i="1"/>
  <c r="H56" i="1"/>
  <c r="L56" i="1"/>
  <c r="M56" i="1"/>
  <c r="N56" i="1"/>
  <c r="O56" i="1"/>
  <c r="K56" i="1"/>
  <c r="F11" i="1"/>
  <c r="G11" i="1"/>
  <c r="H11" i="1"/>
  <c r="J11" i="1"/>
  <c r="J29" i="4"/>
  <c r="I29" i="4"/>
  <c r="H29" i="4"/>
  <c r="G29" i="4"/>
  <c r="F29" i="4"/>
  <c r="Q62" i="11" s="1"/>
  <c r="E21" i="1"/>
  <c r="K67" i="1" l="1"/>
  <c r="J67" i="1" s="1"/>
  <c r="N67" i="1"/>
  <c r="D77" i="1"/>
  <c r="C77" i="1" s="1"/>
  <c r="G37" i="8"/>
  <c r="G36" i="8" s="1"/>
  <c r="D25" i="9" l="1"/>
  <c r="C19" i="9"/>
  <c r="D19" i="9"/>
  <c r="C18" i="9"/>
  <c r="D18" i="9"/>
  <c r="C17" i="9"/>
  <c r="D17" i="9"/>
  <c r="C13" i="9"/>
  <c r="D13" i="9"/>
  <c r="F13" i="9"/>
  <c r="G13" i="9"/>
  <c r="C12" i="9"/>
  <c r="D12" i="9"/>
  <c r="F12" i="9"/>
  <c r="G12" i="9"/>
  <c r="C11" i="9"/>
  <c r="D11" i="9"/>
  <c r="H6" i="9"/>
  <c r="C20" i="9"/>
  <c r="D14" i="1"/>
  <c r="D19" i="1" s="1"/>
  <c r="E14" i="1"/>
  <c r="E19" i="1" s="1"/>
  <c r="D11" i="1"/>
  <c r="C8" i="9" s="1"/>
  <c r="E11" i="1"/>
  <c r="D9" i="1"/>
  <c r="D12" i="1" s="1"/>
  <c r="E9" i="1"/>
  <c r="J36" i="2"/>
  <c r="M35" i="9" s="1"/>
  <c r="I36" i="2"/>
  <c r="L35" i="9" s="1"/>
  <c r="H36" i="2"/>
  <c r="K35" i="9" s="1"/>
  <c r="G36" i="2"/>
  <c r="J35" i="9" s="1"/>
  <c r="F36" i="2"/>
  <c r="I35" i="9" s="1"/>
  <c r="H19" i="9"/>
  <c r="G19" i="9"/>
  <c r="F19" i="9"/>
  <c r="E19" i="9"/>
  <c r="H18" i="9"/>
  <c r="G18" i="9"/>
  <c r="F18" i="9"/>
  <c r="E18" i="9"/>
  <c r="H17" i="9"/>
  <c r="G17" i="9"/>
  <c r="F17" i="9"/>
  <c r="E17" i="9"/>
  <c r="H13" i="9"/>
  <c r="E13" i="9"/>
  <c r="H12" i="9"/>
  <c r="E12" i="9"/>
  <c r="H11" i="9"/>
  <c r="G11" i="9"/>
  <c r="F11" i="9"/>
  <c r="E11" i="9"/>
  <c r="E12" i="1" l="1"/>
  <c r="E13" i="1" s="1"/>
  <c r="D20" i="1"/>
  <c r="D8" i="9"/>
  <c r="D30" i="9" s="1"/>
  <c r="D7" i="9"/>
  <c r="D31" i="9" s="1"/>
  <c r="E20" i="1"/>
  <c r="E53" i="1"/>
  <c r="E54" i="1"/>
  <c r="D54" i="1"/>
  <c r="C7" i="9"/>
  <c r="E10" i="1"/>
  <c r="D13" i="1"/>
  <c r="C14" i="9"/>
  <c r="C22" i="9" s="1"/>
  <c r="D20" i="9"/>
  <c r="C30" i="9"/>
  <c r="C34" i="9"/>
  <c r="D14" i="9"/>
  <c r="G14" i="9"/>
  <c r="F14" i="9"/>
  <c r="E20" i="9"/>
  <c r="E14" i="9"/>
  <c r="F20" i="9"/>
  <c r="G20" i="9"/>
  <c r="D34" i="9" l="1"/>
  <c r="D36" i="9"/>
  <c r="D35" i="9"/>
  <c r="D29" i="9"/>
  <c r="C23" i="9"/>
  <c r="E15" i="1"/>
  <c r="E55" i="1" s="1"/>
  <c r="D15" i="1"/>
  <c r="C36" i="9"/>
  <c r="C35" i="9"/>
  <c r="C31" i="9"/>
  <c r="C29" i="9"/>
  <c r="D22" i="9"/>
  <c r="D23" i="9" s="1"/>
  <c r="E22" i="9"/>
  <c r="E25" i="9" s="1"/>
  <c r="F21" i="1" s="1"/>
  <c r="G22" i="9"/>
  <c r="F22" i="9"/>
  <c r="H20" i="9"/>
  <c r="H14" i="9"/>
  <c r="D55" i="1" l="1"/>
  <c r="D17" i="1"/>
  <c r="D18" i="1" s="1"/>
  <c r="D16" i="1"/>
  <c r="E16" i="1"/>
  <c r="E17" i="1"/>
  <c r="E18" i="1" s="1"/>
  <c r="E29" i="1" s="1"/>
  <c r="G25" i="9"/>
  <c r="H21" i="1" s="1"/>
  <c r="F25" i="9"/>
  <c r="G21" i="1" s="1"/>
  <c r="H22" i="9"/>
  <c r="H25" i="9"/>
  <c r="J21" i="1" s="1"/>
  <c r="E23" i="1" l="1"/>
  <c r="E33" i="1" s="1"/>
  <c r="J14" i="1"/>
  <c r="H14" i="1"/>
  <c r="G14" i="1"/>
  <c r="F14" i="1"/>
  <c r="H8" i="9"/>
  <c r="G8" i="9"/>
  <c r="F8" i="9"/>
  <c r="E8" i="9"/>
  <c r="E34" i="9" l="1"/>
  <c r="E30" i="9"/>
  <c r="F34" i="9"/>
  <c r="F30" i="9"/>
  <c r="G30" i="9"/>
  <c r="H30" i="9" s="1"/>
  <c r="G34" i="9"/>
  <c r="H34" i="9" s="1"/>
  <c r="K57" i="1" l="1"/>
  <c r="L57" i="1" s="1"/>
  <c r="M57" i="1" s="1"/>
  <c r="N57" i="1" s="1"/>
  <c r="O57" i="1" s="1"/>
  <c r="F9" i="1"/>
  <c r="G9" i="1"/>
  <c r="H9" i="1"/>
  <c r="H12" i="1" s="1"/>
  <c r="J9" i="1"/>
  <c r="J19" i="1"/>
  <c r="H19" i="1"/>
  <c r="G19" i="1"/>
  <c r="F19" i="1"/>
  <c r="K8" i="1"/>
  <c r="K25" i="1" s="1"/>
  <c r="H8" i="1"/>
  <c r="J12" i="1" l="1"/>
  <c r="J15" i="1" s="1"/>
  <c r="G12" i="1"/>
  <c r="F12" i="1"/>
  <c r="H20" i="1"/>
  <c r="G20" i="1"/>
  <c r="F20" i="1"/>
  <c r="H7" i="9"/>
  <c r="H23" i="9" s="1"/>
  <c r="J20" i="1"/>
  <c r="G8" i="1"/>
  <c r="G6" i="9"/>
  <c r="G7" i="9"/>
  <c r="G36" i="9" s="1"/>
  <c r="H36" i="9" s="1"/>
  <c r="L8" i="1"/>
  <c r="I6" i="9"/>
  <c r="E7" i="9"/>
  <c r="E35" i="9" s="1"/>
  <c r="F53" i="1"/>
  <c r="F10" i="1"/>
  <c r="G54" i="1"/>
  <c r="F7" i="9"/>
  <c r="F54" i="1"/>
  <c r="G53" i="1"/>
  <c r="J54" i="1"/>
  <c r="J53" i="1"/>
  <c r="H53" i="1"/>
  <c r="H54" i="1"/>
  <c r="G10" i="1"/>
  <c r="H10" i="1"/>
  <c r="F4" i="4"/>
  <c r="F4" i="2"/>
  <c r="J10" i="1"/>
  <c r="G23" i="9" l="1"/>
  <c r="G29" i="9"/>
  <c r="H29" i="9" s="1"/>
  <c r="G31" i="9"/>
  <c r="H31" i="9" s="1"/>
  <c r="G4" i="4"/>
  <c r="L25" i="1"/>
  <c r="M8" i="1"/>
  <c r="G35" i="9"/>
  <c r="H35" i="9" s="1"/>
  <c r="E31" i="9"/>
  <c r="E29" i="9"/>
  <c r="E23" i="9"/>
  <c r="H15" i="1"/>
  <c r="H55" i="1" s="1"/>
  <c r="E36" i="9"/>
  <c r="G4" i="2"/>
  <c r="J6" i="9"/>
  <c r="F8" i="1"/>
  <c r="F6" i="9"/>
  <c r="J55" i="1"/>
  <c r="J17" i="1"/>
  <c r="F35" i="9"/>
  <c r="F36" i="9"/>
  <c r="F31" i="9"/>
  <c r="F29" i="9"/>
  <c r="F23" i="9"/>
  <c r="G13" i="1"/>
  <c r="G15" i="1"/>
  <c r="G55" i="1" s="1"/>
  <c r="F13" i="1"/>
  <c r="F15" i="1"/>
  <c r="F55" i="1" s="1"/>
  <c r="J13" i="1"/>
  <c r="H13" i="1"/>
  <c r="K6" i="9" l="1"/>
  <c r="M25" i="1"/>
  <c r="N8" i="1"/>
  <c r="I4" i="4" s="1"/>
  <c r="H4" i="2"/>
  <c r="H4" i="4"/>
  <c r="H17" i="1"/>
  <c r="E6" i="9"/>
  <c r="E8" i="1"/>
  <c r="F17" i="1"/>
  <c r="G17" i="1"/>
  <c r="G18" i="1" s="1"/>
  <c r="G29" i="1" s="1"/>
  <c r="F16" i="1"/>
  <c r="G16" i="1"/>
  <c r="G23" i="1" l="1"/>
  <c r="G33" i="1" s="1"/>
  <c r="L6" i="9"/>
  <c r="N25" i="1"/>
  <c r="I4" i="2"/>
  <c r="O8" i="1"/>
  <c r="J4" i="2" s="1"/>
  <c r="D8" i="1"/>
  <c r="D6" i="9"/>
  <c r="F18" i="1"/>
  <c r="F29" i="1" s="1"/>
  <c r="H18" i="1"/>
  <c r="H29" i="1" s="1"/>
  <c r="H16" i="1"/>
  <c r="J16" i="1"/>
  <c r="J18" i="1"/>
  <c r="J29" i="1" s="1"/>
  <c r="J23" i="1" l="1"/>
  <c r="J33" i="1" s="1"/>
  <c r="H23" i="1"/>
  <c r="H33" i="1" s="1"/>
  <c r="F23" i="1"/>
  <c r="F33" i="1" s="1"/>
  <c r="M6" i="9"/>
  <c r="O25" i="1"/>
  <c r="J4" i="4"/>
  <c r="I18" i="1"/>
  <c r="C6" i="9"/>
  <c r="I9" i="1"/>
  <c r="I12" i="1"/>
  <c r="I15" i="1"/>
  <c r="K13" i="8"/>
  <c r="K9" i="8"/>
  <c r="K10" i="8"/>
  <c r="J9" i="8"/>
  <c r="G29" i="8"/>
  <c r="G30" i="8" s="1"/>
  <c r="G31" i="8" s="1"/>
  <c r="K26" i="8"/>
  <c r="L26" i="8" s="1"/>
  <c r="I26" i="8"/>
  <c r="H26" i="8" s="1"/>
  <c r="G16" i="8"/>
  <c r="G15" i="8"/>
  <c r="J13" i="8"/>
  <c r="J12" i="8"/>
  <c r="J11" i="8"/>
  <c r="J10" i="8"/>
  <c r="D9" i="8"/>
  <c r="J22" i="8" s="1"/>
  <c r="K142" i="7"/>
  <c r="J142" i="7"/>
  <c r="I142" i="7"/>
  <c r="H142" i="7"/>
  <c r="G142" i="7"/>
  <c r="F142" i="7"/>
  <c r="E142" i="7"/>
  <c r="D142" i="7"/>
  <c r="K141" i="7"/>
  <c r="J141" i="7"/>
  <c r="I141" i="7"/>
  <c r="H141" i="7"/>
  <c r="G141" i="7"/>
  <c r="F141" i="7"/>
  <c r="E141" i="7"/>
  <c r="D141" i="7"/>
  <c r="K140" i="7"/>
  <c r="J140" i="7"/>
  <c r="I140" i="7"/>
  <c r="H140" i="7"/>
  <c r="G140" i="7"/>
  <c r="F140" i="7"/>
  <c r="E140" i="7"/>
  <c r="D140" i="7"/>
  <c r="K139" i="7"/>
  <c r="J139" i="7"/>
  <c r="I139" i="7"/>
  <c r="H139" i="7"/>
  <c r="G139" i="7"/>
  <c r="F139" i="7"/>
  <c r="E139" i="7"/>
  <c r="D139" i="7"/>
  <c r="K138" i="7"/>
  <c r="J138" i="7"/>
  <c r="I138" i="7"/>
  <c r="H138" i="7"/>
  <c r="G138" i="7"/>
  <c r="F138" i="7"/>
  <c r="E138" i="7"/>
  <c r="D138" i="7"/>
  <c r="K137" i="7"/>
  <c r="J137" i="7"/>
  <c r="I137" i="7"/>
  <c r="H137" i="7"/>
  <c r="G137" i="7"/>
  <c r="F137" i="7"/>
  <c r="E137" i="7"/>
  <c r="D137" i="7"/>
  <c r="K136" i="7"/>
  <c r="J136" i="7"/>
  <c r="I136" i="7"/>
  <c r="H136" i="7"/>
  <c r="G136" i="7"/>
  <c r="F136" i="7"/>
  <c r="E136" i="7"/>
  <c r="D136" i="7"/>
  <c r="K135" i="7"/>
  <c r="J135" i="7"/>
  <c r="I135" i="7"/>
  <c r="H135" i="7"/>
  <c r="G135" i="7"/>
  <c r="F135" i="7"/>
  <c r="E135" i="7"/>
  <c r="D135" i="7"/>
  <c r="K134" i="7"/>
  <c r="J134" i="7"/>
  <c r="I134" i="7"/>
  <c r="H134" i="7"/>
  <c r="G134" i="7"/>
  <c r="F134" i="7"/>
  <c r="E134" i="7"/>
  <c r="D134" i="7"/>
  <c r="K133" i="7"/>
  <c r="J133" i="7"/>
  <c r="I133" i="7"/>
  <c r="H133" i="7"/>
  <c r="G133" i="7"/>
  <c r="F133" i="7"/>
  <c r="E133" i="7"/>
  <c r="D133" i="7"/>
  <c r="K132" i="7"/>
  <c r="J132" i="7"/>
  <c r="I132" i="7"/>
  <c r="H132" i="7"/>
  <c r="G132" i="7"/>
  <c r="F132" i="7"/>
  <c r="E132" i="7"/>
  <c r="D132" i="7"/>
  <c r="K131" i="7"/>
  <c r="J131" i="7"/>
  <c r="I131" i="7"/>
  <c r="H131" i="7"/>
  <c r="G131" i="7"/>
  <c r="F131" i="7"/>
  <c r="E131" i="7"/>
  <c r="D131" i="7"/>
  <c r="K130" i="7"/>
  <c r="J130" i="7"/>
  <c r="I130" i="7"/>
  <c r="H130" i="7"/>
  <c r="G130" i="7"/>
  <c r="F130" i="7"/>
  <c r="E130" i="7"/>
  <c r="D130" i="7"/>
  <c r="K129" i="7"/>
  <c r="J129" i="7"/>
  <c r="I129" i="7"/>
  <c r="H129" i="7"/>
  <c r="G129" i="7"/>
  <c r="F129" i="7"/>
  <c r="E129" i="7"/>
  <c r="D129" i="7"/>
  <c r="K128" i="7"/>
  <c r="J128" i="7"/>
  <c r="I128" i="7"/>
  <c r="H128" i="7"/>
  <c r="G128" i="7"/>
  <c r="F128" i="7"/>
  <c r="E128" i="7"/>
  <c r="D128" i="7"/>
  <c r="K127" i="7"/>
  <c r="J127" i="7"/>
  <c r="I127" i="7"/>
  <c r="H127" i="7"/>
  <c r="G127" i="7"/>
  <c r="F127" i="7"/>
  <c r="E127" i="7"/>
  <c r="D127" i="7"/>
  <c r="K126" i="7"/>
  <c r="J126" i="7"/>
  <c r="I126" i="7"/>
  <c r="H126" i="7"/>
  <c r="G126" i="7"/>
  <c r="F126" i="7"/>
  <c r="E126" i="7"/>
  <c r="D126" i="7"/>
  <c r="K125" i="7"/>
  <c r="J125" i="7"/>
  <c r="I125" i="7"/>
  <c r="H125" i="7"/>
  <c r="G125" i="7"/>
  <c r="F125" i="7"/>
  <c r="E125" i="7"/>
  <c r="D125" i="7"/>
  <c r="K124" i="7"/>
  <c r="J124" i="7"/>
  <c r="I124" i="7"/>
  <c r="H124" i="7"/>
  <c r="G124" i="7"/>
  <c r="F124" i="7"/>
  <c r="E124" i="7"/>
  <c r="D124" i="7"/>
  <c r="K123" i="7"/>
  <c r="J123" i="7"/>
  <c r="I123" i="7"/>
  <c r="H123" i="7"/>
  <c r="G123" i="7"/>
  <c r="F123" i="7"/>
  <c r="E123" i="7"/>
  <c r="D123" i="7"/>
  <c r="K122" i="7"/>
  <c r="J122" i="7"/>
  <c r="I122" i="7"/>
  <c r="H122" i="7"/>
  <c r="G122" i="7"/>
  <c r="F122" i="7"/>
  <c r="E122" i="7"/>
  <c r="D122" i="7"/>
  <c r="K121" i="7"/>
  <c r="J121" i="7"/>
  <c r="I121" i="7"/>
  <c r="H121" i="7"/>
  <c r="G121" i="7"/>
  <c r="F121" i="7"/>
  <c r="E121" i="7"/>
  <c r="D121" i="7"/>
  <c r="K120" i="7"/>
  <c r="J120" i="7"/>
  <c r="I120" i="7"/>
  <c r="H120" i="7"/>
  <c r="G120" i="7"/>
  <c r="F120" i="7"/>
  <c r="E120" i="7"/>
  <c r="D120" i="7"/>
  <c r="K119" i="7"/>
  <c r="J119" i="7"/>
  <c r="I119" i="7"/>
  <c r="H119" i="7"/>
  <c r="G119" i="7"/>
  <c r="F119" i="7"/>
  <c r="E119" i="7"/>
  <c r="D119" i="7"/>
  <c r="K118" i="7"/>
  <c r="J118" i="7"/>
  <c r="I118" i="7"/>
  <c r="H118" i="7"/>
  <c r="G118" i="7"/>
  <c r="F118" i="7"/>
  <c r="E118" i="7"/>
  <c r="D118" i="7"/>
  <c r="K117" i="7"/>
  <c r="J117" i="7"/>
  <c r="I117" i="7"/>
  <c r="H117" i="7"/>
  <c r="G117" i="7"/>
  <c r="F117" i="7"/>
  <c r="E117" i="7"/>
  <c r="D117" i="7"/>
  <c r="K116" i="7"/>
  <c r="J116" i="7"/>
  <c r="I116" i="7"/>
  <c r="H116" i="7"/>
  <c r="G116" i="7"/>
  <c r="F116" i="7"/>
  <c r="E116" i="7"/>
  <c r="D116" i="7"/>
  <c r="K115" i="7"/>
  <c r="J115" i="7"/>
  <c r="I115" i="7"/>
  <c r="H115" i="7"/>
  <c r="G115" i="7"/>
  <c r="F115" i="7"/>
  <c r="E115" i="7"/>
  <c r="D115" i="7"/>
  <c r="K114" i="7"/>
  <c r="J114" i="7"/>
  <c r="I114" i="7"/>
  <c r="H114" i="7"/>
  <c r="G114" i="7"/>
  <c r="F114" i="7"/>
  <c r="E114" i="7"/>
  <c r="D114" i="7"/>
  <c r="K113" i="7"/>
  <c r="J113" i="7"/>
  <c r="I113" i="7"/>
  <c r="H113" i="7"/>
  <c r="G113" i="7"/>
  <c r="F113" i="7"/>
  <c r="E113" i="7"/>
  <c r="D113" i="7"/>
  <c r="K112" i="7"/>
  <c r="J112" i="7"/>
  <c r="I112" i="7"/>
  <c r="H112" i="7"/>
  <c r="G112" i="7"/>
  <c r="F112" i="7"/>
  <c r="E112" i="7"/>
  <c r="D112" i="7"/>
  <c r="K111" i="7"/>
  <c r="J111" i="7"/>
  <c r="I111" i="7"/>
  <c r="H111" i="7"/>
  <c r="G111" i="7"/>
  <c r="F111" i="7"/>
  <c r="E111" i="7"/>
  <c r="D111" i="7"/>
  <c r="K110" i="7"/>
  <c r="J110" i="7"/>
  <c r="I110" i="7"/>
  <c r="H110" i="7"/>
  <c r="G110" i="7"/>
  <c r="F110" i="7"/>
  <c r="E110" i="7"/>
  <c r="D110" i="7"/>
  <c r="K109" i="7"/>
  <c r="J109" i="7"/>
  <c r="I109" i="7"/>
  <c r="H109" i="7"/>
  <c r="G109" i="7"/>
  <c r="F109" i="7"/>
  <c r="E109" i="7"/>
  <c r="D109" i="7"/>
  <c r="K108" i="7"/>
  <c r="J108" i="7"/>
  <c r="I108" i="7"/>
  <c r="H108" i="7"/>
  <c r="G108" i="7"/>
  <c r="F108" i="7"/>
  <c r="E108" i="7"/>
  <c r="D108" i="7"/>
  <c r="K107" i="7"/>
  <c r="J107" i="7"/>
  <c r="I107" i="7"/>
  <c r="H107" i="7"/>
  <c r="G107" i="7"/>
  <c r="F107" i="7"/>
  <c r="E107" i="7"/>
  <c r="D107" i="7"/>
  <c r="K106" i="7"/>
  <c r="J106" i="7"/>
  <c r="I106" i="7"/>
  <c r="H106" i="7"/>
  <c r="G106" i="7"/>
  <c r="F106" i="7"/>
  <c r="E106" i="7"/>
  <c r="D106" i="7"/>
  <c r="K105" i="7"/>
  <c r="J105" i="7"/>
  <c r="I105" i="7"/>
  <c r="H105" i="7"/>
  <c r="G105" i="7"/>
  <c r="F105" i="7"/>
  <c r="E105" i="7"/>
  <c r="D105" i="7"/>
  <c r="K104" i="7"/>
  <c r="J104" i="7"/>
  <c r="I104" i="7"/>
  <c r="H104" i="7"/>
  <c r="G104" i="7"/>
  <c r="F104" i="7"/>
  <c r="E104" i="7"/>
  <c r="D104" i="7"/>
  <c r="K103" i="7"/>
  <c r="J103" i="7"/>
  <c r="I103" i="7"/>
  <c r="H103" i="7"/>
  <c r="G103" i="7"/>
  <c r="F103" i="7"/>
  <c r="E103" i="7"/>
  <c r="D103" i="7"/>
  <c r="K102" i="7"/>
  <c r="J102" i="7"/>
  <c r="I102" i="7"/>
  <c r="H102" i="7"/>
  <c r="G102" i="7"/>
  <c r="F102" i="7"/>
  <c r="E102" i="7"/>
  <c r="D102" i="7"/>
  <c r="K101" i="7"/>
  <c r="J101" i="7"/>
  <c r="I101" i="7"/>
  <c r="H101" i="7"/>
  <c r="G101" i="7"/>
  <c r="F101" i="7"/>
  <c r="E101" i="7"/>
  <c r="D101" i="7"/>
  <c r="K100" i="7"/>
  <c r="J100" i="7"/>
  <c r="I100" i="7"/>
  <c r="H100" i="7"/>
  <c r="G100" i="7"/>
  <c r="F100" i="7"/>
  <c r="E100" i="7"/>
  <c r="D100" i="7"/>
  <c r="K99" i="7"/>
  <c r="J99" i="7"/>
  <c r="I99" i="7"/>
  <c r="H99" i="7"/>
  <c r="G99" i="7"/>
  <c r="F99" i="7"/>
  <c r="E99" i="7"/>
  <c r="D99" i="7"/>
  <c r="K98" i="7"/>
  <c r="J98" i="7"/>
  <c r="I98" i="7"/>
  <c r="H98" i="7"/>
  <c r="G98" i="7"/>
  <c r="F98" i="7"/>
  <c r="E98" i="7"/>
  <c r="D98" i="7"/>
  <c r="K97" i="7"/>
  <c r="J97" i="7"/>
  <c r="I97" i="7"/>
  <c r="H97" i="7"/>
  <c r="G97" i="7"/>
  <c r="F97" i="7"/>
  <c r="E97" i="7"/>
  <c r="D97" i="7"/>
  <c r="K96" i="7"/>
  <c r="J96" i="7"/>
  <c r="I96" i="7"/>
  <c r="H96" i="7"/>
  <c r="G96" i="7"/>
  <c r="F96" i="7"/>
  <c r="E96" i="7"/>
  <c r="D96" i="7"/>
  <c r="K95" i="7"/>
  <c r="J95" i="7"/>
  <c r="I95" i="7"/>
  <c r="H95" i="7"/>
  <c r="G95" i="7"/>
  <c r="F95" i="7"/>
  <c r="E95" i="7"/>
  <c r="D95" i="7"/>
  <c r="K94" i="7"/>
  <c r="J94" i="7"/>
  <c r="I94" i="7"/>
  <c r="H94" i="7"/>
  <c r="G94" i="7"/>
  <c r="F94" i="7"/>
  <c r="E94" i="7"/>
  <c r="D94" i="7"/>
  <c r="K93" i="7"/>
  <c r="J93" i="7"/>
  <c r="I93" i="7"/>
  <c r="H93" i="7"/>
  <c r="G93" i="7"/>
  <c r="F93" i="7"/>
  <c r="E93" i="7"/>
  <c r="D93" i="7"/>
  <c r="K92" i="7"/>
  <c r="J92" i="7"/>
  <c r="I92" i="7"/>
  <c r="H92" i="7"/>
  <c r="G92" i="7"/>
  <c r="F92" i="7"/>
  <c r="E92" i="7"/>
  <c r="D92" i="7"/>
  <c r="K91" i="7"/>
  <c r="J91" i="7"/>
  <c r="I91" i="7"/>
  <c r="H91" i="7"/>
  <c r="G91" i="7"/>
  <c r="F91" i="7"/>
  <c r="E91" i="7"/>
  <c r="D91" i="7"/>
  <c r="K90" i="7"/>
  <c r="J90" i="7"/>
  <c r="I90" i="7"/>
  <c r="H90" i="7"/>
  <c r="G90" i="7"/>
  <c r="F90" i="7"/>
  <c r="E90" i="7"/>
  <c r="D90" i="7"/>
  <c r="K89" i="7"/>
  <c r="J89" i="7"/>
  <c r="I89" i="7"/>
  <c r="H89" i="7"/>
  <c r="G89" i="7"/>
  <c r="F89" i="7"/>
  <c r="E89" i="7"/>
  <c r="D89" i="7"/>
  <c r="K88" i="7"/>
  <c r="J88" i="7"/>
  <c r="I88" i="7"/>
  <c r="H88" i="7"/>
  <c r="G88" i="7"/>
  <c r="F88" i="7"/>
  <c r="E88" i="7"/>
  <c r="D88" i="7"/>
  <c r="K87" i="7"/>
  <c r="J87" i="7"/>
  <c r="I87" i="7"/>
  <c r="H87" i="7"/>
  <c r="G87" i="7"/>
  <c r="F87" i="7"/>
  <c r="E87" i="7"/>
  <c r="D87" i="7"/>
  <c r="K86" i="7"/>
  <c r="J86" i="7"/>
  <c r="I86" i="7"/>
  <c r="H86" i="7"/>
  <c r="G86" i="7"/>
  <c r="F86" i="7"/>
  <c r="E86" i="7"/>
  <c r="D86" i="7"/>
  <c r="K85" i="7"/>
  <c r="J85" i="7"/>
  <c r="I85" i="7"/>
  <c r="H85" i="7"/>
  <c r="G85" i="7"/>
  <c r="F85" i="7"/>
  <c r="E85" i="7"/>
  <c r="D85" i="7"/>
  <c r="K84" i="7"/>
  <c r="J84" i="7"/>
  <c r="I84" i="7"/>
  <c r="H84" i="7"/>
  <c r="G84" i="7"/>
  <c r="F84" i="7"/>
  <c r="E84" i="7"/>
  <c r="D84" i="7"/>
  <c r="K83" i="7"/>
  <c r="J83" i="7"/>
  <c r="I83" i="7"/>
  <c r="H83" i="7"/>
  <c r="G83" i="7"/>
  <c r="F83" i="7"/>
  <c r="E83" i="7"/>
  <c r="D83" i="7"/>
  <c r="K82" i="7"/>
  <c r="J82" i="7"/>
  <c r="I82" i="7"/>
  <c r="H82" i="7"/>
  <c r="G82" i="7"/>
  <c r="F82" i="7"/>
  <c r="E82" i="7"/>
  <c r="D82" i="7"/>
  <c r="K81" i="7"/>
  <c r="J81" i="7"/>
  <c r="I81" i="7"/>
  <c r="H81" i="7"/>
  <c r="G81" i="7"/>
  <c r="F81" i="7"/>
  <c r="E81" i="7"/>
  <c r="D81" i="7"/>
  <c r="K80" i="7"/>
  <c r="J80" i="7"/>
  <c r="I80" i="7"/>
  <c r="H80" i="7"/>
  <c r="G80" i="7"/>
  <c r="F80" i="7"/>
  <c r="E80" i="7"/>
  <c r="D80" i="7"/>
  <c r="K79" i="7"/>
  <c r="J79" i="7"/>
  <c r="I79" i="7"/>
  <c r="H79" i="7"/>
  <c r="G79" i="7"/>
  <c r="F79" i="7"/>
  <c r="E79" i="7"/>
  <c r="D79" i="7"/>
  <c r="K78" i="7"/>
  <c r="J78" i="7"/>
  <c r="I78" i="7"/>
  <c r="H78" i="7"/>
  <c r="G78" i="7"/>
  <c r="F78" i="7"/>
  <c r="E78" i="7"/>
  <c r="D78" i="7"/>
  <c r="K77" i="7"/>
  <c r="J77" i="7"/>
  <c r="I77" i="7"/>
  <c r="H77" i="7"/>
  <c r="G77" i="7"/>
  <c r="F77" i="7"/>
  <c r="E77" i="7"/>
  <c r="D77" i="7"/>
  <c r="K76" i="7"/>
  <c r="J76" i="7"/>
  <c r="I76" i="7"/>
  <c r="H76" i="7"/>
  <c r="G76" i="7"/>
  <c r="F76" i="7"/>
  <c r="E76" i="7"/>
  <c r="D76" i="7"/>
  <c r="K75" i="7"/>
  <c r="J75" i="7"/>
  <c r="I75" i="7"/>
  <c r="H75" i="7"/>
  <c r="G75" i="7"/>
  <c r="F75" i="7"/>
  <c r="E75" i="7"/>
  <c r="D75" i="7"/>
  <c r="K74" i="7"/>
  <c r="J74" i="7"/>
  <c r="I74" i="7"/>
  <c r="H74" i="7"/>
  <c r="G74" i="7"/>
  <c r="F74" i="7"/>
  <c r="E74" i="7"/>
  <c r="D74" i="7"/>
  <c r="K73" i="7"/>
  <c r="J73" i="7"/>
  <c r="I73" i="7"/>
  <c r="H73" i="7"/>
  <c r="G73" i="7"/>
  <c r="F73" i="7"/>
  <c r="E73" i="7"/>
  <c r="D73" i="7"/>
  <c r="K72" i="7"/>
  <c r="J72" i="7"/>
  <c r="I72" i="7"/>
  <c r="H72" i="7"/>
  <c r="G72" i="7"/>
  <c r="F72" i="7"/>
  <c r="E72" i="7"/>
  <c r="D72" i="7"/>
  <c r="K71" i="7"/>
  <c r="J71" i="7"/>
  <c r="I71" i="7"/>
  <c r="H71" i="7"/>
  <c r="G71" i="7"/>
  <c r="F71" i="7"/>
  <c r="E71" i="7"/>
  <c r="D71" i="7"/>
  <c r="K70" i="7"/>
  <c r="J70" i="7"/>
  <c r="I70" i="7"/>
  <c r="H70" i="7"/>
  <c r="G70" i="7"/>
  <c r="F70" i="7"/>
  <c r="E70" i="7"/>
  <c r="D70" i="7"/>
  <c r="K69" i="7"/>
  <c r="J69" i="7"/>
  <c r="I69" i="7"/>
  <c r="H69" i="7"/>
  <c r="G69" i="7"/>
  <c r="F69" i="7"/>
  <c r="E69" i="7"/>
  <c r="D69" i="7"/>
  <c r="K68" i="7"/>
  <c r="J68" i="7"/>
  <c r="I68" i="7"/>
  <c r="H68" i="7"/>
  <c r="G68" i="7"/>
  <c r="F68" i="7"/>
  <c r="E68" i="7"/>
  <c r="D68" i="7"/>
  <c r="K67" i="7"/>
  <c r="J67" i="7"/>
  <c r="I67" i="7"/>
  <c r="H67" i="7"/>
  <c r="G67" i="7"/>
  <c r="F67" i="7"/>
  <c r="E67" i="7"/>
  <c r="D67" i="7"/>
  <c r="K66" i="7"/>
  <c r="J66" i="7"/>
  <c r="I66" i="7"/>
  <c r="H66" i="7"/>
  <c r="G66" i="7"/>
  <c r="F66" i="7"/>
  <c r="E66" i="7"/>
  <c r="D66" i="7"/>
  <c r="K65" i="7"/>
  <c r="J65" i="7"/>
  <c r="I65" i="7"/>
  <c r="H65" i="7"/>
  <c r="G65" i="7"/>
  <c r="F65" i="7"/>
  <c r="E65" i="7"/>
  <c r="D65" i="7"/>
  <c r="K64" i="7"/>
  <c r="J64" i="7"/>
  <c r="I64" i="7"/>
  <c r="H64" i="7"/>
  <c r="G64" i="7"/>
  <c r="F64" i="7"/>
  <c r="E64" i="7"/>
  <c r="D64" i="7"/>
  <c r="K63" i="7"/>
  <c r="J63" i="7"/>
  <c r="I63" i="7"/>
  <c r="H63" i="7"/>
  <c r="G63" i="7"/>
  <c r="F63" i="7"/>
  <c r="E63" i="7"/>
  <c r="D63" i="7"/>
  <c r="K62" i="7"/>
  <c r="J62" i="7"/>
  <c r="I62" i="7"/>
  <c r="H62" i="7"/>
  <c r="G62" i="7"/>
  <c r="F62" i="7"/>
  <c r="E62" i="7"/>
  <c r="D62" i="7"/>
  <c r="K61" i="7"/>
  <c r="J61" i="7"/>
  <c r="I61" i="7"/>
  <c r="H61" i="7"/>
  <c r="G61" i="7"/>
  <c r="F61" i="7"/>
  <c r="E61" i="7"/>
  <c r="D61" i="7"/>
  <c r="K60" i="7"/>
  <c r="J60" i="7"/>
  <c r="I60" i="7"/>
  <c r="H60" i="7"/>
  <c r="G60" i="7"/>
  <c r="F60" i="7"/>
  <c r="E60" i="7"/>
  <c r="D60" i="7"/>
  <c r="K59" i="7"/>
  <c r="J59" i="7"/>
  <c r="I59" i="7"/>
  <c r="H59" i="7"/>
  <c r="G59" i="7"/>
  <c r="F59" i="7"/>
  <c r="E59" i="7"/>
  <c r="D59" i="7"/>
  <c r="K58" i="7"/>
  <c r="J58" i="7"/>
  <c r="I58" i="7"/>
  <c r="H58" i="7"/>
  <c r="G58" i="7"/>
  <c r="F58" i="7"/>
  <c r="E58" i="7"/>
  <c r="D58" i="7"/>
  <c r="K57" i="7"/>
  <c r="J57" i="7"/>
  <c r="I57" i="7"/>
  <c r="H57" i="7"/>
  <c r="G57" i="7"/>
  <c r="F57" i="7"/>
  <c r="E57" i="7"/>
  <c r="D57" i="7"/>
  <c r="K56" i="7"/>
  <c r="J56" i="7"/>
  <c r="I56" i="7"/>
  <c r="H56" i="7"/>
  <c r="G56" i="7"/>
  <c r="F56" i="7"/>
  <c r="E56" i="7"/>
  <c r="D56" i="7"/>
  <c r="K55" i="7"/>
  <c r="J55" i="7"/>
  <c r="I55" i="7"/>
  <c r="H55" i="7"/>
  <c r="G55" i="7"/>
  <c r="F55" i="7"/>
  <c r="E55" i="7"/>
  <c r="D55" i="7"/>
  <c r="K54" i="7"/>
  <c r="J54" i="7"/>
  <c r="I54" i="7"/>
  <c r="H54" i="7"/>
  <c r="G54" i="7"/>
  <c r="F54" i="7"/>
  <c r="E54" i="7"/>
  <c r="D54" i="7"/>
  <c r="K53" i="7"/>
  <c r="J53" i="7"/>
  <c r="I53" i="7"/>
  <c r="H53" i="7"/>
  <c r="G53" i="7"/>
  <c r="F53" i="7"/>
  <c r="E53" i="7"/>
  <c r="D53" i="7"/>
  <c r="K52" i="7"/>
  <c r="J52" i="7"/>
  <c r="I52" i="7"/>
  <c r="H52" i="7"/>
  <c r="G52" i="7"/>
  <c r="F52" i="7"/>
  <c r="E52" i="7"/>
  <c r="D52" i="7"/>
  <c r="K51" i="7"/>
  <c r="J51" i="7"/>
  <c r="I51" i="7"/>
  <c r="H51" i="7"/>
  <c r="G51" i="7"/>
  <c r="F51" i="7"/>
  <c r="E51" i="7"/>
  <c r="D51" i="7"/>
  <c r="K50" i="7"/>
  <c r="J50" i="7"/>
  <c r="I50" i="7"/>
  <c r="H50" i="7"/>
  <c r="G50" i="7"/>
  <c r="F50" i="7"/>
  <c r="E50" i="7"/>
  <c r="D50" i="7"/>
  <c r="K49" i="7"/>
  <c r="J49" i="7"/>
  <c r="I49" i="7"/>
  <c r="H49" i="7"/>
  <c r="G49" i="7"/>
  <c r="F49" i="7"/>
  <c r="E49" i="7"/>
  <c r="D49" i="7"/>
  <c r="K48" i="7"/>
  <c r="J48" i="7"/>
  <c r="I48" i="7"/>
  <c r="H48" i="7"/>
  <c r="G48" i="7"/>
  <c r="F48" i="7"/>
  <c r="E48" i="7"/>
  <c r="D48" i="7"/>
  <c r="K47" i="7"/>
  <c r="J47" i="7"/>
  <c r="I47" i="7"/>
  <c r="H47" i="7"/>
  <c r="G47" i="7"/>
  <c r="F47" i="7"/>
  <c r="E47" i="7"/>
  <c r="D47" i="7"/>
  <c r="K46" i="7"/>
  <c r="J46" i="7"/>
  <c r="I46" i="7"/>
  <c r="H46" i="7"/>
  <c r="G46" i="7"/>
  <c r="F46" i="7"/>
  <c r="E46" i="7"/>
  <c r="D46" i="7"/>
  <c r="K45" i="7"/>
  <c r="J45" i="7"/>
  <c r="I45" i="7"/>
  <c r="H45" i="7"/>
  <c r="G45" i="7"/>
  <c r="F45" i="7"/>
  <c r="E45" i="7"/>
  <c r="D45" i="7"/>
  <c r="K44" i="7"/>
  <c r="J44" i="7"/>
  <c r="I44" i="7"/>
  <c r="H44" i="7"/>
  <c r="G44" i="7"/>
  <c r="F44" i="7"/>
  <c r="E44" i="7"/>
  <c r="D44" i="7"/>
  <c r="K43" i="7"/>
  <c r="J43" i="7"/>
  <c r="I43" i="7"/>
  <c r="H43" i="7"/>
  <c r="G43" i="7"/>
  <c r="F43" i="7"/>
  <c r="E43" i="7"/>
  <c r="D43" i="7"/>
  <c r="K42" i="7"/>
  <c r="J42" i="7"/>
  <c r="I42" i="7"/>
  <c r="H42" i="7"/>
  <c r="G42" i="7"/>
  <c r="F42" i="7"/>
  <c r="E42" i="7"/>
  <c r="D42" i="7"/>
  <c r="K41" i="7"/>
  <c r="J41" i="7"/>
  <c r="I41" i="7"/>
  <c r="H41" i="7"/>
  <c r="G41" i="7"/>
  <c r="F41" i="7"/>
  <c r="E41" i="7"/>
  <c r="D41" i="7"/>
  <c r="K40" i="7"/>
  <c r="J40" i="7"/>
  <c r="I40" i="7"/>
  <c r="H40" i="7"/>
  <c r="G40" i="7"/>
  <c r="F40" i="7"/>
  <c r="E40" i="7"/>
  <c r="D40" i="7"/>
  <c r="K39" i="7"/>
  <c r="J39" i="7"/>
  <c r="I39" i="7"/>
  <c r="H39" i="7"/>
  <c r="G39" i="7"/>
  <c r="F39" i="7"/>
  <c r="E39" i="7"/>
  <c r="D39" i="7"/>
  <c r="K38" i="7"/>
  <c r="J38" i="7"/>
  <c r="I38" i="7"/>
  <c r="H38" i="7"/>
  <c r="G38" i="7"/>
  <c r="F38" i="7"/>
  <c r="E38" i="7"/>
  <c r="D38" i="7"/>
  <c r="K37" i="7"/>
  <c r="J37" i="7"/>
  <c r="I37" i="7"/>
  <c r="H37" i="7"/>
  <c r="G37" i="7"/>
  <c r="F37" i="7"/>
  <c r="E37" i="7"/>
  <c r="D37" i="7"/>
  <c r="K36" i="7"/>
  <c r="J36" i="7"/>
  <c r="I36" i="7"/>
  <c r="H36" i="7"/>
  <c r="G36" i="7"/>
  <c r="F36" i="7"/>
  <c r="E36" i="7"/>
  <c r="D36" i="7"/>
  <c r="K35" i="7"/>
  <c r="J35" i="7"/>
  <c r="I35" i="7"/>
  <c r="H35" i="7"/>
  <c r="G35" i="7"/>
  <c r="F35" i="7"/>
  <c r="E35" i="7"/>
  <c r="D35" i="7"/>
  <c r="K34" i="7"/>
  <c r="J34" i="7"/>
  <c r="I34" i="7"/>
  <c r="H34" i="7"/>
  <c r="G34" i="7"/>
  <c r="F34" i="7"/>
  <c r="E34" i="7"/>
  <c r="D34" i="7"/>
  <c r="K33" i="7"/>
  <c r="J33" i="7"/>
  <c r="I33" i="7"/>
  <c r="H33" i="7"/>
  <c r="G33" i="7"/>
  <c r="F33" i="7"/>
  <c r="E33" i="7"/>
  <c r="D33" i="7"/>
  <c r="K32" i="7"/>
  <c r="J32" i="7"/>
  <c r="I32" i="7"/>
  <c r="H32" i="7"/>
  <c r="G32" i="7"/>
  <c r="F32" i="7"/>
  <c r="E32" i="7"/>
  <c r="D32" i="7"/>
  <c r="K31" i="7"/>
  <c r="J31" i="7"/>
  <c r="I31" i="7"/>
  <c r="H31" i="7"/>
  <c r="G31" i="7"/>
  <c r="F31" i="7"/>
  <c r="E31" i="7"/>
  <c r="D31" i="7"/>
  <c r="K30" i="7"/>
  <c r="J30" i="7"/>
  <c r="I30" i="7"/>
  <c r="H30" i="7"/>
  <c r="G30" i="7"/>
  <c r="F30" i="7"/>
  <c r="E30" i="7"/>
  <c r="D30" i="7"/>
  <c r="K29" i="7"/>
  <c r="J29" i="7"/>
  <c r="I29" i="7"/>
  <c r="H29" i="7"/>
  <c r="G29" i="7"/>
  <c r="F29" i="7"/>
  <c r="E29" i="7"/>
  <c r="D29" i="7"/>
  <c r="K28" i="7"/>
  <c r="J28" i="7"/>
  <c r="I28" i="7"/>
  <c r="H28" i="7"/>
  <c r="G28" i="7"/>
  <c r="F28" i="7"/>
  <c r="E28" i="7"/>
  <c r="D28" i="7"/>
  <c r="K27" i="7"/>
  <c r="J27" i="7"/>
  <c r="I27" i="7"/>
  <c r="H27" i="7"/>
  <c r="G27" i="7"/>
  <c r="F27" i="7"/>
  <c r="E27" i="7"/>
  <c r="D27" i="7"/>
  <c r="K26" i="7"/>
  <c r="J26" i="7"/>
  <c r="I26" i="7"/>
  <c r="H26" i="7"/>
  <c r="G26" i="7"/>
  <c r="F26" i="7"/>
  <c r="E26" i="7"/>
  <c r="D26" i="7"/>
  <c r="K25" i="7"/>
  <c r="J25" i="7"/>
  <c r="I25" i="7"/>
  <c r="H25" i="7"/>
  <c r="G25" i="7"/>
  <c r="F25" i="7"/>
  <c r="E25" i="7"/>
  <c r="D25" i="7"/>
  <c r="K24" i="7"/>
  <c r="J24" i="7"/>
  <c r="I24" i="7"/>
  <c r="H24" i="7"/>
  <c r="G24" i="7"/>
  <c r="F24" i="7"/>
  <c r="E24" i="7"/>
  <c r="D24" i="7"/>
  <c r="K23" i="7"/>
  <c r="J23" i="7"/>
  <c r="I23" i="7"/>
  <c r="H23" i="7"/>
  <c r="G23" i="7"/>
  <c r="F23" i="7"/>
  <c r="E23" i="7"/>
  <c r="D23" i="7"/>
  <c r="K22" i="7"/>
  <c r="J22" i="7"/>
  <c r="I22" i="7"/>
  <c r="H22" i="7"/>
  <c r="G22" i="7"/>
  <c r="F22" i="7"/>
  <c r="E22" i="7"/>
  <c r="D22" i="7"/>
  <c r="K21" i="7"/>
  <c r="J21" i="7"/>
  <c r="I21" i="7"/>
  <c r="H21" i="7"/>
  <c r="G21" i="7"/>
  <c r="F21" i="7"/>
  <c r="E21" i="7"/>
  <c r="D21" i="7"/>
  <c r="K20" i="7"/>
  <c r="J20" i="7"/>
  <c r="I20" i="7"/>
  <c r="H20" i="7"/>
  <c r="G20" i="7"/>
  <c r="F20" i="7"/>
  <c r="E20" i="7"/>
  <c r="D20" i="7"/>
  <c r="K19" i="7"/>
  <c r="J19" i="7"/>
  <c r="I19" i="7"/>
  <c r="H19" i="7"/>
  <c r="G19" i="7"/>
  <c r="F19" i="7"/>
  <c r="E19" i="7"/>
  <c r="D19" i="7"/>
  <c r="K18" i="7"/>
  <c r="J18" i="7"/>
  <c r="I18" i="7"/>
  <c r="H18" i="7"/>
  <c r="G18" i="7"/>
  <c r="F18" i="7"/>
  <c r="E18" i="7"/>
  <c r="D18" i="7"/>
  <c r="K17" i="7"/>
  <c r="J17" i="7"/>
  <c r="I17" i="7"/>
  <c r="H17" i="7"/>
  <c r="G17" i="7"/>
  <c r="F17" i="7"/>
  <c r="E17" i="7"/>
  <c r="D17" i="7"/>
  <c r="K16" i="7"/>
  <c r="J16" i="7"/>
  <c r="I16" i="7"/>
  <c r="H16" i="7"/>
  <c r="G16" i="7"/>
  <c r="F16" i="7"/>
  <c r="E16" i="7"/>
  <c r="D16" i="7"/>
  <c r="K15" i="7"/>
  <c r="J15" i="7"/>
  <c r="I15" i="7"/>
  <c r="H15" i="7"/>
  <c r="G15" i="7"/>
  <c r="F15" i="7"/>
  <c r="E15" i="7"/>
  <c r="D15" i="7"/>
  <c r="K14" i="7"/>
  <c r="J14" i="7"/>
  <c r="I14" i="7"/>
  <c r="H14" i="7"/>
  <c r="G14" i="7"/>
  <c r="F14" i="7"/>
  <c r="E14" i="7"/>
  <c r="D14" i="7"/>
  <c r="K13" i="7"/>
  <c r="J13" i="7"/>
  <c r="I13" i="7"/>
  <c r="H13" i="7"/>
  <c r="G13" i="7"/>
  <c r="F13" i="7"/>
  <c r="E13" i="7"/>
  <c r="D13" i="7"/>
  <c r="K12" i="7"/>
  <c r="J12" i="7"/>
  <c r="I12" i="7"/>
  <c r="H12" i="7"/>
  <c r="G12" i="7"/>
  <c r="F12" i="7"/>
  <c r="E12" i="7"/>
  <c r="D12" i="7"/>
  <c r="K11" i="7"/>
  <c r="J11" i="7"/>
  <c r="I11" i="7"/>
  <c r="H11" i="7"/>
  <c r="G11" i="7"/>
  <c r="F11" i="7"/>
  <c r="E11" i="7"/>
  <c r="D11" i="7"/>
  <c r="K195" i="6"/>
  <c r="J195" i="6"/>
  <c r="I195" i="6"/>
  <c r="H195" i="6"/>
  <c r="G195" i="6"/>
  <c r="F195" i="6"/>
  <c r="E195" i="6"/>
  <c r="D195" i="6"/>
  <c r="K194" i="6"/>
  <c r="J194" i="6"/>
  <c r="I194" i="6"/>
  <c r="H194" i="6"/>
  <c r="G194" i="6"/>
  <c r="F194" i="6"/>
  <c r="E194" i="6"/>
  <c r="D194" i="6"/>
  <c r="K193" i="6"/>
  <c r="J193" i="6"/>
  <c r="I193" i="6"/>
  <c r="H193" i="6"/>
  <c r="G193" i="6"/>
  <c r="F193" i="6"/>
  <c r="E193" i="6"/>
  <c r="D193" i="6"/>
  <c r="K192" i="6"/>
  <c r="J192" i="6"/>
  <c r="I192" i="6"/>
  <c r="H192" i="6"/>
  <c r="G192" i="6"/>
  <c r="F192" i="6"/>
  <c r="E192" i="6"/>
  <c r="D192" i="6"/>
  <c r="K191" i="6"/>
  <c r="J191" i="6"/>
  <c r="I191" i="6"/>
  <c r="H191" i="6"/>
  <c r="G191" i="6"/>
  <c r="F191" i="6"/>
  <c r="E191" i="6"/>
  <c r="D191" i="6"/>
  <c r="K190" i="6"/>
  <c r="J190" i="6"/>
  <c r="I190" i="6"/>
  <c r="H190" i="6"/>
  <c r="G190" i="6"/>
  <c r="F190" i="6"/>
  <c r="E190" i="6"/>
  <c r="D190" i="6"/>
  <c r="K189" i="6"/>
  <c r="J189" i="6"/>
  <c r="I189" i="6"/>
  <c r="H189" i="6"/>
  <c r="G189" i="6"/>
  <c r="F189" i="6"/>
  <c r="E189" i="6"/>
  <c r="D189" i="6"/>
  <c r="K188" i="6"/>
  <c r="J188" i="6"/>
  <c r="I188" i="6"/>
  <c r="H188" i="6"/>
  <c r="G188" i="6"/>
  <c r="F188" i="6"/>
  <c r="E188" i="6"/>
  <c r="D188" i="6"/>
  <c r="K187" i="6"/>
  <c r="J187" i="6"/>
  <c r="I187" i="6"/>
  <c r="H187" i="6"/>
  <c r="G187" i="6"/>
  <c r="F187" i="6"/>
  <c r="E187" i="6"/>
  <c r="D187" i="6"/>
  <c r="K186" i="6"/>
  <c r="J186" i="6"/>
  <c r="I186" i="6"/>
  <c r="H186" i="6"/>
  <c r="G186" i="6"/>
  <c r="F186" i="6"/>
  <c r="E186" i="6"/>
  <c r="D186" i="6"/>
  <c r="K185" i="6"/>
  <c r="J185" i="6"/>
  <c r="I185" i="6"/>
  <c r="H185" i="6"/>
  <c r="G185" i="6"/>
  <c r="F185" i="6"/>
  <c r="E185" i="6"/>
  <c r="D185" i="6"/>
  <c r="K184" i="6"/>
  <c r="J184" i="6"/>
  <c r="I184" i="6"/>
  <c r="H184" i="6"/>
  <c r="G184" i="6"/>
  <c r="F184" i="6"/>
  <c r="E184" i="6"/>
  <c r="D184" i="6"/>
  <c r="K183" i="6"/>
  <c r="J183" i="6"/>
  <c r="I183" i="6"/>
  <c r="H183" i="6"/>
  <c r="G183" i="6"/>
  <c r="F183" i="6"/>
  <c r="E183" i="6"/>
  <c r="D183" i="6"/>
  <c r="K182" i="6"/>
  <c r="J182" i="6"/>
  <c r="I182" i="6"/>
  <c r="H182" i="6"/>
  <c r="G182" i="6"/>
  <c r="F182" i="6"/>
  <c r="E182" i="6"/>
  <c r="D182" i="6"/>
  <c r="K181" i="6"/>
  <c r="J181" i="6"/>
  <c r="I181" i="6"/>
  <c r="H181" i="6"/>
  <c r="G181" i="6"/>
  <c r="F181" i="6"/>
  <c r="E181" i="6"/>
  <c r="D181" i="6"/>
  <c r="K180" i="6"/>
  <c r="J180" i="6"/>
  <c r="I180" i="6"/>
  <c r="H180" i="6"/>
  <c r="G180" i="6"/>
  <c r="F180" i="6"/>
  <c r="E180" i="6"/>
  <c r="D180" i="6"/>
  <c r="K179" i="6"/>
  <c r="J179" i="6"/>
  <c r="I179" i="6"/>
  <c r="H179" i="6"/>
  <c r="G179" i="6"/>
  <c r="F179" i="6"/>
  <c r="E179" i="6"/>
  <c r="D179" i="6"/>
  <c r="K178" i="6"/>
  <c r="J178" i="6"/>
  <c r="I178" i="6"/>
  <c r="H178" i="6"/>
  <c r="G178" i="6"/>
  <c r="F178" i="6"/>
  <c r="E178" i="6"/>
  <c r="D178" i="6"/>
  <c r="K177" i="6"/>
  <c r="J177" i="6"/>
  <c r="I177" i="6"/>
  <c r="H177" i="6"/>
  <c r="G177" i="6"/>
  <c r="F177" i="6"/>
  <c r="E177" i="6"/>
  <c r="D177" i="6"/>
  <c r="K176" i="6"/>
  <c r="J176" i="6"/>
  <c r="I176" i="6"/>
  <c r="H176" i="6"/>
  <c r="G176" i="6"/>
  <c r="F176" i="6"/>
  <c r="E176" i="6"/>
  <c r="D176" i="6"/>
  <c r="K175" i="6"/>
  <c r="J175" i="6"/>
  <c r="I175" i="6"/>
  <c r="H175" i="6"/>
  <c r="G175" i="6"/>
  <c r="F175" i="6"/>
  <c r="E175" i="6"/>
  <c r="D175" i="6"/>
  <c r="K174" i="6"/>
  <c r="J174" i="6"/>
  <c r="I174" i="6"/>
  <c r="H174" i="6"/>
  <c r="G174" i="6"/>
  <c r="F174" i="6"/>
  <c r="E174" i="6"/>
  <c r="D174" i="6"/>
  <c r="K173" i="6"/>
  <c r="J173" i="6"/>
  <c r="I173" i="6"/>
  <c r="H173" i="6"/>
  <c r="G173" i="6"/>
  <c r="F173" i="6"/>
  <c r="E173" i="6"/>
  <c r="D173" i="6"/>
  <c r="K172" i="6"/>
  <c r="J172" i="6"/>
  <c r="I172" i="6"/>
  <c r="H172" i="6"/>
  <c r="G172" i="6"/>
  <c r="F172" i="6"/>
  <c r="E172" i="6"/>
  <c r="D172" i="6"/>
  <c r="K171" i="6"/>
  <c r="J171" i="6"/>
  <c r="I171" i="6"/>
  <c r="H171" i="6"/>
  <c r="G171" i="6"/>
  <c r="F171" i="6"/>
  <c r="E171" i="6"/>
  <c r="D171" i="6"/>
  <c r="K170" i="6"/>
  <c r="J170" i="6"/>
  <c r="I170" i="6"/>
  <c r="H170" i="6"/>
  <c r="G170" i="6"/>
  <c r="F170" i="6"/>
  <c r="E170" i="6"/>
  <c r="D170" i="6"/>
  <c r="K169" i="6"/>
  <c r="J169" i="6"/>
  <c r="I169" i="6"/>
  <c r="H169" i="6"/>
  <c r="G169" i="6"/>
  <c r="F169" i="6"/>
  <c r="E169" i="6"/>
  <c r="D169" i="6"/>
  <c r="K168" i="6"/>
  <c r="J168" i="6"/>
  <c r="I168" i="6"/>
  <c r="H168" i="6"/>
  <c r="G168" i="6"/>
  <c r="F168" i="6"/>
  <c r="E168" i="6"/>
  <c r="D168" i="6"/>
  <c r="K167" i="6"/>
  <c r="J167" i="6"/>
  <c r="I167" i="6"/>
  <c r="H167" i="6"/>
  <c r="G167" i="6"/>
  <c r="F167" i="6"/>
  <c r="E167" i="6"/>
  <c r="D167" i="6"/>
  <c r="K166" i="6"/>
  <c r="J166" i="6"/>
  <c r="I166" i="6"/>
  <c r="H166" i="6"/>
  <c r="G166" i="6"/>
  <c r="F166" i="6"/>
  <c r="E166" i="6"/>
  <c r="D166" i="6"/>
  <c r="K165" i="6"/>
  <c r="J165" i="6"/>
  <c r="I165" i="6"/>
  <c r="H165" i="6"/>
  <c r="G165" i="6"/>
  <c r="F165" i="6"/>
  <c r="E165" i="6"/>
  <c r="D165" i="6"/>
  <c r="K164" i="6"/>
  <c r="J164" i="6"/>
  <c r="I164" i="6"/>
  <c r="H164" i="6"/>
  <c r="G164" i="6"/>
  <c r="F164" i="6"/>
  <c r="E164" i="6"/>
  <c r="D164" i="6"/>
  <c r="K163" i="6"/>
  <c r="J163" i="6"/>
  <c r="I163" i="6"/>
  <c r="H163" i="6"/>
  <c r="G163" i="6"/>
  <c r="F163" i="6"/>
  <c r="E163" i="6"/>
  <c r="D163" i="6"/>
  <c r="K162" i="6"/>
  <c r="J162" i="6"/>
  <c r="I162" i="6"/>
  <c r="H162" i="6"/>
  <c r="G162" i="6"/>
  <c r="F162" i="6"/>
  <c r="E162" i="6"/>
  <c r="D162" i="6"/>
  <c r="K161" i="6"/>
  <c r="J161" i="6"/>
  <c r="I161" i="6"/>
  <c r="H161" i="6"/>
  <c r="G161" i="6"/>
  <c r="F161" i="6"/>
  <c r="E161" i="6"/>
  <c r="D161" i="6"/>
  <c r="K160" i="6"/>
  <c r="J160" i="6"/>
  <c r="I160" i="6"/>
  <c r="H160" i="6"/>
  <c r="G160" i="6"/>
  <c r="F160" i="6"/>
  <c r="E160" i="6"/>
  <c r="D160" i="6"/>
  <c r="K159" i="6"/>
  <c r="J159" i="6"/>
  <c r="I159" i="6"/>
  <c r="H159" i="6"/>
  <c r="G159" i="6"/>
  <c r="F159" i="6"/>
  <c r="E159" i="6"/>
  <c r="D159" i="6"/>
  <c r="K158" i="6"/>
  <c r="J158" i="6"/>
  <c r="I158" i="6"/>
  <c r="H158" i="6"/>
  <c r="G158" i="6"/>
  <c r="F158" i="6"/>
  <c r="E158" i="6"/>
  <c r="D158" i="6"/>
  <c r="K157" i="6"/>
  <c r="J157" i="6"/>
  <c r="I157" i="6"/>
  <c r="H157" i="6"/>
  <c r="G157" i="6"/>
  <c r="F157" i="6"/>
  <c r="E157" i="6"/>
  <c r="D157" i="6"/>
  <c r="K156" i="6"/>
  <c r="J156" i="6"/>
  <c r="I156" i="6"/>
  <c r="H156" i="6"/>
  <c r="G156" i="6"/>
  <c r="F156" i="6"/>
  <c r="E156" i="6"/>
  <c r="D156" i="6"/>
  <c r="K155" i="6"/>
  <c r="J155" i="6"/>
  <c r="I155" i="6"/>
  <c r="H155" i="6"/>
  <c r="G155" i="6"/>
  <c r="F155" i="6"/>
  <c r="E155" i="6"/>
  <c r="D155" i="6"/>
  <c r="K154" i="6"/>
  <c r="J154" i="6"/>
  <c r="I154" i="6"/>
  <c r="H154" i="6"/>
  <c r="G154" i="6"/>
  <c r="F154" i="6"/>
  <c r="E154" i="6"/>
  <c r="D154" i="6"/>
  <c r="K153" i="6"/>
  <c r="J153" i="6"/>
  <c r="I153" i="6"/>
  <c r="H153" i="6"/>
  <c r="G153" i="6"/>
  <c r="F153" i="6"/>
  <c r="E153" i="6"/>
  <c r="D153" i="6"/>
  <c r="K152" i="6"/>
  <c r="J152" i="6"/>
  <c r="I152" i="6"/>
  <c r="H152" i="6"/>
  <c r="G152" i="6"/>
  <c r="F152" i="6"/>
  <c r="E152" i="6"/>
  <c r="D152" i="6"/>
  <c r="K151" i="6"/>
  <c r="J151" i="6"/>
  <c r="I151" i="6"/>
  <c r="H151" i="6"/>
  <c r="G151" i="6"/>
  <c r="F151" i="6"/>
  <c r="E151" i="6"/>
  <c r="D151" i="6"/>
  <c r="K150" i="6"/>
  <c r="J150" i="6"/>
  <c r="I150" i="6"/>
  <c r="H150" i="6"/>
  <c r="G150" i="6"/>
  <c r="F150" i="6"/>
  <c r="E150" i="6"/>
  <c r="D150" i="6"/>
  <c r="K149" i="6"/>
  <c r="J149" i="6"/>
  <c r="I149" i="6"/>
  <c r="H149" i="6"/>
  <c r="G149" i="6"/>
  <c r="F149" i="6"/>
  <c r="E149" i="6"/>
  <c r="D149" i="6"/>
  <c r="K148" i="6"/>
  <c r="J148" i="6"/>
  <c r="I148" i="6"/>
  <c r="H148" i="6"/>
  <c r="G148" i="6"/>
  <c r="F148" i="6"/>
  <c r="E148" i="6"/>
  <c r="D148" i="6"/>
  <c r="K147" i="6"/>
  <c r="J147" i="6"/>
  <c r="I147" i="6"/>
  <c r="H147" i="6"/>
  <c r="G147" i="6"/>
  <c r="F147" i="6"/>
  <c r="E147" i="6"/>
  <c r="D147" i="6"/>
  <c r="K146" i="6"/>
  <c r="J146" i="6"/>
  <c r="I146" i="6"/>
  <c r="H146" i="6"/>
  <c r="G146" i="6"/>
  <c r="F146" i="6"/>
  <c r="E146" i="6"/>
  <c r="D146" i="6"/>
  <c r="K145" i="6"/>
  <c r="J145" i="6"/>
  <c r="I145" i="6"/>
  <c r="H145" i="6"/>
  <c r="G145" i="6"/>
  <c r="F145" i="6"/>
  <c r="E145" i="6"/>
  <c r="D145" i="6"/>
  <c r="K144" i="6"/>
  <c r="J144" i="6"/>
  <c r="I144" i="6"/>
  <c r="H144" i="6"/>
  <c r="G144" i="6"/>
  <c r="F144" i="6"/>
  <c r="E144" i="6"/>
  <c r="D144" i="6"/>
  <c r="K143" i="6"/>
  <c r="J143" i="6"/>
  <c r="I143" i="6"/>
  <c r="H143" i="6"/>
  <c r="G143" i="6"/>
  <c r="F143" i="6"/>
  <c r="E143" i="6"/>
  <c r="D143" i="6"/>
  <c r="K142" i="6"/>
  <c r="J142" i="6"/>
  <c r="I142" i="6"/>
  <c r="H142" i="6"/>
  <c r="G142" i="6"/>
  <c r="F142" i="6"/>
  <c r="E142" i="6"/>
  <c r="D142" i="6"/>
  <c r="K141" i="6"/>
  <c r="J141" i="6"/>
  <c r="I141" i="6"/>
  <c r="H141" i="6"/>
  <c r="G141" i="6"/>
  <c r="F141" i="6"/>
  <c r="E141" i="6"/>
  <c r="D141" i="6"/>
  <c r="K140" i="6"/>
  <c r="J140" i="6"/>
  <c r="I140" i="6"/>
  <c r="H140" i="6"/>
  <c r="G140" i="6"/>
  <c r="F140" i="6"/>
  <c r="E140" i="6"/>
  <c r="D140" i="6"/>
  <c r="K139" i="6"/>
  <c r="J139" i="6"/>
  <c r="I139" i="6"/>
  <c r="H139" i="6"/>
  <c r="G139" i="6"/>
  <c r="F139" i="6"/>
  <c r="E139" i="6"/>
  <c r="D139" i="6"/>
  <c r="K138" i="6"/>
  <c r="J138" i="6"/>
  <c r="I138" i="6"/>
  <c r="H138" i="6"/>
  <c r="G138" i="6"/>
  <c r="F138" i="6"/>
  <c r="E138" i="6"/>
  <c r="D138" i="6"/>
  <c r="K137" i="6"/>
  <c r="J137" i="6"/>
  <c r="I137" i="6"/>
  <c r="G137" i="6"/>
  <c r="F137" i="6"/>
  <c r="E137" i="6"/>
  <c r="D137" i="6"/>
  <c r="K136" i="6"/>
  <c r="J136" i="6"/>
  <c r="I136" i="6"/>
  <c r="H136" i="6"/>
  <c r="G136" i="6"/>
  <c r="F136" i="6"/>
  <c r="E136" i="6"/>
  <c r="D136" i="6"/>
  <c r="K135" i="6"/>
  <c r="J135" i="6"/>
  <c r="I135" i="6"/>
  <c r="H135" i="6"/>
  <c r="G135" i="6"/>
  <c r="F135" i="6"/>
  <c r="E135" i="6"/>
  <c r="D135" i="6"/>
  <c r="K134" i="6"/>
  <c r="J134" i="6"/>
  <c r="I134" i="6"/>
  <c r="H134" i="6"/>
  <c r="G134" i="6"/>
  <c r="F134" i="6"/>
  <c r="E134" i="6"/>
  <c r="D134" i="6"/>
  <c r="K133" i="6"/>
  <c r="J133" i="6"/>
  <c r="I133" i="6"/>
  <c r="H133" i="6"/>
  <c r="G133" i="6"/>
  <c r="F133" i="6"/>
  <c r="E133" i="6"/>
  <c r="D133" i="6"/>
  <c r="K132" i="6"/>
  <c r="J132" i="6"/>
  <c r="I132" i="6"/>
  <c r="H132" i="6"/>
  <c r="G132" i="6"/>
  <c r="F132" i="6"/>
  <c r="E132" i="6"/>
  <c r="D132" i="6"/>
  <c r="K131" i="6"/>
  <c r="J131" i="6"/>
  <c r="I131" i="6"/>
  <c r="H131" i="6"/>
  <c r="G131" i="6"/>
  <c r="F131" i="6"/>
  <c r="E131" i="6"/>
  <c r="D131" i="6"/>
  <c r="K130" i="6"/>
  <c r="J130" i="6"/>
  <c r="I130" i="6"/>
  <c r="H130" i="6"/>
  <c r="G130" i="6"/>
  <c r="F130" i="6"/>
  <c r="E130" i="6"/>
  <c r="D130" i="6"/>
  <c r="K129" i="6"/>
  <c r="J129" i="6"/>
  <c r="I129" i="6"/>
  <c r="H129" i="6"/>
  <c r="G129" i="6"/>
  <c r="F129" i="6"/>
  <c r="E129" i="6"/>
  <c r="D129" i="6"/>
  <c r="K128" i="6"/>
  <c r="J128" i="6"/>
  <c r="I128" i="6"/>
  <c r="H128" i="6"/>
  <c r="G128" i="6"/>
  <c r="F128" i="6"/>
  <c r="E128" i="6"/>
  <c r="D128" i="6"/>
  <c r="K127" i="6"/>
  <c r="J127" i="6"/>
  <c r="I127" i="6"/>
  <c r="H127" i="6"/>
  <c r="G127" i="6"/>
  <c r="F127" i="6"/>
  <c r="E127" i="6"/>
  <c r="D127" i="6"/>
  <c r="K126" i="6"/>
  <c r="J126" i="6"/>
  <c r="I126" i="6"/>
  <c r="H126" i="6"/>
  <c r="G126" i="6"/>
  <c r="F126" i="6"/>
  <c r="E126" i="6"/>
  <c r="D126" i="6"/>
  <c r="K125" i="6"/>
  <c r="J125" i="6"/>
  <c r="I125" i="6"/>
  <c r="H125" i="6"/>
  <c r="G125" i="6"/>
  <c r="F125" i="6"/>
  <c r="E125" i="6"/>
  <c r="D125" i="6"/>
  <c r="K124" i="6"/>
  <c r="J124" i="6"/>
  <c r="I124" i="6"/>
  <c r="H124" i="6"/>
  <c r="G124" i="6"/>
  <c r="F124" i="6"/>
  <c r="E124" i="6"/>
  <c r="D124" i="6"/>
  <c r="K123" i="6"/>
  <c r="J123" i="6"/>
  <c r="I123" i="6"/>
  <c r="H123" i="6"/>
  <c r="G123" i="6"/>
  <c r="F123" i="6"/>
  <c r="E123" i="6"/>
  <c r="D123" i="6"/>
  <c r="K122" i="6"/>
  <c r="J122" i="6"/>
  <c r="I122" i="6"/>
  <c r="H122" i="6"/>
  <c r="G122" i="6"/>
  <c r="F122" i="6"/>
  <c r="E122" i="6"/>
  <c r="D122" i="6"/>
  <c r="K121" i="6"/>
  <c r="J121" i="6"/>
  <c r="I121" i="6"/>
  <c r="H121" i="6"/>
  <c r="G121" i="6"/>
  <c r="F121" i="6"/>
  <c r="E121" i="6"/>
  <c r="D121" i="6"/>
  <c r="K120" i="6"/>
  <c r="J120" i="6"/>
  <c r="I120" i="6"/>
  <c r="H120" i="6"/>
  <c r="G120" i="6"/>
  <c r="F120" i="6"/>
  <c r="E120" i="6"/>
  <c r="D120" i="6"/>
  <c r="K119" i="6"/>
  <c r="J119" i="6"/>
  <c r="I119" i="6"/>
  <c r="H119" i="6"/>
  <c r="G119" i="6"/>
  <c r="F119" i="6"/>
  <c r="E119" i="6"/>
  <c r="D119" i="6"/>
  <c r="K118" i="6"/>
  <c r="J118" i="6"/>
  <c r="I118" i="6"/>
  <c r="H118" i="6"/>
  <c r="G118" i="6"/>
  <c r="F118" i="6"/>
  <c r="E118" i="6"/>
  <c r="D118" i="6"/>
  <c r="K117" i="6"/>
  <c r="J117" i="6"/>
  <c r="I117" i="6"/>
  <c r="H117" i="6"/>
  <c r="G117" i="6"/>
  <c r="F117" i="6"/>
  <c r="E117" i="6"/>
  <c r="D117" i="6"/>
  <c r="K116" i="6"/>
  <c r="J116" i="6"/>
  <c r="I116" i="6"/>
  <c r="H116" i="6"/>
  <c r="G116" i="6"/>
  <c r="F116" i="6"/>
  <c r="E116" i="6"/>
  <c r="D116" i="6"/>
  <c r="K115" i="6"/>
  <c r="J115" i="6"/>
  <c r="I115" i="6"/>
  <c r="H115" i="6"/>
  <c r="G115" i="6"/>
  <c r="F115" i="6"/>
  <c r="E115" i="6"/>
  <c r="D115" i="6"/>
  <c r="K114" i="6"/>
  <c r="J114" i="6"/>
  <c r="I114" i="6"/>
  <c r="H114" i="6"/>
  <c r="G114" i="6"/>
  <c r="F114" i="6"/>
  <c r="E114" i="6"/>
  <c r="D114" i="6"/>
  <c r="K113" i="6"/>
  <c r="J113" i="6"/>
  <c r="I113" i="6"/>
  <c r="H113" i="6"/>
  <c r="G113" i="6"/>
  <c r="F113" i="6"/>
  <c r="E113" i="6"/>
  <c r="D113" i="6"/>
  <c r="K112" i="6"/>
  <c r="J112" i="6"/>
  <c r="I112" i="6"/>
  <c r="H112" i="6"/>
  <c r="G112" i="6"/>
  <c r="F112" i="6"/>
  <c r="E112" i="6"/>
  <c r="D112" i="6"/>
  <c r="K111" i="6"/>
  <c r="J111" i="6"/>
  <c r="I111" i="6"/>
  <c r="H111" i="6"/>
  <c r="G111" i="6"/>
  <c r="F111" i="6"/>
  <c r="E111" i="6"/>
  <c r="D111" i="6"/>
  <c r="K110" i="6"/>
  <c r="J110" i="6"/>
  <c r="I110" i="6"/>
  <c r="H110" i="6"/>
  <c r="G110" i="6"/>
  <c r="F110" i="6"/>
  <c r="E110" i="6"/>
  <c r="D110" i="6"/>
  <c r="K109" i="6"/>
  <c r="J109" i="6"/>
  <c r="I109" i="6"/>
  <c r="H109" i="6"/>
  <c r="G109" i="6"/>
  <c r="F109" i="6"/>
  <c r="E109" i="6"/>
  <c r="D109" i="6"/>
  <c r="K108" i="6"/>
  <c r="J108" i="6"/>
  <c r="I108" i="6"/>
  <c r="H108" i="6"/>
  <c r="G108" i="6"/>
  <c r="F108" i="6"/>
  <c r="E108" i="6"/>
  <c r="D108" i="6"/>
  <c r="K107" i="6"/>
  <c r="J107" i="6"/>
  <c r="I107" i="6"/>
  <c r="H107" i="6"/>
  <c r="G107" i="6"/>
  <c r="F107" i="6"/>
  <c r="E107" i="6"/>
  <c r="D107" i="6"/>
  <c r="K106" i="6"/>
  <c r="J106" i="6"/>
  <c r="I106" i="6"/>
  <c r="H106" i="6"/>
  <c r="G106" i="6"/>
  <c r="F106" i="6"/>
  <c r="E106" i="6"/>
  <c r="D106" i="6"/>
  <c r="K105" i="6"/>
  <c r="J105" i="6"/>
  <c r="I105" i="6"/>
  <c r="H105" i="6"/>
  <c r="G105" i="6"/>
  <c r="F105" i="6"/>
  <c r="E105" i="6"/>
  <c r="D105" i="6"/>
  <c r="K104" i="6"/>
  <c r="J104" i="6"/>
  <c r="I104" i="6"/>
  <c r="H104" i="6"/>
  <c r="G104" i="6"/>
  <c r="F104" i="6"/>
  <c r="E104" i="6"/>
  <c r="D104" i="6"/>
  <c r="K103" i="6"/>
  <c r="J103" i="6"/>
  <c r="I103" i="6"/>
  <c r="H103" i="6"/>
  <c r="G103" i="6"/>
  <c r="F103" i="6"/>
  <c r="E103" i="6"/>
  <c r="D103" i="6"/>
  <c r="K102" i="6"/>
  <c r="J102" i="6"/>
  <c r="I102" i="6"/>
  <c r="H102" i="6"/>
  <c r="G102" i="6"/>
  <c r="F102" i="6"/>
  <c r="E102" i="6"/>
  <c r="D102" i="6"/>
  <c r="K101" i="6"/>
  <c r="J101" i="6"/>
  <c r="I101" i="6"/>
  <c r="H101" i="6"/>
  <c r="G101" i="6"/>
  <c r="F101" i="6"/>
  <c r="E101" i="6"/>
  <c r="D101" i="6"/>
  <c r="K100" i="6"/>
  <c r="J100" i="6"/>
  <c r="I100" i="6"/>
  <c r="H100" i="6"/>
  <c r="G100" i="6"/>
  <c r="F100" i="6"/>
  <c r="E100" i="6"/>
  <c r="D100" i="6"/>
  <c r="K99" i="6"/>
  <c r="J99" i="6"/>
  <c r="I99" i="6"/>
  <c r="H99" i="6"/>
  <c r="G99" i="6"/>
  <c r="F99" i="6"/>
  <c r="E99" i="6"/>
  <c r="D99" i="6"/>
  <c r="K98" i="6"/>
  <c r="J98" i="6"/>
  <c r="I98" i="6"/>
  <c r="H98" i="6"/>
  <c r="G98" i="6"/>
  <c r="F98" i="6"/>
  <c r="E98" i="6"/>
  <c r="D98" i="6"/>
  <c r="K97" i="6"/>
  <c r="J97" i="6"/>
  <c r="I97" i="6"/>
  <c r="H97" i="6"/>
  <c r="G97" i="6"/>
  <c r="F97" i="6"/>
  <c r="E97" i="6"/>
  <c r="D97" i="6"/>
  <c r="K96" i="6"/>
  <c r="J96" i="6"/>
  <c r="I96" i="6"/>
  <c r="H96" i="6"/>
  <c r="G96" i="6"/>
  <c r="F96" i="6"/>
  <c r="E96" i="6"/>
  <c r="D96" i="6"/>
  <c r="K95" i="6"/>
  <c r="J95" i="6"/>
  <c r="I95" i="6"/>
  <c r="H95" i="6"/>
  <c r="G95" i="6"/>
  <c r="F95" i="6"/>
  <c r="E95" i="6"/>
  <c r="D95" i="6"/>
  <c r="K94" i="6"/>
  <c r="J94" i="6"/>
  <c r="I94" i="6"/>
  <c r="H94" i="6"/>
  <c r="G94" i="6"/>
  <c r="F94" i="6"/>
  <c r="E94" i="6"/>
  <c r="D94" i="6"/>
  <c r="K93" i="6"/>
  <c r="J93" i="6"/>
  <c r="I93" i="6"/>
  <c r="H93" i="6"/>
  <c r="G93" i="6"/>
  <c r="F93" i="6"/>
  <c r="E93" i="6"/>
  <c r="D93" i="6"/>
  <c r="K92" i="6"/>
  <c r="J92" i="6"/>
  <c r="I92" i="6"/>
  <c r="H92" i="6"/>
  <c r="G92" i="6"/>
  <c r="F92" i="6"/>
  <c r="E92" i="6"/>
  <c r="D92" i="6"/>
  <c r="K91" i="6"/>
  <c r="J91" i="6"/>
  <c r="I91" i="6"/>
  <c r="H91" i="6"/>
  <c r="G91" i="6"/>
  <c r="F91" i="6"/>
  <c r="E91" i="6"/>
  <c r="D91" i="6"/>
  <c r="K90" i="6"/>
  <c r="J90" i="6"/>
  <c r="I90" i="6"/>
  <c r="H90" i="6"/>
  <c r="G90" i="6"/>
  <c r="F90" i="6"/>
  <c r="E90" i="6"/>
  <c r="D90" i="6"/>
  <c r="K89" i="6"/>
  <c r="J89" i="6"/>
  <c r="I89" i="6"/>
  <c r="H89" i="6"/>
  <c r="G89" i="6"/>
  <c r="F89" i="6"/>
  <c r="E89" i="6"/>
  <c r="D89" i="6"/>
  <c r="K88" i="6"/>
  <c r="J88" i="6"/>
  <c r="I88" i="6"/>
  <c r="H88" i="6"/>
  <c r="G88" i="6"/>
  <c r="F88" i="6"/>
  <c r="E88" i="6"/>
  <c r="D88" i="6"/>
  <c r="K87" i="6"/>
  <c r="J87" i="6"/>
  <c r="I87" i="6"/>
  <c r="H87" i="6"/>
  <c r="G87" i="6"/>
  <c r="F87" i="6"/>
  <c r="E87" i="6"/>
  <c r="D87" i="6"/>
  <c r="K86" i="6"/>
  <c r="J86" i="6"/>
  <c r="I86" i="6"/>
  <c r="H86" i="6"/>
  <c r="G86" i="6"/>
  <c r="F86" i="6"/>
  <c r="E86" i="6"/>
  <c r="D86" i="6"/>
  <c r="K85" i="6"/>
  <c r="J85" i="6"/>
  <c r="I85" i="6"/>
  <c r="H85" i="6"/>
  <c r="G85" i="6"/>
  <c r="F85" i="6"/>
  <c r="E85" i="6"/>
  <c r="D85" i="6"/>
  <c r="K84" i="6"/>
  <c r="J84" i="6"/>
  <c r="I84" i="6"/>
  <c r="H84" i="6"/>
  <c r="G84" i="6"/>
  <c r="F84" i="6"/>
  <c r="E84" i="6"/>
  <c r="D84" i="6"/>
  <c r="K83" i="6"/>
  <c r="J83" i="6"/>
  <c r="I83" i="6"/>
  <c r="H83" i="6"/>
  <c r="G83" i="6"/>
  <c r="F83" i="6"/>
  <c r="E83" i="6"/>
  <c r="D83" i="6"/>
  <c r="K82" i="6"/>
  <c r="J82" i="6"/>
  <c r="I82" i="6"/>
  <c r="H82" i="6"/>
  <c r="G82" i="6"/>
  <c r="F82" i="6"/>
  <c r="E82" i="6"/>
  <c r="D82" i="6"/>
  <c r="K81" i="6"/>
  <c r="J81" i="6"/>
  <c r="I81" i="6"/>
  <c r="H81" i="6"/>
  <c r="G81" i="6"/>
  <c r="F81" i="6"/>
  <c r="E81" i="6"/>
  <c r="D81" i="6"/>
  <c r="K80" i="6"/>
  <c r="J80" i="6"/>
  <c r="I80" i="6"/>
  <c r="H80" i="6"/>
  <c r="G80" i="6"/>
  <c r="F80" i="6"/>
  <c r="E80" i="6"/>
  <c r="D80" i="6"/>
  <c r="K79" i="6"/>
  <c r="J79" i="6"/>
  <c r="I79" i="6"/>
  <c r="H79" i="6"/>
  <c r="G79" i="6"/>
  <c r="F79" i="6"/>
  <c r="E79" i="6"/>
  <c r="D79" i="6"/>
  <c r="K78" i="6"/>
  <c r="J78" i="6"/>
  <c r="I78" i="6"/>
  <c r="H78" i="6"/>
  <c r="G78" i="6"/>
  <c r="F78" i="6"/>
  <c r="E78" i="6"/>
  <c r="D78" i="6"/>
  <c r="K77" i="6"/>
  <c r="J77" i="6"/>
  <c r="I77" i="6"/>
  <c r="H77" i="6"/>
  <c r="G77" i="6"/>
  <c r="F77" i="6"/>
  <c r="E77" i="6"/>
  <c r="D77" i="6"/>
  <c r="K76" i="6"/>
  <c r="J76" i="6"/>
  <c r="I76" i="6"/>
  <c r="H76" i="6"/>
  <c r="G76" i="6"/>
  <c r="F76" i="6"/>
  <c r="E76" i="6"/>
  <c r="D76" i="6"/>
  <c r="K75" i="6"/>
  <c r="J75" i="6"/>
  <c r="I75" i="6"/>
  <c r="H75" i="6"/>
  <c r="G75" i="6"/>
  <c r="F75" i="6"/>
  <c r="E75" i="6"/>
  <c r="D75" i="6"/>
  <c r="K74" i="6"/>
  <c r="J74" i="6"/>
  <c r="I74" i="6"/>
  <c r="H74" i="6"/>
  <c r="G74" i="6"/>
  <c r="F74" i="6"/>
  <c r="E74" i="6"/>
  <c r="D74" i="6"/>
  <c r="K73" i="6"/>
  <c r="J73" i="6"/>
  <c r="I73" i="6"/>
  <c r="H73" i="6"/>
  <c r="G73" i="6"/>
  <c r="F73" i="6"/>
  <c r="E73" i="6"/>
  <c r="D73" i="6"/>
  <c r="K72" i="6"/>
  <c r="J72" i="6"/>
  <c r="I72" i="6"/>
  <c r="H72" i="6"/>
  <c r="G72" i="6"/>
  <c r="F72" i="6"/>
  <c r="E72" i="6"/>
  <c r="D72" i="6"/>
  <c r="K71" i="6"/>
  <c r="J71" i="6"/>
  <c r="I71" i="6"/>
  <c r="H71" i="6"/>
  <c r="G71" i="6"/>
  <c r="F71" i="6"/>
  <c r="E71" i="6"/>
  <c r="D71" i="6"/>
  <c r="K70" i="6"/>
  <c r="J70" i="6"/>
  <c r="I70" i="6"/>
  <c r="H70" i="6"/>
  <c r="G70" i="6"/>
  <c r="F70" i="6"/>
  <c r="E70" i="6"/>
  <c r="D70" i="6"/>
  <c r="K69" i="6"/>
  <c r="J69" i="6"/>
  <c r="I69" i="6"/>
  <c r="H69" i="6"/>
  <c r="G69" i="6"/>
  <c r="F69" i="6"/>
  <c r="E69" i="6"/>
  <c r="D69" i="6"/>
  <c r="K68" i="6"/>
  <c r="J68" i="6"/>
  <c r="I68" i="6"/>
  <c r="H68" i="6"/>
  <c r="G68" i="6"/>
  <c r="F68" i="6"/>
  <c r="E68" i="6"/>
  <c r="D68" i="6"/>
  <c r="K67" i="6"/>
  <c r="J67" i="6"/>
  <c r="I67" i="6"/>
  <c r="H67" i="6"/>
  <c r="G67" i="6"/>
  <c r="F67" i="6"/>
  <c r="E67" i="6"/>
  <c r="D67" i="6"/>
  <c r="K66" i="6"/>
  <c r="J66" i="6"/>
  <c r="I66" i="6"/>
  <c r="H66" i="6"/>
  <c r="G66" i="6"/>
  <c r="F66" i="6"/>
  <c r="E66" i="6"/>
  <c r="D66" i="6"/>
  <c r="K65" i="6"/>
  <c r="J65" i="6"/>
  <c r="I65" i="6"/>
  <c r="H65" i="6"/>
  <c r="G65" i="6"/>
  <c r="F65" i="6"/>
  <c r="E65" i="6"/>
  <c r="D65" i="6"/>
  <c r="K64" i="6"/>
  <c r="J64" i="6"/>
  <c r="I64" i="6"/>
  <c r="H64" i="6"/>
  <c r="G64" i="6"/>
  <c r="F64" i="6"/>
  <c r="E64" i="6"/>
  <c r="D64" i="6"/>
  <c r="K63" i="6"/>
  <c r="J63" i="6"/>
  <c r="I63" i="6"/>
  <c r="H63" i="6"/>
  <c r="G63" i="6"/>
  <c r="F63" i="6"/>
  <c r="E63" i="6"/>
  <c r="D63" i="6"/>
  <c r="K62" i="6"/>
  <c r="J62" i="6"/>
  <c r="I62" i="6"/>
  <c r="H62" i="6"/>
  <c r="G62" i="6"/>
  <c r="F62" i="6"/>
  <c r="E62" i="6"/>
  <c r="D62" i="6"/>
  <c r="K61" i="6"/>
  <c r="J61" i="6"/>
  <c r="I61" i="6"/>
  <c r="H61" i="6"/>
  <c r="G61" i="6"/>
  <c r="F61" i="6"/>
  <c r="E61" i="6"/>
  <c r="D61" i="6"/>
  <c r="K60" i="6"/>
  <c r="J60" i="6"/>
  <c r="I60" i="6"/>
  <c r="H60" i="6"/>
  <c r="G60" i="6"/>
  <c r="F60" i="6"/>
  <c r="E60" i="6"/>
  <c r="D60" i="6"/>
  <c r="K59" i="6"/>
  <c r="J59" i="6"/>
  <c r="I59" i="6"/>
  <c r="H59" i="6"/>
  <c r="G59" i="6"/>
  <c r="F59" i="6"/>
  <c r="E59" i="6"/>
  <c r="D59" i="6"/>
  <c r="K58" i="6"/>
  <c r="J58" i="6"/>
  <c r="I58" i="6"/>
  <c r="H58" i="6"/>
  <c r="G58" i="6"/>
  <c r="F58" i="6"/>
  <c r="E58" i="6"/>
  <c r="D58" i="6"/>
  <c r="K57" i="6"/>
  <c r="J57" i="6"/>
  <c r="I57" i="6"/>
  <c r="H57" i="6"/>
  <c r="G57" i="6"/>
  <c r="F57" i="6"/>
  <c r="E57" i="6"/>
  <c r="D57" i="6"/>
  <c r="K56" i="6"/>
  <c r="J56" i="6"/>
  <c r="I56" i="6"/>
  <c r="H56" i="6"/>
  <c r="G56" i="6"/>
  <c r="F56" i="6"/>
  <c r="E56" i="6"/>
  <c r="D56" i="6"/>
  <c r="K55" i="6"/>
  <c r="J55" i="6"/>
  <c r="I55" i="6"/>
  <c r="H55" i="6"/>
  <c r="G55" i="6"/>
  <c r="F55" i="6"/>
  <c r="E55" i="6"/>
  <c r="D55" i="6"/>
  <c r="K54" i="6"/>
  <c r="J54" i="6"/>
  <c r="I54" i="6"/>
  <c r="H54" i="6"/>
  <c r="G54" i="6"/>
  <c r="F54" i="6"/>
  <c r="E54" i="6"/>
  <c r="D54" i="6"/>
  <c r="K53" i="6"/>
  <c r="J53" i="6"/>
  <c r="I53" i="6"/>
  <c r="H53" i="6"/>
  <c r="G53" i="6"/>
  <c r="F53" i="6"/>
  <c r="E53" i="6"/>
  <c r="D53" i="6"/>
  <c r="K52" i="6"/>
  <c r="J52" i="6"/>
  <c r="I52" i="6"/>
  <c r="H52" i="6"/>
  <c r="G52" i="6"/>
  <c r="F52" i="6"/>
  <c r="E52" i="6"/>
  <c r="D52" i="6"/>
  <c r="K51" i="6"/>
  <c r="J51" i="6"/>
  <c r="I51" i="6"/>
  <c r="H51" i="6"/>
  <c r="G51" i="6"/>
  <c r="F51" i="6"/>
  <c r="E51" i="6"/>
  <c r="D51" i="6"/>
  <c r="K50" i="6"/>
  <c r="J50" i="6"/>
  <c r="I50" i="6"/>
  <c r="H50" i="6"/>
  <c r="G50" i="6"/>
  <c r="F50" i="6"/>
  <c r="E50" i="6"/>
  <c r="D50" i="6"/>
  <c r="K49" i="6"/>
  <c r="J49" i="6"/>
  <c r="I49" i="6"/>
  <c r="H49" i="6"/>
  <c r="G49" i="6"/>
  <c r="F49" i="6"/>
  <c r="E49" i="6"/>
  <c r="D49" i="6"/>
  <c r="K48" i="6"/>
  <c r="J48" i="6"/>
  <c r="I48" i="6"/>
  <c r="H48" i="6"/>
  <c r="G48" i="6"/>
  <c r="F48" i="6"/>
  <c r="E48" i="6"/>
  <c r="D48" i="6"/>
  <c r="K47" i="6"/>
  <c r="J47" i="6"/>
  <c r="I47" i="6"/>
  <c r="H47" i="6"/>
  <c r="G47" i="6"/>
  <c r="F47" i="6"/>
  <c r="E47" i="6"/>
  <c r="D47" i="6"/>
  <c r="K46" i="6"/>
  <c r="J46" i="6"/>
  <c r="I46" i="6"/>
  <c r="H46" i="6"/>
  <c r="G46" i="6"/>
  <c r="F46" i="6"/>
  <c r="E46" i="6"/>
  <c r="D46" i="6"/>
  <c r="K45" i="6"/>
  <c r="J45" i="6"/>
  <c r="I45" i="6"/>
  <c r="H45" i="6"/>
  <c r="G45" i="6"/>
  <c r="F45" i="6"/>
  <c r="E45" i="6"/>
  <c r="D45" i="6"/>
  <c r="K44" i="6"/>
  <c r="J44" i="6"/>
  <c r="I44" i="6"/>
  <c r="H44" i="6"/>
  <c r="G44" i="6"/>
  <c r="F44" i="6"/>
  <c r="E44" i="6"/>
  <c r="D44" i="6"/>
  <c r="K43" i="6"/>
  <c r="J43" i="6"/>
  <c r="I43" i="6"/>
  <c r="H43" i="6"/>
  <c r="G43" i="6"/>
  <c r="F43" i="6"/>
  <c r="E43" i="6"/>
  <c r="D43" i="6"/>
  <c r="K42" i="6"/>
  <c r="J42" i="6"/>
  <c r="I42" i="6"/>
  <c r="H42" i="6"/>
  <c r="G42" i="6"/>
  <c r="F42" i="6"/>
  <c r="E42" i="6"/>
  <c r="D42" i="6"/>
  <c r="K41" i="6"/>
  <c r="J41" i="6"/>
  <c r="I41" i="6"/>
  <c r="H41" i="6"/>
  <c r="G41" i="6"/>
  <c r="F41" i="6"/>
  <c r="E41" i="6"/>
  <c r="D41" i="6"/>
  <c r="K40" i="6"/>
  <c r="J40" i="6"/>
  <c r="I40" i="6"/>
  <c r="H40" i="6"/>
  <c r="G40" i="6"/>
  <c r="F40" i="6"/>
  <c r="E40" i="6"/>
  <c r="D40" i="6"/>
  <c r="K39" i="6"/>
  <c r="J39" i="6"/>
  <c r="I39" i="6"/>
  <c r="H39" i="6"/>
  <c r="G39" i="6"/>
  <c r="F39" i="6"/>
  <c r="E39" i="6"/>
  <c r="D39" i="6"/>
  <c r="K38" i="6"/>
  <c r="J38" i="6"/>
  <c r="I38" i="6"/>
  <c r="H38" i="6"/>
  <c r="G38" i="6"/>
  <c r="F38" i="6"/>
  <c r="E38" i="6"/>
  <c r="D38" i="6"/>
  <c r="K37" i="6"/>
  <c r="J37" i="6"/>
  <c r="I37" i="6"/>
  <c r="H37" i="6"/>
  <c r="G37" i="6"/>
  <c r="F37" i="6"/>
  <c r="E37" i="6"/>
  <c r="D37" i="6"/>
  <c r="K36" i="6"/>
  <c r="J36" i="6"/>
  <c r="I36" i="6"/>
  <c r="H36" i="6"/>
  <c r="G36" i="6"/>
  <c r="F36" i="6"/>
  <c r="E36" i="6"/>
  <c r="D36" i="6"/>
  <c r="K35" i="6"/>
  <c r="J35" i="6"/>
  <c r="I35" i="6"/>
  <c r="H35" i="6"/>
  <c r="G35" i="6"/>
  <c r="F35" i="6"/>
  <c r="E35" i="6"/>
  <c r="D35" i="6"/>
  <c r="K34" i="6"/>
  <c r="J34" i="6"/>
  <c r="I34" i="6"/>
  <c r="H34" i="6"/>
  <c r="G34" i="6"/>
  <c r="F34" i="6"/>
  <c r="E34" i="6"/>
  <c r="D34" i="6"/>
  <c r="K33" i="6"/>
  <c r="J33" i="6"/>
  <c r="I33" i="6"/>
  <c r="H33" i="6"/>
  <c r="G33" i="6"/>
  <c r="F33" i="6"/>
  <c r="E33" i="6"/>
  <c r="D33" i="6"/>
  <c r="K32" i="6"/>
  <c r="J32" i="6"/>
  <c r="I32" i="6"/>
  <c r="H32" i="6"/>
  <c r="G32" i="6"/>
  <c r="F32" i="6"/>
  <c r="E32" i="6"/>
  <c r="D32" i="6"/>
  <c r="K31" i="6"/>
  <c r="J31" i="6"/>
  <c r="I31" i="6"/>
  <c r="H31" i="6"/>
  <c r="G31" i="6"/>
  <c r="F31" i="6"/>
  <c r="E31" i="6"/>
  <c r="D31" i="6"/>
  <c r="K30" i="6"/>
  <c r="J30" i="6"/>
  <c r="I30" i="6"/>
  <c r="H30" i="6"/>
  <c r="G30" i="6"/>
  <c r="F30" i="6"/>
  <c r="E30" i="6"/>
  <c r="D30" i="6"/>
  <c r="K29" i="6"/>
  <c r="J29" i="6"/>
  <c r="I29" i="6"/>
  <c r="H29" i="6"/>
  <c r="G29" i="6"/>
  <c r="F29" i="6"/>
  <c r="E29" i="6"/>
  <c r="D29" i="6"/>
  <c r="K28" i="6"/>
  <c r="J28" i="6"/>
  <c r="I28" i="6"/>
  <c r="H28" i="6"/>
  <c r="G28" i="6"/>
  <c r="F28" i="6"/>
  <c r="E28" i="6"/>
  <c r="D28" i="6"/>
  <c r="K27" i="6"/>
  <c r="J27" i="6"/>
  <c r="I27" i="6"/>
  <c r="H27" i="6"/>
  <c r="G27" i="6"/>
  <c r="F27" i="6"/>
  <c r="E27" i="6"/>
  <c r="D27" i="6"/>
  <c r="K26" i="6"/>
  <c r="J26" i="6"/>
  <c r="I26" i="6"/>
  <c r="H26" i="6"/>
  <c r="G26" i="6"/>
  <c r="F26" i="6"/>
  <c r="E26" i="6"/>
  <c r="D26" i="6"/>
  <c r="K25" i="6"/>
  <c r="J25" i="6"/>
  <c r="I25" i="6"/>
  <c r="H25" i="6"/>
  <c r="G25" i="6"/>
  <c r="F25" i="6"/>
  <c r="E25" i="6"/>
  <c r="D25" i="6"/>
  <c r="K24" i="6"/>
  <c r="J24" i="6"/>
  <c r="I24" i="6"/>
  <c r="H24" i="6"/>
  <c r="G24" i="6"/>
  <c r="F24" i="6"/>
  <c r="E24" i="6"/>
  <c r="D24" i="6"/>
  <c r="K23" i="6"/>
  <c r="J23" i="6"/>
  <c r="I23" i="6"/>
  <c r="H23" i="6"/>
  <c r="G23" i="6"/>
  <c r="F23" i="6"/>
  <c r="E23" i="6"/>
  <c r="D23" i="6"/>
  <c r="K22" i="6"/>
  <c r="J22" i="6"/>
  <c r="I22" i="6"/>
  <c r="H22" i="6"/>
  <c r="G22" i="6"/>
  <c r="F22" i="6"/>
  <c r="E22" i="6"/>
  <c r="D22" i="6"/>
  <c r="K21" i="6"/>
  <c r="J21" i="6"/>
  <c r="I21" i="6"/>
  <c r="H21" i="6"/>
  <c r="G21" i="6"/>
  <c r="F21" i="6"/>
  <c r="E21" i="6"/>
  <c r="D21" i="6"/>
  <c r="K20" i="6"/>
  <c r="J20" i="6"/>
  <c r="I20" i="6"/>
  <c r="H20" i="6"/>
  <c r="G20" i="6"/>
  <c r="F20" i="6"/>
  <c r="E20" i="6"/>
  <c r="D20" i="6"/>
  <c r="K19" i="6"/>
  <c r="J19" i="6"/>
  <c r="I19" i="6"/>
  <c r="H19" i="6"/>
  <c r="G19" i="6"/>
  <c r="F19" i="6"/>
  <c r="E19" i="6"/>
  <c r="D19" i="6"/>
  <c r="K18" i="6"/>
  <c r="J18" i="6"/>
  <c r="I18" i="6"/>
  <c r="H18" i="6"/>
  <c r="G18" i="6"/>
  <c r="F18" i="6"/>
  <c r="E18" i="6"/>
  <c r="D18" i="6"/>
  <c r="K17" i="6"/>
  <c r="J17" i="6"/>
  <c r="I17" i="6"/>
  <c r="H17" i="6"/>
  <c r="G17" i="6"/>
  <c r="F17" i="6"/>
  <c r="E17" i="6"/>
  <c r="D17" i="6"/>
  <c r="K16" i="6"/>
  <c r="J16" i="6"/>
  <c r="I16" i="6"/>
  <c r="H16" i="6"/>
  <c r="G16" i="6"/>
  <c r="F16" i="6"/>
  <c r="E16" i="6"/>
  <c r="D16" i="6"/>
  <c r="K15" i="6"/>
  <c r="J15" i="6"/>
  <c r="I15" i="6"/>
  <c r="H15" i="6"/>
  <c r="G15" i="6"/>
  <c r="F15" i="6"/>
  <c r="E15" i="6"/>
  <c r="D15" i="6"/>
  <c r="K14" i="6"/>
  <c r="J14" i="6"/>
  <c r="I14" i="6"/>
  <c r="H14" i="6"/>
  <c r="G14" i="6"/>
  <c r="F14" i="6"/>
  <c r="E14" i="6"/>
  <c r="D14" i="6"/>
  <c r="K13" i="6"/>
  <c r="J13" i="6"/>
  <c r="I13" i="6"/>
  <c r="H13" i="6"/>
  <c r="G13" i="6"/>
  <c r="F13" i="6"/>
  <c r="E13" i="6"/>
  <c r="D13" i="6"/>
  <c r="K12" i="6"/>
  <c r="J12" i="6"/>
  <c r="I12" i="6"/>
  <c r="H12" i="6"/>
  <c r="G12" i="6"/>
  <c r="F12" i="6"/>
  <c r="E12" i="6"/>
  <c r="D12" i="6"/>
  <c r="K11" i="6"/>
  <c r="J11" i="6"/>
  <c r="I11" i="6"/>
  <c r="H11" i="6"/>
  <c r="G11" i="6"/>
  <c r="F11" i="6"/>
  <c r="E11" i="6"/>
  <c r="D11" i="6"/>
  <c r="K121" i="5"/>
  <c r="J121" i="5"/>
  <c r="I121" i="5"/>
  <c r="H121" i="5"/>
  <c r="G121" i="5"/>
  <c r="F121" i="5"/>
  <c r="E121" i="5"/>
  <c r="D121" i="5"/>
  <c r="K120" i="5"/>
  <c r="J120" i="5"/>
  <c r="I120" i="5"/>
  <c r="H120" i="5"/>
  <c r="G120" i="5"/>
  <c r="F120" i="5"/>
  <c r="E120" i="5"/>
  <c r="D120" i="5"/>
  <c r="K119" i="5"/>
  <c r="J119" i="5"/>
  <c r="I119" i="5"/>
  <c r="H119" i="5"/>
  <c r="G119" i="5"/>
  <c r="F119" i="5"/>
  <c r="E119" i="5"/>
  <c r="D119" i="5"/>
  <c r="K118" i="5"/>
  <c r="J118" i="5"/>
  <c r="I118" i="5"/>
  <c r="H118" i="5"/>
  <c r="G118" i="5"/>
  <c r="F118" i="5"/>
  <c r="E118" i="5"/>
  <c r="D118" i="5"/>
  <c r="K117" i="5"/>
  <c r="J117" i="5"/>
  <c r="I117" i="5"/>
  <c r="H117" i="5"/>
  <c r="G117" i="5"/>
  <c r="F117" i="5"/>
  <c r="E117" i="5"/>
  <c r="D117" i="5"/>
  <c r="K116" i="5"/>
  <c r="J116" i="5"/>
  <c r="I116" i="5"/>
  <c r="H116" i="5"/>
  <c r="G116" i="5"/>
  <c r="F116" i="5"/>
  <c r="E116" i="5"/>
  <c r="D116" i="5"/>
  <c r="K115" i="5"/>
  <c r="J115" i="5"/>
  <c r="I115" i="5"/>
  <c r="H115" i="5"/>
  <c r="G115" i="5"/>
  <c r="F115" i="5"/>
  <c r="E115" i="5"/>
  <c r="D115" i="5"/>
  <c r="K114" i="5"/>
  <c r="J114" i="5"/>
  <c r="I114" i="5"/>
  <c r="H114" i="5"/>
  <c r="G114" i="5"/>
  <c r="F114" i="5"/>
  <c r="E114" i="5"/>
  <c r="D114" i="5"/>
  <c r="K113" i="5"/>
  <c r="J113" i="5"/>
  <c r="I113" i="5"/>
  <c r="H113" i="5"/>
  <c r="G113" i="5"/>
  <c r="F113" i="5"/>
  <c r="E113" i="5"/>
  <c r="D113" i="5"/>
  <c r="K112" i="5"/>
  <c r="J112" i="5"/>
  <c r="I112" i="5"/>
  <c r="H112" i="5"/>
  <c r="G112" i="5"/>
  <c r="F112" i="5"/>
  <c r="E112" i="5"/>
  <c r="D112" i="5"/>
  <c r="K111" i="5"/>
  <c r="J111" i="5"/>
  <c r="I111" i="5"/>
  <c r="H111" i="5"/>
  <c r="G111" i="5"/>
  <c r="F111" i="5"/>
  <c r="E111" i="5"/>
  <c r="D111" i="5"/>
  <c r="K110" i="5"/>
  <c r="J110" i="5"/>
  <c r="I110" i="5"/>
  <c r="H110" i="5"/>
  <c r="G110" i="5"/>
  <c r="F110" i="5"/>
  <c r="E110" i="5"/>
  <c r="D110" i="5"/>
  <c r="K109" i="5"/>
  <c r="J109" i="5"/>
  <c r="I109" i="5"/>
  <c r="H109" i="5"/>
  <c r="G109" i="5"/>
  <c r="F109" i="5"/>
  <c r="E109" i="5"/>
  <c r="D109" i="5"/>
  <c r="K108" i="5"/>
  <c r="J108" i="5"/>
  <c r="I108" i="5"/>
  <c r="H108" i="5"/>
  <c r="G108" i="5"/>
  <c r="F108" i="5"/>
  <c r="E108" i="5"/>
  <c r="D108" i="5"/>
  <c r="K107" i="5"/>
  <c r="J107" i="5"/>
  <c r="I107" i="5"/>
  <c r="H107" i="5"/>
  <c r="G107" i="5"/>
  <c r="F107" i="5"/>
  <c r="E107" i="5"/>
  <c r="D107" i="5"/>
  <c r="K106" i="5"/>
  <c r="J106" i="5"/>
  <c r="I106" i="5"/>
  <c r="H106" i="5"/>
  <c r="G106" i="5"/>
  <c r="F106" i="5"/>
  <c r="E106" i="5"/>
  <c r="D106" i="5"/>
  <c r="K105" i="5"/>
  <c r="J105" i="5"/>
  <c r="I105" i="5"/>
  <c r="H105" i="5"/>
  <c r="G105" i="5"/>
  <c r="F105" i="5"/>
  <c r="E105" i="5"/>
  <c r="D105" i="5"/>
  <c r="K104" i="5"/>
  <c r="J104" i="5"/>
  <c r="I104" i="5"/>
  <c r="H104" i="5"/>
  <c r="G104" i="5"/>
  <c r="F104" i="5"/>
  <c r="E104" i="5"/>
  <c r="D104" i="5"/>
  <c r="K103" i="5"/>
  <c r="J103" i="5"/>
  <c r="I103" i="5"/>
  <c r="H103" i="5"/>
  <c r="G103" i="5"/>
  <c r="F103" i="5"/>
  <c r="E103" i="5"/>
  <c r="D103" i="5"/>
  <c r="K102" i="5"/>
  <c r="J102" i="5"/>
  <c r="I102" i="5"/>
  <c r="H102" i="5"/>
  <c r="G102" i="5"/>
  <c r="F102" i="5"/>
  <c r="E102" i="5"/>
  <c r="D102" i="5"/>
  <c r="K101" i="5"/>
  <c r="J101" i="5"/>
  <c r="I101" i="5"/>
  <c r="H101" i="5"/>
  <c r="G101" i="5"/>
  <c r="F101" i="5"/>
  <c r="E101" i="5"/>
  <c r="D101" i="5"/>
  <c r="K100" i="5"/>
  <c r="J100" i="5"/>
  <c r="I100" i="5"/>
  <c r="H100" i="5"/>
  <c r="G100" i="5"/>
  <c r="F100" i="5"/>
  <c r="E100" i="5"/>
  <c r="D100" i="5"/>
  <c r="K99" i="5"/>
  <c r="J99" i="5"/>
  <c r="I99" i="5"/>
  <c r="H99" i="5"/>
  <c r="G99" i="5"/>
  <c r="F99" i="5"/>
  <c r="E99" i="5"/>
  <c r="D99" i="5"/>
  <c r="K98" i="5"/>
  <c r="J98" i="5"/>
  <c r="I98" i="5"/>
  <c r="H98" i="5"/>
  <c r="G98" i="5"/>
  <c r="F98" i="5"/>
  <c r="E98" i="5"/>
  <c r="D98" i="5"/>
  <c r="K97" i="5"/>
  <c r="J97" i="5"/>
  <c r="I97" i="5"/>
  <c r="H97" i="5"/>
  <c r="G97" i="5"/>
  <c r="F97" i="5"/>
  <c r="E97" i="5"/>
  <c r="D97" i="5"/>
  <c r="K96" i="5"/>
  <c r="J96" i="5"/>
  <c r="I96" i="5"/>
  <c r="H96" i="5"/>
  <c r="G96" i="5"/>
  <c r="F96" i="5"/>
  <c r="E96" i="5"/>
  <c r="D96" i="5"/>
  <c r="K95" i="5"/>
  <c r="J95" i="5"/>
  <c r="I95" i="5"/>
  <c r="H95" i="5"/>
  <c r="G95" i="5"/>
  <c r="F95" i="5"/>
  <c r="E95" i="5"/>
  <c r="D95" i="5"/>
  <c r="K94" i="5"/>
  <c r="J94" i="5"/>
  <c r="I94" i="5"/>
  <c r="H94" i="5"/>
  <c r="G94" i="5"/>
  <c r="F94" i="5"/>
  <c r="E94" i="5"/>
  <c r="D94" i="5"/>
  <c r="K93" i="5"/>
  <c r="J93" i="5"/>
  <c r="I93" i="5"/>
  <c r="H93" i="5"/>
  <c r="G93" i="5"/>
  <c r="F93" i="5"/>
  <c r="E93" i="5"/>
  <c r="D93" i="5"/>
  <c r="K92" i="5"/>
  <c r="J92" i="5"/>
  <c r="I92" i="5"/>
  <c r="H92" i="5"/>
  <c r="G92" i="5"/>
  <c r="F92" i="5"/>
  <c r="E92" i="5"/>
  <c r="D92" i="5"/>
  <c r="K91" i="5"/>
  <c r="J91" i="5"/>
  <c r="I91" i="5"/>
  <c r="H91" i="5"/>
  <c r="G91" i="5"/>
  <c r="F91" i="5"/>
  <c r="E91" i="5"/>
  <c r="D91" i="5"/>
  <c r="K90" i="5"/>
  <c r="J90" i="5"/>
  <c r="I90" i="5"/>
  <c r="H90" i="5"/>
  <c r="G90" i="5"/>
  <c r="F90" i="5"/>
  <c r="E90" i="5"/>
  <c r="D90" i="5"/>
  <c r="K89" i="5"/>
  <c r="J89" i="5"/>
  <c r="I89" i="5"/>
  <c r="H89" i="5"/>
  <c r="G89" i="5"/>
  <c r="F89" i="5"/>
  <c r="E89" i="5"/>
  <c r="D89" i="5"/>
  <c r="K88" i="5"/>
  <c r="J88" i="5"/>
  <c r="I88" i="5"/>
  <c r="H88" i="5"/>
  <c r="G88" i="5"/>
  <c r="F88" i="5"/>
  <c r="E88" i="5"/>
  <c r="D88" i="5"/>
  <c r="K87" i="5"/>
  <c r="J87" i="5"/>
  <c r="I87" i="5"/>
  <c r="H87" i="5"/>
  <c r="G87" i="5"/>
  <c r="F87" i="5"/>
  <c r="E87" i="5"/>
  <c r="D87" i="5"/>
  <c r="K86" i="5"/>
  <c r="J86" i="5"/>
  <c r="I86" i="5"/>
  <c r="H86" i="5"/>
  <c r="G86" i="5"/>
  <c r="F86" i="5"/>
  <c r="E86" i="5"/>
  <c r="D86" i="5"/>
  <c r="K85" i="5"/>
  <c r="J85" i="5"/>
  <c r="I85" i="5"/>
  <c r="H85" i="5"/>
  <c r="G85" i="5"/>
  <c r="F85" i="5"/>
  <c r="E85" i="5"/>
  <c r="D85" i="5"/>
  <c r="K84" i="5"/>
  <c r="J84" i="5"/>
  <c r="I84" i="5"/>
  <c r="H84" i="5"/>
  <c r="G84" i="5"/>
  <c r="F84" i="5"/>
  <c r="E84" i="5"/>
  <c r="D84" i="5"/>
  <c r="K83" i="5"/>
  <c r="J83" i="5"/>
  <c r="I83" i="5"/>
  <c r="H83" i="5"/>
  <c r="G83" i="5"/>
  <c r="F83" i="5"/>
  <c r="E83" i="5"/>
  <c r="D83" i="5"/>
  <c r="K82" i="5"/>
  <c r="J82" i="5"/>
  <c r="I82" i="5"/>
  <c r="H82" i="5"/>
  <c r="G82" i="5"/>
  <c r="F82" i="5"/>
  <c r="E82" i="5"/>
  <c r="D82" i="5"/>
  <c r="K81" i="5"/>
  <c r="J81" i="5"/>
  <c r="I81" i="5"/>
  <c r="H81" i="5"/>
  <c r="G81" i="5"/>
  <c r="F81" i="5"/>
  <c r="E81" i="5"/>
  <c r="D81" i="5"/>
  <c r="K80" i="5"/>
  <c r="J80" i="5"/>
  <c r="I80" i="5"/>
  <c r="H80" i="5"/>
  <c r="G80" i="5"/>
  <c r="F80" i="5"/>
  <c r="E80" i="5"/>
  <c r="D80" i="5"/>
  <c r="K79" i="5"/>
  <c r="J79" i="5"/>
  <c r="I79" i="5"/>
  <c r="H79" i="5"/>
  <c r="G79" i="5"/>
  <c r="F79" i="5"/>
  <c r="E79" i="5"/>
  <c r="D79" i="5"/>
  <c r="K78" i="5"/>
  <c r="J78" i="5"/>
  <c r="I78" i="5"/>
  <c r="H78" i="5"/>
  <c r="G78" i="5"/>
  <c r="F78" i="5"/>
  <c r="E78" i="5"/>
  <c r="D78" i="5"/>
  <c r="K77" i="5"/>
  <c r="J77" i="5"/>
  <c r="I77" i="5"/>
  <c r="H77" i="5"/>
  <c r="G77" i="5"/>
  <c r="F77" i="5"/>
  <c r="E77" i="5"/>
  <c r="D77" i="5"/>
  <c r="K76" i="5"/>
  <c r="J76" i="5"/>
  <c r="I76" i="5"/>
  <c r="H76" i="5"/>
  <c r="G76" i="5"/>
  <c r="F76" i="5"/>
  <c r="E76" i="5"/>
  <c r="D76" i="5"/>
  <c r="K75" i="5"/>
  <c r="J75" i="5"/>
  <c r="I75" i="5"/>
  <c r="H75" i="5"/>
  <c r="G75" i="5"/>
  <c r="F75" i="5"/>
  <c r="E75" i="5"/>
  <c r="D75" i="5"/>
  <c r="K74" i="5"/>
  <c r="J74" i="5"/>
  <c r="I74" i="5"/>
  <c r="H74" i="5"/>
  <c r="G74" i="5"/>
  <c r="F74" i="5"/>
  <c r="E74" i="5"/>
  <c r="D74" i="5"/>
  <c r="K73" i="5"/>
  <c r="J73" i="5"/>
  <c r="I73" i="5"/>
  <c r="H73" i="5"/>
  <c r="G73" i="5"/>
  <c r="F73" i="5"/>
  <c r="E73" i="5"/>
  <c r="D73" i="5"/>
  <c r="K72" i="5"/>
  <c r="J72" i="5"/>
  <c r="I72" i="5"/>
  <c r="H72" i="5"/>
  <c r="G72" i="5"/>
  <c r="F72" i="5"/>
  <c r="E72" i="5"/>
  <c r="D72" i="5"/>
  <c r="K71" i="5"/>
  <c r="J71" i="5"/>
  <c r="I71" i="5"/>
  <c r="H71" i="5"/>
  <c r="G71" i="5"/>
  <c r="F71" i="5"/>
  <c r="E71" i="5"/>
  <c r="D71" i="5"/>
  <c r="K70" i="5"/>
  <c r="J70" i="5"/>
  <c r="I70" i="5"/>
  <c r="H70" i="5"/>
  <c r="G70" i="5"/>
  <c r="F70" i="5"/>
  <c r="E70" i="5"/>
  <c r="D70" i="5"/>
  <c r="K69" i="5"/>
  <c r="J69" i="5"/>
  <c r="I69" i="5"/>
  <c r="H69" i="5"/>
  <c r="G69" i="5"/>
  <c r="F69" i="5"/>
  <c r="E69" i="5"/>
  <c r="D69" i="5"/>
  <c r="K68" i="5"/>
  <c r="J68" i="5"/>
  <c r="I68" i="5"/>
  <c r="H68" i="5"/>
  <c r="G68" i="5"/>
  <c r="F68" i="5"/>
  <c r="E68" i="5"/>
  <c r="D68" i="5"/>
  <c r="K67" i="5"/>
  <c r="J67" i="5"/>
  <c r="I67" i="5"/>
  <c r="H67" i="5"/>
  <c r="G67" i="5"/>
  <c r="F67" i="5"/>
  <c r="E67" i="5"/>
  <c r="D67" i="5"/>
  <c r="K66" i="5"/>
  <c r="J66" i="5"/>
  <c r="I66" i="5"/>
  <c r="H66" i="5"/>
  <c r="G66" i="5"/>
  <c r="F66" i="5"/>
  <c r="E66" i="5"/>
  <c r="D66" i="5"/>
  <c r="K65" i="5"/>
  <c r="J65" i="5"/>
  <c r="I65" i="5"/>
  <c r="H65" i="5"/>
  <c r="G65" i="5"/>
  <c r="F65" i="5"/>
  <c r="E65" i="5"/>
  <c r="D65" i="5"/>
  <c r="K64" i="5"/>
  <c r="J64" i="5"/>
  <c r="I64" i="5"/>
  <c r="H64" i="5"/>
  <c r="G64" i="5"/>
  <c r="F64" i="5"/>
  <c r="E64" i="5"/>
  <c r="D64" i="5"/>
  <c r="K63" i="5"/>
  <c r="J63" i="5"/>
  <c r="I63" i="5"/>
  <c r="H63" i="5"/>
  <c r="G63" i="5"/>
  <c r="F63" i="5"/>
  <c r="E63" i="5"/>
  <c r="D63" i="5"/>
  <c r="K62" i="5"/>
  <c r="J62" i="5"/>
  <c r="I62" i="5"/>
  <c r="H62" i="5"/>
  <c r="G62" i="5"/>
  <c r="F62" i="5"/>
  <c r="E62" i="5"/>
  <c r="D62" i="5"/>
  <c r="K61" i="5"/>
  <c r="J61" i="5"/>
  <c r="I61" i="5"/>
  <c r="H61" i="5"/>
  <c r="G61" i="5"/>
  <c r="F61" i="5"/>
  <c r="E61" i="5"/>
  <c r="D61" i="5"/>
  <c r="K60" i="5"/>
  <c r="J60" i="5"/>
  <c r="I60" i="5"/>
  <c r="H60" i="5"/>
  <c r="G60" i="5"/>
  <c r="F60" i="5"/>
  <c r="E60" i="5"/>
  <c r="D60" i="5"/>
  <c r="K59" i="5"/>
  <c r="J59" i="5"/>
  <c r="I59" i="5"/>
  <c r="H59" i="5"/>
  <c r="G59" i="5"/>
  <c r="F59" i="5"/>
  <c r="E59" i="5"/>
  <c r="D59" i="5"/>
  <c r="K58" i="5"/>
  <c r="J58" i="5"/>
  <c r="I58" i="5"/>
  <c r="H58" i="5"/>
  <c r="G58" i="5"/>
  <c r="F58" i="5"/>
  <c r="E58" i="5"/>
  <c r="D58" i="5"/>
  <c r="K57" i="5"/>
  <c r="J57" i="5"/>
  <c r="I57" i="5"/>
  <c r="H57" i="5"/>
  <c r="G57" i="5"/>
  <c r="F57" i="5"/>
  <c r="E57" i="5"/>
  <c r="D57" i="5"/>
  <c r="K56" i="5"/>
  <c r="J56" i="5"/>
  <c r="I56" i="5"/>
  <c r="H56" i="5"/>
  <c r="G56" i="5"/>
  <c r="F56" i="5"/>
  <c r="E56" i="5"/>
  <c r="D56" i="5"/>
  <c r="K55" i="5"/>
  <c r="J55" i="5"/>
  <c r="I55" i="5"/>
  <c r="H55" i="5"/>
  <c r="G55" i="5"/>
  <c r="F55" i="5"/>
  <c r="E55" i="5"/>
  <c r="D55" i="5"/>
  <c r="K54" i="5"/>
  <c r="J54" i="5"/>
  <c r="I54" i="5"/>
  <c r="H54" i="5"/>
  <c r="G54" i="5"/>
  <c r="F54" i="5"/>
  <c r="E54" i="5"/>
  <c r="D54" i="5"/>
  <c r="K53" i="5"/>
  <c r="J53" i="5"/>
  <c r="I53" i="5"/>
  <c r="H53" i="5"/>
  <c r="G53" i="5"/>
  <c r="F53" i="5"/>
  <c r="E53" i="5"/>
  <c r="D53" i="5"/>
  <c r="K52" i="5"/>
  <c r="J52" i="5"/>
  <c r="I52" i="5"/>
  <c r="H52" i="5"/>
  <c r="G52" i="5"/>
  <c r="F52" i="5"/>
  <c r="E52" i="5"/>
  <c r="D52" i="5"/>
  <c r="K51" i="5"/>
  <c r="J51" i="5"/>
  <c r="I51" i="5"/>
  <c r="H51" i="5"/>
  <c r="G51" i="5"/>
  <c r="F51" i="5"/>
  <c r="E51" i="5"/>
  <c r="D51" i="5"/>
  <c r="K50" i="5"/>
  <c r="J50" i="5"/>
  <c r="I50" i="5"/>
  <c r="H50" i="5"/>
  <c r="G50" i="5"/>
  <c r="F50" i="5"/>
  <c r="E50" i="5"/>
  <c r="D50" i="5"/>
  <c r="K49" i="5"/>
  <c r="J49" i="5"/>
  <c r="I49" i="5"/>
  <c r="H49" i="5"/>
  <c r="G49" i="5"/>
  <c r="F49" i="5"/>
  <c r="E49" i="5"/>
  <c r="D49" i="5"/>
  <c r="K48" i="5"/>
  <c r="J48" i="5"/>
  <c r="I48" i="5"/>
  <c r="H48" i="5"/>
  <c r="G48" i="5"/>
  <c r="F48" i="5"/>
  <c r="E48" i="5"/>
  <c r="D48" i="5"/>
  <c r="K47" i="5"/>
  <c r="J47" i="5"/>
  <c r="I47" i="5"/>
  <c r="H47" i="5"/>
  <c r="G47" i="5"/>
  <c r="F47" i="5"/>
  <c r="E47" i="5"/>
  <c r="D47" i="5"/>
  <c r="K46" i="5"/>
  <c r="J46" i="5"/>
  <c r="I46" i="5"/>
  <c r="H46" i="5"/>
  <c r="G46" i="5"/>
  <c r="F46" i="5"/>
  <c r="E46" i="5"/>
  <c r="D46" i="5"/>
  <c r="K45" i="5"/>
  <c r="J45" i="5"/>
  <c r="I45" i="5"/>
  <c r="H45" i="5"/>
  <c r="G45" i="5"/>
  <c r="F45" i="5"/>
  <c r="E45" i="5"/>
  <c r="D45" i="5"/>
  <c r="K44" i="5"/>
  <c r="J44" i="5"/>
  <c r="I44" i="5"/>
  <c r="H44" i="5"/>
  <c r="G44" i="5"/>
  <c r="F44" i="5"/>
  <c r="E44" i="5"/>
  <c r="D44" i="5"/>
  <c r="K43" i="5"/>
  <c r="J43" i="5"/>
  <c r="I43" i="5"/>
  <c r="H43" i="5"/>
  <c r="G43" i="5"/>
  <c r="F43" i="5"/>
  <c r="E43" i="5"/>
  <c r="D43" i="5"/>
  <c r="K42" i="5"/>
  <c r="J42" i="5"/>
  <c r="I42" i="5"/>
  <c r="H42" i="5"/>
  <c r="G42" i="5"/>
  <c r="F42" i="5"/>
  <c r="E42" i="5"/>
  <c r="D42" i="5"/>
  <c r="K41" i="5"/>
  <c r="J41" i="5"/>
  <c r="I41" i="5"/>
  <c r="H41" i="5"/>
  <c r="G41" i="5"/>
  <c r="F41" i="5"/>
  <c r="E41" i="5"/>
  <c r="D41" i="5"/>
  <c r="K40" i="5"/>
  <c r="J40" i="5"/>
  <c r="I40" i="5"/>
  <c r="H40" i="5"/>
  <c r="G40" i="5"/>
  <c r="F40" i="5"/>
  <c r="E40" i="5"/>
  <c r="D40" i="5"/>
  <c r="K39" i="5"/>
  <c r="J39" i="5"/>
  <c r="I39" i="5"/>
  <c r="H39" i="5"/>
  <c r="G39" i="5"/>
  <c r="F39" i="5"/>
  <c r="E39" i="5"/>
  <c r="D39" i="5"/>
  <c r="K38" i="5"/>
  <c r="J38" i="5"/>
  <c r="I38" i="5"/>
  <c r="H38" i="5"/>
  <c r="G38" i="5"/>
  <c r="F38" i="5"/>
  <c r="E38" i="5"/>
  <c r="D38" i="5"/>
  <c r="K37" i="5"/>
  <c r="J37" i="5"/>
  <c r="I37" i="5"/>
  <c r="H37" i="5"/>
  <c r="G37" i="5"/>
  <c r="F37" i="5"/>
  <c r="E37" i="5"/>
  <c r="D37" i="5"/>
  <c r="K36" i="5"/>
  <c r="J36" i="5"/>
  <c r="I36" i="5"/>
  <c r="H36" i="5"/>
  <c r="G36" i="5"/>
  <c r="F36" i="5"/>
  <c r="E36" i="5"/>
  <c r="D36" i="5"/>
  <c r="K35" i="5"/>
  <c r="J35" i="5"/>
  <c r="I35" i="5"/>
  <c r="H35" i="5"/>
  <c r="G35" i="5"/>
  <c r="F35" i="5"/>
  <c r="E35" i="5"/>
  <c r="D35" i="5"/>
  <c r="K34" i="5"/>
  <c r="J34" i="5"/>
  <c r="I34" i="5"/>
  <c r="H34" i="5"/>
  <c r="G34" i="5"/>
  <c r="F34" i="5"/>
  <c r="E34" i="5"/>
  <c r="D34" i="5"/>
  <c r="K33" i="5"/>
  <c r="J33" i="5"/>
  <c r="I33" i="5"/>
  <c r="H33" i="5"/>
  <c r="G33" i="5"/>
  <c r="F33" i="5"/>
  <c r="E33" i="5"/>
  <c r="D33" i="5"/>
  <c r="K32" i="5"/>
  <c r="J32" i="5"/>
  <c r="I32" i="5"/>
  <c r="H32" i="5"/>
  <c r="G32" i="5"/>
  <c r="F32" i="5"/>
  <c r="E32" i="5"/>
  <c r="D32" i="5"/>
  <c r="K31" i="5"/>
  <c r="J31" i="5"/>
  <c r="I31" i="5"/>
  <c r="H31" i="5"/>
  <c r="G31" i="5"/>
  <c r="F31" i="5"/>
  <c r="E31" i="5"/>
  <c r="D31" i="5"/>
  <c r="K30" i="5"/>
  <c r="J30" i="5"/>
  <c r="I30" i="5"/>
  <c r="H30" i="5"/>
  <c r="G30" i="5"/>
  <c r="F30" i="5"/>
  <c r="E30" i="5"/>
  <c r="D30" i="5"/>
  <c r="K29" i="5"/>
  <c r="J29" i="5"/>
  <c r="I29" i="5"/>
  <c r="H29" i="5"/>
  <c r="G29" i="5"/>
  <c r="F29" i="5"/>
  <c r="E29" i="5"/>
  <c r="D29" i="5"/>
  <c r="K28" i="5"/>
  <c r="J28" i="5"/>
  <c r="I28" i="5"/>
  <c r="H28" i="5"/>
  <c r="G28" i="5"/>
  <c r="F28" i="5"/>
  <c r="E28" i="5"/>
  <c r="D28" i="5"/>
  <c r="K27" i="5"/>
  <c r="J27" i="5"/>
  <c r="I27" i="5"/>
  <c r="H27" i="5"/>
  <c r="G27" i="5"/>
  <c r="F27" i="5"/>
  <c r="E27" i="5"/>
  <c r="D27" i="5"/>
  <c r="K26" i="5"/>
  <c r="J26" i="5"/>
  <c r="I26" i="5"/>
  <c r="H26" i="5"/>
  <c r="G26" i="5"/>
  <c r="F26" i="5"/>
  <c r="E26" i="5"/>
  <c r="D26" i="5"/>
  <c r="K25" i="5"/>
  <c r="J25" i="5"/>
  <c r="I25" i="5"/>
  <c r="H25" i="5"/>
  <c r="G25" i="5"/>
  <c r="F25" i="5"/>
  <c r="E25" i="5"/>
  <c r="D25" i="5"/>
  <c r="K24" i="5"/>
  <c r="J24" i="5"/>
  <c r="I24" i="5"/>
  <c r="H24" i="5"/>
  <c r="G24" i="5"/>
  <c r="F24" i="5"/>
  <c r="E24" i="5"/>
  <c r="D24" i="5"/>
  <c r="K23" i="5"/>
  <c r="J23" i="5"/>
  <c r="I23" i="5"/>
  <c r="H23" i="5"/>
  <c r="G23" i="5"/>
  <c r="F23" i="5"/>
  <c r="E23" i="5"/>
  <c r="D23" i="5"/>
  <c r="K22" i="5"/>
  <c r="J22" i="5"/>
  <c r="I22" i="5"/>
  <c r="H22" i="5"/>
  <c r="G22" i="5"/>
  <c r="F22" i="5"/>
  <c r="E22" i="5"/>
  <c r="D22" i="5"/>
  <c r="K21" i="5"/>
  <c r="J21" i="5"/>
  <c r="I21" i="5"/>
  <c r="H21" i="5"/>
  <c r="G21" i="5"/>
  <c r="F21" i="5"/>
  <c r="E21" i="5"/>
  <c r="D21" i="5"/>
  <c r="K20" i="5"/>
  <c r="J20" i="5"/>
  <c r="I20" i="5"/>
  <c r="H20" i="5"/>
  <c r="G20" i="5"/>
  <c r="F20" i="5"/>
  <c r="E20" i="5"/>
  <c r="D20" i="5"/>
  <c r="K19" i="5"/>
  <c r="J19" i="5"/>
  <c r="I19" i="5"/>
  <c r="H19" i="5"/>
  <c r="G19" i="5"/>
  <c r="F19" i="5"/>
  <c r="E19" i="5"/>
  <c r="D19" i="5"/>
  <c r="K18" i="5"/>
  <c r="J18" i="5"/>
  <c r="I18" i="5"/>
  <c r="H18" i="5"/>
  <c r="G18" i="5"/>
  <c r="F18" i="5"/>
  <c r="E18" i="5"/>
  <c r="D18" i="5"/>
  <c r="K17" i="5"/>
  <c r="J17" i="5"/>
  <c r="I17" i="5"/>
  <c r="H17" i="5"/>
  <c r="G17" i="5"/>
  <c r="F17" i="5"/>
  <c r="E17" i="5"/>
  <c r="D17" i="5"/>
  <c r="K16" i="5"/>
  <c r="J16" i="5"/>
  <c r="I16" i="5"/>
  <c r="H16" i="5"/>
  <c r="G16" i="5"/>
  <c r="F16" i="5"/>
  <c r="E16" i="5"/>
  <c r="D16" i="5"/>
  <c r="K15" i="5"/>
  <c r="J15" i="5"/>
  <c r="I15" i="5"/>
  <c r="H15" i="5"/>
  <c r="G15" i="5"/>
  <c r="F15" i="5"/>
  <c r="E15" i="5"/>
  <c r="D15" i="5"/>
  <c r="K14" i="5"/>
  <c r="J14" i="5"/>
  <c r="I14" i="5"/>
  <c r="H14" i="5"/>
  <c r="G14" i="5"/>
  <c r="F14" i="5"/>
  <c r="E14" i="5"/>
  <c r="D14" i="5"/>
  <c r="K13" i="5"/>
  <c r="J13" i="5"/>
  <c r="I13" i="5"/>
  <c r="H13" i="5"/>
  <c r="G13" i="5"/>
  <c r="F13" i="5"/>
  <c r="E13" i="5"/>
  <c r="D13" i="5"/>
  <c r="K12" i="5"/>
  <c r="J12" i="5"/>
  <c r="I12" i="5"/>
  <c r="H12" i="5"/>
  <c r="G12" i="5"/>
  <c r="F12" i="5"/>
  <c r="E12" i="5"/>
  <c r="D12" i="5"/>
  <c r="K11" i="5"/>
  <c r="J11" i="5"/>
  <c r="I11" i="5"/>
  <c r="H11" i="5"/>
  <c r="G11" i="5"/>
  <c r="F11" i="5"/>
  <c r="E11" i="5"/>
  <c r="D11" i="5"/>
  <c r="I31" i="9"/>
  <c r="G14" i="2"/>
  <c r="J30" i="9" s="1"/>
  <c r="H14" i="2"/>
  <c r="K30" i="9" s="1"/>
  <c r="I14" i="2"/>
  <c r="L30" i="9" s="1"/>
  <c r="J14" i="2"/>
  <c r="M30" i="9" s="1"/>
  <c r="F14" i="2"/>
  <c r="I30" i="9" s="1"/>
  <c r="G7" i="2"/>
  <c r="J29" i="9" s="1"/>
  <c r="H7" i="2"/>
  <c r="K29" i="9" s="1"/>
  <c r="I7" i="2"/>
  <c r="L29" i="9" s="1"/>
  <c r="J7" i="2"/>
  <c r="M29" i="9" s="1"/>
  <c r="F7" i="2"/>
  <c r="I29" i="9" s="1"/>
  <c r="G21" i="4"/>
  <c r="H21" i="4"/>
  <c r="I21" i="4"/>
  <c r="J21" i="4"/>
  <c r="F21" i="4"/>
  <c r="G14" i="4"/>
  <c r="H14" i="4"/>
  <c r="I14" i="4"/>
  <c r="J14" i="4"/>
  <c r="G7" i="4"/>
  <c r="H7" i="4"/>
  <c r="I7" i="4"/>
  <c r="J7" i="4"/>
  <c r="F14" i="4"/>
  <c r="J43" i="2"/>
  <c r="M36" i="9" s="1"/>
  <c r="I43" i="2"/>
  <c r="L36" i="9" s="1"/>
  <c r="H43" i="2"/>
  <c r="K36" i="9" s="1"/>
  <c r="G43" i="2"/>
  <c r="J36" i="9" s="1"/>
  <c r="F43" i="2"/>
  <c r="I36" i="9" s="1"/>
  <c r="J29" i="2"/>
  <c r="M34" i="9" s="1"/>
  <c r="I29" i="2"/>
  <c r="L34" i="9" s="1"/>
  <c r="H29" i="2"/>
  <c r="K34" i="9" s="1"/>
  <c r="G29" i="2"/>
  <c r="J34" i="9" s="1"/>
  <c r="F29" i="2"/>
  <c r="I34" i="9" s="1"/>
  <c r="J21" i="2"/>
  <c r="M31" i="9" s="1"/>
  <c r="I21" i="2"/>
  <c r="L31" i="9" s="1"/>
  <c r="H21" i="2"/>
  <c r="K31" i="9" s="1"/>
  <c r="G21" i="2"/>
  <c r="J31" i="9" s="1"/>
  <c r="F7" i="4"/>
  <c r="M54" i="1" l="1"/>
  <c r="S9" i="11"/>
  <c r="K54" i="1"/>
  <c r="Q9" i="11"/>
  <c r="K53" i="1"/>
  <c r="K9" i="1" s="1"/>
  <c r="Q8" i="11"/>
  <c r="O53" i="1"/>
  <c r="U8" i="11"/>
  <c r="N53" i="1"/>
  <c r="T8" i="11"/>
  <c r="M53" i="1"/>
  <c r="S8" i="11"/>
  <c r="L53" i="1"/>
  <c r="R8" i="11"/>
  <c r="N54" i="1"/>
  <c r="T9" i="11"/>
  <c r="L54" i="1"/>
  <c r="R9" i="11"/>
  <c r="O54" i="1"/>
  <c r="U9" i="11"/>
  <c r="O55" i="1"/>
  <c r="U12" i="11"/>
  <c r="N55" i="1"/>
  <c r="T12" i="11"/>
  <c r="M55" i="1"/>
  <c r="S12" i="11"/>
  <c r="L55" i="1"/>
  <c r="R12" i="11"/>
  <c r="K55" i="1"/>
  <c r="Q12" i="11"/>
  <c r="K22" i="8"/>
  <c r="K12" i="8"/>
  <c r="L10" i="8"/>
  <c r="K11" i="8"/>
  <c r="L11" i="8"/>
  <c r="L9" i="8"/>
  <c r="L12" i="8"/>
  <c r="L13" i="8"/>
  <c r="J15" i="8"/>
  <c r="G28" i="8"/>
  <c r="G27" i="8" s="1"/>
  <c r="J16" i="8"/>
  <c r="J8" i="11" l="1"/>
  <c r="J36" i="11" s="1"/>
  <c r="J59" i="11" s="1"/>
  <c r="K11" i="1"/>
  <c r="K20" i="1"/>
  <c r="L9" i="1"/>
  <c r="I7" i="9"/>
  <c r="I18" i="9" s="1"/>
  <c r="K14" i="1"/>
  <c r="K19" i="1" s="1"/>
  <c r="K10" i="1"/>
  <c r="L16" i="8"/>
  <c r="L15" i="8"/>
  <c r="I22" i="8" s="1"/>
  <c r="J31" i="11" l="1"/>
  <c r="J62" i="11"/>
  <c r="J64" i="11" s="1"/>
  <c r="J27" i="11"/>
  <c r="K8" i="11"/>
  <c r="K34" i="11" s="1"/>
  <c r="J26" i="11"/>
  <c r="J9" i="11"/>
  <c r="J10" i="11" s="1"/>
  <c r="J12" i="11"/>
  <c r="J57" i="11" s="1"/>
  <c r="J35" i="11"/>
  <c r="J25" i="11"/>
  <c r="J81" i="11" s="1"/>
  <c r="J82" i="11" s="1"/>
  <c r="J34" i="11"/>
  <c r="J24" i="11"/>
  <c r="J89" i="11"/>
  <c r="J92" i="11"/>
  <c r="K12" i="1"/>
  <c r="K15" i="1" s="1"/>
  <c r="K17" i="1" s="1"/>
  <c r="I8" i="9"/>
  <c r="I12" i="9" s="1"/>
  <c r="L20" i="1"/>
  <c r="L10" i="1"/>
  <c r="M9" i="1"/>
  <c r="L11" i="1"/>
  <c r="L12" i="1" s="1"/>
  <c r="I19" i="9"/>
  <c r="J7" i="9"/>
  <c r="J11" i="9" s="1"/>
  <c r="L14" i="1"/>
  <c r="L19" i="1" s="1"/>
  <c r="I13" i="9"/>
  <c r="I11" i="9"/>
  <c r="L22" i="8"/>
  <c r="K26" i="11" l="1"/>
  <c r="K25" i="11"/>
  <c r="K81" i="11" s="1"/>
  <c r="K82" i="11" s="1"/>
  <c r="J91" i="11"/>
  <c r="J13" i="11"/>
  <c r="J86" i="11"/>
  <c r="J87" i="11" s="1"/>
  <c r="J58" i="11"/>
  <c r="J83" i="11"/>
  <c r="J84" i="11" s="1"/>
  <c r="J29" i="11"/>
  <c r="J32" i="11" s="1"/>
  <c r="K31" i="11"/>
  <c r="K62" i="11"/>
  <c r="K64" i="11" s="1"/>
  <c r="L8" i="11"/>
  <c r="L89" i="11" s="1"/>
  <c r="K35" i="11"/>
  <c r="K12" i="11"/>
  <c r="K57" i="11" s="1"/>
  <c r="K36" i="11"/>
  <c r="K59" i="11" s="1"/>
  <c r="K92" i="11"/>
  <c r="K24" i="11"/>
  <c r="K74" i="11" s="1"/>
  <c r="L73" i="11" s="1"/>
  <c r="K89" i="11"/>
  <c r="K27" i="11"/>
  <c r="K9" i="11"/>
  <c r="K10" i="11" s="1"/>
  <c r="K91" i="11" s="1"/>
  <c r="J74" i="11"/>
  <c r="K73" i="11" s="1"/>
  <c r="J38" i="11"/>
  <c r="J42" i="11" s="1"/>
  <c r="J98" i="11" s="1"/>
  <c r="I17" i="9"/>
  <c r="I20" i="9" s="1"/>
  <c r="N9" i="1"/>
  <c r="M20" i="1"/>
  <c r="J8" i="9"/>
  <c r="J12" i="9" s="1"/>
  <c r="M10" i="1"/>
  <c r="M11" i="1"/>
  <c r="K8" i="9" s="1"/>
  <c r="K12" i="9" s="1"/>
  <c r="J18" i="9"/>
  <c r="J13" i="9"/>
  <c r="K13" i="1"/>
  <c r="K7" i="9"/>
  <c r="K11" i="9" s="1"/>
  <c r="J19" i="9"/>
  <c r="M14" i="1"/>
  <c r="M19" i="1" s="1"/>
  <c r="I14" i="9"/>
  <c r="L15" i="1"/>
  <c r="L17" i="1" s="1"/>
  <c r="D21" i="8"/>
  <c r="J35" i="8"/>
  <c r="L13" i="1"/>
  <c r="K18" i="1"/>
  <c r="K16" i="1"/>
  <c r="K35" i="8" l="1"/>
  <c r="L35" i="8" s="1"/>
  <c r="I35" i="8"/>
  <c r="H35" i="8" s="1"/>
  <c r="L92" i="11"/>
  <c r="L9" i="11"/>
  <c r="L10" i="11" s="1"/>
  <c r="L91" i="11" s="1"/>
  <c r="L26" i="11"/>
  <c r="K58" i="11"/>
  <c r="L31" i="11"/>
  <c r="L62" i="11"/>
  <c r="L64" i="11" s="1"/>
  <c r="L35" i="11"/>
  <c r="K38" i="11"/>
  <c r="K42" i="11" s="1"/>
  <c r="K98" i="11" s="1"/>
  <c r="L36" i="11"/>
  <c r="L59" i="11" s="1"/>
  <c r="K86" i="11"/>
  <c r="K87" i="11" s="1"/>
  <c r="L12" i="11"/>
  <c r="L57" i="11" s="1"/>
  <c r="K83" i="11"/>
  <c r="K84" i="11" s="1"/>
  <c r="J106" i="11"/>
  <c r="L24" i="11"/>
  <c r="L74" i="11" s="1"/>
  <c r="M73" i="11" s="1"/>
  <c r="L25" i="11"/>
  <c r="L81" i="11" s="1"/>
  <c r="L82" i="11" s="1"/>
  <c r="L34" i="11"/>
  <c r="K29" i="11"/>
  <c r="K32" i="11" s="1"/>
  <c r="J79" i="11"/>
  <c r="J80" i="11"/>
  <c r="L27" i="11"/>
  <c r="M8" i="11"/>
  <c r="M92" i="11" s="1"/>
  <c r="J88" i="11"/>
  <c r="J97" i="11"/>
  <c r="J103" i="11"/>
  <c r="J102" i="11"/>
  <c r="K13" i="11"/>
  <c r="M12" i="1"/>
  <c r="M15" i="1" s="1"/>
  <c r="M17" i="1" s="1"/>
  <c r="N20" i="1"/>
  <c r="L7" i="9"/>
  <c r="L11" i="9" s="1"/>
  <c r="N14" i="1"/>
  <c r="N19" i="1" s="1"/>
  <c r="N10" i="1"/>
  <c r="N11" i="1"/>
  <c r="O9" i="1"/>
  <c r="O10" i="1" s="1"/>
  <c r="J17" i="9"/>
  <c r="J20" i="9" s="1"/>
  <c r="I22" i="9"/>
  <c r="I25" i="9" s="1"/>
  <c r="K21" i="1" s="1"/>
  <c r="K23" i="1" s="1"/>
  <c r="J14" i="9"/>
  <c r="K19" i="9"/>
  <c r="K18" i="9"/>
  <c r="K13" i="9"/>
  <c r="K14" i="9" s="1"/>
  <c r="D23" i="8"/>
  <c r="D26" i="8" s="1"/>
  <c r="G35" i="8" s="1"/>
  <c r="K17" i="9"/>
  <c r="L16" i="1"/>
  <c r="L18" i="1"/>
  <c r="L86" i="11" l="1"/>
  <c r="L87" i="11" s="1"/>
  <c r="L83" i="11"/>
  <c r="L84" i="11" s="1"/>
  <c r="L106" i="11" s="1"/>
  <c r="K106" i="11"/>
  <c r="L38" i="11"/>
  <c r="L42" i="11" s="1"/>
  <c r="L98" i="11" s="1"/>
  <c r="M31" i="11"/>
  <c r="K79" i="11"/>
  <c r="K80" i="11"/>
  <c r="L58" i="11"/>
  <c r="M62" i="11"/>
  <c r="M64" i="11" s="1"/>
  <c r="M12" i="11"/>
  <c r="M57" i="11" s="1"/>
  <c r="M9" i="11"/>
  <c r="M10" i="11" s="1"/>
  <c r="M91" i="11" s="1"/>
  <c r="N8" i="11"/>
  <c r="N92" i="11" s="1"/>
  <c r="L29" i="11"/>
  <c r="M25" i="11"/>
  <c r="M81" i="11" s="1"/>
  <c r="M82" i="11" s="1"/>
  <c r="M35" i="11"/>
  <c r="M24" i="11"/>
  <c r="M34" i="11"/>
  <c r="M26" i="11"/>
  <c r="M36" i="11"/>
  <c r="M59" i="11" s="1"/>
  <c r="M89" i="11"/>
  <c r="M27" i="11"/>
  <c r="K88" i="11"/>
  <c r="K97" i="11"/>
  <c r="K103" i="11"/>
  <c r="K102" i="11"/>
  <c r="L13" i="11"/>
  <c r="O11" i="1"/>
  <c r="O12" i="1" s="1"/>
  <c r="D42" i="1" s="1"/>
  <c r="L8" i="9"/>
  <c r="L17" i="9" s="1"/>
  <c r="N12" i="1"/>
  <c r="N13" i="1" s="1"/>
  <c r="L13" i="9"/>
  <c r="L18" i="9"/>
  <c r="L19" i="9"/>
  <c r="O20" i="1"/>
  <c r="M7" i="9"/>
  <c r="M13" i="9" s="1"/>
  <c r="O14" i="1"/>
  <c r="O19" i="1" s="1"/>
  <c r="P9" i="1"/>
  <c r="M13" i="1"/>
  <c r="J22" i="9"/>
  <c r="J25" i="9" s="1"/>
  <c r="L21" i="1" s="1"/>
  <c r="L23" i="1" s="1"/>
  <c r="I23" i="9"/>
  <c r="K58" i="1" s="1"/>
  <c r="K20" i="9"/>
  <c r="K22" i="9" s="1"/>
  <c r="K23" i="9" s="1"/>
  <c r="M58" i="1" s="1"/>
  <c r="G26" i="8"/>
  <c r="C24" i="1"/>
  <c r="I70" i="1" s="1"/>
  <c r="I69" i="1" s="1"/>
  <c r="I68" i="1" s="1"/>
  <c r="M18" i="1"/>
  <c r="M16" i="1"/>
  <c r="N24" i="11" l="1"/>
  <c r="N74" i="11" s="1"/>
  <c r="N27" i="11"/>
  <c r="N26" i="11"/>
  <c r="N36" i="11"/>
  <c r="N59" i="11" s="1"/>
  <c r="N35" i="11"/>
  <c r="L80" i="11"/>
  <c r="N9" i="11"/>
  <c r="N10" i="11" s="1"/>
  <c r="N91" i="11" s="1"/>
  <c r="M83" i="11"/>
  <c r="M84" i="11" s="1"/>
  <c r="N12" i="11"/>
  <c r="N57" i="11" s="1"/>
  <c r="N34" i="11"/>
  <c r="N25" i="11"/>
  <c r="N81" i="11" s="1"/>
  <c r="N82" i="11" s="1"/>
  <c r="M86" i="11"/>
  <c r="M87" i="11" s="1"/>
  <c r="M38" i="11"/>
  <c r="M42" i="11" s="1"/>
  <c r="M98" i="11" s="1"/>
  <c r="L79" i="11"/>
  <c r="L32" i="11"/>
  <c r="L103" i="11" s="1"/>
  <c r="N31" i="11"/>
  <c r="N89" i="11"/>
  <c r="N62" i="11"/>
  <c r="N64" i="11" s="1"/>
  <c r="M29" i="11"/>
  <c r="M74" i="11"/>
  <c r="N73" i="11" s="1"/>
  <c r="M58" i="11"/>
  <c r="M13" i="11"/>
  <c r="M8" i="9"/>
  <c r="M17" i="9" s="1"/>
  <c r="L12" i="9"/>
  <c r="L14" i="9" s="1"/>
  <c r="N15" i="1"/>
  <c r="N17" i="1" s="1"/>
  <c r="L20" i="9"/>
  <c r="M18" i="9"/>
  <c r="M11" i="9"/>
  <c r="M19" i="9"/>
  <c r="J23" i="9"/>
  <c r="L58" i="1" s="1"/>
  <c r="K26" i="1"/>
  <c r="L26" i="1"/>
  <c r="N26" i="1"/>
  <c r="M26" i="1"/>
  <c r="O40" i="1"/>
  <c r="I71" i="1"/>
  <c r="I72" i="1" s="1"/>
  <c r="D45" i="1"/>
  <c r="O26" i="1"/>
  <c r="K25" i="9"/>
  <c r="M21" i="1" s="1"/>
  <c r="M23" i="1" s="1"/>
  <c r="O15" i="1"/>
  <c r="P12" i="1"/>
  <c r="O13" i="1"/>
  <c r="L97" i="11" l="1"/>
  <c r="M106" i="11"/>
  <c r="L88" i="11"/>
  <c r="L102" i="11"/>
  <c r="N86" i="11"/>
  <c r="N87" i="11" s="1"/>
  <c r="M80" i="11"/>
  <c r="N83" i="11"/>
  <c r="N84" i="11" s="1"/>
  <c r="N38" i="11"/>
  <c r="N42" i="11" s="1"/>
  <c r="N98" i="11" s="1"/>
  <c r="N58" i="11"/>
  <c r="N29" i="11"/>
  <c r="N32" i="11" s="1"/>
  <c r="M79" i="11"/>
  <c r="M32" i="11"/>
  <c r="M88" i="11" s="1"/>
  <c r="L27" i="1"/>
  <c r="K27" i="1"/>
  <c r="N16" i="1"/>
  <c r="N18" i="1"/>
  <c r="M12" i="9"/>
  <c r="M14" i="9" s="1"/>
  <c r="N13" i="11"/>
  <c r="L22" i="9"/>
  <c r="L23" i="9" s="1"/>
  <c r="N58" i="1" s="1"/>
  <c r="M20" i="9"/>
  <c r="M27" i="1"/>
  <c r="O17" i="1"/>
  <c r="O18" i="1" s="1"/>
  <c r="P15" i="1"/>
  <c r="O16" i="1"/>
  <c r="N106" i="11" l="1"/>
  <c r="N79" i="11"/>
  <c r="M102" i="11"/>
  <c r="M103" i="11"/>
  <c r="M97" i="11"/>
  <c r="N80" i="11"/>
  <c r="P18" i="1"/>
  <c r="M22" i="9"/>
  <c r="M23" i="9" s="1"/>
  <c r="O58" i="1" s="1"/>
  <c r="L25" i="9"/>
  <c r="N21" i="1" s="1"/>
  <c r="N23" i="1" s="1"/>
  <c r="N88" i="11"/>
  <c r="N97" i="11"/>
  <c r="N103" i="11"/>
  <c r="N102" i="11"/>
  <c r="N27" i="1" l="1"/>
  <c r="M25" i="9"/>
  <c r="O21" i="1" s="1"/>
  <c r="D44" i="1"/>
  <c r="O23" i="1" l="1"/>
  <c r="D46" i="1"/>
  <c r="O41" i="1"/>
  <c r="O27" i="1" l="1"/>
  <c r="O39" i="1" s="1"/>
  <c r="O43" i="1"/>
  <c r="D39" i="1" l="1"/>
  <c r="D49" i="1" s="1"/>
  <c r="I67" i="1" s="1"/>
  <c r="I77" i="1"/>
  <c r="E67" i="1"/>
  <c r="D67" i="1" s="1"/>
  <c r="C67" i="1" s="1"/>
  <c r="H39" i="1" l="1"/>
  <c r="H44" i="1" s="1"/>
  <c r="H49" i="1" s="1"/>
  <c r="E101" i="1" s="1"/>
  <c r="F101" i="1" s="1"/>
  <c r="O46" i="1"/>
  <c r="O49" i="1" s="1"/>
  <c r="I87" i="1" s="1"/>
  <c r="B67" i="1"/>
  <c r="D47" i="1"/>
  <c r="B87" i="1" s="1"/>
  <c r="F67" i="1"/>
  <c r="G67" i="1" s="1"/>
  <c r="K67" i="11"/>
  <c r="K70" i="11" l="1"/>
  <c r="L32" i="1"/>
  <c r="B77" i="1"/>
  <c r="J51" i="11"/>
  <c r="J14" i="11"/>
  <c r="K28" i="1" l="1"/>
  <c r="J99" i="11"/>
  <c r="K14" i="11"/>
  <c r="J15" i="11"/>
  <c r="K51" i="11"/>
  <c r="L67" i="11"/>
  <c r="L70" i="11" l="1"/>
  <c r="M32" i="1"/>
  <c r="L28" i="1"/>
  <c r="K99" i="11"/>
  <c r="K33" i="1"/>
  <c r="K34" i="1" s="1"/>
  <c r="K29" i="1"/>
  <c r="K30" i="1" s="1"/>
  <c r="M67" i="11"/>
  <c r="L51" i="11"/>
  <c r="J16" i="11"/>
  <c r="J17" i="11" s="1"/>
  <c r="K15" i="11"/>
  <c r="L14" i="11"/>
  <c r="M70" i="11" l="1"/>
  <c r="N32" i="1"/>
  <c r="M28" i="1"/>
  <c r="L99" i="11"/>
  <c r="L33" i="1"/>
  <c r="L34" i="1" s="1"/>
  <c r="L29" i="1"/>
  <c r="L30" i="1" s="1"/>
  <c r="J94" i="11"/>
  <c r="J101" i="11"/>
  <c r="J104" i="11" s="1"/>
  <c r="J18" i="11"/>
  <c r="J19" i="11" s="1"/>
  <c r="J93" i="11"/>
  <c r="J56" i="11"/>
  <c r="J60" i="11" s="1"/>
  <c r="J72" i="11" s="1"/>
  <c r="M14" i="11"/>
  <c r="L15" i="11"/>
  <c r="K16" i="11"/>
  <c r="K17" i="11" s="1"/>
  <c r="M51" i="11"/>
  <c r="N67" i="11"/>
  <c r="N28" i="1" l="1"/>
  <c r="M99" i="11"/>
  <c r="M29" i="1"/>
  <c r="M30" i="1" s="1"/>
  <c r="M33" i="1"/>
  <c r="M34" i="1" s="1"/>
  <c r="N70" i="11"/>
  <c r="O32" i="1"/>
  <c r="K101" i="11"/>
  <c r="K104" i="11" s="1"/>
  <c r="K94" i="11"/>
  <c r="K18" i="11"/>
  <c r="K19" i="11" s="1"/>
  <c r="K93" i="11"/>
  <c r="N51" i="11"/>
  <c r="K56" i="11"/>
  <c r="K60" i="11" s="1"/>
  <c r="K72" i="11" s="1"/>
  <c r="L16" i="11"/>
  <c r="L17" i="11" s="1"/>
  <c r="M15" i="11"/>
  <c r="N14" i="11"/>
  <c r="N15" i="11" l="1"/>
  <c r="O28" i="1"/>
  <c r="N99" i="11"/>
  <c r="N33" i="1"/>
  <c r="N34" i="1" s="1"/>
  <c r="N29" i="1"/>
  <c r="N30" i="1" s="1"/>
  <c r="L94" i="11"/>
  <c r="L101" i="11"/>
  <c r="L104" i="11" s="1"/>
  <c r="L18" i="11"/>
  <c r="L19" i="11" s="1"/>
  <c r="L93" i="11"/>
  <c r="M16" i="11"/>
  <c r="M17" i="11" s="1"/>
  <c r="N16" i="11"/>
  <c r="N17" i="11" s="1"/>
  <c r="L56" i="11"/>
  <c r="L60" i="11" s="1"/>
  <c r="L72" i="11" s="1"/>
  <c r="O29" i="1" l="1"/>
  <c r="O33" i="1"/>
  <c r="N94" i="11"/>
  <c r="N101" i="11"/>
  <c r="N104" i="11" s="1"/>
  <c r="M94" i="11"/>
  <c r="M101" i="11"/>
  <c r="M104" i="11" s="1"/>
  <c r="N18" i="11"/>
  <c r="N93" i="11"/>
  <c r="M18" i="11"/>
  <c r="M19" i="11" s="1"/>
  <c r="M93" i="11"/>
  <c r="N56" i="11"/>
  <c r="N60" i="11" s="1"/>
  <c r="N72" i="11" s="1"/>
  <c r="M56" i="11"/>
  <c r="M60" i="11" s="1"/>
  <c r="M72" i="11" s="1"/>
  <c r="O34" i="1" l="1"/>
  <c r="O35" i="1"/>
  <c r="O30" i="1"/>
  <c r="O31" i="1"/>
  <c r="I39" i="1" s="1"/>
  <c r="I44" i="1" s="1"/>
  <c r="I49" i="1" s="1"/>
  <c r="E102" i="1" s="1"/>
  <c r="F102" i="1" s="1"/>
  <c r="N19" i="11"/>
  <c r="J39" i="1" l="1"/>
  <c r="J44" i="1" s="1"/>
  <c r="J49" i="1" s="1"/>
  <c r="E103" i="1" s="1"/>
  <c r="F103" i="1" s="1"/>
</calcChain>
</file>

<file path=xl/sharedStrings.xml><?xml version="1.0" encoding="utf-8"?>
<sst xmlns="http://schemas.openxmlformats.org/spreadsheetml/2006/main" count="1773" uniqueCount="933">
  <si>
    <t>Assets</t>
  </si>
  <si>
    <t>Current Assets</t>
  </si>
  <si>
    <t>Cash Flow from Financing Activities</t>
  </si>
  <si>
    <t>1. Income Statement</t>
  </si>
  <si>
    <t>2. Balance Sheet</t>
  </si>
  <si>
    <t>Research Report Financial Analysis and Valuation of NextEra Energy</t>
  </si>
  <si>
    <t>Data Source: PitchBook Financial Data</t>
  </si>
  <si>
    <t>NextEra Energy, Inc. (NYSE: NEE)</t>
  </si>
  <si>
    <t>Financial Analysis - NextEra Energy, Inc.</t>
  </si>
  <si>
    <t>Prepared: March 28th, 2026</t>
  </si>
  <si>
    <t>References (APA7)</t>
  </si>
  <si>
    <t>Projection Period</t>
  </si>
  <si>
    <t>Income Statement Assumptions</t>
  </si>
  <si>
    <t>Sales (% growth)</t>
  </si>
  <si>
    <t xml:space="preserve">   Base</t>
  </si>
  <si>
    <t xml:space="preserve">   Upside</t>
  </si>
  <si>
    <t xml:space="preserve">   Management </t>
  </si>
  <si>
    <t xml:space="preserve">   Downside 1</t>
  </si>
  <si>
    <t xml:space="preserve">   Downside 2</t>
  </si>
  <si>
    <t>Cost of Goods Sold (% sales)</t>
  </si>
  <si>
    <t>Depreciation &amp; Amortization (% sales)</t>
  </si>
  <si>
    <t>Cash Flow Statement Assumptions</t>
  </si>
  <si>
    <t>Capital Expenditures (% of sales)</t>
  </si>
  <si>
    <t>Assumptions Page 1 - Income Statement and Cash Flow Statement (NextEra Energy)</t>
  </si>
  <si>
    <t>Operating Scenario</t>
  </si>
  <si>
    <t>NextEra Energy, Inc. (2025). Annual report pursuant to Section 13 of the Securities Exchange Act of 1934 (Form 10-K) for fiscal year ended December 31, 2025. SEC EDGAR; Goldman Sachs Research. (2025, March 3). NextEra Energy: Maintaining Buy; 5-year capex plan intact. Goldman Sachs &amp; Co.</t>
  </si>
  <si>
    <t>NextEra Energy, Inc. (2025, November 7). Q3 2025 earnings call: FPL rate base growth 9–10% p.a.; NEER growth 10–15% p.a. per management guidance. Seeking Alpha; IBISWorld. (2025). Electric power generation industry outlook. IBISWorld.</t>
  </si>
  <si>
    <t>NextEra Energy, Inc. (2025). Form 10-K for FY 2025: Fuel, purchased power and interchange; Other operations and maintenance, pp. 94–98. U.S. SEC EDGAR; Bloomberg Intelligence. (2025). Utility sector O&amp;M benchmarking report.</t>
  </si>
  <si>
    <t>NextEra Energy, Inc. (2025). Form 10-K for FY 2025: Depreciation by segment; average depreciable life for plant and equipment, pp. 97–99. U.S. SEC EDGAR. NEE FY22 D&amp;A%=18.9%, FY23=17.5%, FY24=18.4%.</t>
  </si>
  <si>
    <t>Base: in line with historical averages
Upside: Accelerated hyperscaler/data-center PPA demand (Google, Microsoft, Amazon); fuel cost deflation from solar/storage displacing gas; IRA Sections 45Y &amp; 48E tax credits fully monetized; NEER sustains record ~13.5 GW/yr origination;
Management: CEO guidance of 8%+ adj. EPS CAGR through 2032; FPL 4-year rate agreement Jan 2026;
Downsides (1 &amp; 2): Stress tests, assuming economic headwinds and customer churn</t>
  </si>
  <si>
    <t xml:space="preserve"> </t>
  </si>
  <si>
    <t>Base: In line with historical averages
Upside: Solar/storage displaces marginal gas; FPL 71% below industry O&amp;M avg.;
Management: FPL efficiency expands with scale; declining renewables LCOE;
Downsides (1 &amp; 2): Storms, disasters and tariffs</t>
  </si>
  <si>
    <t>Base: In line with historical averages;
Upside: IRA bonus depreciation; scale reduces per-unit D&amp;A;
Management: Asset light stemming from the strategic shift to franchising
Downsides (1 &amp; 2): accelerated equipment wear due to overuse  and asset impairment or write-downs</t>
  </si>
  <si>
    <t>Days Sales Outstanding (DSO)</t>
  </si>
  <si>
    <t>Days Inventory Held (DIH)</t>
  </si>
  <si>
    <t>Current Liabilities</t>
  </si>
  <si>
    <t>Days Payable Outstanding (DPO)</t>
  </si>
  <si>
    <t>Other Current Liabilities (% of sales)</t>
  </si>
  <si>
    <t>Base: In line with historical averages;
Upside: Just-in-time delivery, solar/wind displaces fuel stockpiling needs;
Management: Efficiency back to pre-2024 levels (~3.5 days);
Downsides (1 &amp; 2): assumes need for extra inventory + worst-case equipment delays sitting in warehouse</t>
  </si>
  <si>
    <t>Base: In line with historical averages;
Upside: Bargaining power over suppliers at scale; extended terms;
Management: CFO Jay Star 2025 vendor management / supply chain optimization;
Downsides (1 &amp; 2): assumes supply chain tightening; credit contraction forces faster vendor payments</t>
  </si>
  <si>
    <t>Base: In line with historical averages;
Upside: Regulatory asset burn-down under new rate agreement cost recovery certainty; 
Management: Balance sheet efficiency; accelerated amortization under new rate structure;
Downsides (1 &amp; 2): Elevated unrecovered storm costs and fuel clause deferrals inflate the balance</t>
  </si>
  <si>
    <t>Base: In line with historical averages;
Upside: Digital payments combined with smart meter rollout accelerates cash collection;
Management: Collections modernization under FPL Growth Model optimization;
Downsides (1 &amp; 2): Stress tests: Economic headwinds, customer payment delays from inflation or storm impacts</t>
  </si>
  <si>
    <t>Base: In line with historical averages;
Upside: FPL customer deposits + hyperscaler PPA upfront fees; fewer hedging needs;
Management: Long-term fixed-price PPAs reduce derivative mark-to-market exposure;
Downsides (1 &amp; 2): Fewer deferred revenues; weaker counterparty credit and higher churn pressure</t>
  </si>
  <si>
    <t>NextEra Energy, Inc. (2025). Form 10-K for FY 2025: Trade and other receivables, pp. 119–122. U.S. SEC EDGAR. NEE FY24 DSO~41.7d, FY23~41.0d, FY22~47.2d.</t>
  </si>
  <si>
    <t>Regulatory &amp; Prepaid Current Assets (% of sales)</t>
  </si>
  <si>
    <t>Income Statement (Fiscal Year)</t>
  </si>
  <si>
    <t>Downloaded On: 19-Mar-2026</t>
  </si>
  <si>
    <t>Summary Stats</t>
  </si>
  <si>
    <t>Company: NextEra Energy (NYS: NEE)</t>
  </si>
  <si>
    <t>Median</t>
  </si>
  <si>
    <t>Mean</t>
  </si>
  <si>
    <t>Min</t>
  </si>
  <si>
    <t>Max</t>
  </si>
  <si>
    <t>25th pctile</t>
  </si>
  <si>
    <t>75th pctile</t>
  </si>
  <si>
    <t>Std. Dev</t>
  </si>
  <si>
    <t>Coefficient of Variation</t>
  </si>
  <si>
    <t>FY 2025</t>
  </si>
  <si>
    <t>FY 2024</t>
  </si>
  <si>
    <t>FY 2023</t>
  </si>
  <si>
    <t>FY 2022</t>
  </si>
  <si>
    <t>FY 2021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</si>
  <si>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</si>
  <si>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</si>
  <si>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</si>
  <si>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</si>
  <si>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</si>
  <si>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</si>
  <si>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</si>
  <si>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</si>
  <si>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</si>
  <si>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</si>
  <si>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</si>
  <si>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</si>
  <si>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</si>
  <si>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</si>
  <si>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</si>
  <si>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</si>
  <si>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</si>
  <si>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</si>
  <si>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</si>
  <si>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</si>
  <si>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FY 2000</t>
  </si>
  <si>
    <t>FY 1999</t>
  </si>
  <si>
    <t>FY 1998</t>
  </si>
  <si>
    <t>FY 1997</t>
  </si>
  <si>
    <t>FY 1996</t>
  </si>
  <si>
    <t>FY 1995</t>
  </si>
  <si>
    <t>FY 1994</t>
  </si>
  <si>
    <t>FY 1993</t>
  </si>
  <si>
    <t>FY 1992</t>
  </si>
  <si>
    <t>FY 1991</t>
  </si>
  <si>
    <t>FY 1990</t>
  </si>
  <si>
    <t>FY 1989</t>
  </si>
  <si>
    <t>FY 1988</t>
  </si>
  <si>
    <t>FY 1987</t>
  </si>
  <si>
    <t>FY 1986</t>
  </si>
  <si>
    <t>FY 1985</t>
  </si>
  <si>
    <t>FY 1984</t>
  </si>
  <si>
    <t>FY 1983</t>
  </si>
  <si>
    <t>FY 1982</t>
  </si>
  <si>
    <t>FY 1981</t>
  </si>
  <si>
    <t>FY 1980</t>
  </si>
  <si>
    <t>FY 1979</t>
  </si>
  <si>
    <t>Amounts in Thousands, USD (except Ratios, Multiples &amp; per share items)</t>
  </si>
  <si>
    <t>Filed: 13-Feb-2026</t>
  </si>
  <si>
    <t>Filed: 14-Feb-2025</t>
  </si>
  <si>
    <t>Filed: 16-Feb-2024</t>
  </si>
  <si>
    <t>Filed: 18-Feb-2022</t>
  </si>
  <si>
    <t>Filed: 12-Feb-2021</t>
  </si>
  <si>
    <t>Filed: 14-Feb-2020</t>
  </si>
  <si>
    <t>Filed: 15-Feb-2019</t>
  </si>
  <si>
    <t>Filed: 23-Feb-2017</t>
  </si>
  <si>
    <t>Filed: 22-Feb-2016</t>
  </si>
  <si>
    <t>Filed: 31-Dec-2012</t>
  </si>
  <si>
    <t>Filed: 31-Dec-2011</t>
  </si>
  <si>
    <t>Filed: 31-Dec-2010</t>
  </si>
  <si>
    <t>Filed: 31-Dec-2009</t>
  </si>
  <si>
    <t>Filed: 31-Dec-2008</t>
  </si>
  <si>
    <t>Filed: 31-Dec-2007</t>
  </si>
  <si>
    <t>Filed: 31-Dec-2006</t>
  </si>
  <si>
    <t>Filed: 31-Dec-2005</t>
  </si>
  <si>
    <t>Filed: 31-Dec-2004</t>
  </si>
  <si>
    <t>Filed: 31-Dec-2003</t>
  </si>
  <si>
    <t>Filed: 31-Dec-2002</t>
  </si>
  <si>
    <t>Filed: 31-Dec-2001</t>
  </si>
  <si>
    <t>Filed: 31-Dec-2000</t>
  </si>
  <si>
    <t>Filed: 31-Dec-1999</t>
  </si>
  <si>
    <t>Filed: 31-Dec-1998</t>
  </si>
  <si>
    <t>Filed: 31-Dec-1997</t>
  </si>
  <si>
    <t>Filed: 31-Dec-1996</t>
  </si>
  <si>
    <t>Filed: 31-Dec-1995</t>
  </si>
  <si>
    <t>Filed: 31-Dec-1994</t>
  </si>
  <si>
    <t>Filed: 31-Dec-1993</t>
  </si>
  <si>
    <t>Filed: 31-Dec-1992</t>
  </si>
  <si>
    <t>Filed: 31-Dec-1991</t>
  </si>
  <si>
    <t>Filed: 31-Dec-1990</t>
  </si>
  <si>
    <t>Filed: 31-Dec-1989</t>
  </si>
  <si>
    <t>Filed: 31-Dec-1988</t>
  </si>
  <si>
    <t>Filed: 31-Dec-1987</t>
  </si>
  <si>
    <t>Filed: 31-Dec-1986</t>
  </si>
  <si>
    <t>Filed: 31-Dec-1985</t>
  </si>
  <si>
    <t>Filed: 31-Dec-1984</t>
  </si>
  <si>
    <t>Filed: 31-Dec-1983</t>
  </si>
  <si>
    <t>Filed: 31-Dec-1982</t>
  </si>
  <si>
    <t>Filed: 31-Dec-1981</t>
  </si>
  <si>
    <t>Filed: 31-Dec-1980</t>
  </si>
  <si>
    <t>Filed: 31-Dec-1979</t>
  </si>
  <si>
    <t>View 10-K</t>
  </si>
  <si>
    <t>Gross Profit</t>
  </si>
  <si>
    <t xml:space="preserve">    Revenue</t>
  </si>
  <si>
    <t xml:space="preserve">        Business Revenue</t>
  </si>
  <si>
    <t xml:space="preserve">        Total Revenue</t>
  </si>
  <si>
    <t xml:space="preserve">    Cost of Revenue</t>
  </si>
  <si>
    <t xml:space="preserve">        Purchased Fuel, Power and Gas</t>
  </si>
  <si>
    <t xml:space="preserve">        Operation Maintenance and Repairs</t>
  </si>
  <si>
    <t xml:space="preserve">        Total Cost of Revenue</t>
  </si>
  <si>
    <t xml:space="preserve">    Total Gross Profit</t>
  </si>
  <si>
    <t>Operating (Income)/Expenses</t>
  </si>
  <si>
    <t xml:space="preserve">    Depreciation, Amortization and Depletion</t>
  </si>
  <si>
    <t xml:space="preserve">        Depreciation and Amortization</t>
  </si>
  <si>
    <t xml:space="preserve">        Total Depreciation, Amortization and Depletion</t>
  </si>
  <si>
    <t xml:space="preserve">    Taxes Other Than Income Taxes</t>
  </si>
  <si>
    <t xml:space="preserve">    Other (Income)/Expense, Operating</t>
  </si>
  <si>
    <t xml:space="preserve">    Total Operating (Income)/Expenses</t>
  </si>
  <si>
    <t>Total Operating Profit/(Loss)</t>
  </si>
  <si>
    <t>Non-Operating Income/(Expenses)</t>
  </si>
  <si>
    <t xml:space="preserve">    Net Finance (Income)/Expense</t>
  </si>
  <si>
    <t xml:space="preserve">        Net Interest (Income)/Expense</t>
  </si>
  <si>
    <t xml:space="preserve">            Interest Expense Net of Capitalized Interest</t>
  </si>
  <si>
    <t xml:space="preserve">            Interest Income</t>
  </si>
  <si>
    <t xml:space="preserve">            Total Net Interest (Income)/Expense</t>
  </si>
  <si>
    <t xml:space="preserve">        Total Net Finance (Income)/Expense</t>
  </si>
  <si>
    <t xml:space="preserve">    Net Investment Income</t>
  </si>
  <si>
    <t xml:space="preserve">        Gain/(Loss) on Investments and Other Financial Instruments</t>
  </si>
  <si>
    <t xml:space="preserve">        Fair Value or Unrealized Gain/(Loss) on Financial Assets</t>
  </si>
  <si>
    <t xml:space="preserve">        Income from Associates, Joint Ventures and Other Participating Interests</t>
  </si>
  <si>
    <t xml:space="preserve">        Other Investment Income</t>
  </si>
  <si>
    <t xml:space="preserve">        Total Net Investment Income</t>
  </si>
  <si>
    <t xml:space="preserve">    Irregular (Income)/Expenses</t>
  </si>
  <si>
    <t xml:space="preserve">        (Gain)/Loss on Disposal of Businesses</t>
  </si>
  <si>
    <t xml:space="preserve">        (Gain)/Loss on Asset Disposals</t>
  </si>
  <si>
    <t xml:space="preserve">        Impairment/Write Off/Write Down of Capital Assets</t>
  </si>
  <si>
    <t xml:space="preserve">        Impairment/Write Off/Write Down of Other Assets</t>
  </si>
  <si>
    <t xml:space="preserve">        Merger and Acquisition (Income)/Expense</t>
  </si>
  <si>
    <t xml:space="preserve">        Other Irregular Income/(Expenses)</t>
  </si>
  <si>
    <t xml:space="preserve">        Total Irregular (Income)/Expenses</t>
  </si>
  <si>
    <t xml:space="preserve">    Other Income/(Expense), Non-Operating</t>
  </si>
  <si>
    <t xml:space="preserve">    Total Non-Operating Income/(Expenses), Total</t>
  </si>
  <si>
    <t>Pretax Income</t>
  </si>
  <si>
    <t>Provision for Income Tax</t>
  </si>
  <si>
    <t>Net Income from Continuing Operations</t>
  </si>
  <si>
    <t>Discontinued Operations</t>
  </si>
  <si>
    <t>Extraordinary Items</t>
  </si>
  <si>
    <t>Net Income after Extraordinary Items and Discontinued Operations</t>
  </si>
  <si>
    <t>Non-Controlling/Minority Interests</t>
  </si>
  <si>
    <t>Net Income after Non-Controlling/Minority Interests</t>
  </si>
  <si>
    <t>Other Adjustments to Net Income Available to Common Stockholders</t>
  </si>
  <si>
    <t>Net Income Available to Common Stockholders</t>
  </si>
  <si>
    <t>Dilution to Earnings</t>
  </si>
  <si>
    <t>Diluted Net Income Available to Common Stockholders</t>
  </si>
  <si>
    <t>Basic EPS</t>
  </si>
  <si>
    <t xml:space="preserve">    Basic EPS from Continuing Operations</t>
  </si>
  <si>
    <t xml:space="preserve">    Basic EPS from Discontinued Operations</t>
  </si>
  <si>
    <t xml:space="preserve">    Total Basic EPS</t>
  </si>
  <si>
    <t>Diluted EPS</t>
  </si>
  <si>
    <t xml:space="preserve">    Diluted EPS from Continuing Operations</t>
  </si>
  <si>
    <t xml:space="preserve">    Diluted EPS from Discontinued Operations</t>
  </si>
  <si>
    <t xml:space="preserve">    Total Diluted EPS</t>
  </si>
  <si>
    <t>Basic Weighted Average Shares Outstanding</t>
  </si>
  <si>
    <t>Diluted Weighted Average Shares Outstanding</t>
  </si>
  <si>
    <t>Income Statement Supplemental Section</t>
  </si>
  <si>
    <t xml:space="preserve">    Per Share Calculations</t>
  </si>
  <si>
    <t xml:space="preserve">        Common Dividend per Share (Paid)</t>
  </si>
  <si>
    <t xml:space="preserve">        Common Dividend per Share (Ex-date)</t>
  </si>
  <si>
    <t xml:space="preserve">        EBITDA per Share</t>
  </si>
  <si>
    <t xml:space="preserve">        EBITDAR per Share</t>
  </si>
  <si>
    <t xml:space="preserve">        Basic EPS (Normalized)</t>
  </si>
  <si>
    <t xml:space="preserve">        Diluted EPS (Normalized)</t>
  </si>
  <si>
    <t xml:space="preserve">        Normalized EBITDA per Share</t>
  </si>
  <si>
    <t xml:space="preserve">        Normalized EBITDAR per Share</t>
  </si>
  <si>
    <t xml:space="preserve">        Recommended Normalized Basic EPS</t>
  </si>
  <si>
    <t xml:space="preserve">        Recommended Normalized Diluted EPS</t>
  </si>
  <si>
    <t xml:space="preserve">        Sales per Share</t>
  </si>
  <si>
    <t xml:space="preserve">        Total Dividend per Share</t>
  </si>
  <si>
    <t xml:space="preserve">    Reported Normalized and Operating Income/Expense Supplemental Section</t>
  </si>
  <si>
    <t xml:space="preserve">        Reported Total Revenue</t>
  </si>
  <si>
    <t xml:space="preserve">        Reported Operating Expense</t>
  </si>
  <si>
    <t xml:space="preserve">        Reported Total Operating Profit/Loss</t>
  </si>
  <si>
    <t xml:space="preserve">        Reported Normalized Income</t>
  </si>
  <si>
    <t xml:space="preserve">        Reported Normalized Diluted EPS</t>
  </si>
  <si>
    <t xml:space="preserve">        Reported Effective Tax Rate</t>
  </si>
  <si>
    <t>Profitability Metrics</t>
  </si>
  <si>
    <t xml:space="preserve">    Unadjusted Profitability Metrics</t>
  </si>
  <si>
    <t xml:space="preserve">        EBITDA</t>
  </si>
  <si>
    <t xml:space="preserve">        EBITA</t>
  </si>
  <si>
    <t xml:space="preserve">        EBIT</t>
  </si>
  <si>
    <t xml:space="preserve">        EBITDAR</t>
  </si>
  <si>
    <t xml:space="preserve">        Interest and Dividend Income</t>
  </si>
  <si>
    <t xml:space="preserve">        Tax Effect of Unusual Items</t>
  </si>
  <si>
    <t xml:space="preserve">        Total Unusual Items</t>
  </si>
  <si>
    <t xml:space="preserve">        Total Unusual Items Excluding Goodwill</t>
  </si>
  <si>
    <t xml:space="preserve">        Cost of Revenue and Operating Expense</t>
  </si>
  <si>
    <t xml:space="preserve">        Net Operating Profit After Tax (NOPAT)</t>
  </si>
  <si>
    <t xml:space="preserve">        Income After Taxes</t>
  </si>
  <si>
    <t xml:space="preserve">    Normalized Profitability Metrics</t>
  </si>
  <si>
    <t xml:space="preserve">        EBITDA (Normalized)</t>
  </si>
  <si>
    <t xml:space="preserve">        EBIT (Normalized)</t>
  </si>
  <si>
    <t xml:space="preserve">        EBITDAR (Normalized)</t>
  </si>
  <si>
    <t xml:space="preserve">        Net Income (Normalized)</t>
  </si>
  <si>
    <t xml:space="preserve">    Analyst Normalized Profitability Metrics</t>
  </si>
  <si>
    <t xml:space="preserve">        EBITDA (Analyst Normalized)</t>
  </si>
  <si>
    <t xml:space="preserve">        EBIT (Analyst Normalized)</t>
  </si>
  <si>
    <t xml:space="preserve">        Net Income (Analyst Normalized)</t>
  </si>
  <si>
    <t xml:space="preserve">        EPS (Analyst Normalized)</t>
  </si>
  <si>
    <t>Data Origination</t>
  </si>
  <si>
    <t xml:space="preserve">    Preliminary</t>
  </si>
  <si>
    <t>No</t>
  </si>
  <si>
    <t xml:space="preserve">    Original</t>
  </si>
  <si>
    <t xml:space="preserve">    Restated</t>
  </si>
  <si>
    <t>Yes</t>
  </si>
  <si>
    <t xml:space="preserve">    Calculated</t>
  </si>
  <si>
    <t>© PitchBook Data, Inc.  2026</t>
  </si>
  <si>
    <t>Balance Sheet (Fiscal Year)</t>
  </si>
  <si>
    <t>Filed: 17-Feb-2023</t>
  </si>
  <si>
    <t>Filed: 16-Feb-2018</t>
  </si>
  <si>
    <t>Filed: 20-Feb-2015</t>
  </si>
  <si>
    <t xml:space="preserve">    Current Assets</t>
  </si>
  <si>
    <t xml:space="preserve">        Cash, Cash Equivalents and Short Term Investments</t>
  </si>
  <si>
    <t xml:space="preserve">            Cash and Cash Equivalents</t>
  </si>
  <si>
    <t xml:space="preserve">            Short Term Investments</t>
  </si>
  <si>
    <t xml:space="preserve">            Total Cash, Cash Equivalents and Short Term Investments</t>
  </si>
  <si>
    <t xml:space="preserve">        Derivative Investment and Hedging Assets, Current</t>
  </si>
  <si>
    <t xml:space="preserve">        Inventories</t>
  </si>
  <si>
    <t xml:space="preserve">            Raw Materials, Consumables and Supplies</t>
  </si>
  <si>
    <t xml:space="preserve">            Total Inventories</t>
  </si>
  <si>
    <t xml:space="preserve">        Trade and Other Receivables, Current</t>
  </si>
  <si>
    <t xml:space="preserve">            Trade/Accounts Receivable, Current</t>
  </si>
  <si>
    <t xml:space="preserve">                Gross Trade/Accounts Receivable, Current</t>
  </si>
  <si>
    <t xml:space="preserve">                Allowance/Adjustments for Trade/Accounts Receivable, Current</t>
  </si>
  <si>
    <t xml:space="preserve">                Total Trade/Accounts Receivable, Current</t>
  </si>
  <si>
    <t xml:space="preserve">            Accrued Income/Unbilled Revenue/Cost in Excess of Billings, Current</t>
  </si>
  <si>
    <t xml:space="preserve">            Other Receivables, Current</t>
  </si>
  <si>
    <t xml:space="preserve">            Total Trade and Other Receivables, Current</t>
  </si>
  <si>
    <t xml:space="preserve">        Deferred Tax Assets, Current</t>
  </si>
  <si>
    <t xml:space="preserve">        Deferred Costs/Assets, Current</t>
  </si>
  <si>
    <t xml:space="preserve">        Regulatory Assets, Current</t>
  </si>
  <si>
    <t xml:space="preserve">        Assets Held for Sale/Discontinued Operations, Current</t>
  </si>
  <si>
    <t xml:space="preserve">        Other Current Assets</t>
  </si>
  <si>
    <t xml:space="preserve">        Total Current Assets</t>
  </si>
  <si>
    <t xml:space="preserve">    Non-Current Assets</t>
  </si>
  <si>
    <t xml:space="preserve">        Net Property, Plant and Equipment</t>
  </si>
  <si>
    <t xml:space="preserve">            Gross Property, Plant and Equipment</t>
  </si>
  <si>
    <t xml:space="preserve">                Utility Plant</t>
  </si>
  <si>
    <t xml:space="preserve">                    Electric Utility Plant</t>
  </si>
  <si>
    <t xml:space="preserve">                    Total Utility Plant</t>
  </si>
  <si>
    <t xml:space="preserve">                Construction in Progress and Advance Payments</t>
  </si>
  <si>
    <t xml:space="preserve">                Other Property, Plant and Equipment</t>
  </si>
  <si>
    <t xml:space="preserve">                Total Gross Property, Plant and Equipment</t>
  </si>
  <si>
    <t xml:space="preserve">            Accumulated Depreciation and Impairment</t>
  </si>
  <si>
    <t xml:space="preserve">                Accumulated Depreciation</t>
  </si>
  <si>
    <t xml:space="preserve">                Total Accumulated Depreciation and Impairment</t>
  </si>
  <si>
    <t xml:space="preserve">            Total Net Property, Plant and Equipment</t>
  </si>
  <si>
    <t xml:space="preserve">        Net Intangible Assets</t>
  </si>
  <si>
    <t xml:space="preserve">            Gross Goodwill and Other Intangible Assets</t>
  </si>
  <si>
    <t xml:space="preserve">                Goodwill</t>
  </si>
  <si>
    <t xml:space="preserve">                Intangibles other than Goodwill</t>
  </si>
  <si>
    <t xml:space="preserve">                    Licenses and Rights</t>
  </si>
  <si>
    <t xml:space="preserve">                    Customer Relationships</t>
  </si>
  <si>
    <t xml:space="preserve">                    Other Intangible Assets</t>
  </si>
  <si>
    <t xml:space="preserve">                    Total Intangibles other than Goodwill</t>
  </si>
  <si>
    <t xml:space="preserve">                Total Gross Goodwill and Other Intangible Assets</t>
  </si>
  <si>
    <t xml:space="preserve">            Accumulated Amortization and Impairment</t>
  </si>
  <si>
    <t xml:space="preserve">                Accumulated Amortization of Intangible Assets</t>
  </si>
  <si>
    <t xml:space="preserve">                    Accumulated Amortization of Intangibles other than Goodwill</t>
  </si>
  <si>
    <t xml:space="preserve">                    Total Accumulated Amortization of Intangible Assets</t>
  </si>
  <si>
    <t xml:space="preserve">                Total Accumulated Amortization and Impairment</t>
  </si>
  <si>
    <t xml:space="preserve">            Total Net Intangible Assets</t>
  </si>
  <si>
    <t xml:space="preserve">        Long Term Investments</t>
  </si>
  <si>
    <t xml:space="preserve">            Long Term Equity Investments</t>
  </si>
  <si>
    <t xml:space="preserve">            Other Investments, Non-Current</t>
  </si>
  <si>
    <t xml:space="preserve">            Total Long Term Investments</t>
  </si>
  <si>
    <t xml:space="preserve">        Derivative Investment and Hedging Assets, Non-Current</t>
  </si>
  <si>
    <t xml:space="preserve">        Prepayments and Deposits, Non-Current</t>
  </si>
  <si>
    <t xml:space="preserve">            Prepayments, Non-Current</t>
  </si>
  <si>
    <t xml:space="preserve">            Total Prepayments and Deposits, Non-Current</t>
  </si>
  <si>
    <t xml:space="preserve">        Regulatory Assets, Non-Current</t>
  </si>
  <si>
    <t xml:space="preserve">        Other Non-Current Assets</t>
  </si>
  <si>
    <t xml:space="preserve">        Total Non-Current Assets</t>
  </si>
  <si>
    <t xml:space="preserve">    Total Assets</t>
  </si>
  <si>
    <t>Liabilities</t>
  </si>
  <si>
    <t xml:space="preserve">    Current Liabilities</t>
  </si>
  <si>
    <t xml:space="preserve">        Payables and Accrued Expenses, Current</t>
  </si>
  <si>
    <t xml:space="preserve">            Trade and Other Payables, Current</t>
  </si>
  <si>
    <t xml:space="preserve">                Trade/Accounts Payable, Current</t>
  </si>
  <si>
    <t xml:space="preserve">                Interest Payable, Current</t>
  </si>
  <si>
    <t xml:space="preserve">                Total Trade and Other Payables, Current</t>
  </si>
  <si>
    <t xml:space="preserve">            Accrued Expenses, Current</t>
  </si>
  <si>
    <t xml:space="preserve">            Total Payables and Accrued Expenses, Current</t>
  </si>
  <si>
    <t xml:space="preserve">        Financial Liabilities, Current</t>
  </si>
  <si>
    <t xml:space="preserve">            Current Debt and Capital Lease Obligation</t>
  </si>
  <si>
    <t xml:space="preserve">                Current Debt</t>
  </si>
  <si>
    <t xml:space="preserve">                    Commercial Paper</t>
  </si>
  <si>
    <t xml:space="preserve">                    Notes Payable, Current Debt</t>
  </si>
  <si>
    <t xml:space="preserve">                    Other Loans, Current Debt</t>
  </si>
  <si>
    <t xml:space="preserve">                    Total Current Debt</t>
  </si>
  <si>
    <t xml:space="preserve">                Current Portion of Long Term Debt and Capital Lease</t>
  </si>
  <si>
    <t xml:space="preserve">                    Current Portion of Long Term Debt</t>
  </si>
  <si>
    <t xml:space="preserve">                    Total Current Portion of Long Term Debt and Capital Lease</t>
  </si>
  <si>
    <t xml:space="preserve">                Total Current Debt and Capital Lease Obligation</t>
  </si>
  <si>
    <t xml:space="preserve">            Derivative and Hedging Liabilities, Current</t>
  </si>
  <si>
    <t xml:space="preserve">            Total Financial Liabilities, Current</t>
  </si>
  <si>
    <t xml:space="preserve">        Deferred Liabilities, Current</t>
  </si>
  <si>
    <t xml:space="preserve">            Deferred Income/Customer Advances/Billings in Excess of Cost, Current</t>
  </si>
  <si>
    <t xml:space="preserve">            Total Deferred Liabilities, Current</t>
  </si>
  <si>
    <t xml:space="preserve">        Regulatory Liabilities, Current</t>
  </si>
  <si>
    <t xml:space="preserve">        Liabilities Held for Sale/Discontinued Operations, Current</t>
  </si>
  <si>
    <t xml:space="preserve">        Other Current Liabilities</t>
  </si>
  <si>
    <t xml:space="preserve">        Total Current Liabilities</t>
  </si>
  <si>
    <t xml:space="preserve">    Non-Current Liabilities</t>
  </si>
  <si>
    <t xml:space="preserve">        Financial Liabilities, Non-Current</t>
  </si>
  <si>
    <t xml:space="preserve">            Long Term Debt and Capital Lease Obligation</t>
  </si>
  <si>
    <t xml:space="preserve">                Long Term Debt</t>
  </si>
  <si>
    <t xml:space="preserve">                Total Long Term Debt and Capital Lease Obligation</t>
  </si>
  <si>
    <t xml:space="preserve">            Derivative and Hedging Liabilities, Non-Current</t>
  </si>
  <si>
    <t xml:space="preserve">            Total Financial Liabilities, Non-Current</t>
  </si>
  <si>
    <t xml:space="preserve">        Provisions, Non-Current</t>
  </si>
  <si>
    <t xml:space="preserve">            Provision for Asset Retirement Obligation/Site Restoration and Rehabilitation, Non-Current</t>
  </si>
  <si>
    <t xml:space="preserve">            Total Provisions, Non-Current</t>
  </si>
  <si>
    <t xml:space="preserve">        Tax Liabilities, Non-Current</t>
  </si>
  <si>
    <t xml:space="preserve">            Deferred Tax Liabilities, Non-Current</t>
  </si>
  <si>
    <t xml:space="preserve">            Total Tax Liabilities, Non-Current</t>
  </si>
  <si>
    <t xml:space="preserve">        Deferred Liabilities, Non-Current</t>
  </si>
  <si>
    <t xml:space="preserve">        Payables and Accrued Expenses, Non-Current</t>
  </si>
  <si>
    <t xml:space="preserve">            Accrued Expenses, Non-Current</t>
  </si>
  <si>
    <t xml:space="preserve">            Total Payables and Accrued Expenses, Non-Current</t>
  </si>
  <si>
    <t xml:space="preserve">        Regulatory Liabilities, Non-Current</t>
  </si>
  <si>
    <t xml:space="preserve">        Other Non-Current Liabilities</t>
  </si>
  <si>
    <t xml:space="preserve">        Total Non-Current Liabilities</t>
  </si>
  <si>
    <t xml:space="preserve">    Total Liabilities</t>
  </si>
  <si>
    <t>Equity</t>
  </si>
  <si>
    <t xml:space="preserve">    Equity Attributable to Parent Stockholders</t>
  </si>
  <si>
    <t xml:space="preserve">        Paid in Capital</t>
  </si>
  <si>
    <t xml:space="preserve">            Capital Stock</t>
  </si>
  <si>
    <t xml:space="preserve">                Common Stock</t>
  </si>
  <si>
    <t xml:space="preserve">                Preferred Stock</t>
  </si>
  <si>
    <t xml:space="preserve">                Additional Paid in Capital/Share Premium</t>
  </si>
  <si>
    <t xml:space="preserve">                Total Capital Stock</t>
  </si>
  <si>
    <t xml:space="preserve">            Total Paid in Capital</t>
  </si>
  <si>
    <t xml:space="preserve">        Stock Options/Warrants/DeferredShares/ConvertibleDebentures</t>
  </si>
  <si>
    <t xml:space="preserve">        Retained Earnings/Accumulated Deficit</t>
  </si>
  <si>
    <t xml:space="preserve">        Reserves/Accumulated Comprehensive Income/Losses</t>
  </si>
  <si>
    <t xml:space="preserve">            Other Reserves/Accum. Comp. Inc</t>
  </si>
  <si>
    <t xml:space="preserve">            Total Reserves/Accumulated Comprehensive Income/Losses</t>
  </si>
  <si>
    <t xml:space="preserve">        Other Equity Interest</t>
  </si>
  <si>
    <t xml:space="preserve">        Total Equity Attributable to Parent Stockholders</t>
  </si>
  <si>
    <t xml:space="preserve">    Non-Controlling/Minority Interests</t>
  </si>
  <si>
    <t xml:space="preserve">    Total Equity</t>
  </si>
  <si>
    <t>Balance Sheet Supplemental Section</t>
  </si>
  <si>
    <t xml:space="preserve">    Common Shares Issued</t>
  </si>
  <si>
    <t xml:space="preserve">        Common Shares Outstanding</t>
  </si>
  <si>
    <t xml:space="preserve">        Total Common Shares Issued</t>
  </si>
  <si>
    <t>Total Maturity Schedule</t>
  </si>
  <si>
    <t xml:space="preserve">    Debt Maturity Schedule</t>
  </si>
  <si>
    <t xml:space="preserve">        Debt due in Year 1</t>
  </si>
  <si>
    <t xml:space="preserve">        Debt due in Year 2</t>
  </si>
  <si>
    <t xml:space="preserve">        Debt due in Year 3</t>
  </si>
  <si>
    <t xml:space="preserve">        Debt due in Year 4</t>
  </si>
  <si>
    <t xml:space="preserve">        Debt due in Year 5</t>
  </si>
  <si>
    <t xml:space="preserve">        Debt due Beyond</t>
  </si>
  <si>
    <t xml:space="preserve">        Debt - Interests Charges and Other Adjustments</t>
  </si>
  <si>
    <t xml:space="preserve">        Total Debt Maturity Schedule</t>
  </si>
  <si>
    <t xml:space="preserve">    Other Contractual Obligations Maturity Schedule</t>
  </si>
  <si>
    <t xml:space="preserve">        Other Contractual Obligations due in year 1</t>
  </si>
  <si>
    <t xml:space="preserve">        Other Contractual Obligations due in year 2</t>
  </si>
  <si>
    <t xml:space="preserve">        Other Contractual Obligations due in year 3</t>
  </si>
  <si>
    <t xml:space="preserve">        Other Contractual Obligations due in year 4</t>
  </si>
  <si>
    <t xml:space="preserve">        Other Contractual Obligations due in year 5</t>
  </si>
  <si>
    <t xml:space="preserve">        Other Contractual Obligations due Beyond</t>
  </si>
  <si>
    <t xml:space="preserve">        Other Contractual Obligations Maturity Schedule Total</t>
  </si>
  <si>
    <t xml:space="preserve">    Contractual Obligations</t>
  </si>
  <si>
    <t xml:space="preserve">        Total Contractual Obligations due in year 1</t>
  </si>
  <si>
    <t xml:space="preserve">        Total Contractual Obligations due in year 2</t>
  </si>
  <si>
    <t xml:space="preserve">        Total Contractual Obligations due in year 3</t>
  </si>
  <si>
    <t xml:space="preserve">        Total Contractual Obligations due in year 4</t>
  </si>
  <si>
    <t xml:space="preserve">        Total Contractual Obligations due in year 5</t>
  </si>
  <si>
    <t xml:space="preserve">        Total Contractual Obligations due Beyond</t>
  </si>
  <si>
    <t xml:space="preserve">        Total Contractual Obligations - Interests Charges and Other Adjustments</t>
  </si>
  <si>
    <t xml:space="preserve">        Total Contractual Obligations</t>
  </si>
  <si>
    <t>Financial Health Metrics</t>
  </si>
  <si>
    <t xml:space="preserve">    Total Debt</t>
  </si>
  <si>
    <t xml:space="preserve">    Net Debt</t>
  </si>
  <si>
    <t xml:space="preserve">    Common Equity Book Value</t>
  </si>
  <si>
    <t xml:space="preserve">    Total Liabilities &amp; Equity</t>
  </si>
  <si>
    <t xml:space="preserve">    Net Tangible Assets</t>
  </si>
  <si>
    <t xml:space="preserve">    Tangible Book Value</t>
  </si>
  <si>
    <t xml:space="preserve">    Working Capital</t>
  </si>
  <si>
    <t xml:space="preserve">    Invested Capital</t>
  </si>
  <si>
    <t xml:space="preserve">    Total Shares Outstanding (TSO)</t>
  </si>
  <si>
    <t xml:space="preserve">    Number of Employees</t>
  </si>
  <si>
    <t>Per Share Calculations</t>
  </si>
  <si>
    <t xml:space="preserve">    Book Value per Share</t>
  </si>
  <si>
    <t xml:space="preserve">    Cash And Cash Equivalents per Share</t>
  </si>
  <si>
    <t xml:space="preserve">    Cash, Cash Equivalents And Short Term Investments per Share</t>
  </si>
  <si>
    <t xml:space="preserve">    Net Intangible Assets per Share</t>
  </si>
  <si>
    <t xml:space="preserve">    Total Asset per Share</t>
  </si>
  <si>
    <t>Cash Flow (Fiscal Year)</t>
  </si>
  <si>
    <t>Cash Flow from Operating Activities, Indirect</t>
  </si>
  <si>
    <t xml:space="preserve">    Net Cash Flow from Continuing Operating Activities, Indirect</t>
  </si>
  <si>
    <t xml:space="preserve">        Cash Generated from Operating Activities</t>
  </si>
  <si>
    <t xml:space="preserve">            Income/(Loss) before Non-Cash Adjustment</t>
  </si>
  <si>
    <t xml:space="preserve">            Adjustments for Non-Cash Items</t>
  </si>
  <si>
    <t xml:space="preserve">                Depreciation, Amortization and Depletion, Non-Cash Adjustment</t>
  </si>
  <si>
    <t xml:space="preserve">                    Depreciation and Amortization, Non-Cash Adjustment</t>
  </si>
  <si>
    <t xml:space="preserve">                        Depreciation, Non-Cash Adjustment</t>
  </si>
  <si>
    <t xml:space="preserve">                        Total Depreciation and Amortization, Non-Cash Adjustment</t>
  </si>
  <si>
    <t xml:space="preserve">                    Total Depreciation, Amortization and Depletion, Non-Cash Adjustment</t>
  </si>
  <si>
    <t xml:space="preserve">                Taxes, Non-Cash Adjustment</t>
  </si>
  <si>
    <t xml:space="preserve">                Allowance for Funds Used During Construction, Non-Cash Adjustment</t>
  </si>
  <si>
    <t xml:space="preserve">                Net Investment (Income)/Loss, Non-Cash Adjustment</t>
  </si>
  <si>
    <t xml:space="preserve">                    Unrealized (Gain)/Loss on Financial Instruments, Non-Cash Adjustment</t>
  </si>
  <si>
    <t xml:space="preserve">                    (Gain)/Loss on Derivatives, Non-Cash Adjustment</t>
  </si>
  <si>
    <t xml:space="preserve">                    Share of (Profit)/Loss from Associates, Joint Ventures and other Equity Investments, Non-Cash Adjustment</t>
  </si>
  <si>
    <t xml:space="preserve">                    Net Foreign Exchange (Gain)/Loss, Non-Cash Adjustment</t>
  </si>
  <si>
    <t xml:space="preserve">                    Total Net Investment (Income)/Loss, Non-Cash Adjustment</t>
  </si>
  <si>
    <t xml:space="preserve">                Irregular (Income)/Loss, Non-Cash Adjustment</t>
  </si>
  <si>
    <t xml:space="preserve">                    (Gain)/Loss on Disposals, Non-Cash Adjustment</t>
  </si>
  <si>
    <t xml:space="preserve">                        (Gain)/Loss on Disposal/Sale of Fixed Assets, Non-Cash Adjustment</t>
  </si>
  <si>
    <t xml:space="preserve">                        (Gain)/Loss on Disposal/Sale of Business, Non-Cash Adjustment</t>
  </si>
  <si>
    <t xml:space="preserve">                        (Gain)/Loss on Disposal/Sale of Other Assets, Non-Cash Adjustment</t>
  </si>
  <si>
    <t xml:space="preserve">                        Total (Gain)/Loss on Disposals, Non-Cash Adjustment</t>
  </si>
  <si>
    <t xml:space="preserve">                    Impairment/Write Off/Write Down of Other Assets, Non-Cash Adjustment</t>
  </si>
  <si>
    <t xml:space="preserve">                    Reorganization and M&amp;A, Non-Cash Adjustment</t>
  </si>
  <si>
    <t xml:space="preserve">                    Total Irregular (Income)/Loss, Non-Cash Adjustment</t>
  </si>
  <si>
    <t xml:space="preserve">                Other Operating (Gain)/Loss, Non-Cash Adjustment</t>
  </si>
  <si>
    <t xml:space="preserve">                Other Non-Cash Items</t>
  </si>
  <si>
    <t xml:space="preserve">                Total Adjustments for Non-Cash Items</t>
  </si>
  <si>
    <t xml:space="preserve">            Changes in Operating Capital</t>
  </si>
  <si>
    <t xml:space="preserve">                Change in Inventories</t>
  </si>
  <si>
    <t xml:space="preserve">                Change in Trade and Other Receivables</t>
  </si>
  <si>
    <t xml:space="preserve">                    Change in Trade/Accounts Receivable</t>
  </si>
  <si>
    <t xml:space="preserve">                    Change in Other Receivables</t>
  </si>
  <si>
    <t xml:space="preserve">                    Total Change in Trade and Other Receivables</t>
  </si>
  <si>
    <t xml:space="preserve">                Change in Prepayments and Deposits</t>
  </si>
  <si>
    <t xml:space="preserve">                Change in Cash Restricted or Pledged</t>
  </si>
  <si>
    <t xml:space="preserve">                Change in Other Current Assets</t>
  </si>
  <si>
    <t xml:space="preserve">                Change in Payables and Accrued Expenses</t>
  </si>
  <si>
    <t xml:space="preserve">                    Change in Trade and Other Payables</t>
  </si>
  <si>
    <t xml:space="preserve">                        Change in Trade/Accounts Payable</t>
  </si>
  <si>
    <t xml:space="preserve">                        Change in Interest Payables</t>
  </si>
  <si>
    <t xml:space="preserve">                        Change in Taxes Payable</t>
  </si>
  <si>
    <t xml:space="preserve">                        Change in Other Payables</t>
  </si>
  <si>
    <t xml:space="preserve">                        Total Change in Trade and Other Payables</t>
  </si>
  <si>
    <t xml:space="preserve">                    Total Change in Payables and Accrued Expenses</t>
  </si>
  <si>
    <t xml:space="preserve">                Change in Deferred Assets/Liabilities</t>
  </si>
  <si>
    <t xml:space="preserve">                Change in Other Current Liabilities</t>
  </si>
  <si>
    <t xml:space="preserve">                Change in Other Operating Capital</t>
  </si>
  <si>
    <t xml:space="preserve">                Total Changes in Operating Capital</t>
  </si>
  <si>
    <t xml:space="preserve">            Total Cash Generated from Operating Activities</t>
  </si>
  <si>
    <t xml:space="preserve">        Dividend Received, CFO Indirect</t>
  </si>
  <si>
    <t xml:space="preserve">        Other Operating Cash Flow</t>
  </si>
  <si>
    <t xml:space="preserve">        Total Net Cash Flow from Continuing Operating Activities, Indirect</t>
  </si>
  <si>
    <t xml:space="preserve">    Total Cash Flow from Operating Activities, Indirect</t>
  </si>
  <si>
    <t>Cash Flow from Investing Activities</t>
  </si>
  <si>
    <t xml:space="preserve">    Cash Flow from Continuing Investing Activities</t>
  </si>
  <si>
    <t xml:space="preserve">        Capital Expenditure, Reported</t>
  </si>
  <si>
    <t xml:space="preserve">        Payment for Loan Granted and Repayments Received, Net</t>
  </si>
  <si>
    <t xml:space="preserve">        (Purchase)/Sale and Disposal of Property, Plant and Equipment, Net</t>
  </si>
  <si>
    <t xml:space="preserve">            Purchase of Property, Plant and Equipment</t>
  </si>
  <si>
    <t xml:space="preserve">            Sale and Disposal of Property, Plant and Equipment</t>
  </si>
  <si>
    <t xml:space="preserve">            Total (Purchase)/Sale and Disposal of Property, Plant and Equipment, Net</t>
  </si>
  <si>
    <t xml:space="preserve">        (Purchase)/Sale of Business, Net</t>
  </si>
  <si>
    <t xml:space="preserve">            Sale of Business</t>
  </si>
  <si>
    <t xml:space="preserve">            Total (Purchase)/Sale of Business, Net</t>
  </si>
  <si>
    <t xml:space="preserve">        (Purchase)/Sale of Investments, Net</t>
  </si>
  <si>
    <t xml:space="preserve">            Purchase of Investments</t>
  </si>
  <si>
    <t xml:space="preserve">            Sale of Investments</t>
  </si>
  <si>
    <t xml:space="preserve">            Total (Purchase)/Sale of Investments, Net</t>
  </si>
  <si>
    <t xml:space="preserve">        (Purchase)/Sale of Other Non-Current Assets, Net</t>
  </si>
  <si>
    <t xml:space="preserve">            Sales of Other Non-Current Assets</t>
  </si>
  <si>
    <t xml:space="preserve">            Total (Purchase)/Sale of Other Non-Current Assets, Net</t>
  </si>
  <si>
    <t xml:space="preserve">        Dividends Received/(Paid), CFI</t>
  </si>
  <si>
    <t xml:space="preserve">        Other Investing Cash Flow</t>
  </si>
  <si>
    <t xml:space="preserve">        Total Cash Flow from Continuing Investing Activities</t>
  </si>
  <si>
    <t xml:space="preserve">    Total Cash Flow from Investing Activities</t>
  </si>
  <si>
    <t xml:space="preserve">    Cash Flow from Continuing Financing Activities</t>
  </si>
  <si>
    <t xml:space="preserve">        Issuance of/(Payments for) Common Stock, Net</t>
  </si>
  <si>
    <t xml:space="preserve">            Proceeds from Issuance of Common Stock</t>
  </si>
  <si>
    <t xml:space="preserve">            Payments for Common Stock</t>
  </si>
  <si>
    <t xml:space="preserve">            Total Issuance of/(Payments for) Common Stock, Net</t>
  </si>
  <si>
    <t xml:space="preserve">        Issuance of/(Payments for) Preferred Stock, Net</t>
  </si>
  <si>
    <t xml:space="preserve">            Proceeds from Issuance of Preferred Stock</t>
  </si>
  <si>
    <t xml:space="preserve">            Total Issuance of/(Payments for) Preferred Stock, Net</t>
  </si>
  <si>
    <t xml:space="preserve">        Issuance of/(Repayments for) Debt, Net</t>
  </si>
  <si>
    <t xml:space="preserve">            Issuance of/(Repayments for) Short Term Debt, Net</t>
  </si>
  <si>
    <t xml:space="preserve">                Proceeds from Issuance of Short Term Debt</t>
  </si>
  <si>
    <t xml:space="preserve">                Repayments for Short Term Debt</t>
  </si>
  <si>
    <t xml:space="preserve">                Total Issuance of/(Repayments for) Short Term Debt, Net</t>
  </si>
  <si>
    <t xml:space="preserve">            Issuance of/(Repayments for) Long Term Debt, Net</t>
  </si>
  <si>
    <t xml:space="preserve">                Proceeds from Issuance of Long Term Debt</t>
  </si>
  <si>
    <t xml:space="preserve">                Repayments for Long Term Debt</t>
  </si>
  <si>
    <t xml:space="preserve">                Total Issuance of/(Repayments for) Long Term Debt, Net</t>
  </si>
  <si>
    <t xml:space="preserve">            Total Issuance of/(Repayments for) Debt, Net</t>
  </si>
  <si>
    <t xml:space="preserve">        Net Movement in Non-Controlling/Minority Interest</t>
  </si>
  <si>
    <t xml:space="preserve">        Cash Dividends and Interest Paid</t>
  </si>
  <si>
    <t xml:space="preserve">            Cash Dividends Paid</t>
  </si>
  <si>
    <t xml:space="preserve">                Common Stock Dividends Paid</t>
  </si>
  <si>
    <t xml:space="preserve">                Total Cash Dividends Paid</t>
  </si>
  <si>
    <t xml:space="preserve">            Total Cash Dividends and Interest Paid</t>
  </si>
  <si>
    <t xml:space="preserve">        Other Financing Cash Flow</t>
  </si>
  <si>
    <t xml:space="preserve">        Total Cash Flow from Continuing Financing Activities</t>
  </si>
  <si>
    <t xml:space="preserve">    Total Cash Flow from Financing Activities</t>
  </si>
  <si>
    <t>Cash and Cash Equivalents, End of Period</t>
  </si>
  <si>
    <t xml:space="preserve">    Change in Cash</t>
  </si>
  <si>
    <t xml:space="preserve">    Effect of Exchange Rate Changes</t>
  </si>
  <si>
    <t xml:space="preserve">    Cash and Cash Equivalents, Beginning of Period</t>
  </si>
  <si>
    <t xml:space="preserve">    Total Cash and Cash Equivalents, End of Period</t>
  </si>
  <si>
    <t>Cash Flow Supplemental Section</t>
  </si>
  <si>
    <t xml:space="preserve">    Change in Cash As Reported, Supplemental</t>
  </si>
  <si>
    <t xml:space="preserve">    Income Tax Paid, Supplemental</t>
  </si>
  <si>
    <t xml:space="preserve">    Income Tax Refund, Supplemental</t>
  </si>
  <si>
    <t xml:space="preserve">    Interest Paid, Supplemental</t>
  </si>
  <si>
    <t>Cash Flow Metrics</t>
  </si>
  <si>
    <t xml:space="preserve">    FCF to Firm (FCFF)</t>
  </si>
  <si>
    <t xml:space="preserve">    FCF to Equityholders (FCFE)</t>
  </si>
  <si>
    <t xml:space="preserve">    Issuance of Capital Stock</t>
  </si>
  <si>
    <t xml:space="preserve">    Issuance of Debt</t>
  </si>
  <si>
    <t xml:space="preserve">    Repayment of Debt</t>
  </si>
  <si>
    <t xml:space="preserve">    Repurchase of Capital Stock</t>
  </si>
  <si>
    <t xml:space="preserve">    FCF to CFO Ratio</t>
  </si>
  <si>
    <t xml:space="preserve">    Free Cash Flow per Share</t>
  </si>
  <si>
    <t xml:space="preserve">    Operating Cash Flow per Share</t>
  </si>
  <si>
    <t>Assumptions Page 2 - Balance Sheet (NextEra Energy)</t>
  </si>
  <si>
    <t>Weighted Average Cost of Capital Analysis</t>
  </si>
  <si>
    <t>($ in thousands)</t>
  </si>
  <si>
    <t>WACC Calculation</t>
  </si>
  <si>
    <t>Comparable Companies Unlevered Beta</t>
  </si>
  <si>
    <t>Target Capital Structure</t>
  </si>
  <si>
    <t>Predicted</t>
  </si>
  <si>
    <t xml:space="preserve">Market </t>
  </si>
  <si>
    <t>Debt/</t>
  </si>
  <si>
    <t>Marginal</t>
  </si>
  <si>
    <t>Unlevered</t>
  </si>
  <si>
    <t>Debt-to-Total Capitalization</t>
  </si>
  <si>
    <t>Company</t>
  </si>
  <si>
    <t>Value of Debt</t>
  </si>
  <si>
    <t>Value of Equity</t>
  </si>
  <si>
    <t>Tax Rate</t>
  </si>
  <si>
    <t>Beta</t>
  </si>
  <si>
    <t>Equity-to-Total Capitalization</t>
  </si>
  <si>
    <t>Cost of Debt</t>
  </si>
  <si>
    <t>Cost-of-Debt</t>
  </si>
  <si>
    <t xml:space="preserve">   After-tax Cost of Debt</t>
  </si>
  <si>
    <t xml:space="preserve">Mean </t>
  </si>
  <si>
    <t>Cost of Equity</t>
  </si>
  <si>
    <t>Risk-free Rate (1)</t>
  </si>
  <si>
    <t>Target</t>
  </si>
  <si>
    <t>Market Risk Premium (2)</t>
  </si>
  <si>
    <t>Relevered</t>
  </si>
  <si>
    <t>Kroll (formerly Duff &amp; Phelps). (2025). 2025 Cost of Capital Navigator: U.S. equity risk premium recommendation of 5.5%. Kroll, LLC; Damodaran, A. (2026, January). Country default spreads and risk premiums. NYU Stern. https://pages.stern.nyu.edu/~adamodar/</t>
  </si>
  <si>
    <t>Levered Beta</t>
  </si>
  <si>
    <t>Relevered Beta</t>
  </si>
  <si>
    <t xml:space="preserve">   Cost of Equity</t>
  </si>
  <si>
    <t>WACC Sensitivity Analysis (&amp; Beta Impact)</t>
  </si>
  <si>
    <t>Pre-tax Cost of Debt</t>
  </si>
  <si>
    <t xml:space="preserve">   WACC</t>
  </si>
  <si>
    <t>(2) Duff &amp; Phelps 2025 Cost of Capital Navigator; Damodaran ERP Jan 2026</t>
  </si>
  <si>
    <t>WACC</t>
  </si>
  <si>
    <t>Implied Share Price</t>
  </si>
  <si>
    <t>Beta Sensitivity Note:</t>
  </si>
  <si>
    <t>NextEraEnergy, Inc.</t>
  </si>
  <si>
    <t>Duke Energy Corp.</t>
  </si>
  <si>
    <t>Southern Company</t>
  </si>
  <si>
    <t>Dominion Energy, Inc.</t>
  </si>
  <si>
    <t>Eversource Energy</t>
  </si>
  <si>
    <t>Xcel Energy Inc.</t>
  </si>
  <si>
    <t>Kroll. (2025). Cost of Capital Navigator: Duke Energy Corp. (DUK) 5-year beta. Yahoo Finance. (2026). DUK market cap. https://finance.yahoo.com/quote/DUK</t>
  </si>
  <si>
    <t>Kroll. (2025). Cost of Capital Navigator: Southern Company (SO) 5-year beta. Yahoo Finance. (2026). SO market cap. https://finance.yahoo.com/quote/SO</t>
  </si>
  <si>
    <t>Kroll. (2025). Cost of Capital Navigator: Dominion Energy (D) 5-year beta. Yahoo Finance. (2026). D market cap. https://finance.yahoo.com/quote/D</t>
  </si>
  <si>
    <t>Kroll. (2025). Cost of Capital Navigator: Eversource Energy (ES) 5-year beta. Yahoo Finance. (2026). ES market cap. https://finance.yahoo.com/quote/ES</t>
  </si>
  <si>
    <t>Kroll. (2025). Cost of Capital Navigator: Xcel Energy (XEL) 5-year beta. Yahoo Finance. (2026). XEL market cap. https://finance.yahoo.com/quote/XEL</t>
  </si>
  <si>
    <t>NextEra Energy, Inc. (2025). Form 10-K for FY 2025: Note on income taxes — normalized effective rate ~21%, p. 134. U.S. SEC EDGAR.</t>
  </si>
  <si>
    <t>NextEra Energy, Inc. (2026). Form 10-K for FY 2025: Long-term debt, p. 75. SEC EDGAR; Yahoo Finance. (2026, March 20). NEE market capitalization. https://finance.yahoo.com/quote/NEE</t>
  </si>
  <si>
    <t>Board of Governors of the Federal Reserve System. (2026, March 10). Selected interest rates (H.15 release): 10-Year Treasury constant maturity yield = 4.50%. https://www.federalreserve.gov/releases/h15/</t>
  </si>
  <si>
    <t>Kroll (formerly Duff &amp; Phelps). (2025). 2025 Cost of Capital Navigator: Large-cap size premium = 0.0% (NEE market cap ~$120B). Kroll, LLC.</t>
  </si>
  <si>
    <t>(1) 10-Year U.S. Treasury yield, ~4.50% as of March 2026 (Federal Reserve H.15)</t>
  </si>
  <si>
    <t>Levered Beta (3)</t>
  </si>
  <si>
    <t>(3)  Peer beta from Kroll/Yahoo Finance (5-Year Monthly, adjusted betas)</t>
  </si>
  <si>
    <t>Sources: Yahoo Finance NEE Beta (5Y Monthly); Kroll Cost of Capital Navigator 2025.</t>
  </si>
  <si>
    <t>Sales</t>
  </si>
  <si>
    <t xml:space="preserve">   % growth</t>
  </si>
  <si>
    <t>NA</t>
  </si>
  <si>
    <t>Cost of Goods Sold</t>
  </si>
  <si>
    <t xml:space="preserve">   % margin</t>
  </si>
  <si>
    <t>EBITDA</t>
  </si>
  <si>
    <t>Depreciation &amp; Amortization</t>
  </si>
  <si>
    <t>EBIT</t>
  </si>
  <si>
    <t>Taxes</t>
  </si>
  <si>
    <t>EBIAT</t>
  </si>
  <si>
    <t>Plus: Depreciation &amp; Amortization</t>
  </si>
  <si>
    <t>Less: Inc./(Dec.) in Net Working Capital</t>
  </si>
  <si>
    <t>Unlevered Free Cash Flow</t>
  </si>
  <si>
    <t xml:space="preserve">   Discount Period</t>
  </si>
  <si>
    <t xml:space="preserve">   Discount Factor</t>
  </si>
  <si>
    <t>Mid-Year Convention</t>
  </si>
  <si>
    <t>Y</t>
  </si>
  <si>
    <t>Historical Period</t>
  </si>
  <si>
    <t>CAGR</t>
  </si>
  <si>
    <t>('25 - '30)</t>
  </si>
  <si>
    <t>Assumptions</t>
  </si>
  <si>
    <t>COGS (% sales)</t>
  </si>
  <si>
    <t>Working Capital (% sales)</t>
  </si>
  <si>
    <t>NextEra Energy, Inc. (2025). Form 10-K FY2024, Consolidated Balance Sheet — Materials, supplies and fuel inventory; SEC EDGAR</t>
  </si>
  <si>
    <t>NextEra Energy, Inc. (2025). Form 10-K FY2024, Consolidated Balance Sheet — Regulatory assets (current) + Prepaid expenses; SEC EDGAR</t>
  </si>
  <si>
    <t>NextEra Energy, Inc. (2025). Form 10-K FY2024, Consolidated Balance Sheet — Accounts payable; SEC EDGAR</t>
  </si>
  <si>
    <t xml:space="preserve">NextEra Energy, Inc. (2025). Form 10-K FY2024, Consolidated Balance Sheet — Other current liabilities; SEC EDGAR </t>
  </si>
  <si>
    <t>Working Capital Projections</t>
  </si>
  <si>
    <t>Accounts Receivable</t>
  </si>
  <si>
    <t>Inventories</t>
  </si>
  <si>
    <t>Prepaid Expenses and Other</t>
  </si>
  <si>
    <t xml:space="preserve">   Total Current Assets</t>
  </si>
  <si>
    <t>Accounts Payable</t>
  </si>
  <si>
    <t>Accrued Liabilities</t>
  </si>
  <si>
    <t>Other Current Liabilities</t>
  </si>
  <si>
    <t xml:space="preserve">   Total Current Liabilities</t>
  </si>
  <si>
    <t xml:space="preserve">   Net Working Capital</t>
  </si>
  <si>
    <t xml:space="preserve">   % sales</t>
  </si>
  <si>
    <t xml:space="preserve">   (Increase) / Decrease in NWC</t>
  </si>
  <si>
    <t>Days Sales Outstanding</t>
  </si>
  <si>
    <t>Days Inventory Held</t>
  </si>
  <si>
    <t>Prepaids and Other CA (% of sales)</t>
  </si>
  <si>
    <t>Days Payable Outstanding</t>
  </si>
  <si>
    <t>Accrued Liabilities (% of sales)</t>
  </si>
  <si>
    <t>NextEra Energy, Inc.</t>
  </si>
  <si>
    <t>NextEra Energy, Inc. (2025). Form 10-K for FY 2024: Accrued expenses, p. 70. SEC EDGAR.</t>
  </si>
  <si>
    <t>Base: In line with historical averages
Upside: as the company grows, it carries higher acrrued payroll fees, which are sources of internal financing
Management: reflecting accruals for legal, tax and employment obligations
Downsides (1 &amp; 2): assumes more efficient settlement of employee bonuses and reduced leverage with distributors to maintain trust</t>
  </si>
  <si>
    <t>($ amount, fiscal year ending December 31)</t>
  </si>
  <si>
    <t>('20 - '25)</t>
  </si>
  <si>
    <t>Less: Maintenance Capital Expenditures</t>
  </si>
  <si>
    <t>Maintenance Capital Expenditures (% sales)</t>
  </si>
  <si>
    <t>NextEra Energy, Inc. (2026). Form 10-K for FY 2025: Total gross CapEx $24,606M (FY2025=89.8% rev), $24,729M (FY2024=99.9%), $25,113M (FY2023=102.4%). D&amp;A FY2025=$6,580M (18.0% rev). DCF uses maintenance CapEx ≈ D&amp;A; growth CapEx captured in 14x EV/EBITDA exit multiple. SEC EDGAR nee-20251231.htm p. 45.</t>
  </si>
  <si>
    <t>Base: maintenance CapEx ≈ D&amp;A (~18.5% of revenue); growth CapEx ($24.6B gross actual) — standard regulated utility DCF methodology
Upside: scale and newer renewable asset base (longer lives, lower O&amp;M) reduces maintenance intensity slightly below D&amp;A; full growth program priced in exit multiple
Management: FPL best-in-class O&amp;M (71% below industry avg.) lowers structural maintenance run-rate; exit multiple reflects full $90–100B FPL investment plan through 2032
Downside 1: elevated maintenance CapEx from aging fossil fleet and increased storm hardening requirements post-hurricane; above-D&amp;A maintenance needs erode UFCF
Downside 2: severe — emergency asset restoration and grid hardening post-storm; stranded fossil asset reinvestment; maintenance CapEx materially exceeds D&amp;A</t>
  </si>
  <si>
    <t>Enterprise Value</t>
  </si>
  <si>
    <t>Implied Equity Value and Share Price</t>
  </si>
  <si>
    <t>Implied Perpetuity Growth Rate</t>
  </si>
  <si>
    <t>Cumulative Present Value of FCF</t>
  </si>
  <si>
    <t>Less: Total Debt</t>
  </si>
  <si>
    <t>Terminal Value</t>
  </si>
  <si>
    <t>Less: Preferred Stock</t>
  </si>
  <si>
    <t>Less: Noncontrolling Interest</t>
  </si>
  <si>
    <t>Exit Multiple</t>
  </si>
  <si>
    <t>Plus: Cash and Cash Equivalents</t>
  </si>
  <si>
    <t xml:space="preserve">   Terminal Value</t>
  </si>
  <si>
    <t>Discount Factor</t>
  </si>
  <si>
    <t xml:space="preserve">   Implied Equity Value</t>
  </si>
  <si>
    <t>Implied EV/EBITDA</t>
  </si>
  <si>
    <t xml:space="preserve">   Present Value of Terminal Value</t>
  </si>
  <si>
    <t xml:space="preserve">   % of Enterprise Value</t>
  </si>
  <si>
    <t>Fully Diluted Shares Outstanding</t>
  </si>
  <si>
    <t xml:space="preserve">   Enterprise Value</t>
  </si>
  <si>
    <t xml:space="preserve">   Implied Share Price</t>
  </si>
  <si>
    <t>PitchBook Data, Inc. (2026, March 19). Public company financials: NextEra Energy, Inc. — Revenue FY2020–2025. PitchBook.</t>
  </si>
  <si>
    <t>PitchBook Data, Inc. (2026). NEE Total Cost of Revenue FY2020–2025. PitchBook.</t>
  </si>
  <si>
    <t>NextEra Energy Relevered Beta</t>
  </si>
  <si>
    <t>PitchBook Data, Inc. (2026). NEE Depreciation &amp; Amortization FY2020–2025. PitchBook.</t>
  </si>
  <si>
    <t>NextEra Energy, Inc. (2026). Form 10-K for FY 2025, Balance Sheet: Cash and cash equivalents = $2.812 M</t>
  </si>
  <si>
    <t>NextEra Energy, Inc. (2026). Form 10-K for FY 2025, p. 75: Income tax provision. PitchBook reported effective tax rates: FY20=31.3%, FY21=28.2%, FY22=27.7%, FY23=29%, FY24=22%, FY25=22%</t>
  </si>
  <si>
    <t>PitchBook Data, Inc. (2026). NEE Total Debt Maturity Schedule FY2025 = $95.619 M + Current Portion of Long-Term Debt $ = $3.5 M (after adjustments).</t>
  </si>
  <si>
    <t>PitchBook Data, Inc. (2026). NEE Noncontrolling Interest FY2025 = $11.871 M</t>
  </si>
  <si>
    <t>FinanceCharts (2026, March). NextEra Energy (NEE) EV-to-EBITDA ratio: current 19.03x, 3-year average 17.74x, 5-year average 19.53x. Retrieved from https://www.financecharts.com/stocks/NEE/value/ev-to-ebitda.</t>
  </si>
  <si>
    <t>PitchBook Data, Inc. (2026). NEE Diluted Weighted Average Shares Outstanding FY2025  = $2070 M/1000</t>
  </si>
  <si>
    <t>PitchBook Data, Inc. (2026). NEE LTM 03/19/2026 FY2025  = $2070 M/1000</t>
  </si>
  <si>
    <t>LTM 3/19/2026 EBITDA</t>
  </si>
  <si>
    <t>PitchBook Data, Inc. (2026). NEE Maintenance Capital Expenditures (Purchase of PP&amp;E) FY2020–2025. PitchBook.</t>
  </si>
  <si>
    <t xml:space="preserve">DCF Valuation &amp; Sensitivity Analysis </t>
  </si>
  <si>
    <t>Sensitivity Analysis</t>
  </si>
  <si>
    <t>Implied Enterprise Value / LTM EBITDA</t>
  </si>
  <si>
    <t>PV of Terminal Value % of Enterprise Value</t>
  </si>
  <si>
    <t>NextEra Energy, Inc (NEE)</t>
  </si>
  <si>
    <t>Strategic Evaluation</t>
  </si>
  <si>
    <t>Comparison of Implied Value vs. Market Price</t>
  </si>
  <si>
    <t>Interpretation:</t>
  </si>
  <si>
    <t>Under the Base Case scenario (Operating Scenario 1), the DCF model implies an intrinsic value per share</t>
  </si>
  <si>
    <t>fundamental cash flow generation under conservative assumptions.</t>
  </si>
  <si>
    <t>Scenario Analysis — Does the Relationship Change?</t>
  </si>
  <si>
    <t>The Operating Scenario toggle (cell D4) allows switching between 5 scenarios:</t>
  </si>
  <si>
    <t>Beta Sensitivity: The WACC sensitivity table on the WACC sheet (rows 27-31) shows how changes</t>
  </si>
  <si>
    <t>would reduce WACC by ~200bps, increasing the implied share price by 20-30%, potentially closing</t>
  </si>
  <si>
    <t>Current Market Price (as of March 19, 2026):</t>
  </si>
  <si>
    <t>Yahoo Finance / NYSE. (2026, March 19). NextEra Energy, Inc. (NEE) closing price: $92.41. Retrieved from https://finance.yahoo.com/quote/NEE/history/</t>
  </si>
  <si>
    <t>below the current market price of $91.95, suggesting the stock may be overvalued relative to</t>
  </si>
  <si>
    <t xml:space="preserve">  Scenario 1 (Base): Moderate growth (8%→6%). Revenue CAGR ~6.8%. Likely undervalues vs. market.</t>
  </si>
  <si>
    <t xml:space="preserve">  Scenario 2 (Upside): Faster growth (10%→7%). Revenue CAGR ~8.2%. May approach market price.</t>
  </si>
  <si>
    <t xml:space="preserve">  Scenario 3 (Management): Aggressive (11%→7%). Revenue CAGR ~9%. Could exceed market price.</t>
  </si>
  <si>
    <t xml:space="preserve">  Scenario 4 (Downside 1): Slower growth (6%→4%). Revenue CAGR ~4.8%. Significantly below market.</t>
  </si>
  <si>
    <t xml:space="preserve">  Scenario 5 (Downside 2): Near-stagnation (4%→3%). Revenue CAGR ~3.2%. Deep discount to market.</t>
  </si>
  <si>
    <t>the Management/Upside scenario, reflecting confidence in NextEra Energy's unit growth (new projects),</t>
  </si>
  <si>
    <t>momentum, and efficient operating leverage.</t>
  </si>
  <si>
    <t>in the debt-to-capital ratio and pre-tax cost of debt affect WACC. A lower beta (e.g., 0.25 vs. 0.55)</t>
  </si>
  <si>
    <t>the gap with the market price. Conversely, a beta of 0.45 would widen the discount further.</t>
  </si>
  <si>
    <t>Market Risk Premium</t>
  </si>
  <si>
    <t>Enterprise Value 1</t>
  </si>
  <si>
    <t>Enterprise Value 2</t>
  </si>
  <si>
    <t>Comparables</t>
  </si>
  <si>
    <t xml:space="preserve">Market Cap </t>
  </si>
  <si>
    <t>P/E (trailing)</t>
  </si>
  <si>
    <t>P/E (forward)</t>
  </si>
  <si>
    <t>PEG ratio (5ys)</t>
  </si>
  <si>
    <t>P/S</t>
  </si>
  <si>
    <t>P/B</t>
  </si>
  <si>
    <t>EV/EBITDA</t>
  </si>
  <si>
    <t>EPS</t>
  </si>
  <si>
    <t>Ticker</t>
  </si>
  <si>
    <t>DUK</t>
  </si>
  <si>
    <t>SO</t>
  </si>
  <si>
    <t xml:space="preserve">D </t>
  </si>
  <si>
    <t>ES</t>
  </si>
  <si>
    <t>XEL</t>
  </si>
  <si>
    <t>Weighted Avg. by Market Cap</t>
  </si>
  <si>
    <t>Calculating Target Value Using Comparable Companies</t>
  </si>
  <si>
    <t>Equity Value  of the Target Co. Using Comp Multiples</t>
  </si>
  <si>
    <t>Book Value</t>
  </si>
  <si>
    <t xml:space="preserve">Earnings Trailing </t>
  </si>
  <si>
    <t>Earnings Forward</t>
  </si>
  <si>
    <t xml:space="preserve">Proj 5 Year Earnings Growth </t>
  </si>
  <si>
    <t>Debt</t>
  </si>
  <si>
    <t>StockAnalysis.com. (2026, March). Duke Energy Corporation (DUK) statistics &amp; valuation. StockAnalysis. https://stockanalysis.com/stocks/duk/statistics/</t>
  </si>
  <si>
    <t>StockAnalysis.com. (2026, January). The Southern Company (SO) statistics &amp; valuation. StockAnalysis. https://stockanalysis.com/stocks/so/statistics/</t>
  </si>
  <si>
    <t>StockAnalysis.com. (2026, March). Dominion Energy, Inc. (D) statistics &amp; valuation. StockAnalysis. https://stockanalysis.com/stocks/d/statistics/</t>
  </si>
  <si>
    <t>StockAnalysis.com. (2026, March). Eversource Energy (ES) statistics &amp; valuation. StockAnalysis. https://stockanalysis.com/stocks/es/statistics/</t>
  </si>
  <si>
    <t>StockAnalysis.com. (2026, March). Xcel Energy Inc. (XEL) statistics &amp; valuation. StockAnalysis. https://stockanalysis.com/stocks/xel/statistics/</t>
  </si>
  <si>
    <t>Financial Statistics for NextEra Energy, INC</t>
  </si>
  <si>
    <t>StockAnalysis.com. (2026, January 27). NextEra Energy, Inc. (NEE) statistics &amp; valuation. StockAnalysis. https://stockanalysis.com/stocks/nee/statistics/</t>
  </si>
  <si>
    <t>StockAnalysis.com. (n.d.). NextEra Energy, Inc. (NEE) statistics &amp; valuation. StockAnalysis. Retrieved March 27, 2026, from https://stockanalysis.com/stocks/nee/statistics/</t>
  </si>
  <si>
    <t>Equity Value by P/S multiple</t>
  </si>
  <si>
    <t>Equity Value by P/B multiple</t>
  </si>
  <si>
    <t>Equity Value by P/E multiple (trailing)</t>
  </si>
  <si>
    <t>Equity Value by P/E multiple (forward)</t>
  </si>
  <si>
    <t>Equity Value by EV/ EBITDA multiple</t>
  </si>
  <si>
    <t>Equity Value by P/E to 5 Year Earn (F) Growth (PEG)</t>
  </si>
  <si>
    <t>(in $ millions amount)</t>
  </si>
  <si>
    <t>Market Weighted Average (in $ millions amount)</t>
  </si>
  <si>
    <t>Average Multiples (in $ millions amount)</t>
  </si>
  <si>
    <t>Median Multiples (in $ millions amount)</t>
  </si>
  <si>
    <t>Average (No weighting)</t>
  </si>
  <si>
    <t>Equity Valuation Using Comparable Companies</t>
  </si>
  <si>
    <t>Amounts in USD millions, years ended december 31</t>
  </si>
  <si>
    <t>2026 E</t>
  </si>
  <si>
    <t>2027 E</t>
  </si>
  <si>
    <t>2028 E</t>
  </si>
  <si>
    <t>2029 E</t>
  </si>
  <si>
    <t>Operating revenues</t>
  </si>
  <si>
    <t>Operating expenses (COGS)</t>
  </si>
  <si>
    <t>Gross profit</t>
  </si>
  <si>
    <t>Expenses:</t>
  </si>
  <si>
    <t>Depreciation and amortization</t>
  </si>
  <si>
    <t>Income from operations</t>
  </si>
  <si>
    <t>Interest Expense</t>
  </si>
  <si>
    <t>Income before income taxes</t>
  </si>
  <si>
    <t>Income tax expense</t>
  </si>
  <si>
    <t>Consolidated net income</t>
  </si>
  <si>
    <t>Basic earnings per common share</t>
  </si>
  <si>
    <t xml:space="preserve">  EPS Growth</t>
  </si>
  <si>
    <t>Growth Rate</t>
  </si>
  <si>
    <t>Percent of Sales</t>
  </si>
  <si>
    <t>2025 A</t>
  </si>
  <si>
    <t>2030 E</t>
  </si>
  <si>
    <t>Cash and cash equivalents</t>
  </si>
  <si>
    <t>Accounts and other receivable, net</t>
  </si>
  <si>
    <t>Other current assets</t>
  </si>
  <si>
    <t>Excess cash</t>
  </si>
  <si>
    <t>Total current assets</t>
  </si>
  <si>
    <t>Property and equipment, net</t>
  </si>
  <si>
    <t>Other non-current assets</t>
  </si>
  <si>
    <t>Total assets</t>
  </si>
  <si>
    <t>Accounts payable</t>
  </si>
  <si>
    <t>Accrued liabilities</t>
  </si>
  <si>
    <t>Deferred revenues</t>
  </si>
  <si>
    <t>Current portion of long-term debt</t>
  </si>
  <si>
    <t>Total current liabilities</t>
  </si>
  <si>
    <t>Long-term debt, less current portion</t>
  </si>
  <si>
    <t>Other non-current liabilities</t>
  </si>
  <si>
    <t>Total liabilities</t>
  </si>
  <si>
    <t>Additional paid-in capital</t>
  </si>
  <si>
    <t>Retained earnings</t>
  </si>
  <si>
    <t>Accumulated other comprehensive income (loss)</t>
  </si>
  <si>
    <t>Non controlling interests</t>
  </si>
  <si>
    <t>Total equity</t>
  </si>
  <si>
    <t>Total liabilities &amp; equity</t>
  </si>
  <si>
    <t>1.1 Income Statement Forecast Assumptions</t>
  </si>
  <si>
    <t>2.1 Balance Sheet Forecast Assumptions</t>
  </si>
  <si>
    <t>Inventories and Fuel Stock</t>
  </si>
  <si>
    <t>Bloomberg Intelligence. (2025). Utility sector outlook: Rate base growth as the primary driver of EPS. Bloomberg Terminal.</t>
  </si>
  <si>
    <t>Percent of Sales, our assumptions indicate it will grow as the same rate as sales</t>
  </si>
  <si>
    <t>3. Statement of Cash Flows</t>
  </si>
  <si>
    <t>Depreciation, depletion and amortization</t>
  </si>
  <si>
    <t>Change in current assets</t>
  </si>
  <si>
    <t>Change in current liabilities</t>
  </si>
  <si>
    <t>Net cash provided by operating activities</t>
  </si>
  <si>
    <t>Capital expenditures</t>
  </si>
  <si>
    <t>Other, net (investing)</t>
  </si>
  <si>
    <t>Net cash used in investing activities</t>
  </si>
  <si>
    <t>New borrowings</t>
  </si>
  <si>
    <t>Debt repayments</t>
  </si>
  <si>
    <t>Common stock repurchase program</t>
  </si>
  <si>
    <t>Dividends paid</t>
  </si>
  <si>
    <t>Net cash provided by (used in) financing activities</t>
  </si>
  <si>
    <t>Net increase (decrease) in cash</t>
  </si>
  <si>
    <t>Cash at beginning of year</t>
  </si>
  <si>
    <t>Cash at end of year</t>
  </si>
  <si>
    <t>*Combined with increase sales and tax credits as mentioned in the report</t>
  </si>
  <si>
    <t>NextEra Energy, Inc. (2026, January 27). NextEra Energy reports fourth-quarter and full-year 2025 financial results [Press release]. https://www.investor.nexteraenergy.com/news-and-events/news-releases/2026/01-27-2026</t>
  </si>
  <si>
    <t>U.S. Environmental Protection Agency. (2025, January). Summary of Inflation Reduction Act provisions related to renewable energy. https://www.epa.gov/green-power-markets/summary-inflation-reduction-act-provisions-related-renewable-energy</t>
  </si>
  <si>
    <t xml:space="preserve">Exclude both Cash and Cash Equivalents and Excess Cash </t>
  </si>
  <si>
    <t xml:space="preserve">Exclude Current portion of Long Term Debt </t>
  </si>
  <si>
    <t>Common stock,</t>
  </si>
  <si>
    <t>No changes in Common Stock</t>
  </si>
  <si>
    <t>Total NEE Stockholders equity</t>
  </si>
  <si>
    <t>Assuming a debt repayment of 10% every year</t>
  </si>
  <si>
    <t>3.1 Cash Flow Forecast Assumptions</t>
  </si>
  <si>
    <t>Dividend payment will increase at the same rate as FY2025</t>
  </si>
  <si>
    <t>-</t>
  </si>
  <si>
    <t xml:space="preserve">   Present Value of Free Cash Flow for Firm</t>
  </si>
  <si>
    <t>4. Financial ratios</t>
  </si>
  <si>
    <t>1. Liquidity (Safety)</t>
  </si>
  <si>
    <t>Current ratio</t>
  </si>
  <si>
    <t>Quick ratio</t>
  </si>
  <si>
    <t>Accounts Receivable Turnover</t>
  </si>
  <si>
    <t>Days in Receivable</t>
  </si>
  <si>
    <t>Accounts Payable Turnover</t>
  </si>
  <si>
    <t>Days in Payable</t>
  </si>
  <si>
    <t>2. Productivity (Efficiency)</t>
  </si>
  <si>
    <t>Inventory Turnover</t>
  </si>
  <si>
    <t>Days in Inventory</t>
  </si>
  <si>
    <t>Total Asset Turnover</t>
  </si>
  <si>
    <t>Total Fixed Asset Turnover</t>
  </si>
  <si>
    <t>3. Profitability (Performance)</t>
  </si>
  <si>
    <t>Gross margin (%)</t>
  </si>
  <si>
    <t>Operating profit margin (%)</t>
  </si>
  <si>
    <t>Return on Average Asset (%)</t>
  </si>
  <si>
    <t>Return on Sales, net profit margin (%)</t>
  </si>
  <si>
    <t>4. Insolvency (leverage)</t>
  </si>
  <si>
    <t>Total debt</t>
  </si>
  <si>
    <t>Asset to Equity</t>
  </si>
  <si>
    <t>Debt to Equity</t>
  </si>
  <si>
    <t>Times Interest Earned (Operating Income/Interest)</t>
  </si>
  <si>
    <t>5. DuPont Analysis (ROE break-down)</t>
  </si>
  <si>
    <t>Asset Turnover</t>
  </si>
  <si>
    <t>Return on Equity (%)</t>
  </si>
  <si>
    <t>6. Cash Conversion Cycle (CCC)</t>
  </si>
  <si>
    <t>CCC</t>
  </si>
  <si>
    <t>Formula</t>
  </si>
  <si>
    <t>Total Current Assets / Total Current Liabilities</t>
  </si>
  <si>
    <t>(Total Current Assets - Inventories) / Total Current Liabilities</t>
  </si>
  <si>
    <t>Revenue / Average Accounts Receivable</t>
  </si>
  <si>
    <t>365 / Accounts Receivable Turnover</t>
  </si>
  <si>
    <t>COGS / Average Accounts Payable</t>
  </si>
  <si>
    <t>365 / Accounts Payable Turnover</t>
  </si>
  <si>
    <t>COGS / Average Inventory</t>
  </si>
  <si>
    <t>365 / Inventory Turnover</t>
  </si>
  <si>
    <t>Revenue / Average Total Assets</t>
  </si>
  <si>
    <t>Revenue / Average Net PP&amp;E</t>
  </si>
  <si>
    <t>Gross Profit / Revenue</t>
  </si>
  <si>
    <t>Operating Income / Revenue</t>
  </si>
  <si>
    <t>Net Income / Average Total Assets</t>
  </si>
  <si>
    <t>Net Income / Revenue</t>
  </si>
  <si>
    <t>Short Term Debt + Long Term Debt</t>
  </si>
  <si>
    <t>Total Assets / Total Equity</t>
  </si>
  <si>
    <t>Total Liabilities / Total Equity</t>
  </si>
  <si>
    <t>Operating Income / Interest Expense</t>
  </si>
  <si>
    <t>Net Profit Margin * Asset Turnover * Asset to Equity</t>
  </si>
  <si>
    <t>Days in Inventory + Days in Receivable - Days in Payable</t>
  </si>
  <si>
    <t xml:space="preserve">   Present Value of Unlevered Free Cash Flow for Firm</t>
  </si>
  <si>
    <t>Interest after tax</t>
  </si>
  <si>
    <t>UFCFF</t>
  </si>
  <si>
    <t>FCFF</t>
  </si>
  <si>
    <t>FCFE</t>
  </si>
  <si>
    <t>Enterprise Value Using Exit Multiples</t>
  </si>
  <si>
    <t>Free Cash Flow to Firm (FCFF)</t>
  </si>
  <si>
    <t>Free Cash Flow to Equity (FCFE)</t>
  </si>
  <si>
    <t xml:space="preserve">   Present Value of Terminal Value (FCFF)</t>
  </si>
  <si>
    <t xml:space="preserve">   Present Value of Terminal Value (FCFE)</t>
  </si>
  <si>
    <t>Change in Debt</t>
  </si>
  <si>
    <t>Implied Share Price (Base Case, Scenario 1) FCFF:</t>
  </si>
  <si>
    <t>Implied Share Price (Base Case, Scenario 1) UFCFF:</t>
  </si>
  <si>
    <t>Implied Share Price (Base Case, Scenario 1) FCFE:</t>
  </si>
  <si>
    <t>Price</t>
  </si>
  <si>
    <t>Premium/(Discount) to Current Market Price</t>
  </si>
  <si>
    <t>Key Insight: The current market price of ~$92.41 implies the market is pricing in growth closer to</t>
  </si>
  <si>
    <t>No changes in Other non-current liabilities</t>
  </si>
  <si>
    <t>Current levered beta = 0.41. Each 0.1 change in beta changes Ke by ~55bps and WACC by ~34bps.</t>
  </si>
  <si>
    <t>Beta = 0.41 → WACC ≈ 5.75% → Implied price ~$95.58</t>
  </si>
  <si>
    <t xml:space="preserve">  Discount Factor = 1/(1+WACC)^t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</si>
</sst>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6">
    <numFmt numFmtId="8" formatCode="&quot;$&quot;#,##0.00_);[Red]\(&quot;$&quot;#,##0.00\)"/>
    <numFmt numFmtId="43" formatCode="_(* #,##0.00_);_(* \(#,##0.00\);_(* &quot;-&quot;??_);_(@_)"/>
    <numFmt numFmtId="164" formatCode="0.0%"/>
    <numFmt numFmtId="165" formatCode="0.0%;\-0.0%;@_)"/>
    <numFmt numFmtId="166" formatCode="&quot;Year &quot;0"/>
    <numFmt numFmtId="167" formatCode="0000"/>
    <numFmt numFmtId="168" formatCode="_(* #,##0.0%;_(* \(#,##0.0%\);_(* &quot;- %&quot;_);_(* @_%_)"/>
    <numFmt numFmtId="169" formatCode="* _(#,##0.0%_);* \(#,##0.0%\);* _(\-?_);_(@_)"/>
    <numFmt numFmtId="170" formatCode="* _(##,##0.0_);[Red]* \(##,##0.0\);* _(\-?_);_(@_)"/>
    <numFmt numFmtId="171" formatCode="_(* #,##0.00%;_(* \(#,##0.00%\);_(* &quot;- %&quot;_);_(* @_%_)"/>
    <numFmt numFmtId="172" formatCode="#,##0;[Red]\(#,##0\)"/>
    <numFmt numFmtId="173" formatCode="#,##0.00;[Red]\(#,##0.00\)"/>
    <numFmt numFmtId="174" formatCode="#,##0.00%;[Red]\-#,##0.00%"/>
    <numFmt numFmtId="175" formatCode="[$-409]#,##0.00_);[Red]\(#,##0.00\)"/>
    <numFmt numFmtId="176" formatCode="* _(##,##0.00_);[Red]* \(##,##0.00\);* _(\-?_);_(@_)"/>
    <numFmt numFmtId="177" formatCode="* _(\$##,##0.0_);[Red]* &quot;($&quot;##,##0.0\);* _(\-?_);_(@_)"/>
    <numFmt numFmtId="178" formatCode="* _(##,##0_);[Red]* \(##,##0\);* _(\-?_);_(@_)"/>
    <numFmt numFmtId="179" formatCode="#,##0.00;\(#,##0.00\);_(* \-_)"/>
    <numFmt numFmtId="180" formatCode="#,##0.0_);[Red]\(#,##0.0\)"/>
    <numFmt numFmtId="181" formatCode="0.00_);[Red]\(0.00\)"/>
    <numFmt numFmtId="182" formatCode="_(* #,##0.0_);_(* \(#,##0.0\);_(* \-?_);_(@_)"/>
    <numFmt numFmtId="183" formatCode="\$#,##0.0_);&quot;($&quot;#,##0.0\)"/>
    <numFmt numFmtId="184" formatCode="_(* #,##0.00_);_(* \(#,##0.00\);_(* \-?_);_(@_)"/>
    <numFmt numFmtId="185" formatCode="\$#,##0.0_);[Red]&quot;($&quot;#,##0.0\)"/>
    <numFmt numFmtId="186" formatCode="_(* #,##0.0%_);_(* \(#,##0.0%\);_(* &quot;--- %&quot;_);_(* @_%_)"/>
    <numFmt numFmtId="187" formatCode="_(* #,##0.0_);_(* \(#,##0.0\);_(* &quot;-&quot;?_);_(@_)"/>
    <numFmt numFmtId="192" formatCode="#,##0.0&quot; x&quot;"/>
    <numFmt numFmtId="193" formatCode="_(* #,##0.00_);_(* \(#,##0.00\);_(* \-??_);_(@_)"/>
    <numFmt numFmtId="194" formatCode="_(* #,##0.0\x;_(* \(#,##0.0&quot;x)&quot;;_(* &quot;- x&quot;_);_(* @_%_)"/>
    <numFmt numFmtId="195" formatCode="&quot;$&quot;#,##0.00"/>
    <numFmt numFmtId="200" formatCode="0.0\x"/>
    <numFmt numFmtId="201" formatCode="\$#,##0_);[Red]&quot;($&quot;#,##0\)"/>
    <numFmt numFmtId="203" formatCode="* _(#,##0.00%_);* \(#,##0.00%\);* _(\-?_);_(@_)"/>
    <numFmt numFmtId="204" formatCode="\$#,##0.00"/>
    <numFmt numFmtId="205" formatCode="* _(\$##,##0.00_);[Red]* &quot;($&quot;##,##0.00\);* _(\-?_);_(@_)"/>
    <numFmt numFmtId="211" formatCode="_(* #,##0_);_(* \(#,##0\);_(* &quot;-&quot;??_);_(@_)"/>
  </numFmts>
  <fonts count="89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  <charset val="1"/>
    </font>
    <font>
      <sz val="48"/>
      <name val="Franklin Gothic Medium Cond"/>
      <family val="2"/>
      <charset val="1"/>
    </font>
    <font>
      <sz val="10"/>
      <color rgb="FF0000FF"/>
      <name val="Arial"/>
      <family val="2"/>
      <charset val="1"/>
    </font>
    <font>
      <i/>
      <sz val="26"/>
      <name val="Garamond"/>
      <family val="1"/>
      <charset val="1"/>
    </font>
    <font>
      <sz val="24"/>
      <name val="Franklin Gothic Medium Cond"/>
      <family val="2"/>
      <charset val="1"/>
    </font>
    <font>
      <sz val="18"/>
      <name val="Garamond"/>
      <family val="1"/>
      <charset val="1"/>
    </font>
    <font>
      <b/>
      <sz val="10"/>
      <name val="Arial"/>
      <family val="2"/>
      <charset val="1"/>
    </font>
    <font>
      <sz val="10"/>
      <name val="Arial Narrow"/>
      <family val="2"/>
      <charset val="1"/>
    </font>
    <font>
      <b/>
      <sz val="12"/>
      <color rgb="FFFFFFFF"/>
      <name val="Arial"/>
      <family val="2"/>
      <charset val="1"/>
    </font>
    <font>
      <b/>
      <sz val="9"/>
      <name val="Cambria"/>
      <family val="1"/>
    </font>
    <font>
      <sz val="10"/>
      <name val="Geneva"/>
      <family val="2"/>
    </font>
    <font>
      <i/>
      <sz val="10"/>
      <name val="Arial"/>
      <family val="2"/>
      <charset val="1"/>
    </font>
    <font>
      <i/>
      <sz val="8"/>
      <color rgb="FF0000CC"/>
      <name val="Cambria"/>
      <family val="1"/>
    </font>
    <font>
      <sz val="10"/>
      <name val="Arial"/>
      <family val="2"/>
    </font>
    <font>
      <b/>
      <sz val="8"/>
      <color rgb="FFFFFFFF"/>
      <name val="Verdana"/>
      <family val="2"/>
      <charset val="1"/>
    </font>
    <font>
      <b/>
      <sz val="10"/>
      <name val="Arial"/>
      <family val="2"/>
    </font>
    <font>
      <b/>
      <sz val="10"/>
      <name val="MS Sans Serif"/>
      <family val="2"/>
      <charset val="1"/>
    </font>
    <font>
      <b/>
      <i/>
      <sz val="10"/>
      <name val="Arial"/>
      <family val="2"/>
      <charset val="1"/>
    </font>
    <font>
      <sz val="10"/>
      <name val="MS Sans Serif"/>
      <family val="2"/>
      <charset val="1"/>
    </font>
    <font>
      <b/>
      <i/>
      <sz val="14"/>
      <color rgb="FF000000"/>
      <name val="Open Sans"/>
      <family val="2"/>
    </font>
    <font>
      <sz val="8"/>
      <color rgb="FF000000"/>
      <name val="Open Sans"/>
      <family val="2"/>
    </font>
    <font>
      <b/>
      <sz val="16"/>
      <color rgb="FF000000"/>
      <name val="Open Sans"/>
      <family val="2"/>
    </font>
    <font>
      <b/>
      <sz val="10"/>
      <color rgb="FF000000"/>
      <name val="Open Sans"/>
      <family val="2"/>
    </font>
    <font>
      <b/>
      <sz val="10"/>
      <color rgb="FF26649E"/>
      <name val="Open Sans"/>
      <family val="2"/>
    </font>
    <font>
      <b/>
      <sz val="10"/>
      <color rgb="FF26649E"/>
      <name val="Open Sans"/>
    </font>
    <font>
      <sz val="8"/>
      <color rgb="FF26649E"/>
      <name val="Open Sans"/>
      <family val="2"/>
    </font>
    <font>
      <sz val="10"/>
      <color rgb="FF000000"/>
      <name val="Open Sans"/>
      <family val="2"/>
    </font>
    <font>
      <sz val="10"/>
      <color rgb="FF000000"/>
      <name val="Arial"/>
      <family val="2"/>
      <charset val="1"/>
    </font>
    <font>
      <b/>
      <sz val="16"/>
      <color rgb="FFFFFFFF"/>
      <name val="Arial"/>
      <family val="2"/>
      <charset val="1"/>
    </font>
    <font>
      <sz val="10"/>
      <color rgb="FFFFFFFF"/>
      <name val="Arial"/>
      <family val="2"/>
      <charset val="1"/>
    </font>
    <font>
      <b/>
      <sz val="14"/>
      <color rgb="FFFFFFFF"/>
      <name val="Arial"/>
      <family val="2"/>
      <charset val="1"/>
    </font>
    <font>
      <i/>
      <sz val="10"/>
      <color rgb="FFFFFFFF"/>
      <name val="Arial"/>
      <family val="2"/>
      <charset val="1"/>
    </font>
    <font>
      <sz val="10"/>
      <color rgb="FF000000"/>
      <name val="Arial"/>
      <family val="2"/>
    </font>
    <font>
      <b/>
      <sz val="10"/>
      <color rgb="FFFFFFFF"/>
      <name val="Arial"/>
      <family val="2"/>
      <charset val="1"/>
    </font>
    <font>
      <b/>
      <i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2060"/>
      <name val="Arial"/>
      <family val="2"/>
      <charset val="1"/>
    </font>
    <font>
      <b/>
      <sz val="13"/>
      <color rgb="FF000000"/>
      <name val="Verdana"/>
      <family val="2"/>
      <charset val="1"/>
    </font>
    <font>
      <b/>
      <sz val="10"/>
      <color rgb="FF0000FF"/>
      <name val="Arial"/>
      <family val="2"/>
      <charset val="1"/>
    </font>
    <font>
      <i/>
      <sz val="8"/>
      <name val="Cambria"/>
      <family val="1"/>
    </font>
    <font>
      <sz val="9"/>
      <color rgb="FF000000"/>
      <name val="Arial"/>
      <family val="2"/>
    </font>
    <font>
      <sz val="10"/>
      <color rgb="FFFF0000"/>
      <name val="Arial"/>
      <family val="2"/>
      <charset val="1"/>
    </font>
    <font>
      <b/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i/>
      <sz val="10"/>
      <color rgb="FF000000"/>
      <name val="Arial"/>
      <family val="2"/>
      <charset val="1"/>
    </font>
    <font>
      <b/>
      <sz val="18"/>
      <color theme="0"/>
      <name val="Aptos Narrow"/>
      <scheme val="minor"/>
    </font>
    <font>
      <sz val="11"/>
      <color theme="0"/>
      <name val="Aptos Narrow"/>
      <family val="2"/>
      <scheme val="minor"/>
    </font>
    <font>
      <i/>
      <sz val="10"/>
      <color rgb="FF0000FF"/>
      <name val="Arial"/>
      <family val="2"/>
      <charset val="1"/>
    </font>
    <font>
      <sz val="10"/>
      <color theme="9" tint="0.79998168889431442"/>
      <name val="Arial"/>
      <family val="2"/>
      <charset val="1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8"/>
      <color rgb="FFFFFFFF"/>
      <name val="Arial"/>
      <family val="2"/>
      <charset val="1"/>
    </font>
    <font>
      <sz val="9"/>
      <color rgb="FFFFFFFF"/>
      <name val="Arial"/>
      <family val="2"/>
    </font>
    <font>
      <sz val="9"/>
      <color rgb="FFFFFFFF"/>
      <name val="Arial"/>
      <family val="2"/>
      <charset val="1"/>
    </font>
    <font>
      <b/>
      <sz val="18"/>
      <color theme="0"/>
      <name val="Arial"/>
      <family val="2"/>
    </font>
    <font>
      <sz val="11"/>
      <color theme="0"/>
      <name val="Arial"/>
      <family val="2"/>
    </font>
    <font>
      <b/>
      <sz val="12"/>
      <name val="Cambria"/>
      <family val="1"/>
    </font>
    <font>
      <b/>
      <sz val="10"/>
      <name val="Cambria"/>
      <family val="1"/>
    </font>
    <font>
      <sz val="9"/>
      <name val="Cambria"/>
      <family val="1"/>
    </font>
    <font>
      <sz val="9"/>
      <name val="Arial"/>
      <family val="2"/>
      <charset val="1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B0CFB"/>
      <name val="Arial"/>
      <family val="2"/>
      <charset val="1"/>
    </font>
    <font>
      <sz val="11"/>
      <color rgb="FF0B0CFB"/>
      <name val="Aptos Narrow"/>
      <family val="2"/>
      <scheme val="minor"/>
    </font>
    <font>
      <sz val="12"/>
      <color theme="1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sz val="8"/>
      <name val="Arial"/>
      <family val="2"/>
      <charset val="1"/>
    </font>
    <font>
      <b/>
      <sz val="9"/>
      <color rgb="FF000000"/>
      <name val="Arial"/>
      <family val="2"/>
    </font>
    <font>
      <b/>
      <sz val="14"/>
      <color theme="1"/>
      <name val="Arial"/>
      <family val="2"/>
    </font>
    <font>
      <b/>
      <sz val="11"/>
      <color rgb="FFFFFFFF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8000"/>
      <name val="Arial"/>
      <family val="2"/>
    </font>
    <font>
      <sz val="11"/>
      <color rgb="FF000000"/>
      <name val="Arial"/>
      <family val="2"/>
      <charset val="1"/>
    </font>
    <font>
      <i/>
      <sz val="8"/>
      <color rgb="FF0000CC"/>
      <name val="Cambria"/>
      <family val="1"/>
      <charset val="1"/>
    </font>
    <font>
      <b/>
      <sz val="9"/>
      <color rgb="FFFFFFFF"/>
      <name val="Arial"/>
      <family val="2"/>
    </font>
    <font>
      <sz val="8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  <fill>
      <patternFill patternType="solid">
        <fgColor rgb="FFFFFF99"/>
        <bgColor rgb="FFFFFFCC"/>
      </patternFill>
    </fill>
    <fill>
      <patternFill patternType="solid">
        <fgColor rgb="FF003366"/>
        <bgColor rgb="FF333399"/>
      </patternFill>
    </fill>
    <fill>
      <patternFill patternType="solid">
        <fgColor rgb="FFD8D8D8"/>
        <bgColor rgb="FFD8D8D8"/>
      </patternFill>
    </fill>
    <fill>
      <patternFill patternType="solid">
        <fgColor rgb="FFF8F5EF"/>
        <bgColor rgb="FFF8F5EF"/>
      </patternFill>
    </fill>
    <fill>
      <patternFill patternType="solid">
        <fgColor theme="9" tint="0.39997558519241921"/>
        <bgColor rgb="FFFFFF00"/>
      </patternFill>
    </fill>
    <fill>
      <patternFill patternType="solid">
        <fgColor theme="3" tint="0.249977111117893"/>
        <bgColor rgb="FF000080"/>
      </patternFill>
    </fill>
    <fill>
      <patternFill patternType="solid">
        <fgColor theme="3" tint="0.499984740745262"/>
        <bgColor rgb="FF00008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rgb="FFC0FFFF"/>
      </patternFill>
    </fill>
    <fill>
      <patternFill patternType="solid">
        <fgColor theme="9" tint="0.79989013336588644"/>
        <bgColor rgb="FFCCFFFF"/>
      </patternFill>
    </fill>
    <fill>
      <patternFill patternType="solid">
        <fgColor theme="9" tint="0.39997558519241921"/>
        <bgColor rgb="FF00008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A"/>
        <bgColor indexed="64"/>
      </patternFill>
    </fill>
    <fill>
      <patternFill patternType="solid">
        <fgColor rgb="FF0D6937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C0C0"/>
        <bgColor rgb="FFC0C0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C93D9"/>
        <bgColor rgb="FF000080"/>
      </patternFill>
    </fill>
    <fill>
      <patternFill patternType="solid">
        <fgColor rgb="FF4C93D9"/>
        <bgColor indexed="64"/>
      </patternFill>
    </fill>
    <fill>
      <patternFill patternType="solid">
        <fgColor rgb="FFC0E7F5"/>
        <bgColor indexed="64"/>
      </patternFill>
    </fill>
    <fill>
      <patternFill patternType="solid">
        <fgColor rgb="FF0D6937"/>
        <bgColor rgb="FF000000"/>
      </patternFill>
    </fill>
    <fill>
      <patternFill patternType="solid">
        <fgColor rgb="FF3C7D22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06B0F0"/>
        <bgColor indexed="64"/>
      </patternFill>
    </fill>
    <fill>
      <patternFill patternType="solid">
        <fgColor rgb="FF00B0F0"/>
        <bgColor rgb="FF06B0F0"/>
      </patternFill>
    </fill>
    <fill>
      <patternFill patternType="solid">
        <fgColor rgb="FF4C93D9"/>
        <bgColor rgb="FF333333"/>
      </patternFill>
    </fill>
    <fill>
      <patternFill patternType="solid">
        <fgColor rgb="FFBDD7EF"/>
        <bgColor rgb="FFD9E1F2"/>
      </patternFill>
    </fill>
    <fill>
      <patternFill patternType="solid">
        <fgColor rgb="FFBDD7EF"/>
        <bgColor indexed="64"/>
      </patternFill>
    </fill>
    <fill>
      <patternFill patternType="solid">
        <fgColor rgb="FFC1E8F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8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thin">
        <color indexed="64"/>
      </right>
      <top style="thin">
        <color auto="1"/>
      </top>
      <bottom/>
      <diagonal/>
    </border>
    <border>
      <left style="dotted">
        <color auto="1"/>
      </left>
      <right style="thin">
        <color indexed="64"/>
      </right>
      <top/>
      <bottom/>
      <diagonal/>
    </border>
    <border>
      <left style="dotted">
        <color auto="1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medium">
        <color rgb="FF000080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4">
    <xf numFmtId="0" fontId="0" fillId="0" borderId="0"/>
    <xf numFmtId="0" fontId="10" fillId="0" borderId="0"/>
    <xf numFmtId="165" fontId="11" fillId="0" borderId="0"/>
    <xf numFmtId="0" fontId="14" fillId="0" borderId="3"/>
    <xf numFmtId="165" fontId="11" fillId="0" borderId="0"/>
    <xf numFmtId="0" fontId="4" fillId="0" borderId="0">
      <alignment vertical="top"/>
    </xf>
    <xf numFmtId="0" fontId="18" fillId="4" borderId="0"/>
    <xf numFmtId="0" fontId="23" fillId="0" borderId="0">
      <alignment horizontal="left" vertical="center"/>
    </xf>
    <xf numFmtId="0" fontId="24" fillId="0" borderId="0">
      <alignment horizontal="left" vertical="center"/>
    </xf>
    <xf numFmtId="0" fontId="25" fillId="0" borderId="0">
      <alignment horizontal="left"/>
    </xf>
    <xf numFmtId="0" fontId="26" fillId="0" borderId="0">
      <alignment horizontal="right" vertical="top" wrapText="1"/>
    </xf>
    <xf numFmtId="0" fontId="27" fillId="0" borderId="0">
      <alignment horizontal="right" vertical="top" wrapText="1"/>
    </xf>
    <xf numFmtId="0" fontId="24" fillId="0" borderId="0">
      <alignment horizontal="right" vertical="center"/>
    </xf>
    <xf numFmtId="0" fontId="29" fillId="0" borderId="0">
      <alignment horizontal="right" vertical="center"/>
    </xf>
    <xf numFmtId="0" fontId="26" fillId="0" borderId="0">
      <alignment horizontal="left" vertical="center" indent="1"/>
    </xf>
    <xf numFmtId="0" fontId="26" fillId="0" borderId="0">
      <alignment horizontal="right" vertical="center"/>
    </xf>
    <xf numFmtId="0" fontId="30" fillId="0" borderId="0">
      <alignment horizontal="left" vertical="center" indent="1"/>
    </xf>
    <xf numFmtId="0" fontId="30" fillId="0" borderId="0">
      <alignment horizontal="right" vertical="center"/>
    </xf>
    <xf numFmtId="9" fontId="14" fillId="0" borderId="0"/>
    <xf numFmtId="0" fontId="41" fillId="0" borderId="0"/>
    <xf numFmtId="43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1" fillId="0" borderId="0"/>
    <xf numFmtId="0" fontId="78" fillId="22" borderId="11">
      <alignment horizontal="right"/>
    </xf>
  </cellStyleXfs>
  <cellXfs count="537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1" applyFont="1"/>
    <xf numFmtId="0" fontId="4" fillId="0" borderId="0" xfId="1" applyFont="1"/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/>
    <xf numFmtId="0" fontId="13" fillId="0" borderId="0" xfId="0" applyFont="1"/>
    <xf numFmtId="0" fontId="4" fillId="0" borderId="0" xfId="3" applyFont="1" applyBorder="1"/>
    <xf numFmtId="0" fontId="4" fillId="0" borderId="0" xfId="3" applyFont="1" applyBorder="1" applyAlignment="1">
      <alignment horizontal="center"/>
    </xf>
    <xf numFmtId="164" fontId="4" fillId="0" borderId="0" xfId="4" applyNumberFormat="1" applyFont="1"/>
    <xf numFmtId="166" fontId="10" fillId="0" borderId="3" xfId="3" applyNumberFormat="1" applyFont="1" applyAlignment="1">
      <alignment horizontal="center"/>
    </xf>
    <xf numFmtId="167" fontId="10" fillId="0" borderId="6" xfId="5" applyNumberFormat="1" applyFont="1" applyBorder="1" applyAlignment="1">
      <alignment horizontal="center"/>
    </xf>
    <xf numFmtId="0" fontId="10" fillId="0" borderId="6" xfId="5" applyFont="1" applyBorder="1" applyAlignment="1">
      <alignment horizontal="center"/>
    </xf>
    <xf numFmtId="164" fontId="15" fillId="0" borderId="0" xfId="3" applyNumberFormat="1" applyFont="1" applyBorder="1"/>
    <xf numFmtId="0" fontId="0" fillId="0" borderId="0" xfId="0" applyProtection="1">
      <protection locked="0"/>
    </xf>
    <xf numFmtId="0" fontId="10" fillId="0" borderId="0" xfId="3" applyFont="1" applyBorder="1"/>
    <xf numFmtId="0" fontId="16" fillId="0" borderId="0" xfId="0" applyFont="1"/>
    <xf numFmtId="168" fontId="4" fillId="0" borderId="9" xfId="0" applyNumberFormat="1" applyFont="1" applyBorder="1" applyAlignment="1" applyProtection="1">
      <alignment horizontal="right" vertical="distributed" wrapText="1"/>
      <protection locked="0"/>
    </xf>
    <xf numFmtId="164" fontId="4" fillId="0" borderId="9" xfId="3" applyNumberFormat="1" applyFont="1" applyBorder="1"/>
    <xf numFmtId="164" fontId="4" fillId="0" borderId="3" xfId="3" applyNumberFormat="1" applyFont="1"/>
    <xf numFmtId="0" fontId="0" fillId="0" borderId="0" xfId="3" applyFont="1" applyBorder="1"/>
    <xf numFmtId="0" fontId="4" fillId="0" borderId="0" xfId="6" applyFont="1" applyFill="1"/>
    <xf numFmtId="0" fontId="4" fillId="0" borderId="11" xfId="3" applyFont="1" applyBorder="1" applyAlignment="1">
      <alignment horizontal="center"/>
    </xf>
    <xf numFmtId="0" fontId="0" fillId="0" borderId="0" xfId="3" applyFont="1" applyBorder="1" applyAlignment="1">
      <alignment horizontal="center"/>
    </xf>
    <xf numFmtId="0" fontId="17" fillId="0" borderId="0" xfId="0" applyFont="1" applyAlignment="1" applyProtection="1">
      <alignment vertical="top" wrapText="1"/>
      <protection locked="0"/>
    </xf>
    <xf numFmtId="0" fontId="20" fillId="0" borderId="0" xfId="2" applyNumberFormat="1" applyFont="1"/>
    <xf numFmtId="0" fontId="20" fillId="0" borderId="0" xfId="2" applyNumberFormat="1" applyFont="1" applyAlignment="1">
      <alignment horizontal="center"/>
    </xf>
    <xf numFmtId="164" fontId="15" fillId="0" borderId="0" xfId="2" applyNumberFormat="1" applyFont="1"/>
    <xf numFmtId="0" fontId="21" fillId="0" borderId="0" xfId="2" applyNumberFormat="1" applyFont="1"/>
    <xf numFmtId="0" fontId="4" fillId="0" borderId="0" xfId="2" applyNumberFormat="1" applyFont="1"/>
    <xf numFmtId="170" fontId="4" fillId="0" borderId="9" xfId="2" applyNumberFormat="1" applyFont="1" applyBorder="1"/>
    <xf numFmtId="0" fontId="22" fillId="0" borderId="0" xfId="2" applyNumberFormat="1" applyFont="1" applyAlignment="1">
      <alignment horizontal="center"/>
    </xf>
    <xf numFmtId="170" fontId="6" fillId="3" borderId="0" xfId="2" applyNumberFormat="1" applyFont="1" applyFill="1"/>
    <xf numFmtId="170" fontId="15" fillId="0" borderId="0" xfId="2" applyNumberFormat="1" applyFont="1"/>
    <xf numFmtId="171" fontId="4" fillId="0" borderId="9" xfId="0" applyNumberFormat="1" applyFont="1" applyBorder="1" applyAlignment="1" applyProtection="1">
      <alignment horizontal="right" vertical="distributed" wrapText="1"/>
      <protection locked="0"/>
    </xf>
    <xf numFmtId="10" fontId="20" fillId="0" borderId="0" xfId="2" applyNumberFormat="1" applyFont="1"/>
    <xf numFmtId="0" fontId="0" fillId="5" borderId="0" xfId="0" applyFill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3" fillId="0" borderId="0" xfId="7">
      <alignment horizontal="left" vertical="center"/>
    </xf>
    <xf numFmtId="0" fontId="0" fillId="0" borderId="16" xfId="0" applyBorder="1"/>
    <xf numFmtId="0" fontId="24" fillId="0" borderId="0" xfId="8">
      <alignment horizontal="left" vertical="center"/>
    </xf>
    <xf numFmtId="0" fontId="25" fillId="6" borderId="0" xfId="9" applyFill="1">
      <alignment horizontal="left"/>
    </xf>
    <xf numFmtId="0" fontId="0" fillId="6" borderId="0" xfId="0" applyFill="1"/>
    <xf numFmtId="0" fontId="28" fillId="0" borderId="0" xfId="11" applyFont="1">
      <alignment horizontal="right" vertical="top" wrapText="1"/>
    </xf>
    <xf numFmtId="0" fontId="26" fillId="0" borderId="0" xfId="10">
      <alignment horizontal="right" vertical="top" wrapText="1"/>
    </xf>
    <xf numFmtId="0" fontId="24" fillId="0" borderId="0" xfId="12">
      <alignment horizontal="right" vertical="center"/>
    </xf>
    <xf numFmtId="0" fontId="29" fillId="0" borderId="0" xfId="13">
      <alignment horizontal="right" vertical="center"/>
    </xf>
    <xf numFmtId="0" fontId="26" fillId="6" borderId="0" xfId="14" applyFill="1">
      <alignment horizontal="left" vertical="center" indent="1"/>
    </xf>
    <xf numFmtId="172" fontId="26" fillId="6" borderId="0" xfId="15" applyNumberFormat="1" applyFill="1">
      <alignment horizontal="right" vertical="center"/>
    </xf>
    <xf numFmtId="173" fontId="26" fillId="6" borderId="0" xfId="15" applyNumberFormat="1" applyFill="1">
      <alignment horizontal="right" vertical="center"/>
    </xf>
    <xf numFmtId="0" fontId="30" fillId="0" borderId="0" xfId="16">
      <alignment horizontal="left" vertical="center" indent="1"/>
    </xf>
    <xf numFmtId="172" fontId="30" fillId="6" borderId="0" xfId="17" applyNumberFormat="1" applyFill="1">
      <alignment horizontal="right" vertical="center"/>
    </xf>
    <xf numFmtId="173" fontId="30" fillId="6" borderId="0" xfId="17" applyNumberFormat="1" applyFill="1">
      <alignment horizontal="right" vertical="center"/>
    </xf>
    <xf numFmtId="172" fontId="30" fillId="0" borderId="0" xfId="17" applyNumberFormat="1">
      <alignment horizontal="right" vertical="center"/>
    </xf>
    <xf numFmtId="0" fontId="26" fillId="0" borderId="0" xfId="14">
      <alignment horizontal="left" vertical="center" indent="1"/>
    </xf>
    <xf numFmtId="172" fontId="26" fillId="6" borderId="13" xfId="15" applyNumberFormat="1" applyFill="1" applyBorder="1">
      <alignment horizontal="right" vertical="center"/>
    </xf>
    <xf numFmtId="173" fontId="26" fillId="6" borderId="13" xfId="15" applyNumberFormat="1" applyFill="1" applyBorder="1">
      <alignment horizontal="right" vertical="center"/>
    </xf>
    <xf numFmtId="172" fontId="26" fillId="0" borderId="13" xfId="15" applyNumberFormat="1" applyBorder="1">
      <alignment horizontal="right" vertical="center"/>
    </xf>
    <xf numFmtId="0" fontId="0" fillId="6" borderId="13" xfId="0" applyFill="1" applyBorder="1"/>
    <xf numFmtId="173" fontId="30" fillId="0" borderId="0" xfId="17" applyNumberFormat="1">
      <alignment horizontal="right" vertical="center"/>
    </xf>
    <xf numFmtId="0" fontId="26" fillId="6" borderId="0" xfId="15" applyFill="1">
      <alignment horizontal="right" vertical="center"/>
    </xf>
    <xf numFmtId="0" fontId="30" fillId="6" borderId="0" xfId="17" applyFill="1">
      <alignment horizontal="right" vertical="center"/>
    </xf>
    <xf numFmtId="0" fontId="30" fillId="0" borderId="0" xfId="17">
      <alignment horizontal="right" vertical="center"/>
    </xf>
    <xf numFmtId="174" fontId="30" fillId="6" borderId="0" xfId="17" applyNumberFormat="1" applyFill="1">
      <alignment horizontal="right" vertical="center"/>
    </xf>
    <xf numFmtId="174" fontId="30" fillId="0" borderId="0" xfId="17" applyNumberFormat="1">
      <alignment horizontal="right"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175" fontId="30" fillId="6" borderId="0" xfId="17" applyNumberFormat="1" applyFill="1">
      <alignment horizontal="right" vertical="center"/>
    </xf>
    <xf numFmtId="175" fontId="30" fillId="0" borderId="0" xfId="17" applyNumberFormat="1">
      <alignment horizontal="right" vertical="center"/>
    </xf>
    <xf numFmtId="0" fontId="12" fillId="8" borderId="8" xfId="2" applyNumberFormat="1" applyFont="1" applyFill="1" applyBorder="1"/>
    <xf numFmtId="0" fontId="12" fillId="8" borderId="8" xfId="2" applyNumberFormat="1" applyFont="1" applyFill="1" applyBorder="1" applyAlignment="1">
      <alignment horizontal="center"/>
    </xf>
    <xf numFmtId="0" fontId="31" fillId="0" borderId="0" xfId="5" applyFont="1" applyAlignment="1"/>
    <xf numFmtId="0" fontId="33" fillId="0" borderId="0" xfId="5" applyFont="1" applyAlignment="1"/>
    <xf numFmtId="0" fontId="36" fillId="0" borderId="0" xfId="5" applyFont="1" applyAlignment="1"/>
    <xf numFmtId="0" fontId="38" fillId="0" borderId="0" xfId="5" applyFont="1" applyAlignment="1"/>
    <xf numFmtId="0" fontId="39" fillId="0" borderId="0" xfId="5" applyFont="1" applyAlignment="1">
      <alignment horizontal="center"/>
    </xf>
    <xf numFmtId="168" fontId="6" fillId="3" borderId="0" xfId="0" applyNumberFormat="1" applyFont="1" applyFill="1" applyAlignment="1" applyProtection="1">
      <alignment horizontal="right" vertical="distributed" wrapText="1"/>
      <protection locked="0"/>
    </xf>
    <xf numFmtId="0" fontId="39" fillId="0" borderId="6" xfId="5" applyFont="1" applyBorder="1" applyAlignment="1"/>
    <xf numFmtId="0" fontId="39" fillId="0" borderId="6" xfId="5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4" fillId="0" borderId="0" xfId="3" applyFont="1" applyBorder="1" applyAlignment="1">
      <alignment vertical="top"/>
    </xf>
    <xf numFmtId="168" fontId="4" fillId="0" borderId="0" xfId="0" applyNumberFormat="1" applyFont="1" applyAlignment="1" applyProtection="1">
      <alignment horizontal="right" vertical="distributed" wrapText="1"/>
      <protection locked="0"/>
    </xf>
    <xf numFmtId="0" fontId="40" fillId="3" borderId="0" xfId="3" applyFont="1" applyFill="1" applyBorder="1"/>
    <xf numFmtId="176" fontId="6" fillId="3" borderId="0" xfId="2" applyNumberFormat="1" applyFont="1" applyFill="1"/>
    <xf numFmtId="177" fontId="6" fillId="3" borderId="0" xfId="2" applyNumberFormat="1" applyFont="1" applyFill="1"/>
    <xf numFmtId="176" fontId="4" fillId="0" borderId="0" xfId="2" applyNumberFormat="1" applyFont="1"/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0" fontId="4" fillId="0" borderId="0" xfId="0" applyNumberFormat="1" applyFont="1" applyAlignment="1">
      <alignment vertical="center" wrapText="1"/>
    </xf>
    <xf numFmtId="9" fontId="4" fillId="0" borderId="0" xfId="0" applyNumberFormat="1" applyFont="1" applyAlignment="1">
      <alignment vertical="center" wrapText="1"/>
    </xf>
    <xf numFmtId="164" fontId="4" fillId="0" borderId="0" xfId="3" applyNumberFormat="1" applyFont="1" applyBorder="1"/>
    <xf numFmtId="0" fontId="40" fillId="3" borderId="0" xfId="3" applyFont="1" applyFill="1" applyBorder="1" applyAlignment="1">
      <alignment wrapText="1"/>
    </xf>
    <xf numFmtId="178" fontId="16" fillId="0" borderId="0" xfId="18" applyNumberFormat="1" applyFont="1"/>
    <xf numFmtId="0" fontId="31" fillId="0" borderId="0" xfId="3" applyFont="1" applyBorder="1"/>
    <xf numFmtId="179" fontId="6" fillId="0" borderId="0" xfId="19" applyNumberFormat="1" applyFont="1"/>
    <xf numFmtId="180" fontId="6" fillId="0" borderId="0" xfId="19" applyNumberFormat="1" applyFont="1"/>
    <xf numFmtId="164" fontId="4" fillId="0" borderId="0" xfId="19" applyNumberFormat="1" applyFont="1"/>
    <xf numFmtId="164" fontId="6" fillId="0" borderId="0" xfId="19" applyNumberFormat="1" applyFont="1"/>
    <xf numFmtId="40" fontId="4" fillId="0" borderId="0" xfId="19" applyNumberFormat="1" applyFont="1"/>
    <xf numFmtId="0" fontId="39" fillId="0" borderId="0" xfId="5" applyFont="1" applyAlignment="1"/>
    <xf numFmtId="40" fontId="31" fillId="0" borderId="0" xfId="5" applyNumberFormat="1" applyFont="1" applyAlignment="1"/>
    <xf numFmtId="164" fontId="31" fillId="0" borderId="0" xfId="5" applyNumberFormat="1" applyFont="1" applyAlignment="1"/>
    <xf numFmtId="181" fontId="10" fillId="0" borderId="0" xfId="5" applyNumberFormat="1" applyFont="1" applyAlignment="1"/>
    <xf numFmtId="0" fontId="4" fillId="0" borderId="6" xfId="3" applyFont="1" applyBorder="1"/>
    <xf numFmtId="164" fontId="31" fillId="0" borderId="2" xfId="3" applyNumberFormat="1" applyFont="1" applyBorder="1" applyAlignment="1">
      <alignment horizontal="center"/>
    </xf>
    <xf numFmtId="164" fontId="31" fillId="0" borderId="0" xfId="3" applyNumberFormat="1" applyFont="1" applyBorder="1" applyAlignment="1">
      <alignment horizontal="center"/>
    </xf>
    <xf numFmtId="164" fontId="31" fillId="0" borderId="10" xfId="3" applyNumberFormat="1" applyFont="1" applyBorder="1" applyAlignment="1">
      <alignment horizontal="center"/>
    </xf>
    <xf numFmtId="164" fontId="33" fillId="2" borderId="0" xfId="3" applyNumberFormat="1" applyFont="1" applyFill="1" applyBorder="1" applyAlignment="1">
      <alignment horizontal="center"/>
    </xf>
    <xf numFmtId="0" fontId="43" fillId="0" borderId="0" xfId="0" applyFont="1"/>
    <xf numFmtId="164" fontId="15" fillId="0" borderId="0" xfId="4" applyNumberFormat="1" applyFont="1" applyAlignment="1">
      <alignment horizontal="center"/>
    </xf>
    <xf numFmtId="177" fontId="10" fillId="0" borderId="0" xfId="2" applyNumberFormat="1" applyFont="1"/>
    <xf numFmtId="0" fontId="15" fillId="0" borderId="0" xfId="5" applyFont="1" applyAlignment="1">
      <alignment horizontal="left"/>
    </xf>
    <xf numFmtId="169" fontId="15" fillId="0" borderId="0" xfId="2" applyNumberFormat="1" applyFont="1" applyAlignment="1">
      <alignment horizontal="right"/>
    </xf>
    <xf numFmtId="164" fontId="15" fillId="0" borderId="0" xfId="4" applyNumberFormat="1" applyFont="1" applyAlignment="1">
      <alignment horizontal="right"/>
    </xf>
    <xf numFmtId="169" fontId="15" fillId="0" borderId="20" xfId="2" applyNumberFormat="1" applyFont="1" applyBorder="1" applyAlignment="1">
      <alignment horizontal="right"/>
    </xf>
    <xf numFmtId="0" fontId="4" fillId="0" borderId="0" xfId="5" applyAlignment="1">
      <alignment horizontal="left"/>
    </xf>
    <xf numFmtId="182" fontId="4" fillId="0" borderId="6" xfId="5" applyNumberFormat="1" applyBorder="1" applyAlignment="1"/>
    <xf numFmtId="0" fontId="39" fillId="0" borderId="0" xfId="5" applyFont="1" applyAlignment="1">
      <alignment horizontal="left"/>
    </xf>
    <xf numFmtId="0" fontId="44" fillId="0" borderId="0" xfId="5" applyFont="1" applyAlignment="1"/>
    <xf numFmtId="177" fontId="10" fillId="0" borderId="20" xfId="2" applyNumberFormat="1" applyFont="1" applyBorder="1"/>
    <xf numFmtId="182" fontId="4" fillId="0" borderId="21" xfId="5" applyNumberFormat="1" applyBorder="1" applyAlignment="1"/>
    <xf numFmtId="0" fontId="4" fillId="0" borderId="0" xfId="5" applyAlignment="1"/>
    <xf numFmtId="182" fontId="4" fillId="0" borderId="0" xfId="5" applyNumberFormat="1" applyAlignment="1"/>
    <xf numFmtId="182" fontId="4" fillId="0" borderId="20" xfId="5" applyNumberFormat="1" applyBorder="1" applyAlignment="1"/>
    <xf numFmtId="182" fontId="45" fillId="0" borderId="0" xfId="5" applyNumberFormat="1" applyFont="1" applyAlignment="1"/>
    <xf numFmtId="182" fontId="45" fillId="0" borderId="6" xfId="5" applyNumberFormat="1" applyFont="1" applyBorder="1" applyAlignment="1"/>
    <xf numFmtId="182" fontId="31" fillId="0" borderId="0" xfId="5" applyNumberFormat="1" applyFont="1" applyAlignment="1"/>
    <xf numFmtId="0" fontId="31" fillId="0" borderId="0" xfId="5" applyFont="1" applyAlignment="1">
      <alignment horizontal="left"/>
    </xf>
    <xf numFmtId="0" fontId="10" fillId="0" borderId="0" xfId="5" applyFont="1" applyAlignment="1"/>
    <xf numFmtId="183" fontId="4" fillId="0" borderId="0" xfId="5" applyNumberFormat="1" applyAlignment="1"/>
    <xf numFmtId="182" fontId="31" fillId="0" borderId="0" xfId="5" applyNumberFormat="1" applyFont="1" applyAlignment="1">
      <alignment horizontal="right"/>
    </xf>
    <xf numFmtId="164" fontId="4" fillId="0" borderId="0" xfId="4" applyNumberFormat="1" applyFont="1" applyAlignment="1">
      <alignment horizontal="right"/>
    </xf>
    <xf numFmtId="183" fontId="10" fillId="0" borderId="0" xfId="5" applyNumberFormat="1" applyFont="1" applyAlignment="1"/>
    <xf numFmtId="0" fontId="31" fillId="0" borderId="0" xfId="5" applyFont="1" applyAlignment="1">
      <alignment horizontal="center"/>
    </xf>
    <xf numFmtId="184" fontId="4" fillId="0" borderId="0" xfId="5" applyNumberFormat="1" applyAlignment="1"/>
    <xf numFmtId="184" fontId="31" fillId="0" borderId="0" xfId="5" applyNumberFormat="1" applyFont="1" applyAlignment="1"/>
    <xf numFmtId="0" fontId="46" fillId="0" borderId="0" xfId="0" applyFont="1"/>
    <xf numFmtId="0" fontId="38" fillId="0" borderId="0" xfId="3" applyFont="1" applyBorder="1"/>
    <xf numFmtId="0" fontId="39" fillId="0" borderId="0" xfId="3" applyFont="1" applyBorder="1"/>
    <xf numFmtId="185" fontId="10" fillId="0" borderId="0" xfId="3" applyNumberFormat="1" applyFont="1" applyBorder="1"/>
    <xf numFmtId="164" fontId="15" fillId="0" borderId="0" xfId="4" applyNumberFormat="1" applyFont="1"/>
    <xf numFmtId="186" fontId="15" fillId="0" borderId="0" xfId="0" applyNumberFormat="1" applyFont="1" applyAlignment="1" applyProtection="1">
      <alignment horizontal="right"/>
      <protection locked="0"/>
    </xf>
    <xf numFmtId="0" fontId="17" fillId="0" borderId="10" xfId="0" applyFont="1" applyBorder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left" vertical="top" wrapText="1"/>
      <protection locked="0"/>
    </xf>
    <xf numFmtId="0" fontId="10" fillId="7" borderId="6" xfId="3" applyFont="1" applyFill="1" applyBorder="1" applyAlignment="1">
      <alignment horizontal="center"/>
    </xf>
    <xf numFmtId="0" fontId="10" fillId="0" borderId="6" xfId="3" applyFont="1" applyBorder="1" applyAlignment="1">
      <alignment horizontal="center"/>
    </xf>
    <xf numFmtId="0" fontId="39" fillId="0" borderId="0" xfId="3" applyFont="1" applyBorder="1" applyAlignment="1" applyProtection="1">
      <alignment horizontal="right" vertical="distributed" textRotation="90" wrapText="1"/>
      <protection locked="0"/>
    </xf>
    <xf numFmtId="0" fontId="26" fillId="6" borderId="0" xfId="10" applyFill="1">
      <alignment horizontal="right" vertical="top" wrapText="1"/>
    </xf>
    <xf numFmtId="0" fontId="33" fillId="0" borderId="0" xfId="3" applyFont="1" applyBorder="1"/>
    <xf numFmtId="177" fontId="4" fillId="0" borderId="0" xfId="2" applyNumberFormat="1" applyFont="1"/>
    <xf numFmtId="170" fontId="4" fillId="0" borderId="0" xfId="2" applyNumberFormat="1" applyFont="1"/>
    <xf numFmtId="182" fontId="6" fillId="0" borderId="0" xfId="5" applyNumberFormat="1" applyFont="1" applyAlignment="1"/>
    <xf numFmtId="182" fontId="31" fillId="0" borderId="23" xfId="5" applyNumberFormat="1" applyFont="1" applyBorder="1" applyAlignment="1"/>
    <xf numFmtId="0" fontId="38" fillId="0" borderId="6" xfId="3" applyFont="1" applyBorder="1"/>
    <xf numFmtId="182" fontId="6" fillId="0" borderId="6" xfId="5" applyNumberFormat="1" applyFont="1" applyBorder="1" applyAlignment="1"/>
    <xf numFmtId="182" fontId="31" fillId="0" borderId="24" xfId="5" applyNumberFormat="1" applyFont="1" applyBorder="1" applyAlignment="1"/>
    <xf numFmtId="182" fontId="31" fillId="0" borderId="6" xfId="5" applyNumberFormat="1" applyFont="1" applyBorder="1" applyAlignment="1"/>
    <xf numFmtId="0" fontId="31" fillId="0" borderId="0" xfId="3" applyFont="1" applyBorder="1" applyAlignment="1">
      <alignment horizontal="left"/>
    </xf>
    <xf numFmtId="182" fontId="4" fillId="0" borderId="0" xfId="3" applyNumberFormat="1" applyFont="1" applyBorder="1"/>
    <xf numFmtId="182" fontId="4" fillId="0" borderId="6" xfId="3" applyNumberFormat="1" applyFont="1" applyBorder="1"/>
    <xf numFmtId="177" fontId="10" fillId="0" borderId="23" xfId="2" applyNumberFormat="1" applyFont="1" applyBorder="1"/>
    <xf numFmtId="185" fontId="48" fillId="0" borderId="0" xfId="5" applyNumberFormat="1" applyFont="1" applyAlignment="1"/>
    <xf numFmtId="185" fontId="4" fillId="0" borderId="0" xfId="5" applyNumberFormat="1" applyAlignment="1"/>
    <xf numFmtId="185" fontId="31" fillId="0" borderId="23" xfId="5" applyNumberFormat="1" applyFont="1" applyBorder="1" applyAlignment="1"/>
    <xf numFmtId="185" fontId="31" fillId="0" borderId="0" xfId="5" applyNumberFormat="1" applyFont="1" applyAlignment="1"/>
    <xf numFmtId="182" fontId="48" fillId="0" borderId="6" xfId="5" applyNumberFormat="1" applyFont="1" applyBorder="1" applyAlignment="1"/>
    <xf numFmtId="185" fontId="48" fillId="0" borderId="6" xfId="5" applyNumberFormat="1" applyFont="1" applyBorder="1" applyAlignment="1"/>
    <xf numFmtId="185" fontId="4" fillId="0" borderId="6" xfId="5" applyNumberFormat="1" applyBorder="1" applyAlignment="1"/>
    <xf numFmtId="185" fontId="31" fillId="0" borderId="24" xfId="5" applyNumberFormat="1" applyFont="1" applyBorder="1" applyAlignment="1"/>
    <xf numFmtId="185" fontId="31" fillId="0" borderId="6" xfId="5" applyNumberFormat="1" applyFont="1" applyBorder="1" applyAlignment="1"/>
    <xf numFmtId="0" fontId="48" fillId="0" borderId="0" xfId="3" applyFont="1" applyBorder="1" applyAlignment="1">
      <alignment horizontal="left"/>
    </xf>
    <xf numFmtId="169" fontId="15" fillId="0" borderId="23" xfId="2" applyNumberFormat="1" applyFont="1" applyBorder="1" applyAlignment="1">
      <alignment horizontal="right"/>
    </xf>
    <xf numFmtId="185" fontId="39" fillId="0" borderId="0" xfId="5" applyNumberFormat="1" applyFont="1" applyAlignment="1"/>
    <xf numFmtId="185" fontId="39" fillId="0" borderId="0" xfId="3" applyNumberFormat="1" applyFont="1" applyBorder="1"/>
    <xf numFmtId="0" fontId="31" fillId="0" borderId="0" xfId="5" applyFont="1" applyAlignment="1">
      <alignment horizontal="right"/>
    </xf>
    <xf numFmtId="0" fontId="32" fillId="9" borderId="0" xfId="3" applyFont="1" applyFill="1" applyBorder="1"/>
    <xf numFmtId="0" fontId="34" fillId="9" borderId="0" xfId="3" applyFont="1" applyFill="1" applyBorder="1"/>
    <xf numFmtId="0" fontId="33" fillId="9" borderId="0" xfId="3" applyFont="1" applyFill="1" applyBorder="1" applyAlignment="1">
      <alignment horizontal="center"/>
    </xf>
    <xf numFmtId="0" fontId="33" fillId="9" borderId="0" xfId="3" applyFont="1" applyFill="1" applyBorder="1"/>
    <xf numFmtId="0" fontId="12" fillId="9" borderId="0" xfId="3" applyFont="1" applyFill="1" applyBorder="1"/>
    <xf numFmtId="0" fontId="35" fillId="9" borderId="0" xfId="3" applyFont="1" applyFill="1" applyBorder="1"/>
    <xf numFmtId="0" fontId="17" fillId="0" borderId="0" xfId="0" applyFont="1" applyBorder="1" applyAlignment="1" applyProtection="1">
      <alignment horizontal="left" vertical="top" wrapText="1"/>
      <protection locked="0"/>
    </xf>
    <xf numFmtId="0" fontId="31" fillId="0" borderId="0" xfId="5" applyFont="1" applyFill="1" applyAlignment="1"/>
    <xf numFmtId="0" fontId="10" fillId="7" borderId="0" xfId="3" applyFont="1" applyFill="1" applyBorder="1" applyAlignment="1">
      <alignment horizontal="center"/>
    </xf>
    <xf numFmtId="182" fontId="45" fillId="0" borderId="0" xfId="5" applyNumberFormat="1" applyFont="1" applyBorder="1" applyAlignment="1"/>
    <xf numFmtId="168" fontId="4" fillId="0" borderId="27" xfId="0" applyNumberFormat="1" applyFont="1" applyBorder="1" applyAlignment="1" applyProtection="1">
      <alignment horizontal="right" vertical="distributed" wrapText="1"/>
      <protection locked="0"/>
    </xf>
    <xf numFmtId="43" fontId="10" fillId="0" borderId="0" xfId="5" applyNumberFormat="1" applyFont="1" applyAlignment="1"/>
    <xf numFmtId="187" fontId="4" fillId="0" borderId="0" xfId="5" applyNumberFormat="1" applyAlignment="1">
      <alignment horizontal="center"/>
    </xf>
    <xf numFmtId="0" fontId="49" fillId="11" borderId="0" xfId="0" applyFont="1" applyFill="1" applyAlignment="1"/>
    <xf numFmtId="0" fontId="50" fillId="11" borderId="0" xfId="0" applyFont="1" applyFill="1" applyAlignment="1"/>
    <xf numFmtId="0" fontId="48" fillId="0" borderId="0" xfId="3" applyFont="1" applyBorder="1"/>
    <xf numFmtId="164" fontId="48" fillId="0" borderId="0" xfId="4" applyNumberFormat="1" applyFont="1"/>
    <xf numFmtId="0" fontId="10" fillId="0" borderId="6" xfId="3" applyFont="1" applyBorder="1"/>
    <xf numFmtId="184" fontId="4" fillId="0" borderId="6" xfId="3" applyNumberFormat="1" applyFont="1" applyBorder="1"/>
    <xf numFmtId="193" fontId="31" fillId="0" borderId="0" xfId="3" applyNumberFormat="1" applyFont="1" applyBorder="1"/>
    <xf numFmtId="0" fontId="37" fillId="9" borderId="0" xfId="5" applyFont="1" applyFill="1" applyAlignment="1">
      <alignment horizontal="center"/>
    </xf>
    <xf numFmtId="0" fontId="10" fillId="12" borderId="0" xfId="5" applyFont="1" applyFill="1" applyAlignment="1"/>
    <xf numFmtId="0" fontId="31" fillId="12" borderId="0" xfId="5" applyFont="1" applyFill="1" applyAlignment="1"/>
    <xf numFmtId="185" fontId="38" fillId="12" borderId="0" xfId="5" applyNumberFormat="1" applyFont="1" applyFill="1" applyAlignment="1"/>
    <xf numFmtId="183" fontId="31" fillId="12" borderId="0" xfId="5" applyNumberFormat="1" applyFont="1" applyFill="1" applyAlignment="1"/>
    <xf numFmtId="0" fontId="31" fillId="12" borderId="0" xfId="5" applyFont="1" applyFill="1" applyAlignment="1">
      <alignment horizontal="center"/>
    </xf>
    <xf numFmtId="177" fontId="10" fillId="12" borderId="0" xfId="2" applyNumberFormat="1" applyFont="1" applyFill="1"/>
    <xf numFmtId="164" fontId="4" fillId="12" borderId="2" xfId="4" applyNumberFormat="1" applyFont="1" applyFill="1" applyBorder="1"/>
    <xf numFmtId="0" fontId="39" fillId="12" borderId="3" xfId="3" applyFont="1" applyFill="1"/>
    <xf numFmtId="168" fontId="4" fillId="12" borderId="3" xfId="0" applyNumberFormat="1" applyFont="1" applyFill="1" applyBorder="1" applyAlignment="1" applyProtection="1">
      <alignment horizontal="right" vertical="distributed" wrapText="1"/>
      <protection locked="0"/>
    </xf>
    <xf numFmtId="168" fontId="4" fillId="12" borderId="22" xfId="0" applyNumberFormat="1" applyFont="1" applyFill="1" applyBorder="1" applyAlignment="1" applyProtection="1">
      <alignment horizontal="right" vertical="distributed" wrapText="1"/>
      <protection locked="0"/>
    </xf>
    <xf numFmtId="168" fontId="4" fillId="12" borderId="28" xfId="0" applyNumberFormat="1" applyFont="1" applyFill="1" applyBorder="1" applyAlignment="1" applyProtection="1">
      <alignment horizontal="right" vertical="distributed" wrapText="1"/>
      <protection locked="0"/>
    </xf>
    <xf numFmtId="164" fontId="4" fillId="12" borderId="10" xfId="4" applyNumberFormat="1" applyFont="1" applyFill="1" applyBorder="1"/>
    <xf numFmtId="0" fontId="39" fillId="12" borderId="0" xfId="3" applyFont="1" applyFill="1" applyBorder="1"/>
    <xf numFmtId="168" fontId="4" fillId="12" borderId="0" xfId="0" applyNumberFormat="1" applyFont="1" applyFill="1" applyAlignment="1" applyProtection="1">
      <alignment horizontal="right" vertical="distributed" wrapText="1"/>
      <protection locked="0"/>
    </xf>
    <xf numFmtId="168" fontId="4" fillId="12" borderId="23" xfId="0" applyNumberFormat="1" applyFont="1" applyFill="1" applyBorder="1" applyAlignment="1" applyProtection="1">
      <alignment horizontal="right" vertical="distributed" wrapText="1"/>
      <protection locked="0"/>
    </xf>
    <xf numFmtId="168" fontId="4" fillId="12" borderId="29" xfId="0" applyNumberFormat="1" applyFont="1" applyFill="1" applyBorder="1" applyAlignment="1" applyProtection="1">
      <alignment horizontal="right" vertical="distributed" wrapText="1"/>
      <protection locked="0"/>
    </xf>
    <xf numFmtId="168" fontId="4" fillId="12" borderId="11" xfId="0" applyNumberFormat="1" applyFont="1" applyFill="1" applyBorder="1" applyAlignment="1" applyProtection="1">
      <alignment horizontal="right" vertical="distributed" wrapText="1"/>
      <protection locked="0"/>
    </xf>
    <xf numFmtId="164" fontId="4" fillId="12" borderId="5" xfId="4" applyNumberFormat="1" applyFont="1" applyFill="1" applyBorder="1"/>
    <xf numFmtId="0" fontId="39" fillId="12" borderId="6" xfId="3" applyFont="1" applyFill="1" applyBorder="1"/>
    <xf numFmtId="185" fontId="10" fillId="12" borderId="6" xfId="3" applyNumberFormat="1" applyFont="1" applyFill="1" applyBorder="1"/>
    <xf numFmtId="164" fontId="4" fillId="12" borderId="6" xfId="4" applyNumberFormat="1" applyFont="1" applyFill="1" applyBorder="1" applyAlignment="1">
      <alignment horizontal="right"/>
    </xf>
    <xf numFmtId="164" fontId="4" fillId="12" borderId="6" xfId="4" applyNumberFormat="1" applyFont="1" applyFill="1" applyBorder="1"/>
    <xf numFmtId="168" fontId="4" fillId="12" borderId="24" xfId="0" applyNumberFormat="1" applyFont="1" applyFill="1" applyBorder="1" applyAlignment="1" applyProtection="1">
      <alignment horizontal="right" vertical="distributed" wrapText="1"/>
      <protection locked="0"/>
    </xf>
    <xf numFmtId="168" fontId="4" fillId="12" borderId="30" xfId="0" applyNumberFormat="1" applyFont="1" applyFill="1" applyBorder="1" applyAlignment="1" applyProtection="1">
      <alignment horizontal="right" vertical="distributed" wrapText="1"/>
      <protection locked="0"/>
    </xf>
    <xf numFmtId="177" fontId="10" fillId="12" borderId="1" xfId="2" applyNumberFormat="1" applyFont="1" applyFill="1" applyBorder="1"/>
    <xf numFmtId="168" fontId="10" fillId="12" borderId="1" xfId="0" applyNumberFormat="1" applyFont="1" applyFill="1" applyBorder="1" applyAlignment="1" applyProtection="1">
      <alignment horizontal="right" vertical="distributed" wrapText="1"/>
      <protection locked="0"/>
    </xf>
    <xf numFmtId="194" fontId="10" fillId="12" borderId="1" xfId="0" applyNumberFormat="1" applyFont="1" applyFill="1" applyBorder="1" applyAlignment="1" applyProtection="1">
      <alignment horizontal="right" vertical="distributed" wrapText="1"/>
      <protection locked="0"/>
    </xf>
    <xf numFmtId="195" fontId="4" fillId="0" borderId="0" xfId="2" applyNumberFormat="1" applyFont="1"/>
    <xf numFmtId="195" fontId="31" fillId="0" borderId="0" xfId="5" applyNumberFormat="1" applyFont="1" applyAlignment="1"/>
    <xf numFmtId="195" fontId="10" fillId="12" borderId="1" xfId="2" applyNumberFormat="1" applyFont="1" applyFill="1" applyBorder="1"/>
    <xf numFmtId="195" fontId="10" fillId="12" borderId="1" xfId="2" applyNumberFormat="1" applyFont="1" applyFill="1" applyBorder="1" applyAlignment="1">
      <alignment horizontal="right"/>
    </xf>
    <xf numFmtId="164" fontId="51" fillId="0" borderId="0" xfId="4" applyNumberFormat="1" applyFont="1"/>
    <xf numFmtId="0" fontId="16" fillId="0" borderId="0" xfId="5" applyFont="1" applyAlignment="1"/>
    <xf numFmtId="0" fontId="32" fillId="9" borderId="0" xfId="5" applyFont="1" applyFill="1" applyAlignment="1"/>
    <xf numFmtId="0" fontId="33" fillId="9" borderId="0" xfId="5" applyFont="1" applyFill="1" applyAlignment="1"/>
    <xf numFmtId="0" fontId="34" fillId="9" borderId="0" xfId="5" applyFont="1" applyFill="1" applyAlignment="1"/>
    <xf numFmtId="0" fontId="35" fillId="9" borderId="0" xfId="5" applyFont="1" applyFill="1" applyAlignment="1"/>
    <xf numFmtId="185" fontId="39" fillId="12" borderId="0" xfId="3" applyNumberFormat="1" applyFont="1" applyFill="1" applyBorder="1"/>
    <xf numFmtId="177" fontId="10" fillId="12" borderId="23" xfId="2" applyNumberFormat="1" applyFont="1" applyFill="1" applyBorder="1"/>
    <xf numFmtId="0" fontId="21" fillId="12" borderId="25" xfId="2" applyNumberFormat="1" applyFont="1" applyFill="1" applyBorder="1"/>
    <xf numFmtId="0" fontId="31" fillId="12" borderId="3" xfId="5" applyFont="1" applyFill="1" applyBorder="1" applyAlignment="1"/>
    <xf numFmtId="0" fontId="31" fillId="12" borderId="26" xfId="5" applyFont="1" applyFill="1" applyBorder="1" applyAlignment="1"/>
    <xf numFmtId="0" fontId="31" fillId="12" borderId="4" xfId="5" applyFont="1" applyFill="1" applyBorder="1" applyAlignment="1"/>
    <xf numFmtId="0" fontId="31" fillId="12" borderId="10" xfId="3" applyFont="1" applyFill="1" applyBorder="1" applyAlignment="1">
      <alignment horizontal="left"/>
    </xf>
    <xf numFmtId="170" fontId="4" fillId="12" borderId="0" xfId="2" applyNumberFormat="1" applyFont="1" applyFill="1"/>
    <xf numFmtId="170" fontId="4" fillId="12" borderId="20" xfId="2" applyNumberFormat="1" applyFont="1" applyFill="1" applyBorder="1"/>
    <xf numFmtId="170" fontId="4" fillId="12" borderId="11" xfId="2" applyNumberFormat="1" applyFont="1" applyFill="1" applyBorder="1"/>
    <xf numFmtId="168" fontId="4" fillId="12" borderId="20" xfId="0" applyNumberFormat="1" applyFont="1" applyFill="1" applyBorder="1" applyAlignment="1" applyProtection="1">
      <alignment horizontal="right" vertical="distributed" wrapText="1"/>
      <protection locked="0"/>
    </xf>
    <xf numFmtId="180" fontId="31" fillId="12" borderId="0" xfId="5" applyNumberFormat="1" applyFont="1" applyFill="1" applyAlignment="1"/>
    <xf numFmtId="164" fontId="31" fillId="12" borderId="20" xfId="5" applyNumberFormat="1" applyFont="1" applyFill="1" applyBorder="1" applyAlignment="1"/>
    <xf numFmtId="164" fontId="31" fillId="12" borderId="0" xfId="5" applyNumberFormat="1" applyFont="1" applyFill="1" applyAlignment="1"/>
    <xf numFmtId="164" fontId="31" fillId="12" borderId="11" xfId="5" applyNumberFormat="1" applyFont="1" applyFill="1" applyBorder="1" applyAlignment="1"/>
    <xf numFmtId="0" fontId="21" fillId="12" borderId="5" xfId="2" applyNumberFormat="1" applyFont="1" applyFill="1" applyBorder="1"/>
    <xf numFmtId="180" fontId="31" fillId="12" borderId="20" xfId="5" applyNumberFormat="1" applyFont="1" applyFill="1" applyBorder="1" applyAlignment="1"/>
    <xf numFmtId="0" fontId="31" fillId="12" borderId="11" xfId="5" applyFont="1" applyFill="1" applyBorder="1" applyAlignment="1"/>
    <xf numFmtId="0" fontId="31" fillId="12" borderId="5" xfId="3" applyFont="1" applyFill="1" applyBorder="1" applyAlignment="1">
      <alignment horizontal="left"/>
    </xf>
    <xf numFmtId="168" fontId="4" fillId="12" borderId="6" xfId="0" applyNumberFormat="1" applyFont="1" applyFill="1" applyBorder="1" applyAlignment="1" applyProtection="1">
      <alignment horizontal="right" vertical="distributed" wrapText="1"/>
      <protection locked="0"/>
    </xf>
    <xf numFmtId="168" fontId="4" fillId="12" borderId="21" xfId="0" applyNumberFormat="1" applyFont="1" applyFill="1" applyBorder="1" applyAlignment="1" applyProtection="1">
      <alignment horizontal="right" vertical="distributed" wrapText="1"/>
      <protection locked="0"/>
    </xf>
    <xf numFmtId="168" fontId="4" fillId="12" borderId="7" xfId="0" applyNumberFormat="1" applyFont="1" applyFill="1" applyBorder="1" applyAlignment="1" applyProtection="1">
      <alignment horizontal="right" vertical="distributed" wrapText="1"/>
      <protection locked="0"/>
    </xf>
    <xf numFmtId="0" fontId="39" fillId="12" borderId="0" xfId="5" applyFont="1" applyFill="1" applyAlignment="1"/>
    <xf numFmtId="176" fontId="10" fillId="12" borderId="0" xfId="2" applyNumberFormat="1" applyFont="1" applyFill="1"/>
    <xf numFmtId="168" fontId="10" fillId="12" borderId="0" xfId="0" applyNumberFormat="1" applyFont="1" applyFill="1" applyAlignment="1" applyProtection="1">
      <alignment horizontal="right" vertical="distributed" wrapText="1"/>
      <protection locked="0"/>
    </xf>
    <xf numFmtId="164" fontId="39" fillId="12" borderId="0" xfId="3" applyNumberFormat="1" applyFont="1" applyFill="1" applyBorder="1" applyAlignment="1">
      <alignment horizontal="center"/>
    </xf>
    <xf numFmtId="176" fontId="10" fillId="12" borderId="1" xfId="2" applyNumberFormat="1" applyFont="1" applyFill="1" applyBorder="1"/>
    <xf numFmtId="171" fontId="10" fillId="12" borderId="1" xfId="0" applyNumberFormat="1" applyFont="1" applyFill="1" applyBorder="1" applyAlignment="1" applyProtection="1">
      <alignment horizontal="right" vertical="distributed" wrapText="1"/>
      <protection locked="0"/>
    </xf>
    <xf numFmtId="180" fontId="52" fillId="12" borderId="0" xfId="3" applyNumberFormat="1" applyFont="1" applyFill="1" applyBorder="1"/>
    <xf numFmtId="0" fontId="43" fillId="0" borderId="0" xfId="0" applyFont="1" applyFill="1"/>
    <xf numFmtId="0" fontId="10" fillId="0" borderId="0" xfId="3" applyFont="1" applyBorder="1" applyAlignment="1">
      <alignment horizontal="center"/>
    </xf>
    <xf numFmtId="182" fontId="53" fillId="0" borderId="0" xfId="3" applyNumberFormat="1" applyFont="1" applyFill="1" applyBorder="1"/>
    <xf numFmtId="182" fontId="53" fillId="0" borderId="6" xfId="3" applyNumberFormat="1" applyFont="1" applyFill="1" applyBorder="1"/>
    <xf numFmtId="0" fontId="42" fillId="13" borderId="0" xfId="3" applyFont="1" applyFill="1" applyBorder="1" applyAlignment="1">
      <alignment horizontal="center"/>
    </xf>
    <xf numFmtId="0" fontId="54" fillId="0" borderId="6" xfId="5" applyFont="1" applyFill="1" applyBorder="1" applyAlignment="1">
      <alignment horizontal="center"/>
    </xf>
    <xf numFmtId="167" fontId="54" fillId="0" borderId="21" xfId="5" applyNumberFormat="1" applyFont="1" applyFill="1" applyBorder="1" applyAlignment="1">
      <alignment horizontal="center"/>
    </xf>
    <xf numFmtId="177" fontId="54" fillId="0" borderId="0" xfId="2" applyNumberFormat="1" applyFont="1" applyFill="1"/>
    <xf numFmtId="171" fontId="6" fillId="13" borderId="0" xfId="0" applyNumberFormat="1" applyFont="1" applyFill="1" applyAlignment="1" applyProtection="1">
      <alignment horizontal="right" vertical="distributed" wrapText="1"/>
      <protection locked="0"/>
    </xf>
    <xf numFmtId="192" fontId="6" fillId="13" borderId="6" xfId="0" applyNumberFormat="1" applyFont="1" applyFill="1" applyBorder="1" applyAlignment="1" applyProtection="1">
      <alignment horizontal="right" vertical="distributed" wrapText="1"/>
      <protection locked="0"/>
    </xf>
    <xf numFmtId="195" fontId="45" fillId="13" borderId="0" xfId="5" applyNumberFormat="1" applyFont="1" applyFill="1" applyAlignment="1"/>
    <xf numFmtId="195" fontId="6" fillId="13" borderId="6" xfId="5" applyNumberFormat="1" applyFont="1" applyFill="1" applyBorder="1" applyAlignment="1"/>
    <xf numFmtId="182" fontId="6" fillId="13" borderId="0" xfId="3" applyNumberFormat="1" applyFont="1" applyFill="1" applyBorder="1"/>
    <xf numFmtId="170" fontId="6" fillId="13" borderId="2" xfId="2" applyNumberFormat="1" applyFont="1" applyFill="1" applyBorder="1"/>
    <xf numFmtId="170" fontId="6" fillId="13" borderId="3" xfId="2" applyNumberFormat="1" applyFont="1" applyFill="1" applyBorder="1"/>
    <xf numFmtId="170" fontId="6" fillId="13" borderId="10" xfId="2" applyNumberFormat="1" applyFont="1" applyFill="1" applyBorder="1"/>
    <xf numFmtId="170" fontId="6" fillId="13" borderId="0" xfId="2" applyNumberFormat="1" applyFont="1" applyFill="1"/>
    <xf numFmtId="170" fontId="6" fillId="13" borderId="5" xfId="2" applyNumberFormat="1" applyFont="1" applyFill="1" applyBorder="1"/>
    <xf numFmtId="170" fontId="6" fillId="13" borderId="6" xfId="2" applyNumberFormat="1" applyFont="1" applyFill="1" applyBorder="1"/>
    <xf numFmtId="171" fontId="6" fillId="13" borderId="2" xfId="0" applyNumberFormat="1" applyFont="1" applyFill="1" applyBorder="1" applyAlignment="1" applyProtection="1">
      <alignment horizontal="right" vertical="distributed" wrapText="1"/>
      <protection locked="0"/>
    </xf>
    <xf numFmtId="171" fontId="6" fillId="13" borderId="3" xfId="0" applyNumberFormat="1" applyFont="1" applyFill="1" applyBorder="1" applyAlignment="1" applyProtection="1">
      <alignment horizontal="right" vertical="distributed" wrapText="1"/>
      <protection locked="0"/>
    </xf>
    <xf numFmtId="171" fontId="6" fillId="13" borderId="4" xfId="0" applyNumberFormat="1" applyFont="1" applyFill="1" applyBorder="1" applyAlignment="1" applyProtection="1">
      <alignment horizontal="right" vertical="distributed" wrapText="1"/>
      <protection locked="0"/>
    </xf>
    <xf numFmtId="171" fontId="6" fillId="13" borderId="10" xfId="0" applyNumberFormat="1" applyFont="1" applyFill="1" applyBorder="1" applyAlignment="1" applyProtection="1">
      <alignment horizontal="right" vertical="distributed" wrapText="1"/>
      <protection locked="0"/>
    </xf>
    <xf numFmtId="171" fontId="6" fillId="13" borderId="0" xfId="0" applyNumberFormat="1" applyFont="1" applyFill="1" applyBorder="1" applyAlignment="1" applyProtection="1">
      <alignment horizontal="right" vertical="distributed" wrapText="1"/>
      <protection locked="0"/>
    </xf>
    <xf numFmtId="171" fontId="6" fillId="13" borderId="11" xfId="0" applyNumberFormat="1" applyFont="1" applyFill="1" applyBorder="1" applyAlignment="1" applyProtection="1">
      <alignment horizontal="right" vertical="distributed" wrapText="1"/>
      <protection locked="0"/>
    </xf>
    <xf numFmtId="171" fontId="6" fillId="13" borderId="5" xfId="0" applyNumberFormat="1" applyFont="1" applyFill="1" applyBorder="1" applyAlignment="1" applyProtection="1">
      <alignment horizontal="right" vertical="distributed" wrapText="1"/>
      <protection locked="0"/>
    </xf>
    <xf numFmtId="171" fontId="6" fillId="13" borderId="6" xfId="0" applyNumberFormat="1" applyFont="1" applyFill="1" applyBorder="1" applyAlignment="1" applyProtection="1">
      <alignment horizontal="right" vertical="distributed" wrapText="1"/>
      <protection locked="0"/>
    </xf>
    <xf numFmtId="171" fontId="6" fillId="13" borderId="7" xfId="0" applyNumberFormat="1" applyFont="1" applyFill="1" applyBorder="1" applyAlignment="1" applyProtection="1">
      <alignment horizontal="right" vertical="distributed" wrapText="1"/>
      <protection locked="0"/>
    </xf>
    <xf numFmtId="169" fontId="6" fillId="13" borderId="2" xfId="2" applyNumberFormat="1" applyFont="1" applyFill="1" applyBorder="1"/>
    <xf numFmtId="169" fontId="6" fillId="13" borderId="3" xfId="2" applyNumberFormat="1" applyFont="1" applyFill="1" applyBorder="1"/>
    <xf numFmtId="169" fontId="6" fillId="13" borderId="10" xfId="2" applyNumberFormat="1" applyFont="1" applyFill="1" applyBorder="1"/>
    <xf numFmtId="169" fontId="6" fillId="13" borderId="0" xfId="2" applyNumberFormat="1" applyFont="1" applyFill="1"/>
    <xf numFmtId="169" fontId="6" fillId="13" borderId="5" xfId="2" applyNumberFormat="1" applyFont="1" applyFill="1" applyBorder="1"/>
    <xf numFmtId="169" fontId="6" fillId="13" borderId="6" xfId="2" applyNumberFormat="1" applyFont="1" applyFill="1" applyBorder="1"/>
    <xf numFmtId="169" fontId="6" fillId="13" borderId="4" xfId="2" applyNumberFormat="1" applyFont="1" applyFill="1" applyBorder="1"/>
    <xf numFmtId="169" fontId="6" fillId="13" borderId="11" xfId="2" applyNumberFormat="1" applyFont="1" applyFill="1" applyBorder="1"/>
    <xf numFmtId="169" fontId="6" fillId="13" borderId="7" xfId="2" applyNumberFormat="1" applyFont="1" applyFill="1" applyBorder="1"/>
    <xf numFmtId="171" fontId="6" fillId="13" borderId="1" xfId="0" applyNumberFormat="1" applyFont="1" applyFill="1" applyBorder="1" applyAlignment="1" applyProtection="1">
      <alignment horizontal="right" vertical="distributed" wrapText="1"/>
      <protection locked="0"/>
    </xf>
    <xf numFmtId="10" fontId="6" fillId="15" borderId="0" xfId="0" applyNumberFormat="1" applyFont="1" applyFill="1" applyAlignment="1" applyProtection="1">
      <alignment horizontal="right" vertical="distributed" wrapText="1"/>
      <protection locked="0"/>
    </xf>
    <xf numFmtId="0" fontId="54" fillId="16" borderId="0" xfId="3" applyFont="1" applyFill="1" applyBorder="1"/>
    <xf numFmtId="0" fontId="55" fillId="16" borderId="0" xfId="5" applyFont="1" applyFill="1" applyAlignment="1"/>
    <xf numFmtId="0" fontId="56" fillId="16" borderId="0" xfId="5" applyFont="1" applyFill="1" applyAlignment="1"/>
    <xf numFmtId="0" fontId="54" fillId="7" borderId="0" xfId="3" applyFont="1" applyFill="1" applyBorder="1" applyAlignment="1">
      <alignment horizontal="center"/>
    </xf>
    <xf numFmtId="0" fontId="54" fillId="7" borderId="6" xfId="3" applyFont="1" applyFill="1" applyBorder="1" applyAlignment="1">
      <alignment horizontal="center"/>
    </xf>
    <xf numFmtId="0" fontId="31" fillId="0" borderId="0" xfId="0" applyFont="1"/>
    <xf numFmtId="200" fontId="10" fillId="0" borderId="0" xfId="0" applyNumberFormat="1" applyFont="1" applyAlignment="1">
      <alignment horizontal="center"/>
    </xf>
    <xf numFmtId="10" fontId="0" fillId="0" borderId="0" xfId="0" applyNumberFormat="1"/>
    <xf numFmtId="38" fontId="31" fillId="0" borderId="10" xfId="0" applyNumberFormat="1" applyFont="1" applyBorder="1" applyAlignment="1">
      <alignment horizontal="center"/>
    </xf>
    <xf numFmtId="38" fontId="31" fillId="0" borderId="0" xfId="0" applyNumberFormat="1" applyFont="1" applyAlignment="1">
      <alignment horizontal="center"/>
    </xf>
    <xf numFmtId="164" fontId="31" fillId="0" borderId="10" xfId="0" applyNumberFormat="1" applyFont="1" applyBorder="1" applyAlignment="1">
      <alignment horizontal="center"/>
    </xf>
    <xf numFmtId="164" fontId="31" fillId="0" borderId="0" xfId="0" applyNumberFormat="1" applyFont="1" applyAlignment="1">
      <alignment horizontal="center"/>
    </xf>
    <xf numFmtId="2" fontId="31" fillId="0" borderId="10" xfId="0" applyNumberFormat="1" applyFont="1" applyBorder="1" applyAlignment="1">
      <alignment horizontal="center"/>
    </xf>
    <xf numFmtId="2" fontId="31" fillId="0" borderId="0" xfId="0" applyNumberFormat="1" applyFont="1" applyAlignment="1">
      <alignment horizontal="center"/>
    </xf>
    <xf numFmtId="38" fontId="33" fillId="2" borderId="0" xfId="0" applyNumberFormat="1" applyFont="1" applyFill="1" applyAlignment="1">
      <alignment horizontal="center"/>
    </xf>
    <xf numFmtId="164" fontId="33" fillId="2" borderId="0" xfId="0" applyNumberFormat="1" applyFont="1" applyFill="1" applyAlignment="1">
      <alignment horizontal="center"/>
    </xf>
    <xf numFmtId="2" fontId="33" fillId="2" borderId="0" xfId="0" applyNumberFormat="1" applyFont="1" applyFill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9" fillId="0" borderId="0" xfId="0" applyFont="1" applyAlignment="1" applyProtection="1">
      <alignment horizontal="right" vertical="distributed" textRotation="90" wrapText="1"/>
      <protection locked="0"/>
    </xf>
    <xf numFmtId="164" fontId="54" fillId="16" borderId="0" xfId="0" applyNumberFormat="1" applyFont="1" applyFill="1" applyAlignment="1">
      <alignment horizontal="center"/>
    </xf>
    <xf numFmtId="201" fontId="39" fillId="12" borderId="0" xfId="0" applyNumberFormat="1" applyFont="1" applyFill="1" applyAlignment="1">
      <alignment horizontal="center"/>
    </xf>
    <xf numFmtId="164" fontId="39" fillId="12" borderId="0" xfId="0" applyNumberFormat="1" applyFont="1" applyFill="1" applyAlignment="1">
      <alignment horizontal="center"/>
    </xf>
    <xf numFmtId="2" fontId="39" fillId="12" borderId="0" xfId="0" applyNumberFormat="1" applyFont="1" applyFill="1" applyAlignment="1">
      <alignment horizontal="center"/>
    </xf>
    <xf numFmtId="10" fontId="10" fillId="14" borderId="0" xfId="0" applyNumberFormat="1" applyFont="1" applyFill="1"/>
    <xf numFmtId="10" fontId="42" fillId="14" borderId="0" xfId="0" applyNumberFormat="1" applyFont="1" applyFill="1"/>
    <xf numFmtId="200" fontId="10" fillId="14" borderId="6" xfId="0" applyNumberFormat="1" applyFont="1" applyFill="1" applyBorder="1" applyAlignment="1">
      <alignment horizontal="center"/>
    </xf>
    <xf numFmtId="200" fontId="42" fillId="14" borderId="6" xfId="0" applyNumberFormat="1" applyFont="1" applyFill="1" applyBorder="1" applyAlignment="1">
      <alignment horizontal="center"/>
    </xf>
    <xf numFmtId="164" fontId="10" fillId="14" borderId="0" xfId="0" applyNumberFormat="1" applyFont="1" applyFill="1"/>
    <xf numFmtId="164" fontId="42" fillId="14" borderId="0" xfId="0" applyNumberFormat="1" applyFont="1" applyFill="1"/>
    <xf numFmtId="180" fontId="52" fillId="12" borderId="0" xfId="0" applyNumberFormat="1" applyFont="1" applyFill="1"/>
    <xf numFmtId="203" fontId="4" fillId="0" borderId="0" xfId="2" applyNumberFormat="1" applyFont="1"/>
    <xf numFmtId="164" fontId="31" fillId="0" borderId="3" xfId="3" applyNumberFormat="1" applyFont="1" applyAlignment="1">
      <alignment horizontal="center"/>
    </xf>
    <xf numFmtId="200" fontId="31" fillId="0" borderId="2" xfId="3" applyNumberFormat="1" applyFont="1" applyBorder="1" applyAlignment="1">
      <alignment horizontal="center"/>
    </xf>
    <xf numFmtId="200" fontId="31" fillId="0" borderId="3" xfId="3" applyNumberFormat="1" applyFont="1" applyAlignment="1">
      <alignment horizontal="center"/>
    </xf>
    <xf numFmtId="200" fontId="31" fillId="0" borderId="10" xfId="3" applyNumberFormat="1" applyFont="1" applyBorder="1" applyAlignment="1">
      <alignment horizontal="center"/>
    </xf>
    <xf numFmtId="200" fontId="33" fillId="2" borderId="0" xfId="3" applyNumberFormat="1" applyFont="1" applyFill="1" applyBorder="1" applyAlignment="1">
      <alignment horizontal="center"/>
    </xf>
    <xf numFmtId="200" fontId="31" fillId="0" borderId="0" xfId="3" applyNumberFormat="1" applyFont="1" applyBorder="1" applyAlignment="1">
      <alignment horizontal="center"/>
    </xf>
    <xf numFmtId="164" fontId="4" fillId="0" borderId="32" xfId="4" applyNumberFormat="1" applyFont="1" applyBorder="1"/>
    <xf numFmtId="0" fontId="39" fillId="0" borderId="32" xfId="3" applyFont="1" applyBorder="1"/>
    <xf numFmtId="185" fontId="10" fillId="0" borderId="32" xfId="3" applyNumberFormat="1" applyFont="1" applyBorder="1"/>
    <xf numFmtId="164" fontId="4" fillId="0" borderId="32" xfId="4" applyNumberFormat="1" applyFont="1" applyBorder="1" applyAlignment="1">
      <alignment horizontal="right"/>
    </xf>
    <xf numFmtId="0" fontId="60" fillId="11" borderId="0" xfId="0" applyFont="1" applyFill="1" applyAlignment="1"/>
    <xf numFmtId="0" fontId="61" fillId="11" borderId="0" xfId="0" applyFont="1" applyFill="1" applyAlignment="1"/>
    <xf numFmtId="0" fontId="57" fillId="9" borderId="0" xfId="2" applyNumberFormat="1" applyFont="1" applyFill="1"/>
    <xf numFmtId="0" fontId="58" fillId="9" borderId="0" xfId="5" applyFont="1" applyFill="1" applyAlignment="1"/>
    <xf numFmtId="0" fontId="32" fillId="9" borderId="0" xfId="2" applyNumberFormat="1" applyFont="1" applyFill="1"/>
    <xf numFmtId="0" fontId="35" fillId="9" borderId="31" xfId="2" applyNumberFormat="1" applyFont="1" applyFill="1" applyBorder="1"/>
    <xf numFmtId="0" fontId="59" fillId="9" borderId="31" xfId="5" applyFont="1" applyFill="1" applyBorder="1" applyAlignment="1"/>
    <xf numFmtId="0" fontId="37" fillId="9" borderId="31" xfId="2" applyNumberFormat="1" applyFont="1" applyFill="1" applyBorder="1"/>
    <xf numFmtId="0" fontId="37" fillId="9" borderId="31" xfId="2" applyNumberFormat="1" applyFont="1" applyFill="1" applyBorder="1" applyAlignment="1">
      <alignment horizontal="right"/>
    </xf>
    <xf numFmtId="200" fontId="39" fillId="12" borderId="0" xfId="3" applyNumberFormat="1" applyFont="1" applyFill="1" applyBorder="1" applyAlignment="1">
      <alignment horizontal="center"/>
    </xf>
    <xf numFmtId="164" fontId="54" fillId="16" borderId="0" xfId="4" applyNumberFormat="1" applyFont="1" applyFill="1" applyAlignment="1">
      <alignment horizontal="center"/>
    </xf>
    <xf numFmtId="0" fontId="62" fillId="0" borderId="0" xfId="0" applyFont="1"/>
    <xf numFmtId="0" fontId="63" fillId="0" borderId="0" xfId="0" applyFont="1"/>
    <xf numFmtId="0" fontId="64" fillId="0" borderId="0" xfId="0" applyFont="1"/>
    <xf numFmtId="205" fontId="64" fillId="0" borderId="0" xfId="0" applyNumberFormat="1" applyFont="1"/>
    <xf numFmtId="8" fontId="64" fillId="0" borderId="0" xfId="0" applyNumberFormat="1" applyFont="1"/>
    <xf numFmtId="10" fontId="52" fillId="12" borderId="0" xfId="3" applyNumberFormat="1" applyFont="1" applyFill="1" applyBorder="1"/>
    <xf numFmtId="10" fontId="10" fillId="14" borderId="6" xfId="3" applyNumberFormat="1" applyFont="1" applyFill="1" applyBorder="1" applyAlignment="1">
      <alignment horizontal="center"/>
    </xf>
    <xf numFmtId="10" fontId="42" fillId="14" borderId="6" xfId="3" applyNumberFormat="1" applyFont="1" applyFill="1" applyBorder="1" applyAlignment="1">
      <alignment horizontal="center"/>
    </xf>
    <xf numFmtId="10" fontId="10" fillId="14" borderId="0" xfId="4" applyNumberFormat="1" applyFont="1" applyFill="1"/>
    <xf numFmtId="10" fontId="31" fillId="0" borderId="10" xfId="3" applyNumberFormat="1" applyFont="1" applyBorder="1" applyAlignment="1">
      <alignment horizontal="center"/>
    </xf>
    <xf numFmtId="10" fontId="31" fillId="0" borderId="0" xfId="3" applyNumberFormat="1" applyFont="1" applyBorder="1" applyAlignment="1">
      <alignment horizontal="center"/>
    </xf>
    <xf numFmtId="10" fontId="33" fillId="2" borderId="0" xfId="3" applyNumberFormat="1" applyFont="1" applyFill="1" applyBorder="1" applyAlignment="1">
      <alignment horizontal="center"/>
    </xf>
    <xf numFmtId="10" fontId="42" fillId="14" borderId="0" xfId="4" applyNumberFormat="1" applyFont="1" applyFill="1"/>
    <xf numFmtId="10" fontId="39" fillId="12" borderId="0" xfId="3" applyNumberFormat="1" applyFont="1" applyFill="1" applyBorder="1" applyAlignment="1">
      <alignment horizontal="center"/>
    </xf>
    <xf numFmtId="0" fontId="39" fillId="0" borderId="0" xfId="3" applyFont="1" applyBorder="1" applyAlignment="1" applyProtection="1">
      <alignment horizontal="right" vertical="center" textRotation="90" wrapText="1"/>
      <protection locked="0"/>
    </xf>
    <xf numFmtId="2" fontId="10" fillId="14" borderId="6" xfId="3" applyNumberFormat="1" applyFont="1" applyFill="1" applyBorder="1" applyAlignment="1">
      <alignment horizontal="center"/>
    </xf>
    <xf numFmtId="2" fontId="42" fillId="14" borderId="6" xfId="3" applyNumberFormat="1" applyFont="1" applyFill="1" applyBorder="1" applyAlignment="1">
      <alignment horizontal="center"/>
    </xf>
    <xf numFmtId="164" fontId="6" fillId="15" borderId="0" xfId="0" applyNumberFormat="1" applyFont="1" applyFill="1" applyAlignment="1" applyProtection="1">
      <alignment horizontal="right" vertical="distributed" wrapText="1"/>
      <protection locked="0"/>
    </xf>
    <xf numFmtId="0" fontId="65" fillId="0" borderId="0" xfId="3" applyFont="1" applyBorder="1"/>
    <xf numFmtId="164" fontId="10" fillId="14" borderId="6" xfId="0" applyNumberFormat="1" applyFont="1" applyFill="1" applyBorder="1" applyAlignment="1">
      <alignment horizontal="center"/>
    </xf>
    <xf numFmtId="164" fontId="42" fillId="14" borderId="6" xfId="0" applyNumberFormat="1" applyFont="1" applyFill="1" applyBorder="1" applyAlignment="1">
      <alignment horizontal="center"/>
    </xf>
    <xf numFmtId="0" fontId="66" fillId="0" borderId="0" xfId="22" applyFont="1" applyAlignment="1">
      <alignment vertical="center"/>
    </xf>
    <xf numFmtId="0" fontId="67" fillId="0" borderId="6" xfId="22" applyFont="1" applyBorder="1" applyAlignment="1">
      <alignment wrapText="1"/>
    </xf>
    <xf numFmtId="0" fontId="67" fillId="0" borderId="6" xfId="22" applyFont="1" applyBorder="1" applyAlignment="1">
      <alignment horizontal="right" wrapText="1"/>
    </xf>
    <xf numFmtId="0" fontId="19" fillId="10" borderId="0" xfId="3" applyFont="1" applyFill="1" applyBorder="1" applyAlignment="1">
      <alignment horizontal="left" vertical="top"/>
    </xf>
    <xf numFmtId="0" fontId="68" fillId="0" borderId="0" xfId="3" applyFont="1" applyBorder="1"/>
    <xf numFmtId="0" fontId="69" fillId="0" borderId="0" xfId="3" applyFont="1" applyBorder="1"/>
    <xf numFmtId="0" fontId="70" fillId="18" borderId="0" xfId="0" applyFont="1" applyFill="1"/>
    <xf numFmtId="0" fontId="69" fillId="18" borderId="0" xfId="3" applyFont="1" applyFill="1" applyBorder="1"/>
    <xf numFmtId="0" fontId="67" fillId="17" borderId="0" xfId="22" applyFont="1" applyFill="1" applyAlignment="1">
      <alignment horizontal="center" vertical="center"/>
    </xf>
    <xf numFmtId="2" fontId="19" fillId="17" borderId="0" xfId="3" applyNumberFormat="1" applyFont="1" applyFill="1" applyBorder="1"/>
    <xf numFmtId="0" fontId="19" fillId="17" borderId="0" xfId="3" applyFont="1" applyFill="1" applyBorder="1"/>
    <xf numFmtId="10" fontId="4" fillId="0" borderId="0" xfId="3" applyNumberFormat="1" applyFont="1" applyBorder="1"/>
    <xf numFmtId="0" fontId="71" fillId="0" borderId="0" xfId="22" applyFont="1" applyAlignment="1">
      <alignment vertical="center"/>
    </xf>
    <xf numFmtId="0" fontId="73" fillId="0" borderId="0" xfId="22" applyFont="1" applyAlignment="1">
      <alignment horizontal="left" vertical="top"/>
    </xf>
    <xf numFmtId="0" fontId="4" fillId="17" borderId="0" xfId="3" applyFont="1" applyFill="1" applyBorder="1"/>
    <xf numFmtId="0" fontId="55" fillId="0" borderId="6" xfId="3" applyFont="1" applyBorder="1" applyAlignment="1">
      <alignment vertical="top" wrapText="1"/>
    </xf>
    <xf numFmtId="0" fontId="55" fillId="0" borderId="6" xfId="3" applyFont="1" applyBorder="1" applyAlignment="1">
      <alignment horizontal="left" vertical="top"/>
    </xf>
    <xf numFmtId="0" fontId="72" fillId="17" borderId="6" xfId="0" applyFont="1" applyFill="1" applyBorder="1" applyAlignment="1">
      <alignment horizontal="left" vertical="top" wrapText="1"/>
    </xf>
    <xf numFmtId="0" fontId="74" fillId="17" borderId="6" xfId="22" applyFont="1" applyFill="1" applyBorder="1" applyAlignment="1">
      <alignment horizontal="left" vertical="top" wrapText="1"/>
    </xf>
    <xf numFmtId="0" fontId="71" fillId="0" borderId="0" xfId="22" applyFont="1" applyBorder="1" applyAlignment="1">
      <alignment vertical="center"/>
    </xf>
    <xf numFmtId="0" fontId="75" fillId="0" borderId="0" xfId="0" applyFont="1"/>
    <xf numFmtId="0" fontId="75" fillId="0" borderId="2" xfId="0" applyFont="1" applyBorder="1"/>
    <xf numFmtId="0" fontId="75" fillId="0" borderId="3" xfId="0" applyFont="1" applyBorder="1"/>
    <xf numFmtId="0" fontId="76" fillId="19" borderId="3" xfId="0" applyFont="1" applyFill="1" applyBorder="1"/>
    <xf numFmtId="211" fontId="75" fillId="0" borderId="0" xfId="20" applyNumberFormat="1" applyFont="1"/>
    <xf numFmtId="211" fontId="75" fillId="0" borderId="6" xfId="20" applyNumberFormat="1" applyFont="1" applyBorder="1"/>
    <xf numFmtId="211" fontId="75" fillId="0" borderId="33" xfId="20" applyNumberFormat="1" applyFont="1" applyBorder="1"/>
    <xf numFmtId="0" fontId="75" fillId="0" borderId="6" xfId="0" applyFont="1" applyBorder="1"/>
    <xf numFmtId="164" fontId="75" fillId="0" borderId="6" xfId="21" applyNumberFormat="1" applyFont="1" applyBorder="1"/>
    <xf numFmtId="0" fontId="76" fillId="19" borderId="2" xfId="0" applyFont="1" applyFill="1" applyBorder="1"/>
    <xf numFmtId="0" fontId="75" fillId="19" borderId="3" xfId="0" applyFont="1" applyFill="1" applyBorder="1"/>
    <xf numFmtId="0" fontId="76" fillId="19" borderId="4" xfId="0" applyFont="1" applyFill="1" applyBorder="1"/>
    <xf numFmtId="0" fontId="77" fillId="20" borderId="0" xfId="0" applyFont="1" applyFill="1"/>
    <xf numFmtId="0" fontId="75" fillId="20" borderId="0" xfId="0" applyFont="1" applyFill="1"/>
    <xf numFmtId="0" fontId="76" fillId="19" borderId="10" xfId="0" applyFont="1" applyFill="1" applyBorder="1" applyAlignment="1">
      <alignment horizontal="right"/>
    </xf>
    <xf numFmtId="0" fontId="76" fillId="19" borderId="0" xfId="0" applyFont="1" applyFill="1" applyAlignment="1">
      <alignment horizontal="right"/>
    </xf>
    <xf numFmtId="0" fontId="76" fillId="19" borderId="11" xfId="0" applyFont="1" applyFill="1" applyBorder="1" applyAlignment="1">
      <alignment horizontal="right"/>
    </xf>
    <xf numFmtId="0" fontId="76" fillId="20" borderId="0" xfId="0" applyFont="1" applyFill="1"/>
    <xf numFmtId="10" fontId="75" fillId="0" borderId="2" xfId="21" applyNumberFormat="1" applyFont="1" applyBorder="1"/>
    <xf numFmtId="10" fontId="75" fillId="21" borderId="3" xfId="0" applyNumberFormat="1" applyFont="1" applyFill="1" applyBorder="1"/>
    <xf numFmtId="10" fontId="75" fillId="0" borderId="10" xfId="21" applyNumberFormat="1" applyFont="1" applyBorder="1"/>
    <xf numFmtId="10" fontId="75" fillId="21" borderId="0" xfId="21" applyNumberFormat="1" applyFont="1" applyFill="1" applyBorder="1"/>
    <xf numFmtId="2" fontId="75" fillId="0" borderId="10" xfId="0" applyNumberFormat="1" applyFont="1" applyBorder="1"/>
    <xf numFmtId="10" fontId="75" fillId="0" borderId="0" xfId="21" applyNumberFormat="1" applyFont="1" applyBorder="1"/>
    <xf numFmtId="10" fontId="75" fillId="0" borderId="11" xfId="21" applyNumberFormat="1" applyFont="1" applyBorder="1"/>
    <xf numFmtId="0" fontId="75" fillId="0" borderId="11" xfId="0" applyFont="1" applyBorder="1"/>
    <xf numFmtId="10" fontId="75" fillId="21" borderId="0" xfId="0" applyNumberFormat="1" applyFont="1" applyFill="1"/>
    <xf numFmtId="10" fontId="75" fillId="21" borderId="11" xfId="0" applyNumberFormat="1" applyFont="1" applyFill="1" applyBorder="1"/>
    <xf numFmtId="0" fontId="75" fillId="0" borderId="10" xfId="0" applyFont="1" applyBorder="1"/>
    <xf numFmtId="0" fontId="75" fillId="0" borderId="5" xfId="0" applyFont="1" applyBorder="1"/>
    <xf numFmtId="0" fontId="75" fillId="0" borderId="7" xfId="0" applyFont="1" applyBorder="1"/>
    <xf numFmtId="195" fontId="75" fillId="0" borderId="6" xfId="20" applyNumberFormat="1" applyFont="1" applyBorder="1"/>
    <xf numFmtId="195" fontId="75" fillId="0" borderId="0" xfId="20" applyNumberFormat="1" applyFont="1"/>
    <xf numFmtId="211" fontId="75" fillId="17" borderId="6" xfId="20" applyNumberFormat="1" applyFont="1" applyFill="1" applyBorder="1"/>
    <xf numFmtId="211" fontId="75" fillId="17" borderId="7" xfId="20" applyNumberFormat="1" applyFont="1" applyFill="1" applyBorder="1"/>
    <xf numFmtId="195" fontId="75" fillId="17" borderId="0" xfId="20" applyNumberFormat="1" applyFont="1" applyFill="1"/>
    <xf numFmtId="211" fontId="75" fillId="17" borderId="0" xfId="20" applyNumberFormat="1" applyFont="1" applyFill="1"/>
    <xf numFmtId="211" fontId="75" fillId="17" borderId="11" xfId="20" applyNumberFormat="1" applyFont="1" applyFill="1" applyBorder="1"/>
    <xf numFmtId="211" fontId="75" fillId="17" borderId="33" xfId="20" applyNumberFormat="1" applyFont="1" applyFill="1" applyBorder="1"/>
    <xf numFmtId="211" fontId="75" fillId="17" borderId="34" xfId="20" applyNumberFormat="1" applyFont="1" applyFill="1" applyBorder="1"/>
    <xf numFmtId="2" fontId="75" fillId="17" borderId="0" xfId="0" applyNumberFormat="1" applyFont="1" applyFill="1"/>
    <xf numFmtId="164" fontId="75" fillId="17" borderId="6" xfId="21" applyNumberFormat="1" applyFont="1" applyFill="1" applyBorder="1"/>
    <xf numFmtId="164" fontId="75" fillId="17" borderId="7" xfId="21" applyNumberFormat="1" applyFont="1" applyFill="1" applyBorder="1"/>
    <xf numFmtId="0" fontId="67" fillId="23" borderId="10" xfId="0" applyFont="1" applyFill="1" applyBorder="1"/>
    <xf numFmtId="0" fontId="75" fillId="23" borderId="0" xfId="0" applyFont="1" applyFill="1"/>
    <xf numFmtId="0" fontId="75" fillId="23" borderId="10" xfId="0" applyFont="1" applyFill="1" applyBorder="1" applyAlignment="1">
      <alignment horizontal="left" indent="3"/>
    </xf>
    <xf numFmtId="0" fontId="56" fillId="23" borderId="0" xfId="0" applyFont="1" applyFill="1"/>
    <xf numFmtId="0" fontId="56" fillId="23" borderId="10" xfId="0" applyFont="1" applyFill="1" applyBorder="1" applyAlignment="1">
      <alignment horizontal="left"/>
    </xf>
    <xf numFmtId="0" fontId="75" fillId="23" borderId="5" xfId="0" applyFont="1" applyFill="1" applyBorder="1" applyAlignment="1">
      <alignment horizontal="left" indent="3"/>
    </xf>
    <xf numFmtId="0" fontId="75" fillId="23" borderId="6" xfId="0" applyFont="1" applyFill="1" applyBorder="1"/>
    <xf numFmtId="211" fontId="75" fillId="0" borderId="0" xfId="20" applyNumberFormat="1" applyFont="1" applyFill="1"/>
    <xf numFmtId="211" fontId="75" fillId="0" borderId="11" xfId="20" applyNumberFormat="1" applyFont="1" applyFill="1" applyBorder="1"/>
    <xf numFmtId="195" fontId="75" fillId="17" borderId="11" xfId="20" applyNumberFormat="1" applyFont="1" applyFill="1" applyBorder="1"/>
    <xf numFmtId="0" fontId="37" fillId="24" borderId="0" xfId="5" applyFont="1" applyFill="1" applyAlignment="1">
      <alignment horizontal="center"/>
    </xf>
    <xf numFmtId="0" fontId="76" fillId="25" borderId="10" xfId="0" applyFont="1" applyFill="1" applyBorder="1"/>
    <xf numFmtId="0" fontId="61" fillId="25" borderId="0" xfId="0" applyFont="1" applyFill="1"/>
    <xf numFmtId="0" fontId="61" fillId="25" borderId="11" xfId="0" applyFont="1" applyFill="1" applyBorder="1"/>
    <xf numFmtId="0" fontId="76" fillId="25" borderId="3" xfId="0" applyFont="1" applyFill="1" applyBorder="1"/>
    <xf numFmtId="0" fontId="76" fillId="25" borderId="3" xfId="0" applyFont="1" applyFill="1" applyBorder="1" applyAlignment="1">
      <alignment horizontal="right"/>
    </xf>
    <xf numFmtId="0" fontId="76" fillId="25" borderId="4" xfId="0" applyFont="1" applyFill="1" applyBorder="1" applyAlignment="1">
      <alignment horizontal="right"/>
    </xf>
    <xf numFmtId="0" fontId="75" fillId="26" borderId="10" xfId="0" applyFont="1" applyFill="1" applyBorder="1" applyAlignment="1">
      <alignment horizontal="left" indent="3"/>
    </xf>
    <xf numFmtId="0" fontId="75" fillId="26" borderId="0" xfId="0" applyFont="1" applyFill="1"/>
    <xf numFmtId="0" fontId="67" fillId="26" borderId="10" xfId="0" applyFont="1" applyFill="1" applyBorder="1"/>
    <xf numFmtId="0" fontId="80" fillId="26" borderId="10" xfId="0" applyFont="1" applyFill="1" applyBorder="1"/>
    <xf numFmtId="0" fontId="56" fillId="26" borderId="10" xfId="0" applyFont="1" applyFill="1" applyBorder="1" applyAlignment="1">
      <alignment horizontal="left" indent="3"/>
    </xf>
    <xf numFmtId="0" fontId="80" fillId="26" borderId="5" xfId="0" applyFont="1" applyFill="1" applyBorder="1"/>
    <xf numFmtId="0" fontId="75" fillId="26" borderId="6" xfId="0" applyFont="1" applyFill="1" applyBorder="1"/>
    <xf numFmtId="0" fontId="75" fillId="25" borderId="0" xfId="0" applyFont="1" applyFill="1"/>
    <xf numFmtId="0" fontId="0" fillId="25" borderId="0" xfId="0" applyFill="1"/>
    <xf numFmtId="0" fontId="81" fillId="27" borderId="2" xfId="0" applyFont="1" applyFill="1" applyBorder="1"/>
    <xf numFmtId="0" fontId="81" fillId="27" borderId="3" xfId="0" applyFont="1" applyFill="1" applyBorder="1"/>
    <xf numFmtId="0" fontId="81" fillId="27" borderId="4" xfId="0" applyFont="1" applyFill="1" applyBorder="1"/>
    <xf numFmtId="0" fontId="82" fillId="28" borderId="0" xfId="0" applyFont="1" applyFill="1"/>
    <xf numFmtId="0" fontId="83" fillId="0" borderId="0" xfId="0" applyFont="1"/>
    <xf numFmtId="0" fontId="83" fillId="28" borderId="0" xfId="0" applyFont="1" applyFill="1"/>
    <xf numFmtId="0" fontId="81" fillId="28" borderId="0" xfId="0" applyFont="1" applyFill="1"/>
    <xf numFmtId="10" fontId="83" fillId="0" borderId="2" xfId="0" applyNumberFormat="1" applyFont="1" applyBorder="1"/>
    <xf numFmtId="10" fontId="83" fillId="0" borderId="10" xfId="0" applyNumberFormat="1" applyFont="1" applyBorder="1"/>
    <xf numFmtId="10" fontId="83" fillId="29" borderId="0" xfId="0" applyNumberFormat="1" applyFont="1" applyFill="1"/>
    <xf numFmtId="10" fontId="83" fillId="29" borderId="11" xfId="0" applyNumberFormat="1" applyFont="1" applyFill="1" applyBorder="1"/>
    <xf numFmtId="10" fontId="83" fillId="0" borderId="0" xfId="0" applyNumberFormat="1" applyFont="1"/>
    <xf numFmtId="10" fontId="83" fillId="0" borderId="11" xfId="0" applyNumberFormat="1" applyFont="1" applyBorder="1"/>
    <xf numFmtId="0" fontId="83" fillId="0" borderId="10" xfId="0" applyFont="1" applyBorder="1"/>
    <xf numFmtId="10" fontId="83" fillId="0" borderId="5" xfId="0" applyNumberFormat="1" applyFont="1" applyBorder="1"/>
    <xf numFmtId="10" fontId="83" fillId="0" borderId="6" xfId="0" applyNumberFormat="1" applyFont="1" applyBorder="1"/>
    <xf numFmtId="10" fontId="83" fillId="0" borderId="7" xfId="0" applyNumberFormat="1" applyFont="1" applyBorder="1"/>
    <xf numFmtId="195" fontId="68" fillId="0" borderId="0" xfId="2" applyNumberFormat="1" applyFont="1" applyFill="1"/>
    <xf numFmtId="177" fontId="17" fillId="17" borderId="0" xfId="2" applyNumberFormat="1" applyFont="1" applyFill="1"/>
    <xf numFmtId="177" fontId="17" fillId="17" borderId="11" xfId="2" applyNumberFormat="1" applyFont="1" applyFill="1" applyBorder="1"/>
    <xf numFmtId="195" fontId="0" fillId="0" borderId="0" xfId="0" applyNumberFormat="1"/>
    <xf numFmtId="195" fontId="75" fillId="0" borderId="0" xfId="0" applyNumberFormat="1" applyFont="1"/>
    <xf numFmtId="10" fontId="83" fillId="29" borderId="0" xfId="0" applyNumberFormat="1" applyFont="1" applyFill="1" applyBorder="1"/>
    <xf numFmtId="10" fontId="83" fillId="30" borderId="0" xfId="0" applyNumberFormat="1" applyFont="1" applyFill="1" applyBorder="1"/>
    <xf numFmtId="0" fontId="67" fillId="26" borderId="5" xfId="0" applyFont="1" applyFill="1" applyBorder="1"/>
    <xf numFmtId="0" fontId="75" fillId="0" borderId="2" xfId="0" applyFont="1" applyFill="1" applyBorder="1"/>
    <xf numFmtId="0" fontId="61" fillId="0" borderId="3" xfId="0" applyFont="1" applyFill="1" applyBorder="1"/>
    <xf numFmtId="10" fontId="75" fillId="0" borderId="3" xfId="21" applyNumberFormat="1" applyFont="1" applyBorder="1"/>
    <xf numFmtId="10" fontId="75" fillId="0" borderId="4" xfId="21" applyNumberFormat="1" applyFont="1" applyBorder="1"/>
    <xf numFmtId="10" fontId="75" fillId="0" borderId="0" xfId="0" applyNumberFormat="1" applyFont="1"/>
    <xf numFmtId="10" fontId="75" fillId="0" borderId="11" xfId="0" applyNumberFormat="1" applyFont="1" applyBorder="1"/>
    <xf numFmtId="164" fontId="75" fillId="0" borderId="0" xfId="0" applyNumberFormat="1" applyFont="1"/>
    <xf numFmtId="10" fontId="75" fillId="0" borderId="5" xfId="21" applyNumberFormat="1" applyFont="1" applyBorder="1"/>
    <xf numFmtId="204" fontId="84" fillId="0" borderId="0" xfId="0" applyNumberFormat="1" applyFont="1"/>
    <xf numFmtId="204" fontId="83" fillId="0" borderId="0" xfId="0" applyNumberFormat="1" applyFont="1"/>
    <xf numFmtId="195" fontId="75" fillId="0" borderId="0" xfId="0" applyNumberFormat="1" applyFont="1" applyFill="1"/>
    <xf numFmtId="0" fontId="86" fillId="0" borderId="0" xfId="0" applyFont="1"/>
    <xf numFmtId="10" fontId="85" fillId="31" borderId="0" xfId="0" applyNumberFormat="1" applyFont="1" applyFill="1"/>
    <xf numFmtId="10" fontId="85" fillId="31" borderId="11" xfId="0" applyNumberFormat="1" applyFont="1" applyFill="1" applyBorder="1"/>
    <xf numFmtId="0" fontId="85" fillId="0" borderId="0" xfId="0" applyFont="1"/>
    <xf numFmtId="0" fontId="0" fillId="0" borderId="0" xfId="0" applyFont="1" applyFill="1"/>
    <xf numFmtId="10" fontId="85" fillId="30" borderId="0" xfId="0" applyNumberFormat="1" applyFont="1" applyFill="1" applyBorder="1"/>
    <xf numFmtId="0" fontId="0" fillId="25" borderId="0" xfId="0" applyFill="1" applyBorder="1"/>
    <xf numFmtId="0" fontId="0" fillId="25" borderId="11" xfId="0" applyFill="1" applyBorder="1"/>
    <xf numFmtId="195" fontId="75" fillId="0" borderId="0" xfId="20" applyNumberFormat="1" applyFont="1" applyBorder="1"/>
    <xf numFmtId="195" fontId="75" fillId="0" borderId="11" xfId="20" applyNumberFormat="1" applyFont="1" applyBorder="1"/>
    <xf numFmtId="2" fontId="75" fillId="17" borderId="11" xfId="0" applyNumberFormat="1" applyFont="1" applyFill="1" applyBorder="1"/>
    <xf numFmtId="0" fontId="87" fillId="32" borderId="0" xfId="0" applyFont="1" applyFill="1" applyAlignment="1">
      <alignment horizontal="left" vertical="center"/>
    </xf>
    <xf numFmtId="0" fontId="44" fillId="32" borderId="0" xfId="0" applyFont="1" applyFill="1" applyAlignment="1">
      <alignment horizontal="left" vertical="center"/>
    </xf>
    <xf numFmtId="0" fontId="79" fillId="33" borderId="0" xfId="0" applyFont="1" applyFill="1" applyAlignment="1">
      <alignment horizontal="left" vertical="center"/>
    </xf>
    <xf numFmtId="0" fontId="0" fillId="34" borderId="0" xfId="0" applyFill="1"/>
    <xf numFmtId="2" fontId="0" fillId="0" borderId="0" xfId="0" applyNumberFormat="1"/>
    <xf numFmtId="2" fontId="0" fillId="34" borderId="0" xfId="0" applyNumberFormat="1" applyFill="1"/>
    <xf numFmtId="0" fontId="46" fillId="10" borderId="0" xfId="0" applyFont="1" applyFill="1" applyAlignment="1">
      <alignment horizontal="center" vertical="center"/>
    </xf>
    <xf numFmtId="177" fontId="31" fillId="0" borderId="0" xfId="5" applyNumberFormat="1" applyFont="1" applyAlignment="1"/>
    <xf numFmtId="43" fontId="31" fillId="12" borderId="0" xfId="5" applyNumberFormat="1" applyFont="1" applyFill="1" applyAlignment="1"/>
    <xf numFmtId="177" fontId="0" fillId="0" borderId="0" xfId="0" applyNumberFormat="1"/>
    <xf numFmtId="195" fontId="46" fillId="0" borderId="0" xfId="0" applyNumberFormat="1" applyFont="1"/>
    <xf numFmtId="0" fontId="44" fillId="35" borderId="0" xfId="0" applyFont="1" applyFill="1" applyAlignment="1">
      <alignment horizontal="left" vertical="center"/>
    </xf>
    <xf numFmtId="0" fontId="88" fillId="35" borderId="0" xfId="0" applyFont="1" applyFill="1"/>
    <xf numFmtId="195" fontId="75" fillId="0" borderId="0" xfId="0" applyNumberFormat="1" applyFont="1" applyBorder="1"/>
    <xf numFmtId="195" fontId="75" fillId="0" borderId="11" xfId="0" applyNumberFormat="1" applyFont="1" applyBorder="1"/>
    <xf numFmtId="195" fontId="75" fillId="0" borderId="0" xfId="0" applyNumberFormat="1" applyFont="1" applyFill="1" applyBorder="1"/>
    <xf numFmtId="195" fontId="75" fillId="0" borderId="11" xfId="0" applyNumberFormat="1" applyFont="1" applyFill="1" applyBorder="1"/>
    <xf numFmtId="195" fontId="75" fillId="0" borderId="6" xfId="0" applyNumberFormat="1" applyFont="1" applyBorder="1"/>
    <xf numFmtId="195" fontId="75" fillId="0" borderId="7" xfId="0" applyNumberFormat="1" applyFont="1" applyBorder="1"/>
  </cellXfs>
  <cellStyles count="24">
    <cellStyle name="%_Contribution analysis" xfId="4" xr:uid="{23EE9605-7116-B24E-90D4-64436480B63E}"/>
    <cellStyle name="%_DCF" xfId="2" xr:uid="{D1C00BF6-EFD0-5D49-AB8A-B2D2A00537A7}"/>
    <cellStyle name="%_FS" xfId="18" xr:uid="{CE3CB54B-8088-D046-BC23-3EA3D4735950}"/>
    <cellStyle name="Border, Top" xfId="3" xr:uid="{E981B45B-2509-224A-A223-6D24DE26771A}"/>
    <cellStyle name="Comma" xfId="20" builtinId="3"/>
    <cellStyle name="defaultStyle" xfId="8" xr:uid="{FD907034-7BE0-004A-BCC1-26A32C771CE8}"/>
    <cellStyle name="fontSize10HorizontalRight" xfId="17" xr:uid="{E8CA63AA-1A99-2C4B-9E3A-2AA30FC16B56}"/>
    <cellStyle name="fontSize10HorizontalRightBold" xfId="15" xr:uid="{3B145B59-A46E-3E43-9995-8DD17D87AF2C}"/>
    <cellStyle name="fontSize10Indent" xfId="16" xr:uid="{8225113D-822F-6548-80B1-21403F75A147}"/>
    <cellStyle name="fontSize10IndentBold" xfId="14" xr:uid="{64D511A1-CCFC-8540-AFDE-33356633C735}"/>
    <cellStyle name="fontSize10VerticalTopHorizontalRightWrapBold" xfId="10" xr:uid="{FE503A77-3F8E-BF4A-BA17-F9D2A655609F}"/>
    <cellStyle name="fontSize10VerticalTopHorizontalRightWrapHyperlinkBoldUnderlineSingle" xfId="11" xr:uid="{C4D8E35F-EC33-8C43-B34D-EA6C2B8E6CB7}"/>
    <cellStyle name="fontSize14BoldItalic" xfId="7" xr:uid="{D5961A54-7031-5041-8CFE-5CFD9ACF27E0}"/>
    <cellStyle name="fontSize16BoldVerticalBottom" xfId="9" xr:uid="{DA8ECC87-149D-7848-92B8-EF88AA5EBBA9}"/>
    <cellStyle name="g_rate_101306 CanWest Excel BAck up v14" xfId="23" xr:uid="{E8532DD4-4297-2A43-A852-FD3322B71E03}"/>
    <cellStyle name="horizontalRight" xfId="12" xr:uid="{9972051D-B060-AE4F-AD9D-7DFCA1B1D8B4}"/>
    <cellStyle name="horizontalRightHyperlink" xfId="13" xr:uid="{BDDEFBA9-08CB-9C4E-8433-21D0F799AC5D}"/>
    <cellStyle name="Normal" xfId="0" builtinId="0"/>
    <cellStyle name="Normal 3" xfId="22" xr:uid="{FF0D28FD-037F-B244-8F28-643B45674447}"/>
    <cellStyle name="Percent" xfId="21" builtinId="5"/>
    <cellStyle name="Style 17" xfId="5" xr:uid="{B7EE1437-EDAE-6D48-AB45-9A935E16C2F2}"/>
    <cellStyle name="Style 2" xfId="1" xr:uid="{D6BE616C-2D4F-B448-B38F-AF617C89373F}"/>
    <cellStyle name="Style 21" xfId="19" xr:uid="{2C116472-0C5B-D344-A1F4-07B0A532634E}"/>
    <cellStyle name="Style 22" xfId="6" xr:uid="{42E80337-F78C-E244-81A2-E991D426D738}"/>
  </cellStyles>
  <dxfs count="0"/>
  <tableStyles count="0" defaultTableStyle="TableStyleMedium2" defaultPivotStyle="PivotStyleLight16"/>
  <colors>
    <mruColors>
      <color rgb="FFC1E8F5"/>
      <color rgb="FFBDD7F0"/>
      <color rgb="FF06B0F0"/>
      <color rgb="FFBDD7EF"/>
      <color rgb="FF4C93D9"/>
      <color rgb="FFC0E7F5"/>
      <color rgb="FF0B0CFB"/>
      <color rgb="FFFFFF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ocuments/Documents%20-%20Alex's%20Macbook%20Pro/M.Sc.CorporateFinance/PLNT_DCF_Valuation_Model_FV.xlsx" TargetMode="External"/><Relationship Id="rId2" Type="http://schemas.openxmlformats.org/officeDocument/2006/relationships/externalLinkPath" Target="/Users/opdime/Documents/Documents%20-%20Alex's%20Macbook%20Pro/M.Sc.CorporateFinance/PLNT_DCF_Valuation_Model_FV.xlsx" TargetMode="External"/><Relationship Id="rId1" Type="http://schemas.openxmlformats.org/officeDocument/2006/relationships/externalLinkPath" Target="/Users/opdime/Documents/Documents%20-%20Alex's%20Macbook%20Pro/M.Sc.CorporateFinance/PLNT_DCF_Valuation_Model_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"/>
      <sheetName val="DCF"/>
      <sheetName val="NWC"/>
      <sheetName val="WACC"/>
      <sheetName val="AS1"/>
      <sheetName val="AS2"/>
      <sheetName val="IS"/>
      <sheetName val="BS"/>
      <sheetName val="CF"/>
    </sheetNames>
    <sheetDataSet>
      <sheetData sheetId="0" refreshError="1"/>
      <sheetData sheetId="1">
        <row r="4">
          <cell r="D4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my.pitchbook.com/?c=41192-38" TargetMode="External"/><Relationship Id="rId21" Type="http://schemas.openxmlformats.org/officeDocument/2006/relationships/hyperlink" Target="https://my.pitchbook.com/?c=41192-38" TargetMode="External"/><Relationship Id="rId34" Type="http://schemas.openxmlformats.org/officeDocument/2006/relationships/hyperlink" Target="https://my.pitchbook.com/?c=41192-38" TargetMode="External"/><Relationship Id="rId42" Type="http://schemas.openxmlformats.org/officeDocument/2006/relationships/hyperlink" Target="https://my.pitchbook.com/?c=41192-38" TargetMode="External"/><Relationship Id="rId47" Type="http://schemas.openxmlformats.org/officeDocument/2006/relationships/hyperlink" Target="https://my.pitchbook.com/?c=41192-38" TargetMode="External"/><Relationship Id="rId50" Type="http://schemas.openxmlformats.org/officeDocument/2006/relationships/hyperlink" Target="https:/my.pitchbook.com?sec_f=10217299682&amp;financialGroup=INCOME_STATEMENT&amp;period=ANN&amp;exchangeId=NYS&amp;exchangeSymbol=NEE" TargetMode="External"/><Relationship Id="rId55" Type="http://schemas.openxmlformats.org/officeDocument/2006/relationships/hyperlink" Target="https:/my.pitchbook.com?sec_f=10217299362&amp;financialGroup=INCOME_STATEMENT&amp;period=ANN&amp;exchangeId=NYS&amp;exchangeSymbol=NEE" TargetMode="External"/><Relationship Id="rId63" Type="http://schemas.openxmlformats.org/officeDocument/2006/relationships/hyperlink" Target="https:/my.pitchbook.com?sec_f=10217298850&amp;financialGroup=INCOME_STATEMENT&amp;period=ANN&amp;exchangeId=NYS&amp;exchangeSymbol=NEE" TargetMode="External"/><Relationship Id="rId7" Type="http://schemas.openxmlformats.org/officeDocument/2006/relationships/hyperlink" Target="https://my.pitchbook.com/?c=41192-38" TargetMode="External"/><Relationship Id="rId2" Type="http://schemas.openxmlformats.org/officeDocument/2006/relationships/hyperlink" Target="https://my.pitchbook.com/?c=41192-38" TargetMode="External"/><Relationship Id="rId16" Type="http://schemas.openxmlformats.org/officeDocument/2006/relationships/hyperlink" Target="https://my.pitchbook.com/?c=41192-38" TargetMode="External"/><Relationship Id="rId29" Type="http://schemas.openxmlformats.org/officeDocument/2006/relationships/hyperlink" Target="https://my.pitchbook.com/?c=41192-38" TargetMode="External"/><Relationship Id="rId11" Type="http://schemas.openxmlformats.org/officeDocument/2006/relationships/hyperlink" Target="https://my.pitchbook.com/?c=41192-38" TargetMode="External"/><Relationship Id="rId24" Type="http://schemas.openxmlformats.org/officeDocument/2006/relationships/hyperlink" Target="https://my.pitchbook.com/?c=41192-38" TargetMode="External"/><Relationship Id="rId32" Type="http://schemas.openxmlformats.org/officeDocument/2006/relationships/hyperlink" Target="https://my.pitchbook.com/?c=41192-38" TargetMode="External"/><Relationship Id="rId37" Type="http://schemas.openxmlformats.org/officeDocument/2006/relationships/hyperlink" Target="https://my.pitchbook.com/?c=41192-38" TargetMode="External"/><Relationship Id="rId40" Type="http://schemas.openxmlformats.org/officeDocument/2006/relationships/hyperlink" Target="https://my.pitchbook.com/?c=41192-38" TargetMode="External"/><Relationship Id="rId45" Type="http://schemas.openxmlformats.org/officeDocument/2006/relationships/hyperlink" Target="https://my.pitchbook.com/?c=41192-38" TargetMode="External"/><Relationship Id="rId53" Type="http://schemas.openxmlformats.org/officeDocument/2006/relationships/hyperlink" Target="https:/my.pitchbook.com?sec_f=10217299490&amp;financialGroup=INCOME_STATEMENT&amp;period=ANN&amp;exchangeId=NYS&amp;exchangeSymbol=NEE" TargetMode="External"/><Relationship Id="rId58" Type="http://schemas.openxmlformats.org/officeDocument/2006/relationships/hyperlink" Target="https:/my.pitchbook.com?sec_f=10217299170&amp;financialGroup=INCOME_STATEMENT&amp;period=ANN&amp;exchangeId=NYS&amp;exchangeSymbol=NEE" TargetMode="External"/><Relationship Id="rId5" Type="http://schemas.openxmlformats.org/officeDocument/2006/relationships/hyperlink" Target="https://my.pitchbook.com/?c=41192-38" TargetMode="External"/><Relationship Id="rId61" Type="http://schemas.openxmlformats.org/officeDocument/2006/relationships/hyperlink" Target="https:/my.pitchbook.com?sec_f=10217298978&amp;financialGroup=INCOME_STATEMENT&amp;period=ANN&amp;exchangeId=NYS&amp;exchangeSymbol=NEE" TargetMode="External"/><Relationship Id="rId19" Type="http://schemas.openxmlformats.org/officeDocument/2006/relationships/hyperlink" Target="https://my.pitchbook.com/?c=41192-38" TargetMode="External"/><Relationship Id="rId14" Type="http://schemas.openxmlformats.org/officeDocument/2006/relationships/hyperlink" Target="https://my.pitchbook.com/?c=41192-38" TargetMode="External"/><Relationship Id="rId22" Type="http://schemas.openxmlformats.org/officeDocument/2006/relationships/hyperlink" Target="https://my.pitchbook.com/?c=41192-38" TargetMode="External"/><Relationship Id="rId27" Type="http://schemas.openxmlformats.org/officeDocument/2006/relationships/hyperlink" Target="https://my.pitchbook.com/?c=41192-38" TargetMode="External"/><Relationship Id="rId30" Type="http://schemas.openxmlformats.org/officeDocument/2006/relationships/hyperlink" Target="https://my.pitchbook.com/?c=41192-38" TargetMode="External"/><Relationship Id="rId35" Type="http://schemas.openxmlformats.org/officeDocument/2006/relationships/hyperlink" Target="https://my.pitchbook.com/?c=41192-38" TargetMode="External"/><Relationship Id="rId43" Type="http://schemas.openxmlformats.org/officeDocument/2006/relationships/hyperlink" Target="https://my.pitchbook.com/?c=41192-38" TargetMode="External"/><Relationship Id="rId48" Type="http://schemas.openxmlformats.org/officeDocument/2006/relationships/hyperlink" Target="https:/my.pitchbook.com?sec_f=10217299810&amp;financialGroup=INCOME_STATEMENT&amp;period=ANN&amp;exchangeId=NYS&amp;exchangeSymbol=NEE" TargetMode="External"/><Relationship Id="rId56" Type="http://schemas.openxmlformats.org/officeDocument/2006/relationships/hyperlink" Target="https:/my.pitchbook.com?sec_f=10217299298&amp;financialGroup=INCOME_STATEMENT&amp;period=ANN&amp;exchangeId=NYS&amp;exchangeSymbol=NEE" TargetMode="External"/><Relationship Id="rId64" Type="http://schemas.openxmlformats.org/officeDocument/2006/relationships/hyperlink" Target="https:/my.pitchbook.com?sec_f=10217298786&amp;financialGroup=INCOME_STATEMENT&amp;period=ANN&amp;exchangeId=NYS&amp;exchangeSymbol=NEE" TargetMode="External"/><Relationship Id="rId8" Type="http://schemas.openxmlformats.org/officeDocument/2006/relationships/hyperlink" Target="https://my.pitchbook.com/?c=41192-38" TargetMode="External"/><Relationship Id="rId51" Type="http://schemas.openxmlformats.org/officeDocument/2006/relationships/hyperlink" Target="https:/my.pitchbook.com?sec_f=10217299618&amp;financialGroup=INCOME_STATEMENT&amp;period=ANN&amp;exchangeId=NYS&amp;exchangeSymbol=NEE" TargetMode="External"/><Relationship Id="rId3" Type="http://schemas.openxmlformats.org/officeDocument/2006/relationships/hyperlink" Target="https://my.pitchbook.com/?c=41192-38" TargetMode="External"/><Relationship Id="rId12" Type="http://schemas.openxmlformats.org/officeDocument/2006/relationships/hyperlink" Target="https://my.pitchbook.com/?c=41192-38" TargetMode="External"/><Relationship Id="rId17" Type="http://schemas.openxmlformats.org/officeDocument/2006/relationships/hyperlink" Target="https://my.pitchbook.com/?c=41192-38" TargetMode="External"/><Relationship Id="rId25" Type="http://schemas.openxmlformats.org/officeDocument/2006/relationships/hyperlink" Target="https://my.pitchbook.com/?c=41192-38" TargetMode="External"/><Relationship Id="rId33" Type="http://schemas.openxmlformats.org/officeDocument/2006/relationships/hyperlink" Target="https://my.pitchbook.com/?c=41192-38" TargetMode="External"/><Relationship Id="rId38" Type="http://schemas.openxmlformats.org/officeDocument/2006/relationships/hyperlink" Target="https://my.pitchbook.com/?c=41192-38" TargetMode="External"/><Relationship Id="rId46" Type="http://schemas.openxmlformats.org/officeDocument/2006/relationships/hyperlink" Target="https://my.pitchbook.com/?c=41192-38" TargetMode="External"/><Relationship Id="rId59" Type="http://schemas.openxmlformats.org/officeDocument/2006/relationships/hyperlink" Target="https:/my.pitchbook.com?sec_f=10217299106&amp;financialGroup=INCOME_STATEMENT&amp;period=ANN&amp;exchangeId=NYS&amp;exchangeSymbol=NEE" TargetMode="External"/><Relationship Id="rId20" Type="http://schemas.openxmlformats.org/officeDocument/2006/relationships/hyperlink" Target="https://my.pitchbook.com/?c=41192-38" TargetMode="External"/><Relationship Id="rId41" Type="http://schemas.openxmlformats.org/officeDocument/2006/relationships/hyperlink" Target="https://my.pitchbook.com/?c=41192-38" TargetMode="External"/><Relationship Id="rId54" Type="http://schemas.openxmlformats.org/officeDocument/2006/relationships/hyperlink" Target="https:/my.pitchbook.com?sec_f=10217299426&amp;financialGroup=INCOME_STATEMENT&amp;period=ANN&amp;exchangeId=NYS&amp;exchangeSymbol=NEE" TargetMode="External"/><Relationship Id="rId62" Type="http://schemas.openxmlformats.org/officeDocument/2006/relationships/hyperlink" Target="https:/my.pitchbook.com?sec_f=10217298914&amp;financialGroup=INCOME_STATEMENT&amp;period=ANN&amp;exchangeId=NYS&amp;exchangeSymbol=NEE" TargetMode="External"/><Relationship Id="rId1" Type="http://schemas.openxmlformats.org/officeDocument/2006/relationships/hyperlink" Target="https://my.pitchbook.com/?c=41192-38" TargetMode="External"/><Relationship Id="rId6" Type="http://schemas.openxmlformats.org/officeDocument/2006/relationships/hyperlink" Target="https://my.pitchbook.com/?c=41192-38" TargetMode="External"/><Relationship Id="rId15" Type="http://schemas.openxmlformats.org/officeDocument/2006/relationships/hyperlink" Target="https://my.pitchbook.com/?c=41192-38" TargetMode="External"/><Relationship Id="rId23" Type="http://schemas.openxmlformats.org/officeDocument/2006/relationships/hyperlink" Target="https://my.pitchbook.com/?c=41192-38" TargetMode="External"/><Relationship Id="rId28" Type="http://schemas.openxmlformats.org/officeDocument/2006/relationships/hyperlink" Target="https://my.pitchbook.com/?c=41192-38" TargetMode="External"/><Relationship Id="rId36" Type="http://schemas.openxmlformats.org/officeDocument/2006/relationships/hyperlink" Target="https://my.pitchbook.com/?c=41192-38" TargetMode="External"/><Relationship Id="rId49" Type="http://schemas.openxmlformats.org/officeDocument/2006/relationships/hyperlink" Target="https:/my.pitchbook.com?sec_f=10217299746&amp;financialGroup=INCOME_STATEMENT&amp;period=ANN&amp;exchangeId=NYS&amp;exchangeSymbol=NEE" TargetMode="External"/><Relationship Id="rId57" Type="http://schemas.openxmlformats.org/officeDocument/2006/relationships/hyperlink" Target="https:/my.pitchbook.com?sec_f=10217299234&amp;financialGroup=INCOME_STATEMENT&amp;period=ANN&amp;exchangeId=NYS&amp;exchangeSymbol=NEE" TargetMode="External"/><Relationship Id="rId10" Type="http://schemas.openxmlformats.org/officeDocument/2006/relationships/hyperlink" Target="https://my.pitchbook.com/?c=41192-38" TargetMode="External"/><Relationship Id="rId31" Type="http://schemas.openxmlformats.org/officeDocument/2006/relationships/hyperlink" Target="https://my.pitchbook.com/?c=41192-38" TargetMode="External"/><Relationship Id="rId44" Type="http://schemas.openxmlformats.org/officeDocument/2006/relationships/hyperlink" Target="https://my.pitchbook.com/?c=41192-38" TargetMode="External"/><Relationship Id="rId52" Type="http://schemas.openxmlformats.org/officeDocument/2006/relationships/hyperlink" Target="https:/my.pitchbook.com?sec_f=10217299554&amp;financialGroup=INCOME_STATEMENT&amp;period=ANN&amp;exchangeId=NYS&amp;exchangeSymbol=NEE" TargetMode="External"/><Relationship Id="rId60" Type="http://schemas.openxmlformats.org/officeDocument/2006/relationships/hyperlink" Target="https:/my.pitchbook.com?sec_f=10217299042&amp;financialGroup=INCOME_STATEMENT&amp;period=ANN&amp;exchangeId=NYS&amp;exchangeSymbol=NEE" TargetMode="External"/><Relationship Id="rId65" Type="http://schemas.openxmlformats.org/officeDocument/2006/relationships/hyperlink" Target="https:/my.pitchbook.com?sec_f=10217298722&amp;financialGroup=INCOME_STATEMENT&amp;period=ANN&amp;exchangeId=NYS&amp;exchangeSymbol=NEE" TargetMode="External"/><Relationship Id="rId4" Type="http://schemas.openxmlformats.org/officeDocument/2006/relationships/hyperlink" Target="https://my.pitchbook.com/?c=41192-38" TargetMode="External"/><Relationship Id="rId9" Type="http://schemas.openxmlformats.org/officeDocument/2006/relationships/hyperlink" Target="https://my.pitchbook.com/?c=41192-38" TargetMode="External"/><Relationship Id="rId13" Type="http://schemas.openxmlformats.org/officeDocument/2006/relationships/hyperlink" Target="https://my.pitchbook.com/?c=41192-38" TargetMode="External"/><Relationship Id="rId18" Type="http://schemas.openxmlformats.org/officeDocument/2006/relationships/hyperlink" Target="https://my.pitchbook.com/?c=41192-38" TargetMode="External"/><Relationship Id="rId39" Type="http://schemas.openxmlformats.org/officeDocument/2006/relationships/hyperlink" Target="https://my.pitchbook.com/?c=41192-38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my.pitchbook.com/?c=41192-38" TargetMode="External"/><Relationship Id="rId18" Type="http://schemas.openxmlformats.org/officeDocument/2006/relationships/hyperlink" Target="https://my.pitchbook.com/?c=41192-38" TargetMode="External"/><Relationship Id="rId26" Type="http://schemas.openxmlformats.org/officeDocument/2006/relationships/hyperlink" Target="https://my.pitchbook.com/?c=41192-38" TargetMode="External"/><Relationship Id="rId39" Type="http://schemas.openxmlformats.org/officeDocument/2006/relationships/hyperlink" Target="https:/my.pitchbook.com?sec_f=10217299426&amp;financialGroup=BALANCE_SHEET&amp;period=ANN&amp;exchangeId=NYS&amp;exchangeSymbol=NEE" TargetMode="External"/><Relationship Id="rId21" Type="http://schemas.openxmlformats.org/officeDocument/2006/relationships/hyperlink" Target="https://my.pitchbook.com/?c=41192-38" TargetMode="External"/><Relationship Id="rId34" Type="http://schemas.openxmlformats.org/officeDocument/2006/relationships/hyperlink" Target="https:/my.pitchbook.com?sec_f=10217299746&amp;financialGroup=BALANCE_SHEET&amp;period=ANN&amp;exchangeId=NYS&amp;exchangeSymbol=NEE" TargetMode="External"/><Relationship Id="rId42" Type="http://schemas.openxmlformats.org/officeDocument/2006/relationships/hyperlink" Target="https:/my.pitchbook.com?sec_f=10217299234&amp;financialGroup=BALANCE_SHEET&amp;period=ANN&amp;exchangeId=NYS&amp;exchangeSymbol=NEE" TargetMode="External"/><Relationship Id="rId47" Type="http://schemas.openxmlformats.org/officeDocument/2006/relationships/hyperlink" Target="https:/my.pitchbook.com?sec_f=10217298914&amp;financialGroup=BALANCE_SHEET&amp;period=ANN&amp;exchangeId=NYS&amp;exchangeSymbol=NEE" TargetMode="External"/><Relationship Id="rId50" Type="http://schemas.openxmlformats.org/officeDocument/2006/relationships/hyperlink" Target="https:/my.pitchbook.com?sec_f=10217298722&amp;financialGroup=BALANCE_SHEET&amp;period=ANN&amp;exchangeId=NYS&amp;exchangeSymbol=NEE" TargetMode="External"/><Relationship Id="rId7" Type="http://schemas.openxmlformats.org/officeDocument/2006/relationships/hyperlink" Target="https://my.pitchbook.com/?c=41192-38" TargetMode="External"/><Relationship Id="rId2" Type="http://schemas.openxmlformats.org/officeDocument/2006/relationships/hyperlink" Target="https://my.pitchbook.com/?c=41192-38" TargetMode="External"/><Relationship Id="rId16" Type="http://schemas.openxmlformats.org/officeDocument/2006/relationships/hyperlink" Target="https://my.pitchbook.com/?c=41192-38" TargetMode="External"/><Relationship Id="rId29" Type="http://schemas.openxmlformats.org/officeDocument/2006/relationships/hyperlink" Target="https://my.pitchbook.com/?c=41192-38" TargetMode="External"/><Relationship Id="rId11" Type="http://schemas.openxmlformats.org/officeDocument/2006/relationships/hyperlink" Target="https://my.pitchbook.com/?c=41192-38" TargetMode="External"/><Relationship Id="rId24" Type="http://schemas.openxmlformats.org/officeDocument/2006/relationships/hyperlink" Target="https://my.pitchbook.com/?c=41192-38" TargetMode="External"/><Relationship Id="rId32" Type="http://schemas.openxmlformats.org/officeDocument/2006/relationships/hyperlink" Target="https://my.pitchbook.com/?c=41192-38" TargetMode="External"/><Relationship Id="rId37" Type="http://schemas.openxmlformats.org/officeDocument/2006/relationships/hyperlink" Target="https:/my.pitchbook.com?sec_f=10217299554&amp;financialGroup=BALANCE_SHEET&amp;period=ANN&amp;exchangeId=NYS&amp;exchangeSymbol=NEE" TargetMode="External"/><Relationship Id="rId40" Type="http://schemas.openxmlformats.org/officeDocument/2006/relationships/hyperlink" Target="https:/my.pitchbook.com?sec_f=10217299362&amp;financialGroup=BALANCE_SHEET&amp;period=ANN&amp;exchangeId=NYS&amp;exchangeSymbol=NEE" TargetMode="External"/><Relationship Id="rId45" Type="http://schemas.openxmlformats.org/officeDocument/2006/relationships/hyperlink" Target="https:/my.pitchbook.com?sec_f=10217299042&amp;financialGroup=BALANCE_SHEET&amp;period=ANN&amp;exchangeId=NYS&amp;exchangeSymbol=NEE" TargetMode="External"/><Relationship Id="rId5" Type="http://schemas.openxmlformats.org/officeDocument/2006/relationships/hyperlink" Target="https://my.pitchbook.com/?c=41192-38" TargetMode="External"/><Relationship Id="rId15" Type="http://schemas.openxmlformats.org/officeDocument/2006/relationships/hyperlink" Target="https://my.pitchbook.com/?c=41192-38" TargetMode="External"/><Relationship Id="rId23" Type="http://schemas.openxmlformats.org/officeDocument/2006/relationships/hyperlink" Target="https://my.pitchbook.com/?c=41192-38" TargetMode="External"/><Relationship Id="rId28" Type="http://schemas.openxmlformats.org/officeDocument/2006/relationships/hyperlink" Target="https://my.pitchbook.com/?c=41192-38" TargetMode="External"/><Relationship Id="rId36" Type="http://schemas.openxmlformats.org/officeDocument/2006/relationships/hyperlink" Target="https:/my.pitchbook.com?sec_f=10217299618&amp;financialGroup=BALANCE_SHEET&amp;period=ANN&amp;exchangeId=NYS&amp;exchangeSymbol=NEE" TargetMode="External"/><Relationship Id="rId49" Type="http://schemas.openxmlformats.org/officeDocument/2006/relationships/hyperlink" Target="https:/my.pitchbook.com?sec_f=10217298786&amp;financialGroup=BALANCE_SHEET&amp;period=ANN&amp;exchangeId=NYS&amp;exchangeSymbol=NEE" TargetMode="External"/><Relationship Id="rId10" Type="http://schemas.openxmlformats.org/officeDocument/2006/relationships/hyperlink" Target="https://my.pitchbook.com/?c=41192-38" TargetMode="External"/><Relationship Id="rId19" Type="http://schemas.openxmlformats.org/officeDocument/2006/relationships/hyperlink" Target="https://my.pitchbook.com/?c=41192-38" TargetMode="External"/><Relationship Id="rId31" Type="http://schemas.openxmlformats.org/officeDocument/2006/relationships/hyperlink" Target="https://my.pitchbook.com/?c=41192-38" TargetMode="External"/><Relationship Id="rId44" Type="http://schemas.openxmlformats.org/officeDocument/2006/relationships/hyperlink" Target="https:/my.pitchbook.com?sec_f=10217299106&amp;financialGroup=BALANCE_SHEET&amp;period=ANN&amp;exchangeId=NYS&amp;exchangeSymbol=NEE" TargetMode="External"/><Relationship Id="rId4" Type="http://schemas.openxmlformats.org/officeDocument/2006/relationships/hyperlink" Target="https://my.pitchbook.com/?c=41192-38" TargetMode="External"/><Relationship Id="rId9" Type="http://schemas.openxmlformats.org/officeDocument/2006/relationships/hyperlink" Target="https://my.pitchbook.com/?c=41192-38" TargetMode="External"/><Relationship Id="rId14" Type="http://schemas.openxmlformats.org/officeDocument/2006/relationships/hyperlink" Target="https://my.pitchbook.com/?c=41192-38" TargetMode="External"/><Relationship Id="rId22" Type="http://schemas.openxmlformats.org/officeDocument/2006/relationships/hyperlink" Target="https://my.pitchbook.com/?c=41192-38" TargetMode="External"/><Relationship Id="rId27" Type="http://schemas.openxmlformats.org/officeDocument/2006/relationships/hyperlink" Target="https://my.pitchbook.com/?c=41192-38" TargetMode="External"/><Relationship Id="rId30" Type="http://schemas.openxmlformats.org/officeDocument/2006/relationships/hyperlink" Target="https://my.pitchbook.com/?c=41192-38" TargetMode="External"/><Relationship Id="rId35" Type="http://schemas.openxmlformats.org/officeDocument/2006/relationships/hyperlink" Target="https:/my.pitchbook.com?sec_f=10217299682&amp;financialGroup=BALANCE_SHEET&amp;period=ANN&amp;exchangeId=NYS&amp;exchangeSymbol=NEE" TargetMode="External"/><Relationship Id="rId43" Type="http://schemas.openxmlformats.org/officeDocument/2006/relationships/hyperlink" Target="https:/my.pitchbook.com?sec_f=10217299170&amp;financialGroup=BALANCE_SHEET&amp;period=ANN&amp;exchangeId=NYS&amp;exchangeSymbol=NEE" TargetMode="External"/><Relationship Id="rId48" Type="http://schemas.openxmlformats.org/officeDocument/2006/relationships/hyperlink" Target="https:/my.pitchbook.com?sec_f=10217298850&amp;financialGroup=BALANCE_SHEET&amp;period=ANN&amp;exchangeId=NYS&amp;exchangeSymbol=NEE" TargetMode="External"/><Relationship Id="rId8" Type="http://schemas.openxmlformats.org/officeDocument/2006/relationships/hyperlink" Target="https://my.pitchbook.com/?c=41192-38" TargetMode="External"/><Relationship Id="rId3" Type="http://schemas.openxmlformats.org/officeDocument/2006/relationships/hyperlink" Target="https://my.pitchbook.com/?c=41192-38" TargetMode="External"/><Relationship Id="rId12" Type="http://schemas.openxmlformats.org/officeDocument/2006/relationships/hyperlink" Target="https://my.pitchbook.com/?c=41192-38" TargetMode="External"/><Relationship Id="rId17" Type="http://schemas.openxmlformats.org/officeDocument/2006/relationships/hyperlink" Target="https://my.pitchbook.com/?c=41192-38" TargetMode="External"/><Relationship Id="rId25" Type="http://schemas.openxmlformats.org/officeDocument/2006/relationships/hyperlink" Target="https://my.pitchbook.com/?c=41192-38" TargetMode="External"/><Relationship Id="rId33" Type="http://schemas.openxmlformats.org/officeDocument/2006/relationships/hyperlink" Target="https:/my.pitchbook.com?sec_f=10217299810&amp;financialGroup=BALANCE_SHEET&amp;period=ANN&amp;exchangeId=NYS&amp;exchangeSymbol=NEE" TargetMode="External"/><Relationship Id="rId38" Type="http://schemas.openxmlformats.org/officeDocument/2006/relationships/hyperlink" Target="https:/my.pitchbook.com?sec_f=10217299490&amp;financialGroup=BALANCE_SHEET&amp;period=ANN&amp;exchangeId=NYS&amp;exchangeSymbol=NEE" TargetMode="External"/><Relationship Id="rId46" Type="http://schemas.openxmlformats.org/officeDocument/2006/relationships/hyperlink" Target="https:/my.pitchbook.com?sec_f=10217298978&amp;financialGroup=BALANCE_SHEET&amp;period=ANN&amp;exchangeId=NYS&amp;exchangeSymbol=NEE" TargetMode="External"/><Relationship Id="rId20" Type="http://schemas.openxmlformats.org/officeDocument/2006/relationships/hyperlink" Target="https://my.pitchbook.com/?c=41192-38" TargetMode="External"/><Relationship Id="rId41" Type="http://schemas.openxmlformats.org/officeDocument/2006/relationships/hyperlink" Target="https:/my.pitchbook.com?sec_f=10217299298&amp;financialGroup=BALANCE_SHEET&amp;period=ANN&amp;exchangeId=NYS&amp;exchangeSymbol=NEE" TargetMode="External"/><Relationship Id="rId1" Type="http://schemas.openxmlformats.org/officeDocument/2006/relationships/hyperlink" Target="https://my.pitchbook.com/?c=41192-38" TargetMode="External"/><Relationship Id="rId6" Type="http://schemas.openxmlformats.org/officeDocument/2006/relationships/hyperlink" Target="https://my.pitchbook.com/?c=41192-38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my.pitchbook.com/?c=41192-38" TargetMode="External"/><Relationship Id="rId18" Type="http://schemas.openxmlformats.org/officeDocument/2006/relationships/hyperlink" Target="https://my.pitchbook.com/?c=41192-38" TargetMode="External"/><Relationship Id="rId26" Type="http://schemas.openxmlformats.org/officeDocument/2006/relationships/hyperlink" Target="https://my.pitchbook.com/?c=41192-38" TargetMode="External"/><Relationship Id="rId39" Type="http://schemas.openxmlformats.org/officeDocument/2006/relationships/hyperlink" Target="https:/my.pitchbook.com?sec_f=10217299426&amp;financialGroup=CASH_FLOW&amp;period=ANN&amp;exchangeId=NYS&amp;exchangeSymbol=NEE" TargetMode="External"/><Relationship Id="rId21" Type="http://schemas.openxmlformats.org/officeDocument/2006/relationships/hyperlink" Target="https://my.pitchbook.com/?c=41192-38" TargetMode="External"/><Relationship Id="rId34" Type="http://schemas.openxmlformats.org/officeDocument/2006/relationships/hyperlink" Target="https:/my.pitchbook.com?sec_f=10217299746&amp;financialGroup=CASH_FLOW&amp;period=ANN&amp;exchangeId=NYS&amp;exchangeSymbol=NEE" TargetMode="External"/><Relationship Id="rId42" Type="http://schemas.openxmlformats.org/officeDocument/2006/relationships/hyperlink" Target="https:/my.pitchbook.com?sec_f=10217299234&amp;financialGroup=CASH_FLOW&amp;period=ANN&amp;exchangeId=NYS&amp;exchangeSymbol=NEE" TargetMode="External"/><Relationship Id="rId47" Type="http://schemas.openxmlformats.org/officeDocument/2006/relationships/hyperlink" Target="https:/my.pitchbook.com?sec_f=10217298914&amp;financialGroup=CASH_FLOW&amp;period=ANN&amp;exchangeId=NYS&amp;exchangeSymbol=NEE" TargetMode="External"/><Relationship Id="rId50" Type="http://schemas.openxmlformats.org/officeDocument/2006/relationships/hyperlink" Target="https:/my.pitchbook.com?sec_f=10217298722&amp;financialGroup=CASH_FLOW&amp;period=ANN&amp;exchangeId=NYS&amp;exchangeSymbol=NEE" TargetMode="External"/><Relationship Id="rId7" Type="http://schemas.openxmlformats.org/officeDocument/2006/relationships/hyperlink" Target="https://my.pitchbook.com/?c=41192-38" TargetMode="External"/><Relationship Id="rId2" Type="http://schemas.openxmlformats.org/officeDocument/2006/relationships/hyperlink" Target="https://my.pitchbook.com/?c=41192-38" TargetMode="External"/><Relationship Id="rId16" Type="http://schemas.openxmlformats.org/officeDocument/2006/relationships/hyperlink" Target="https://my.pitchbook.com/?c=41192-38" TargetMode="External"/><Relationship Id="rId29" Type="http://schemas.openxmlformats.org/officeDocument/2006/relationships/hyperlink" Target="https://my.pitchbook.com/?c=41192-38" TargetMode="External"/><Relationship Id="rId11" Type="http://schemas.openxmlformats.org/officeDocument/2006/relationships/hyperlink" Target="https://my.pitchbook.com/?c=41192-38" TargetMode="External"/><Relationship Id="rId24" Type="http://schemas.openxmlformats.org/officeDocument/2006/relationships/hyperlink" Target="https://my.pitchbook.com/?c=41192-38" TargetMode="External"/><Relationship Id="rId32" Type="http://schemas.openxmlformats.org/officeDocument/2006/relationships/hyperlink" Target="https://my.pitchbook.com/?c=41192-38" TargetMode="External"/><Relationship Id="rId37" Type="http://schemas.openxmlformats.org/officeDocument/2006/relationships/hyperlink" Target="https:/my.pitchbook.com?sec_f=10217299554&amp;financialGroup=CASH_FLOW&amp;period=ANN&amp;exchangeId=NYS&amp;exchangeSymbol=NEE" TargetMode="External"/><Relationship Id="rId40" Type="http://schemas.openxmlformats.org/officeDocument/2006/relationships/hyperlink" Target="https:/my.pitchbook.com?sec_f=10217299362&amp;financialGroup=CASH_FLOW&amp;period=ANN&amp;exchangeId=NYS&amp;exchangeSymbol=NEE" TargetMode="External"/><Relationship Id="rId45" Type="http://schemas.openxmlformats.org/officeDocument/2006/relationships/hyperlink" Target="https:/my.pitchbook.com?sec_f=10217299042&amp;financialGroup=CASH_FLOW&amp;period=ANN&amp;exchangeId=NYS&amp;exchangeSymbol=NEE" TargetMode="External"/><Relationship Id="rId5" Type="http://schemas.openxmlformats.org/officeDocument/2006/relationships/hyperlink" Target="https://my.pitchbook.com/?c=41192-38" TargetMode="External"/><Relationship Id="rId15" Type="http://schemas.openxmlformats.org/officeDocument/2006/relationships/hyperlink" Target="https://my.pitchbook.com/?c=41192-38" TargetMode="External"/><Relationship Id="rId23" Type="http://schemas.openxmlformats.org/officeDocument/2006/relationships/hyperlink" Target="https://my.pitchbook.com/?c=41192-38" TargetMode="External"/><Relationship Id="rId28" Type="http://schemas.openxmlformats.org/officeDocument/2006/relationships/hyperlink" Target="https://my.pitchbook.com/?c=41192-38" TargetMode="External"/><Relationship Id="rId36" Type="http://schemas.openxmlformats.org/officeDocument/2006/relationships/hyperlink" Target="https:/my.pitchbook.com?sec_f=10217299618&amp;financialGroup=CASH_FLOW&amp;period=ANN&amp;exchangeId=NYS&amp;exchangeSymbol=NEE" TargetMode="External"/><Relationship Id="rId49" Type="http://schemas.openxmlformats.org/officeDocument/2006/relationships/hyperlink" Target="https:/my.pitchbook.com?sec_f=10217298786&amp;financialGroup=CASH_FLOW&amp;period=ANN&amp;exchangeId=NYS&amp;exchangeSymbol=NEE" TargetMode="External"/><Relationship Id="rId10" Type="http://schemas.openxmlformats.org/officeDocument/2006/relationships/hyperlink" Target="https://my.pitchbook.com/?c=41192-38" TargetMode="External"/><Relationship Id="rId19" Type="http://schemas.openxmlformats.org/officeDocument/2006/relationships/hyperlink" Target="https://my.pitchbook.com/?c=41192-38" TargetMode="External"/><Relationship Id="rId31" Type="http://schemas.openxmlformats.org/officeDocument/2006/relationships/hyperlink" Target="https://my.pitchbook.com/?c=41192-38" TargetMode="External"/><Relationship Id="rId44" Type="http://schemas.openxmlformats.org/officeDocument/2006/relationships/hyperlink" Target="https:/my.pitchbook.com?sec_f=10217299106&amp;financialGroup=CASH_FLOW&amp;period=ANN&amp;exchangeId=NYS&amp;exchangeSymbol=NEE" TargetMode="External"/><Relationship Id="rId4" Type="http://schemas.openxmlformats.org/officeDocument/2006/relationships/hyperlink" Target="https://my.pitchbook.com/?c=41192-38" TargetMode="External"/><Relationship Id="rId9" Type="http://schemas.openxmlformats.org/officeDocument/2006/relationships/hyperlink" Target="https://my.pitchbook.com/?c=41192-38" TargetMode="External"/><Relationship Id="rId14" Type="http://schemas.openxmlformats.org/officeDocument/2006/relationships/hyperlink" Target="https://my.pitchbook.com/?c=41192-38" TargetMode="External"/><Relationship Id="rId22" Type="http://schemas.openxmlformats.org/officeDocument/2006/relationships/hyperlink" Target="https://my.pitchbook.com/?c=41192-38" TargetMode="External"/><Relationship Id="rId27" Type="http://schemas.openxmlformats.org/officeDocument/2006/relationships/hyperlink" Target="https://my.pitchbook.com/?c=41192-38" TargetMode="External"/><Relationship Id="rId30" Type="http://schemas.openxmlformats.org/officeDocument/2006/relationships/hyperlink" Target="https://my.pitchbook.com/?c=41192-38" TargetMode="External"/><Relationship Id="rId35" Type="http://schemas.openxmlformats.org/officeDocument/2006/relationships/hyperlink" Target="https:/my.pitchbook.com?sec_f=10217299682&amp;financialGroup=CASH_FLOW&amp;period=ANN&amp;exchangeId=NYS&amp;exchangeSymbol=NEE" TargetMode="External"/><Relationship Id="rId43" Type="http://schemas.openxmlformats.org/officeDocument/2006/relationships/hyperlink" Target="https:/my.pitchbook.com?sec_f=10217299170&amp;financialGroup=CASH_FLOW&amp;period=ANN&amp;exchangeId=NYS&amp;exchangeSymbol=NEE" TargetMode="External"/><Relationship Id="rId48" Type="http://schemas.openxmlformats.org/officeDocument/2006/relationships/hyperlink" Target="https:/my.pitchbook.com?sec_f=10217298850&amp;financialGroup=CASH_FLOW&amp;period=ANN&amp;exchangeId=NYS&amp;exchangeSymbol=NEE" TargetMode="External"/><Relationship Id="rId8" Type="http://schemas.openxmlformats.org/officeDocument/2006/relationships/hyperlink" Target="https://my.pitchbook.com/?c=41192-38" TargetMode="External"/><Relationship Id="rId3" Type="http://schemas.openxmlformats.org/officeDocument/2006/relationships/hyperlink" Target="https://my.pitchbook.com/?c=41192-38" TargetMode="External"/><Relationship Id="rId12" Type="http://schemas.openxmlformats.org/officeDocument/2006/relationships/hyperlink" Target="https://my.pitchbook.com/?c=41192-38" TargetMode="External"/><Relationship Id="rId17" Type="http://schemas.openxmlformats.org/officeDocument/2006/relationships/hyperlink" Target="https://my.pitchbook.com/?c=41192-38" TargetMode="External"/><Relationship Id="rId25" Type="http://schemas.openxmlformats.org/officeDocument/2006/relationships/hyperlink" Target="https://my.pitchbook.com/?c=41192-38" TargetMode="External"/><Relationship Id="rId33" Type="http://schemas.openxmlformats.org/officeDocument/2006/relationships/hyperlink" Target="https:/my.pitchbook.com?sec_f=10217299810&amp;financialGroup=CASH_FLOW&amp;period=ANN&amp;exchangeId=NYS&amp;exchangeSymbol=NEE" TargetMode="External"/><Relationship Id="rId38" Type="http://schemas.openxmlformats.org/officeDocument/2006/relationships/hyperlink" Target="https:/my.pitchbook.com?sec_f=10217299490&amp;financialGroup=CASH_FLOW&amp;period=ANN&amp;exchangeId=NYS&amp;exchangeSymbol=NEE" TargetMode="External"/><Relationship Id="rId46" Type="http://schemas.openxmlformats.org/officeDocument/2006/relationships/hyperlink" Target="https:/my.pitchbook.com?sec_f=10217298978&amp;financialGroup=CASH_FLOW&amp;period=ANN&amp;exchangeId=NYS&amp;exchangeSymbol=NEE" TargetMode="External"/><Relationship Id="rId20" Type="http://schemas.openxmlformats.org/officeDocument/2006/relationships/hyperlink" Target="https://my.pitchbook.com/?c=41192-38" TargetMode="External"/><Relationship Id="rId41" Type="http://schemas.openxmlformats.org/officeDocument/2006/relationships/hyperlink" Target="https:/my.pitchbook.com?sec_f=10217299298&amp;financialGroup=CASH_FLOW&amp;period=ANN&amp;exchangeId=NYS&amp;exchangeSymbol=NEE" TargetMode="External"/><Relationship Id="rId1" Type="http://schemas.openxmlformats.org/officeDocument/2006/relationships/hyperlink" Target="https://my.pitchbook.com/?c=41192-38" TargetMode="External"/><Relationship Id="rId6" Type="http://schemas.openxmlformats.org/officeDocument/2006/relationships/hyperlink" Target="https://my.pitchbook.com/?c=41192-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EC01B-9F76-DD40-8F18-D243BDB24E2B}">
  <dimension ref="C6:O21"/>
  <sheetViews>
    <sheetView workbookViewId="0">
      <selection activeCell="F18" sqref="F18"/>
    </sheetView>
  </sheetViews>
  <sheetFormatPr baseColWidth="10" defaultColWidth="9.1640625" defaultRowHeight="13"/>
  <cols>
    <col min="1" max="16384" width="9.1640625" style="5"/>
  </cols>
  <sheetData>
    <row r="6" spans="7:15" ht="59">
      <c r="G6" s="2" t="s">
        <v>7</v>
      </c>
      <c r="H6" s="4"/>
      <c r="O6" s="4"/>
    </row>
    <row r="7" spans="7:15" ht="34">
      <c r="G7" s="3" t="s">
        <v>5</v>
      </c>
    </row>
    <row r="8" spans="7:15" ht="34">
      <c r="G8" s="6"/>
    </row>
    <row r="12" spans="7:15" ht="30">
      <c r="G12" s="7" t="s">
        <v>8</v>
      </c>
    </row>
    <row r="20" spans="3:3" ht="24">
      <c r="C20" s="8" t="s">
        <v>6</v>
      </c>
    </row>
    <row r="21" spans="3:3" ht="24">
      <c r="C21" s="8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ADED4-82B2-D14B-8264-129390EF8D00}">
  <dimension ref="A1:CF127"/>
  <sheetViews>
    <sheetView topLeftCell="A85" workbookViewId="0">
      <selection activeCell="A85" sqref="A1:XFD1048576"/>
    </sheetView>
  </sheetViews>
  <sheetFormatPr baseColWidth="10" defaultColWidth="8.83203125" defaultRowHeight="15" outlineLevelRow="3" outlineLevelCol="1"/>
  <cols>
    <col min="1" max="1" width="1.1640625" customWidth="1"/>
    <col min="2" max="2" width="1.83203125" customWidth="1"/>
    <col min="3" max="3" width="50.6640625" customWidth="1"/>
    <col min="4" max="11" width="12.6640625" customWidth="1" outlineLevel="1"/>
    <col min="12" max="12" width="2.5" customWidth="1"/>
    <col min="13" max="59" width="12.6640625" customWidth="1"/>
    <col min="60" max="60" width="1.83203125" customWidth="1"/>
  </cols>
  <sheetData>
    <row r="1" spans="1:84" ht="6.5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</row>
    <row r="2" spans="1:84" ht="40" customHeight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2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</row>
    <row r="3" spans="1:84" ht="20">
      <c r="A3" s="39"/>
      <c r="B3" s="43"/>
      <c r="C3" s="44" t="s">
        <v>45</v>
      </c>
      <c r="BH3" s="45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</row>
    <row r="4" spans="1:84" ht="23">
      <c r="A4" s="39"/>
      <c r="B4" s="43"/>
      <c r="C4" s="46" t="s">
        <v>46</v>
      </c>
      <c r="D4" s="47" t="s">
        <v>47</v>
      </c>
      <c r="E4" s="48"/>
      <c r="F4" s="48"/>
      <c r="G4" s="48"/>
      <c r="H4" s="48"/>
      <c r="I4" s="48"/>
      <c r="J4" s="48"/>
      <c r="K4" s="48"/>
      <c r="BH4" s="45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</row>
    <row r="5" spans="1:84">
      <c r="A5" s="39"/>
      <c r="B5" s="43"/>
      <c r="C5" s="46" t="s">
        <v>48</v>
      </c>
      <c r="D5" s="154" t="s">
        <v>49</v>
      </c>
      <c r="E5" s="154" t="s">
        <v>50</v>
      </c>
      <c r="F5" s="154" t="s">
        <v>51</v>
      </c>
      <c r="G5" s="154" t="s">
        <v>52</v>
      </c>
      <c r="H5" s="154" t="s">
        <v>53</v>
      </c>
      <c r="I5" s="154" t="s">
        <v>54</v>
      </c>
      <c r="J5" s="154" t="s">
        <v>55</v>
      </c>
      <c r="K5" s="154" t="s">
        <v>56</v>
      </c>
      <c r="M5" s="49" t="s">
        <v>57</v>
      </c>
      <c r="N5" s="49" t="s">
        <v>58</v>
      </c>
      <c r="O5" s="49" t="s">
        <v>59</v>
      </c>
      <c r="P5" s="49" t="s">
        <v>60</v>
      </c>
      <c r="Q5" s="49" t="s">
        <v>61</v>
      </c>
      <c r="R5" s="49" t="s">
        <v>62</v>
      </c>
      <c r="S5" s="49" t="s">
        <v>63</v>
      </c>
      <c r="T5" s="49" t="s">
        <v>64</v>
      </c>
      <c r="U5" s="49" t="s">
        <v>65</v>
      </c>
      <c r="V5" s="49" t="s">
        <v>66</v>
      </c>
      <c r="W5" s="49" t="s">
        <v>67</v>
      </c>
      <c r="X5" s="49" t="s">
        <v>68</v>
      </c>
      <c r="Y5" s="49" t="s">
        <v>69</v>
      </c>
      <c r="Z5" s="49" t="s">
        <v>70</v>
      </c>
      <c r="AA5" s="49" t="s">
        <v>71</v>
      </c>
      <c r="AB5" s="49" t="s">
        <v>72</v>
      </c>
      <c r="AC5" s="49" t="s">
        <v>73</v>
      </c>
      <c r="AD5" s="49" t="s">
        <v>74</v>
      </c>
      <c r="AE5" s="49" t="s">
        <v>75</v>
      </c>
      <c r="AF5" s="49" t="s">
        <v>76</v>
      </c>
      <c r="AG5" s="49" t="s">
        <v>77</v>
      </c>
      <c r="AH5" s="49" t="s">
        <v>78</v>
      </c>
      <c r="AI5" s="49" t="s">
        <v>79</v>
      </c>
      <c r="AJ5" s="49" t="s">
        <v>80</v>
      </c>
      <c r="AK5" s="49" t="s">
        <v>81</v>
      </c>
      <c r="AL5" s="49" t="s">
        <v>82</v>
      </c>
      <c r="AM5" s="49" t="s">
        <v>83</v>
      </c>
      <c r="AN5" s="49" t="s">
        <v>84</v>
      </c>
      <c r="AO5" s="49" t="s">
        <v>85</v>
      </c>
      <c r="AP5" s="49" t="s">
        <v>86</v>
      </c>
      <c r="AQ5" s="49" t="s">
        <v>87</v>
      </c>
      <c r="AR5" s="49" t="s">
        <v>88</v>
      </c>
      <c r="AS5" s="49" t="s">
        <v>89</v>
      </c>
      <c r="AT5" s="49" t="s">
        <v>90</v>
      </c>
      <c r="AU5" s="49" t="s">
        <v>91</v>
      </c>
      <c r="AV5" s="49" t="s">
        <v>92</v>
      </c>
      <c r="AW5" s="49" t="s">
        <v>93</v>
      </c>
      <c r="AX5" s="49" t="s">
        <v>94</v>
      </c>
      <c r="AY5" s="49" t="s">
        <v>95</v>
      </c>
      <c r="AZ5" s="49" t="s">
        <v>96</v>
      </c>
      <c r="BA5" s="49" t="s">
        <v>97</v>
      </c>
      <c r="BB5" s="49" t="s">
        <v>98</v>
      </c>
      <c r="BC5" s="49" t="s">
        <v>99</v>
      </c>
      <c r="BD5" s="49" t="s">
        <v>100</v>
      </c>
      <c r="BE5" s="49" t="s">
        <v>101</v>
      </c>
      <c r="BF5" s="49" t="s">
        <v>102</v>
      </c>
      <c r="BG5" s="49" t="s">
        <v>103</v>
      </c>
      <c r="BH5" s="45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</row>
    <row r="6" spans="1:84">
      <c r="A6" s="39"/>
      <c r="B6" s="43"/>
      <c r="D6" s="154"/>
      <c r="E6" s="154"/>
      <c r="F6" s="154"/>
      <c r="G6" s="154"/>
      <c r="H6" s="154"/>
      <c r="I6" s="154"/>
      <c r="J6" s="154"/>
      <c r="K6" s="154"/>
      <c r="BH6" s="45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</row>
    <row r="7" spans="1:84">
      <c r="A7" s="39"/>
      <c r="B7" s="43"/>
      <c r="C7" s="46" t="s">
        <v>104</v>
      </c>
      <c r="D7" s="48"/>
      <c r="E7" s="48"/>
      <c r="F7" s="48"/>
      <c r="G7" s="48"/>
      <c r="H7" s="48"/>
      <c r="I7" s="48"/>
      <c r="J7" s="48"/>
      <c r="K7" s="48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45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</row>
    <row r="8" spans="1:84">
      <c r="A8" s="39"/>
      <c r="B8" s="43"/>
      <c r="D8" s="48"/>
      <c r="E8" s="48"/>
      <c r="F8" s="48"/>
      <c r="G8" s="48"/>
      <c r="H8" s="48"/>
      <c r="I8" s="48"/>
      <c r="J8" s="48"/>
      <c r="K8" s="48"/>
      <c r="BH8" s="45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</row>
    <row r="9" spans="1:84">
      <c r="A9" s="39"/>
      <c r="B9" s="43"/>
      <c r="D9" s="48"/>
      <c r="E9" s="48"/>
      <c r="F9" s="48"/>
      <c r="G9" s="48"/>
      <c r="H9" s="48"/>
      <c r="I9" s="48"/>
      <c r="J9" s="48"/>
      <c r="K9" s="48"/>
      <c r="M9" s="51" t="s">
        <v>105</v>
      </c>
      <c r="N9" s="51" t="s">
        <v>105</v>
      </c>
      <c r="O9" s="51" t="s">
        <v>105</v>
      </c>
      <c r="P9" s="51" t="s">
        <v>106</v>
      </c>
      <c r="Q9" s="51" t="s">
        <v>107</v>
      </c>
      <c r="R9" s="51" t="s">
        <v>108</v>
      </c>
      <c r="S9" s="51" t="s">
        <v>108</v>
      </c>
      <c r="T9" s="51" t="s">
        <v>109</v>
      </c>
      <c r="U9" s="51" t="s">
        <v>110</v>
      </c>
      <c r="V9" s="51" t="s">
        <v>111</v>
      </c>
      <c r="W9" s="51" t="s">
        <v>112</v>
      </c>
      <c r="X9" s="51" t="s">
        <v>112</v>
      </c>
      <c r="Y9" s="51" t="s">
        <v>113</v>
      </c>
      <c r="Z9" s="51" t="s">
        <v>114</v>
      </c>
      <c r="AA9" s="51" t="s">
        <v>115</v>
      </c>
      <c r="AB9" s="51" t="s">
        <v>116</v>
      </c>
      <c r="AC9" s="51" t="s">
        <v>117</v>
      </c>
      <c r="AD9" s="51" t="s">
        <v>118</v>
      </c>
      <c r="AE9" s="51" t="s">
        <v>119</v>
      </c>
      <c r="AF9" s="51" t="s">
        <v>120</v>
      </c>
      <c r="AG9" s="51" t="s">
        <v>121</v>
      </c>
      <c r="AH9" s="51" t="s">
        <v>122</v>
      </c>
      <c r="AI9" s="51" t="s">
        <v>123</v>
      </c>
      <c r="AJ9" s="51" t="s">
        <v>124</v>
      </c>
      <c r="AK9" s="51" t="s">
        <v>125</v>
      </c>
      <c r="AL9" s="51" t="s">
        <v>126</v>
      </c>
      <c r="AM9" s="51" t="s">
        <v>127</v>
      </c>
      <c r="AN9" s="51" t="s">
        <v>128</v>
      </c>
      <c r="AO9" s="51" t="s">
        <v>129</v>
      </c>
      <c r="AP9" s="51" t="s">
        <v>130</v>
      </c>
      <c r="AQ9" s="51" t="s">
        <v>131</v>
      </c>
      <c r="AR9" s="51" t="s">
        <v>132</v>
      </c>
      <c r="AS9" s="51" t="s">
        <v>133</v>
      </c>
      <c r="AT9" s="51" t="s">
        <v>134</v>
      </c>
      <c r="AU9" s="51" t="s">
        <v>135</v>
      </c>
      <c r="AV9" s="51" t="s">
        <v>136</v>
      </c>
      <c r="AW9" s="51" t="s">
        <v>137</v>
      </c>
      <c r="AX9" s="51" t="s">
        <v>138</v>
      </c>
      <c r="AY9" s="51" t="s">
        <v>139</v>
      </c>
      <c r="AZ9" s="51" t="s">
        <v>140</v>
      </c>
      <c r="BA9" s="51" t="s">
        <v>141</v>
      </c>
      <c r="BB9" s="51" t="s">
        <v>142</v>
      </c>
      <c r="BC9" s="51" t="s">
        <v>143</v>
      </c>
      <c r="BD9" s="51" t="s">
        <v>144</v>
      </c>
      <c r="BE9" s="51" t="s">
        <v>145</v>
      </c>
      <c r="BF9" s="51" t="s">
        <v>146</v>
      </c>
      <c r="BG9" s="51" t="s">
        <v>147</v>
      </c>
      <c r="BH9" s="45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</row>
    <row r="10" spans="1:84">
      <c r="A10" s="39"/>
      <c r="B10" s="43"/>
      <c r="D10" s="48"/>
      <c r="E10" s="48"/>
      <c r="F10" s="48"/>
      <c r="G10" s="48"/>
      <c r="H10" s="48"/>
      <c r="I10" s="48"/>
      <c r="J10" s="48"/>
      <c r="K10" s="48"/>
      <c r="M10" s="52" t="s">
        <v>148</v>
      </c>
      <c r="N10" s="52" t="s">
        <v>148</v>
      </c>
      <c r="O10" s="52" t="s">
        <v>148</v>
      </c>
      <c r="P10" s="52" t="s">
        <v>148</v>
      </c>
      <c r="Q10" s="52" t="s">
        <v>148</v>
      </c>
      <c r="R10" s="52" t="s">
        <v>148</v>
      </c>
      <c r="S10" s="52" t="s">
        <v>148</v>
      </c>
      <c r="T10" s="52" t="s">
        <v>148</v>
      </c>
      <c r="U10" s="52" t="s">
        <v>148</v>
      </c>
      <c r="V10" s="52" t="s">
        <v>148</v>
      </c>
      <c r="W10" s="52" t="s">
        <v>148</v>
      </c>
      <c r="X10" s="52" t="s">
        <v>148</v>
      </c>
      <c r="Y10" s="52" t="s">
        <v>148</v>
      </c>
      <c r="Z10" s="52" t="s">
        <v>148</v>
      </c>
      <c r="AA10" s="52" t="s">
        <v>148</v>
      </c>
      <c r="AB10" s="52" t="s">
        <v>148</v>
      </c>
      <c r="AC10" s="52" t="s">
        <v>148</v>
      </c>
      <c r="AD10" s="52" t="s">
        <v>148</v>
      </c>
      <c r="BH10" s="45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</row>
    <row r="11" spans="1:84">
      <c r="A11" s="39"/>
      <c r="B11" s="43"/>
      <c r="C11" s="53" t="s">
        <v>149</v>
      </c>
      <c r="D11" s="54" t="str">
        <f t="shared" ref="D11:D74" si="0">IF(COUNT(L11:BG11)&gt;0,MEDIAN(L11:BG11),"")</f>
        <v/>
      </c>
      <c r="E11" s="54" t="str">
        <f t="shared" ref="E11:E74" si="1">IF(COUNT(L11:BG11)&gt;0,AVERAGE(L11:BG11),"")</f>
        <v/>
      </c>
      <c r="F11" s="54" t="str">
        <f t="shared" ref="F11:F74" si="2">IF(COUNT(L11:BG11)&gt;0,MIN(L11:BG11),"")</f>
        <v/>
      </c>
      <c r="G11" s="54" t="str">
        <f t="shared" ref="G11:G74" si="3">IF(COUNT(L11:BG11)&gt;0,MAX(L11:BG11),"")</f>
        <v/>
      </c>
      <c r="H11" s="54" t="str">
        <f t="shared" ref="H11:H74" si="4">IF(COUNT(L11:BG11)&gt;0,QUARTILE(L11:BG11,1),"")</f>
        <v/>
      </c>
      <c r="I11" s="54" t="str">
        <f t="shared" ref="I11:I74" si="5">IF(COUNT(L11:BG11)&gt;0,QUARTILE(L11:BG11,3),"")</f>
        <v/>
      </c>
      <c r="J11" s="54" t="str">
        <f t="shared" ref="J11:J74" si="6">IF(COUNT(L11:BG11)&gt;1,STDEV(L11:BG11),"")</f>
        <v/>
      </c>
      <c r="K11" s="55" t="str">
        <f t="shared" ref="K11:K74" si="7">IF(COUNT(L11:BG11)&gt;1,STDEV(L11:BG11)/AVERAGE(L11:BG11),"")</f>
        <v/>
      </c>
      <c r="L11" s="48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45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</row>
    <row r="12" spans="1:84" outlineLevel="1">
      <c r="A12" s="39"/>
      <c r="B12" s="43"/>
      <c r="C12" s="56" t="s">
        <v>150</v>
      </c>
      <c r="D12" s="57" t="str">
        <f t="shared" si="0"/>
        <v/>
      </c>
      <c r="E12" s="57" t="str">
        <f t="shared" si="1"/>
        <v/>
      </c>
      <c r="F12" s="57" t="str">
        <f t="shared" si="2"/>
        <v/>
      </c>
      <c r="G12" s="57" t="str">
        <f t="shared" si="3"/>
        <v/>
      </c>
      <c r="H12" s="57" t="str">
        <f t="shared" si="4"/>
        <v/>
      </c>
      <c r="I12" s="57" t="str">
        <f t="shared" si="5"/>
        <v/>
      </c>
      <c r="J12" s="57" t="str">
        <f t="shared" si="6"/>
        <v/>
      </c>
      <c r="K12" s="58" t="str">
        <f t="shared" si="7"/>
        <v/>
      </c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45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</row>
    <row r="13" spans="1:84" outlineLevel="2">
      <c r="A13" s="39"/>
      <c r="B13" s="43"/>
      <c r="C13" s="56" t="s">
        <v>151</v>
      </c>
      <c r="D13" s="57">
        <f t="shared" si="0"/>
        <v>8217000</v>
      </c>
      <c r="E13" s="57">
        <f t="shared" si="1"/>
        <v>11057031.914893618</v>
      </c>
      <c r="F13" s="57">
        <f t="shared" si="2"/>
        <v>1933900</v>
      </c>
      <c r="G13" s="57">
        <f t="shared" si="3"/>
        <v>28114000</v>
      </c>
      <c r="H13" s="57">
        <f t="shared" si="4"/>
        <v>5369500</v>
      </c>
      <c r="I13" s="57">
        <f t="shared" si="5"/>
        <v>16274000</v>
      </c>
      <c r="J13" s="57">
        <f t="shared" si="6"/>
        <v>6938177.5814222721</v>
      </c>
      <c r="K13" s="58">
        <f t="shared" si="7"/>
        <v>0.62749005653828993</v>
      </c>
      <c r="M13" s="59">
        <v>27412000</v>
      </c>
      <c r="N13" s="59">
        <v>24753000</v>
      </c>
      <c r="O13" s="59">
        <v>28114000</v>
      </c>
      <c r="P13" s="59">
        <v>20956000</v>
      </c>
      <c r="Q13" s="59">
        <v>17069000</v>
      </c>
      <c r="R13" s="59">
        <v>17997000</v>
      </c>
      <c r="S13" s="59">
        <v>19204000</v>
      </c>
      <c r="T13" s="59">
        <v>16727000</v>
      </c>
      <c r="U13" s="59">
        <v>17173000</v>
      </c>
      <c r="V13" s="59">
        <v>16138000</v>
      </c>
      <c r="W13" s="59">
        <v>17486000</v>
      </c>
      <c r="X13" s="59">
        <v>17021000</v>
      </c>
      <c r="Y13" s="59">
        <v>15136000</v>
      </c>
      <c r="Z13" s="59">
        <v>14256000</v>
      </c>
      <c r="AA13" s="59">
        <v>15341000</v>
      </c>
      <c r="AB13" s="59">
        <v>15317000</v>
      </c>
      <c r="AC13" s="59">
        <v>15643000</v>
      </c>
      <c r="AD13" s="59">
        <v>16410000</v>
      </c>
      <c r="AE13" s="59">
        <v>15263000</v>
      </c>
      <c r="AF13" s="59">
        <v>15710000</v>
      </c>
      <c r="AG13" s="59">
        <v>11846000</v>
      </c>
      <c r="AH13" s="59">
        <v>10522000</v>
      </c>
      <c r="AI13" s="59">
        <v>9630000</v>
      </c>
      <c r="AJ13" s="59">
        <v>8173000</v>
      </c>
      <c r="AK13" s="59">
        <v>8217000</v>
      </c>
      <c r="AL13" s="59">
        <v>7082000</v>
      </c>
      <c r="AM13" s="59">
        <v>6438000</v>
      </c>
      <c r="AN13" s="59">
        <v>6661000</v>
      </c>
      <c r="AO13" s="59">
        <v>6369000</v>
      </c>
      <c r="AP13" s="59">
        <v>6037000</v>
      </c>
      <c r="AQ13" s="59">
        <v>5592000</v>
      </c>
      <c r="AR13" s="59">
        <v>5422700</v>
      </c>
      <c r="AS13" s="59">
        <v>5316300</v>
      </c>
      <c r="AT13" s="59">
        <v>5193300</v>
      </c>
      <c r="AU13" s="59">
        <v>5249400</v>
      </c>
      <c r="AV13" s="59">
        <v>6289000</v>
      </c>
      <c r="AW13" s="59">
        <v>6179800</v>
      </c>
      <c r="AX13" s="59">
        <v>5853500</v>
      </c>
      <c r="AY13" s="59">
        <v>4439200</v>
      </c>
      <c r="AZ13" s="59">
        <v>4091500</v>
      </c>
      <c r="BA13" s="59">
        <v>4348800</v>
      </c>
      <c r="BB13" s="59">
        <v>3940900</v>
      </c>
      <c r="BC13" s="59">
        <v>3352500</v>
      </c>
      <c r="BD13" s="59">
        <v>2940800</v>
      </c>
      <c r="BE13" s="59">
        <v>3088600</v>
      </c>
      <c r="BF13" s="59">
        <v>2347300</v>
      </c>
      <c r="BG13" s="59">
        <v>1933900</v>
      </c>
      <c r="BH13" s="45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</row>
    <row r="14" spans="1:84" outlineLevel="2">
      <c r="A14" s="39"/>
      <c r="B14" s="43"/>
      <c r="C14" s="60" t="s">
        <v>152</v>
      </c>
      <c r="D14" s="61">
        <f t="shared" si="0"/>
        <v>8217000</v>
      </c>
      <c r="E14" s="61">
        <f t="shared" si="1"/>
        <v>11057031.914893618</v>
      </c>
      <c r="F14" s="61">
        <f t="shared" si="2"/>
        <v>1933900</v>
      </c>
      <c r="G14" s="61">
        <f t="shared" si="3"/>
        <v>28114000</v>
      </c>
      <c r="H14" s="61">
        <f t="shared" si="4"/>
        <v>5369500</v>
      </c>
      <c r="I14" s="61">
        <f t="shared" si="5"/>
        <v>16274000</v>
      </c>
      <c r="J14" s="61">
        <f t="shared" si="6"/>
        <v>6938177.5814222721</v>
      </c>
      <c r="K14" s="62">
        <f t="shared" si="7"/>
        <v>0.62749005653828993</v>
      </c>
      <c r="L14" s="41"/>
      <c r="M14" s="63">
        <v>27412000</v>
      </c>
      <c r="N14" s="63">
        <v>24753000</v>
      </c>
      <c r="O14" s="63">
        <v>28114000</v>
      </c>
      <c r="P14" s="63">
        <v>20956000</v>
      </c>
      <c r="Q14" s="63">
        <v>17069000</v>
      </c>
      <c r="R14" s="63">
        <v>17997000</v>
      </c>
      <c r="S14" s="63">
        <v>19204000</v>
      </c>
      <c r="T14" s="63">
        <v>16727000</v>
      </c>
      <c r="U14" s="63">
        <v>17173000</v>
      </c>
      <c r="V14" s="63">
        <v>16138000</v>
      </c>
      <c r="W14" s="63">
        <v>17486000</v>
      </c>
      <c r="X14" s="63">
        <v>17021000</v>
      </c>
      <c r="Y14" s="63">
        <v>15136000</v>
      </c>
      <c r="Z14" s="63">
        <v>14256000</v>
      </c>
      <c r="AA14" s="63">
        <v>15341000</v>
      </c>
      <c r="AB14" s="63">
        <v>15317000</v>
      </c>
      <c r="AC14" s="63">
        <v>15643000</v>
      </c>
      <c r="AD14" s="63">
        <v>16410000</v>
      </c>
      <c r="AE14" s="63">
        <v>15263000</v>
      </c>
      <c r="AF14" s="63">
        <v>15710000</v>
      </c>
      <c r="AG14" s="63">
        <v>11846000</v>
      </c>
      <c r="AH14" s="63">
        <v>10522000</v>
      </c>
      <c r="AI14" s="63">
        <v>9630000</v>
      </c>
      <c r="AJ14" s="63">
        <v>8173000</v>
      </c>
      <c r="AK14" s="63">
        <v>8217000</v>
      </c>
      <c r="AL14" s="63">
        <v>7082000</v>
      </c>
      <c r="AM14" s="63">
        <v>6438000</v>
      </c>
      <c r="AN14" s="63">
        <v>6661000</v>
      </c>
      <c r="AO14" s="63">
        <v>6369000</v>
      </c>
      <c r="AP14" s="63">
        <v>6037000</v>
      </c>
      <c r="AQ14" s="63">
        <v>5592000</v>
      </c>
      <c r="AR14" s="63">
        <v>5422700</v>
      </c>
      <c r="AS14" s="63">
        <v>5316300</v>
      </c>
      <c r="AT14" s="63">
        <v>5193300</v>
      </c>
      <c r="AU14" s="63">
        <v>5249400</v>
      </c>
      <c r="AV14" s="63">
        <v>6289000</v>
      </c>
      <c r="AW14" s="63">
        <v>6179800</v>
      </c>
      <c r="AX14" s="63">
        <v>5853500</v>
      </c>
      <c r="AY14" s="63">
        <v>4439200</v>
      </c>
      <c r="AZ14" s="63">
        <v>4091500</v>
      </c>
      <c r="BA14" s="63">
        <v>4348800</v>
      </c>
      <c r="BB14" s="63">
        <v>3940900</v>
      </c>
      <c r="BC14" s="63">
        <v>3352500</v>
      </c>
      <c r="BD14" s="63">
        <v>2940800</v>
      </c>
      <c r="BE14" s="63">
        <v>3088600</v>
      </c>
      <c r="BF14" s="63">
        <v>2347300</v>
      </c>
      <c r="BG14" s="63">
        <v>1933900</v>
      </c>
      <c r="BH14" s="45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</row>
    <row r="15" spans="1:84" outlineLevel="1">
      <c r="A15" s="39"/>
      <c r="B15" s="43"/>
      <c r="C15" s="56" t="s">
        <v>153</v>
      </c>
      <c r="D15" s="57" t="str">
        <f t="shared" si="0"/>
        <v/>
      </c>
      <c r="E15" s="57" t="str">
        <f t="shared" si="1"/>
        <v/>
      </c>
      <c r="F15" s="57" t="str">
        <f t="shared" si="2"/>
        <v/>
      </c>
      <c r="G15" s="57" t="str">
        <f t="shared" si="3"/>
        <v/>
      </c>
      <c r="H15" s="57" t="str">
        <f t="shared" si="4"/>
        <v/>
      </c>
      <c r="I15" s="57" t="str">
        <f t="shared" si="5"/>
        <v/>
      </c>
      <c r="J15" s="57" t="str">
        <f t="shared" si="6"/>
        <v/>
      </c>
      <c r="K15" s="58" t="str">
        <f t="shared" si="7"/>
        <v/>
      </c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45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</row>
    <row r="16" spans="1:84" outlineLevel="2">
      <c r="A16" s="39"/>
      <c r="B16" s="43"/>
      <c r="C16" s="56" t="s">
        <v>154</v>
      </c>
      <c r="D16" s="57">
        <f t="shared" si="0"/>
        <v>4993500</v>
      </c>
      <c r="E16" s="57">
        <f t="shared" si="1"/>
        <v>4971812.5</v>
      </c>
      <c r="F16" s="57">
        <f t="shared" si="2"/>
        <v>3539000</v>
      </c>
      <c r="G16" s="57">
        <f t="shared" si="3"/>
        <v>6389000</v>
      </c>
      <c r="H16" s="57">
        <f t="shared" si="4"/>
        <v>4290000</v>
      </c>
      <c r="I16" s="57">
        <f t="shared" si="5"/>
        <v>5493250</v>
      </c>
      <c r="J16" s="57">
        <f t="shared" si="6"/>
        <v>893913.50951867818</v>
      </c>
      <c r="K16" s="58">
        <f t="shared" si="7"/>
        <v>0.1797963035650838</v>
      </c>
      <c r="M16" s="59">
        <v>4944000</v>
      </c>
      <c r="N16" s="59">
        <v>5029000</v>
      </c>
      <c r="O16" s="59">
        <v>5457000</v>
      </c>
      <c r="P16" s="59">
        <v>6389000</v>
      </c>
      <c r="Q16" s="59">
        <v>4527000</v>
      </c>
      <c r="R16" s="59">
        <v>3539000</v>
      </c>
      <c r="S16" s="59">
        <v>4363000</v>
      </c>
      <c r="T16" s="59">
        <v>3732000</v>
      </c>
      <c r="U16" s="59">
        <v>4071000</v>
      </c>
      <c r="V16" s="59">
        <v>3992000</v>
      </c>
      <c r="W16" s="59">
        <v>5327000</v>
      </c>
      <c r="X16" s="59">
        <v>5602000</v>
      </c>
      <c r="Y16" s="59">
        <v>4958000</v>
      </c>
      <c r="Z16" s="59">
        <v>5121000</v>
      </c>
      <c r="AA16" s="59">
        <v>6256000</v>
      </c>
      <c r="AB16" s="59">
        <v>6242000</v>
      </c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45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</row>
    <row r="17" spans="1:84" outlineLevel="2">
      <c r="A17" s="39"/>
      <c r="B17" s="43"/>
      <c r="C17" s="56" t="s">
        <v>155</v>
      </c>
      <c r="D17" s="57">
        <f t="shared" si="0"/>
        <v>3493500</v>
      </c>
      <c r="E17" s="57">
        <f t="shared" si="1"/>
        <v>3731250</v>
      </c>
      <c r="F17" s="57">
        <f t="shared" si="2"/>
        <v>2877000</v>
      </c>
      <c r="G17" s="57">
        <f t="shared" si="3"/>
        <v>5399000</v>
      </c>
      <c r="H17" s="57">
        <f t="shared" si="4"/>
        <v>3184250</v>
      </c>
      <c r="I17" s="57">
        <f t="shared" si="5"/>
        <v>4092750</v>
      </c>
      <c r="J17" s="57">
        <f t="shared" si="6"/>
        <v>740215.8694146818</v>
      </c>
      <c r="K17" s="58">
        <f t="shared" si="7"/>
        <v>0.19838281257344906</v>
      </c>
      <c r="M17" s="59">
        <v>5399000</v>
      </c>
      <c r="N17" s="59">
        <v>4857000</v>
      </c>
      <c r="O17" s="59">
        <v>4681000</v>
      </c>
      <c r="P17" s="59">
        <v>4428000</v>
      </c>
      <c r="Q17" s="59">
        <v>3981000</v>
      </c>
      <c r="R17" s="59">
        <v>3751000</v>
      </c>
      <c r="S17" s="59">
        <v>3640000</v>
      </c>
      <c r="T17" s="59">
        <v>3330000</v>
      </c>
      <c r="U17" s="59">
        <v>3458000</v>
      </c>
      <c r="V17" s="59">
        <v>3529000</v>
      </c>
      <c r="W17" s="59">
        <v>3269000</v>
      </c>
      <c r="X17" s="59">
        <v>3149000</v>
      </c>
      <c r="Y17" s="59">
        <v>3194000</v>
      </c>
      <c r="Z17" s="59">
        <v>3155000</v>
      </c>
      <c r="AA17" s="59">
        <v>3002000</v>
      </c>
      <c r="AB17" s="59">
        <v>2877000</v>
      </c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45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</row>
    <row r="18" spans="1:84" outlineLevel="2">
      <c r="A18" s="39"/>
      <c r="B18" s="43"/>
      <c r="C18" s="60" t="s">
        <v>156</v>
      </c>
      <c r="D18" s="61">
        <f t="shared" si="0"/>
        <v>7525000</v>
      </c>
      <c r="E18" s="61">
        <f t="shared" si="1"/>
        <v>6586353.125</v>
      </c>
      <c r="F18" s="61">
        <f t="shared" si="2"/>
        <v>1715300</v>
      </c>
      <c r="G18" s="61">
        <f t="shared" si="3"/>
        <v>10817000</v>
      </c>
      <c r="H18" s="61">
        <f t="shared" si="4"/>
        <v>3713250</v>
      </c>
      <c r="I18" s="61">
        <f t="shared" si="5"/>
        <v>8634750</v>
      </c>
      <c r="J18" s="61">
        <f t="shared" si="6"/>
        <v>2913874.9198236042</v>
      </c>
      <c r="K18" s="62">
        <f t="shared" si="7"/>
        <v>0.442410976836837</v>
      </c>
      <c r="L18" s="41"/>
      <c r="M18" s="63">
        <v>10343000</v>
      </c>
      <c r="N18" s="63">
        <v>9886000</v>
      </c>
      <c r="O18" s="63">
        <v>10138000</v>
      </c>
      <c r="P18" s="63">
        <v>10817000</v>
      </c>
      <c r="Q18" s="63">
        <v>8508000</v>
      </c>
      <c r="R18" s="63">
        <v>7290000</v>
      </c>
      <c r="S18" s="63">
        <v>8003000</v>
      </c>
      <c r="T18" s="63">
        <v>7062000</v>
      </c>
      <c r="U18" s="63">
        <v>7529000</v>
      </c>
      <c r="V18" s="63">
        <v>7521000</v>
      </c>
      <c r="W18" s="63">
        <v>8596000</v>
      </c>
      <c r="X18" s="63">
        <v>8751000</v>
      </c>
      <c r="Y18" s="63">
        <v>8152000</v>
      </c>
      <c r="Z18" s="63">
        <v>8276000</v>
      </c>
      <c r="AA18" s="63">
        <v>9258000</v>
      </c>
      <c r="AB18" s="63">
        <v>9119000</v>
      </c>
      <c r="AC18" s="63">
        <v>7405000</v>
      </c>
      <c r="AD18" s="63">
        <v>8412000</v>
      </c>
      <c r="AE18" s="63">
        <v>8192000</v>
      </c>
      <c r="AF18" s="63">
        <v>8943000</v>
      </c>
      <c r="AG18" s="63">
        <v>6171000</v>
      </c>
      <c r="AH18" s="63">
        <v>5217000</v>
      </c>
      <c r="AI18" s="63">
        <v>4539000</v>
      </c>
      <c r="AJ18" s="63">
        <v>3576000</v>
      </c>
      <c r="AK18" s="63">
        <v>3759000</v>
      </c>
      <c r="AL18" s="63">
        <v>2868000</v>
      </c>
      <c r="AM18" s="63">
        <v>2365000</v>
      </c>
      <c r="AN18" s="63">
        <v>2244000</v>
      </c>
      <c r="AO18" s="63">
        <v>2255000</v>
      </c>
      <c r="AP18" s="63">
        <v>2131000</v>
      </c>
      <c r="AQ18" s="63">
        <v>1722000</v>
      </c>
      <c r="AR18" s="63">
        <v>1715300</v>
      </c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45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</row>
    <row r="19" spans="1:84" outlineLevel="1">
      <c r="A19" s="39"/>
      <c r="B19" s="43"/>
      <c r="C19" s="53" t="s">
        <v>157</v>
      </c>
      <c r="D19" s="61">
        <f t="shared" si="0"/>
        <v>6875500</v>
      </c>
      <c r="E19" s="61">
        <f t="shared" si="1"/>
        <v>7636012.5</v>
      </c>
      <c r="F19" s="61">
        <f t="shared" si="2"/>
        <v>3707400</v>
      </c>
      <c r="G19" s="61">
        <f t="shared" si="3"/>
        <v>17976000</v>
      </c>
      <c r="H19" s="61">
        <f t="shared" si="4"/>
        <v>4562250</v>
      </c>
      <c r="I19" s="61">
        <f t="shared" si="5"/>
        <v>9078500</v>
      </c>
      <c r="J19" s="61">
        <f t="shared" si="6"/>
        <v>3696285.75104619</v>
      </c>
      <c r="K19" s="62">
        <f t="shared" si="7"/>
        <v>0.48405967788111792</v>
      </c>
      <c r="L19" s="64"/>
      <c r="M19" s="61">
        <v>17069000</v>
      </c>
      <c r="N19" s="61">
        <v>14867000</v>
      </c>
      <c r="O19" s="61">
        <v>17976000</v>
      </c>
      <c r="P19" s="61">
        <v>10139000</v>
      </c>
      <c r="Q19" s="61">
        <v>8561000</v>
      </c>
      <c r="R19" s="61">
        <v>10707000</v>
      </c>
      <c r="S19" s="61">
        <v>11201000</v>
      </c>
      <c r="T19" s="61">
        <v>9665000</v>
      </c>
      <c r="U19" s="61">
        <v>9644000</v>
      </c>
      <c r="V19" s="61">
        <v>8617000</v>
      </c>
      <c r="W19" s="61">
        <v>8890000</v>
      </c>
      <c r="X19" s="61">
        <v>8270000</v>
      </c>
      <c r="Y19" s="61">
        <v>6984000</v>
      </c>
      <c r="Z19" s="61">
        <v>5980000</v>
      </c>
      <c r="AA19" s="61">
        <v>6083000</v>
      </c>
      <c r="AB19" s="61">
        <v>6198000</v>
      </c>
      <c r="AC19" s="61">
        <v>8238000</v>
      </c>
      <c r="AD19" s="61">
        <v>7998000</v>
      </c>
      <c r="AE19" s="61">
        <v>7071000</v>
      </c>
      <c r="AF19" s="61">
        <v>6767000</v>
      </c>
      <c r="AG19" s="61">
        <v>5675000</v>
      </c>
      <c r="AH19" s="61">
        <v>5305000</v>
      </c>
      <c r="AI19" s="61">
        <v>5091000</v>
      </c>
      <c r="AJ19" s="61">
        <v>4597000</v>
      </c>
      <c r="AK19" s="61">
        <v>4458000</v>
      </c>
      <c r="AL19" s="61">
        <v>4214000</v>
      </c>
      <c r="AM19" s="61">
        <v>4073000</v>
      </c>
      <c r="AN19" s="61">
        <v>4417000</v>
      </c>
      <c r="AO19" s="61">
        <v>4114000</v>
      </c>
      <c r="AP19" s="61">
        <v>3906000</v>
      </c>
      <c r="AQ19" s="61">
        <v>3870000</v>
      </c>
      <c r="AR19" s="61">
        <v>3707400</v>
      </c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45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</row>
    <row r="20" spans="1:84">
      <c r="A20" s="39"/>
      <c r="B20" s="43"/>
      <c r="C20" s="53" t="s">
        <v>158</v>
      </c>
      <c r="D20" s="54" t="str">
        <f t="shared" si="0"/>
        <v/>
      </c>
      <c r="E20" s="54" t="str">
        <f t="shared" si="1"/>
        <v/>
      </c>
      <c r="F20" s="54" t="str">
        <f t="shared" si="2"/>
        <v/>
      </c>
      <c r="G20" s="54" t="str">
        <f t="shared" si="3"/>
        <v/>
      </c>
      <c r="H20" s="54" t="str">
        <f t="shared" si="4"/>
        <v/>
      </c>
      <c r="I20" s="54" t="str">
        <f t="shared" si="5"/>
        <v/>
      </c>
      <c r="J20" s="54" t="str">
        <f t="shared" si="6"/>
        <v/>
      </c>
      <c r="K20" s="55" t="str">
        <f t="shared" si="7"/>
        <v/>
      </c>
      <c r="L20" s="48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45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</row>
    <row r="21" spans="1:84" outlineLevel="1">
      <c r="A21" s="39"/>
      <c r="B21" s="43"/>
      <c r="C21" s="56" t="s">
        <v>159</v>
      </c>
      <c r="D21" s="57" t="str">
        <f t="shared" si="0"/>
        <v/>
      </c>
      <c r="E21" s="57" t="str">
        <f t="shared" si="1"/>
        <v/>
      </c>
      <c r="F21" s="57" t="str">
        <f t="shared" si="2"/>
        <v/>
      </c>
      <c r="G21" s="57" t="str">
        <f t="shared" si="3"/>
        <v/>
      </c>
      <c r="H21" s="57" t="str">
        <f t="shared" si="4"/>
        <v/>
      </c>
      <c r="I21" s="57" t="str">
        <f t="shared" si="5"/>
        <v/>
      </c>
      <c r="J21" s="57" t="str">
        <f t="shared" si="6"/>
        <v/>
      </c>
      <c r="K21" s="58" t="str">
        <f t="shared" si="7"/>
        <v/>
      </c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45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</row>
    <row r="22" spans="1:84" outlineLevel="2">
      <c r="A22" s="39"/>
      <c r="B22" s="43"/>
      <c r="C22" s="56" t="s">
        <v>160</v>
      </c>
      <c r="D22" s="57">
        <f t="shared" si="0"/>
        <v>2975500</v>
      </c>
      <c r="E22" s="57">
        <f t="shared" si="1"/>
        <v>3312722.222222222</v>
      </c>
      <c r="F22" s="57">
        <f t="shared" si="2"/>
        <v>1442000</v>
      </c>
      <c r="G22" s="57">
        <f t="shared" si="3"/>
        <v>6580000</v>
      </c>
      <c r="H22" s="57">
        <f t="shared" si="4"/>
        <v>1881750</v>
      </c>
      <c r="I22" s="57">
        <f t="shared" si="5"/>
        <v>4175000</v>
      </c>
      <c r="J22" s="57">
        <f t="shared" si="6"/>
        <v>1589749.5846296253</v>
      </c>
      <c r="K22" s="58">
        <f t="shared" si="7"/>
        <v>0.47989220888046519</v>
      </c>
      <c r="M22" s="59">
        <v>6580000</v>
      </c>
      <c r="N22" s="59">
        <v>5462000</v>
      </c>
      <c r="O22" s="59">
        <v>5879000</v>
      </c>
      <c r="P22" s="59">
        <v>4503000</v>
      </c>
      <c r="Q22" s="59">
        <v>3924000</v>
      </c>
      <c r="R22" s="59">
        <v>4052000</v>
      </c>
      <c r="S22" s="59">
        <v>4216000</v>
      </c>
      <c r="T22" s="59">
        <v>3911000</v>
      </c>
      <c r="U22" s="59">
        <v>2357000</v>
      </c>
      <c r="V22" s="59">
        <v>3120000</v>
      </c>
      <c r="W22" s="59">
        <v>2831000</v>
      </c>
      <c r="X22" s="59">
        <v>2551000</v>
      </c>
      <c r="Y22" s="59">
        <v>2163000</v>
      </c>
      <c r="Z22" s="59">
        <v>1518000</v>
      </c>
      <c r="AA22" s="59">
        <v>1567000</v>
      </c>
      <c r="AB22" s="59">
        <v>1788000</v>
      </c>
      <c r="AC22" s="59">
        <v>1765000</v>
      </c>
      <c r="AD22" s="59">
        <v>1442000</v>
      </c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45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</row>
    <row r="23" spans="1:84" outlineLevel="2">
      <c r="A23" s="39"/>
      <c r="B23" s="43"/>
      <c r="C23" s="60" t="s">
        <v>161</v>
      </c>
      <c r="D23" s="61">
        <f t="shared" si="0"/>
        <v>1542500</v>
      </c>
      <c r="E23" s="61">
        <f t="shared" si="1"/>
        <v>2343653.125</v>
      </c>
      <c r="F23" s="61">
        <f t="shared" si="2"/>
        <v>723900</v>
      </c>
      <c r="G23" s="61">
        <f t="shared" si="3"/>
        <v>6580000</v>
      </c>
      <c r="H23" s="61">
        <f t="shared" si="4"/>
        <v>1094000</v>
      </c>
      <c r="I23" s="61">
        <f t="shared" si="5"/>
        <v>3317750</v>
      </c>
      <c r="J23" s="61">
        <f t="shared" si="6"/>
        <v>1627492.2046261702</v>
      </c>
      <c r="K23" s="62">
        <f t="shared" si="7"/>
        <v>0.69442537688941075</v>
      </c>
      <c r="L23" s="41"/>
      <c r="M23" s="63">
        <v>6580000</v>
      </c>
      <c r="N23" s="63">
        <v>5462000</v>
      </c>
      <c r="O23" s="63">
        <v>5879000</v>
      </c>
      <c r="P23" s="63">
        <v>4503000</v>
      </c>
      <c r="Q23" s="63">
        <v>3924000</v>
      </c>
      <c r="R23" s="63">
        <v>4052000</v>
      </c>
      <c r="S23" s="63">
        <v>4216000</v>
      </c>
      <c r="T23" s="63">
        <v>3911000</v>
      </c>
      <c r="U23" s="63">
        <v>2357000</v>
      </c>
      <c r="V23" s="63">
        <v>3120000</v>
      </c>
      <c r="W23" s="63">
        <v>2831000</v>
      </c>
      <c r="X23" s="63">
        <v>2551000</v>
      </c>
      <c r="Y23" s="63">
        <v>2163000</v>
      </c>
      <c r="Z23" s="63">
        <v>1518000</v>
      </c>
      <c r="AA23" s="63">
        <v>1567000</v>
      </c>
      <c r="AB23" s="63">
        <v>1788000</v>
      </c>
      <c r="AC23" s="63">
        <v>1765000</v>
      </c>
      <c r="AD23" s="63">
        <v>1442000</v>
      </c>
      <c r="AE23" s="63">
        <v>1335000</v>
      </c>
      <c r="AF23" s="63">
        <v>1336000</v>
      </c>
      <c r="AG23" s="63">
        <v>1440000</v>
      </c>
      <c r="AH23" s="63">
        <v>1198000</v>
      </c>
      <c r="AI23" s="63">
        <v>1105000</v>
      </c>
      <c r="AJ23" s="63">
        <v>952000</v>
      </c>
      <c r="AK23" s="63">
        <v>983000</v>
      </c>
      <c r="AL23" s="63">
        <v>1032000</v>
      </c>
      <c r="AM23" s="63">
        <v>1040000</v>
      </c>
      <c r="AN23" s="63">
        <v>1284000</v>
      </c>
      <c r="AO23" s="63">
        <v>1061000</v>
      </c>
      <c r="AP23" s="63">
        <v>960000</v>
      </c>
      <c r="AQ23" s="63">
        <v>918000</v>
      </c>
      <c r="AR23" s="63">
        <v>723900</v>
      </c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45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</row>
    <row r="24" spans="1:84" outlineLevel="1">
      <c r="A24" s="39"/>
      <c r="B24" s="43"/>
      <c r="C24" s="56" t="s">
        <v>162</v>
      </c>
      <c r="D24" s="57">
        <f t="shared" si="0"/>
        <v>1195000</v>
      </c>
      <c r="E24" s="57">
        <f t="shared" si="1"/>
        <v>1225281.25</v>
      </c>
      <c r="F24" s="57">
        <f t="shared" si="2"/>
        <v>531000</v>
      </c>
      <c r="G24" s="57">
        <f t="shared" si="3"/>
        <v>2469000</v>
      </c>
      <c r="H24" s="57">
        <f t="shared" si="4"/>
        <v>718250</v>
      </c>
      <c r="I24" s="57">
        <f t="shared" si="5"/>
        <v>1479000</v>
      </c>
      <c r="J24" s="57">
        <f t="shared" si="6"/>
        <v>549858.17727934872</v>
      </c>
      <c r="K24" s="58">
        <f t="shared" si="7"/>
        <v>0.44876078637402533</v>
      </c>
      <c r="M24" s="59">
        <v>2469000</v>
      </c>
      <c r="N24" s="59">
        <v>2278000</v>
      </c>
      <c r="O24" s="59">
        <v>2265000</v>
      </c>
      <c r="P24" s="59">
        <v>2077000</v>
      </c>
      <c r="Q24" s="59">
        <v>1801000</v>
      </c>
      <c r="R24" s="59">
        <v>1709000</v>
      </c>
      <c r="S24" s="59">
        <v>1804000</v>
      </c>
      <c r="T24" s="59">
        <v>1551000</v>
      </c>
      <c r="U24" s="59">
        <v>1455000</v>
      </c>
      <c r="V24" s="59">
        <v>1343000</v>
      </c>
      <c r="W24" s="59">
        <v>1397000</v>
      </c>
      <c r="X24" s="59">
        <v>1362000</v>
      </c>
      <c r="Y24" s="59">
        <v>1280000</v>
      </c>
      <c r="Z24" s="59">
        <v>1186000</v>
      </c>
      <c r="AA24" s="59">
        <v>1204000</v>
      </c>
      <c r="AB24" s="59">
        <v>1164000</v>
      </c>
      <c r="AC24" s="59">
        <v>1230000</v>
      </c>
      <c r="AD24" s="59">
        <v>1204000</v>
      </c>
      <c r="AE24" s="59">
        <v>1135000</v>
      </c>
      <c r="AF24" s="59">
        <v>1132000</v>
      </c>
      <c r="AG24" s="59">
        <v>931000</v>
      </c>
      <c r="AH24" s="59">
        <v>882000</v>
      </c>
      <c r="AI24" s="59">
        <v>829000</v>
      </c>
      <c r="AJ24" s="59">
        <v>721000</v>
      </c>
      <c r="AK24" s="59">
        <v>710000</v>
      </c>
      <c r="AL24" s="59">
        <v>618000</v>
      </c>
      <c r="AM24" s="59">
        <v>615000</v>
      </c>
      <c r="AN24" s="59">
        <v>597000</v>
      </c>
      <c r="AO24" s="59">
        <v>594000</v>
      </c>
      <c r="AP24" s="59">
        <v>586000</v>
      </c>
      <c r="AQ24" s="59">
        <v>549000</v>
      </c>
      <c r="AR24" s="59">
        <v>531000</v>
      </c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45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</row>
    <row r="25" spans="1:84" outlineLevel="1">
      <c r="A25" s="39"/>
      <c r="B25" s="43"/>
      <c r="C25" s="56" t="s">
        <v>163</v>
      </c>
      <c r="D25" s="57">
        <f t="shared" si="0"/>
        <v>1490500</v>
      </c>
      <c r="E25" s="57">
        <f t="shared" si="1"/>
        <v>1672312.5</v>
      </c>
      <c r="F25" s="57">
        <f t="shared" si="2"/>
        <v>1189000</v>
      </c>
      <c r="G25" s="57">
        <f t="shared" si="3"/>
        <v>2649000</v>
      </c>
      <c r="H25" s="57">
        <f t="shared" si="4"/>
        <v>1273250</v>
      </c>
      <c r="I25" s="57">
        <f t="shared" si="5"/>
        <v>1911000</v>
      </c>
      <c r="J25" s="57">
        <f t="shared" si="6"/>
        <v>500302.93739560101</v>
      </c>
      <c r="K25" s="58">
        <f t="shared" si="7"/>
        <v>0.29916832972043261</v>
      </c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>
        <v>2649000</v>
      </c>
      <c r="AD25" s="59">
        <v>2527000</v>
      </c>
      <c r="AE25" s="59">
        <v>2318000</v>
      </c>
      <c r="AF25" s="59">
        <v>2202000</v>
      </c>
      <c r="AG25" s="59">
        <v>1814000</v>
      </c>
      <c r="AH25" s="59">
        <v>1740000</v>
      </c>
      <c r="AI25" s="59">
        <v>1626000</v>
      </c>
      <c r="AJ25" s="59">
        <v>1747000</v>
      </c>
      <c r="AK25" s="59">
        <v>1355000</v>
      </c>
      <c r="AL25" s="59">
        <v>1324000</v>
      </c>
      <c r="AM25" s="59">
        <v>1241000</v>
      </c>
      <c r="AN25" s="59">
        <v>1284000</v>
      </c>
      <c r="AO25" s="59">
        <v>1231000</v>
      </c>
      <c r="AP25" s="59">
        <v>1189000</v>
      </c>
      <c r="AQ25" s="59">
        <v>1206000</v>
      </c>
      <c r="AR25" s="59">
        <v>1304000</v>
      </c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45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</row>
    <row r="26" spans="1:84" outlineLevel="1">
      <c r="A26" s="39"/>
      <c r="B26" s="43"/>
      <c r="C26" s="53" t="s">
        <v>164</v>
      </c>
      <c r="D26" s="61">
        <f t="shared" si="0"/>
        <v>3866500</v>
      </c>
      <c r="E26" s="61">
        <f t="shared" si="1"/>
        <v>4405090.625</v>
      </c>
      <c r="F26" s="61">
        <f t="shared" si="2"/>
        <v>2558900</v>
      </c>
      <c r="G26" s="61">
        <f t="shared" si="3"/>
        <v>9049000</v>
      </c>
      <c r="H26" s="61">
        <f t="shared" si="4"/>
        <v>2968500</v>
      </c>
      <c r="I26" s="61">
        <f t="shared" si="5"/>
        <v>5507500</v>
      </c>
      <c r="J26" s="61">
        <f t="shared" si="6"/>
        <v>1718584.6384704751</v>
      </c>
      <c r="K26" s="62">
        <f t="shared" si="7"/>
        <v>0.39013604594581414</v>
      </c>
      <c r="L26" s="64"/>
      <c r="M26" s="61">
        <v>9049000</v>
      </c>
      <c r="N26" s="61">
        <v>7740000</v>
      </c>
      <c r="O26" s="61">
        <v>8144000</v>
      </c>
      <c r="P26" s="61">
        <v>6580000</v>
      </c>
      <c r="Q26" s="61">
        <v>5725000</v>
      </c>
      <c r="R26" s="61">
        <v>5761000</v>
      </c>
      <c r="S26" s="61">
        <v>6020000</v>
      </c>
      <c r="T26" s="61">
        <v>5462000</v>
      </c>
      <c r="U26" s="61">
        <v>3812000</v>
      </c>
      <c r="V26" s="61">
        <v>4463000</v>
      </c>
      <c r="W26" s="61">
        <v>4228000</v>
      </c>
      <c r="X26" s="61">
        <v>3913000</v>
      </c>
      <c r="Y26" s="61">
        <v>3443000</v>
      </c>
      <c r="Z26" s="61">
        <v>2704000</v>
      </c>
      <c r="AA26" s="61">
        <v>2771000</v>
      </c>
      <c r="AB26" s="61">
        <v>2952000</v>
      </c>
      <c r="AC26" s="61">
        <v>5644000</v>
      </c>
      <c r="AD26" s="61">
        <v>5173000</v>
      </c>
      <c r="AE26" s="61">
        <v>4788000</v>
      </c>
      <c r="AF26" s="61">
        <v>4670000</v>
      </c>
      <c r="AG26" s="61">
        <v>4185000</v>
      </c>
      <c r="AH26" s="61">
        <v>3820000</v>
      </c>
      <c r="AI26" s="61">
        <v>3560000</v>
      </c>
      <c r="AJ26" s="61">
        <v>3420000</v>
      </c>
      <c r="AK26" s="61">
        <v>3048000</v>
      </c>
      <c r="AL26" s="61">
        <v>2974000</v>
      </c>
      <c r="AM26" s="61">
        <v>2896000</v>
      </c>
      <c r="AN26" s="61">
        <v>3165000</v>
      </c>
      <c r="AO26" s="61">
        <v>2886000</v>
      </c>
      <c r="AP26" s="61">
        <v>2735000</v>
      </c>
      <c r="AQ26" s="61">
        <v>2673000</v>
      </c>
      <c r="AR26" s="61">
        <v>2558900</v>
      </c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45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</row>
    <row r="27" spans="1:84">
      <c r="A27" s="39"/>
      <c r="B27" s="43"/>
      <c r="C27" s="53" t="s">
        <v>165</v>
      </c>
      <c r="D27" s="54">
        <f t="shared" si="0"/>
        <v>3312000</v>
      </c>
      <c r="E27" s="54">
        <f t="shared" si="1"/>
        <v>3573495.7446808512</v>
      </c>
      <c r="F27" s="54">
        <f t="shared" si="2"/>
        <v>1148500</v>
      </c>
      <c r="G27" s="54">
        <f t="shared" si="3"/>
        <v>9832000</v>
      </c>
      <c r="H27" s="54">
        <f t="shared" si="4"/>
        <v>1732450</v>
      </c>
      <c r="I27" s="54">
        <f t="shared" si="5"/>
        <v>4804000</v>
      </c>
      <c r="J27" s="54">
        <f t="shared" si="6"/>
        <v>2016160.3931361865</v>
      </c>
      <c r="K27" s="55">
        <f t="shared" si="7"/>
        <v>0.56419834727304252</v>
      </c>
      <c r="L27" s="48"/>
      <c r="M27" s="54">
        <v>8020000</v>
      </c>
      <c r="N27" s="54">
        <v>7127000</v>
      </c>
      <c r="O27" s="54">
        <v>9832000</v>
      </c>
      <c r="P27" s="54">
        <v>3559000</v>
      </c>
      <c r="Q27" s="54">
        <v>2836000</v>
      </c>
      <c r="R27" s="54">
        <v>4946000</v>
      </c>
      <c r="S27" s="54">
        <v>5181000</v>
      </c>
      <c r="T27" s="54">
        <v>4203000</v>
      </c>
      <c r="U27" s="54">
        <v>5832000</v>
      </c>
      <c r="V27" s="54">
        <v>4154000</v>
      </c>
      <c r="W27" s="54">
        <v>4662000</v>
      </c>
      <c r="X27" s="54">
        <v>4357000</v>
      </c>
      <c r="Y27" s="54">
        <v>3541000</v>
      </c>
      <c r="Z27" s="54">
        <v>3276000</v>
      </c>
      <c r="AA27" s="54">
        <v>3312000</v>
      </c>
      <c r="AB27" s="54">
        <v>3246000</v>
      </c>
      <c r="AC27" s="54">
        <v>2594000</v>
      </c>
      <c r="AD27" s="54">
        <v>2825000</v>
      </c>
      <c r="AE27" s="54">
        <v>2283000</v>
      </c>
      <c r="AF27" s="54">
        <v>2097000</v>
      </c>
      <c r="AG27" s="54">
        <v>1490000</v>
      </c>
      <c r="AH27" s="54">
        <v>1485000</v>
      </c>
      <c r="AI27" s="54">
        <v>1531000</v>
      </c>
      <c r="AJ27" s="54">
        <v>1177000</v>
      </c>
      <c r="AK27" s="54">
        <v>1410000</v>
      </c>
      <c r="AL27" s="54">
        <v>1240000</v>
      </c>
      <c r="AM27" s="54">
        <v>1177000</v>
      </c>
      <c r="AN27" s="54">
        <v>1252000</v>
      </c>
      <c r="AO27" s="54">
        <v>1228000</v>
      </c>
      <c r="AP27" s="54">
        <v>1171000</v>
      </c>
      <c r="AQ27" s="54">
        <v>1197000</v>
      </c>
      <c r="AR27" s="54">
        <v>1148500</v>
      </c>
      <c r="AS27" s="54">
        <v>5316300</v>
      </c>
      <c r="AT27" s="54">
        <v>5193300</v>
      </c>
      <c r="AU27" s="54">
        <v>5249400</v>
      </c>
      <c r="AV27" s="54">
        <v>6289000</v>
      </c>
      <c r="AW27" s="54">
        <v>6179800</v>
      </c>
      <c r="AX27" s="54">
        <v>5853500</v>
      </c>
      <c r="AY27" s="54">
        <v>4439200</v>
      </c>
      <c r="AZ27" s="54">
        <v>4091500</v>
      </c>
      <c r="BA27" s="54">
        <v>4348800</v>
      </c>
      <c r="BB27" s="54">
        <v>3940900</v>
      </c>
      <c r="BC27" s="54">
        <v>3352500</v>
      </c>
      <c r="BD27" s="54">
        <v>2940800</v>
      </c>
      <c r="BE27" s="54">
        <v>3088600</v>
      </c>
      <c r="BF27" s="54">
        <v>2347300</v>
      </c>
      <c r="BG27" s="54">
        <v>1933900</v>
      </c>
      <c r="BH27" s="45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</row>
    <row r="28" spans="1:84">
      <c r="A28" s="39"/>
      <c r="B28" s="43"/>
      <c r="C28" s="53" t="s">
        <v>166</v>
      </c>
      <c r="D28" s="54" t="str">
        <f t="shared" si="0"/>
        <v/>
      </c>
      <c r="E28" s="54" t="str">
        <f t="shared" si="1"/>
        <v/>
      </c>
      <c r="F28" s="54" t="str">
        <f t="shared" si="2"/>
        <v/>
      </c>
      <c r="G28" s="54" t="str">
        <f t="shared" si="3"/>
        <v/>
      </c>
      <c r="H28" s="54" t="str">
        <f t="shared" si="4"/>
        <v/>
      </c>
      <c r="I28" s="54" t="str">
        <f t="shared" si="5"/>
        <v/>
      </c>
      <c r="J28" s="54" t="str">
        <f t="shared" si="6"/>
        <v/>
      </c>
      <c r="K28" s="55" t="str">
        <f t="shared" si="7"/>
        <v/>
      </c>
      <c r="L28" s="48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45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</row>
    <row r="29" spans="1:84" outlineLevel="1">
      <c r="A29" s="39"/>
      <c r="B29" s="43"/>
      <c r="C29" s="56" t="s">
        <v>167</v>
      </c>
      <c r="D29" s="57" t="str">
        <f t="shared" si="0"/>
        <v/>
      </c>
      <c r="E29" s="57" t="str">
        <f t="shared" si="1"/>
        <v/>
      </c>
      <c r="F29" s="57" t="str">
        <f t="shared" si="2"/>
        <v/>
      </c>
      <c r="G29" s="57" t="str">
        <f t="shared" si="3"/>
        <v/>
      </c>
      <c r="H29" s="57" t="str">
        <f t="shared" si="4"/>
        <v/>
      </c>
      <c r="I29" s="57" t="str">
        <f t="shared" si="5"/>
        <v/>
      </c>
      <c r="J29" s="57" t="str">
        <f t="shared" si="6"/>
        <v/>
      </c>
      <c r="K29" s="58" t="str">
        <f t="shared" si="7"/>
        <v/>
      </c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45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</row>
    <row r="30" spans="1:84" outlineLevel="2">
      <c r="A30" s="39"/>
      <c r="B30" s="43"/>
      <c r="C30" s="56" t="s">
        <v>168</v>
      </c>
      <c r="D30" s="57" t="str">
        <f t="shared" si="0"/>
        <v/>
      </c>
      <c r="E30" s="57" t="str">
        <f t="shared" si="1"/>
        <v/>
      </c>
      <c r="F30" s="57" t="str">
        <f t="shared" si="2"/>
        <v/>
      </c>
      <c r="G30" s="57" t="str">
        <f t="shared" si="3"/>
        <v/>
      </c>
      <c r="H30" s="57" t="str">
        <f t="shared" si="4"/>
        <v/>
      </c>
      <c r="I30" s="57" t="str">
        <f t="shared" si="5"/>
        <v/>
      </c>
      <c r="J30" s="57" t="str">
        <f t="shared" si="6"/>
        <v/>
      </c>
      <c r="K30" s="58" t="str">
        <f t="shared" si="7"/>
        <v/>
      </c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45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</row>
    <row r="31" spans="1:84" outlineLevel="3">
      <c r="A31" s="39"/>
      <c r="B31" s="43"/>
      <c r="C31" s="56" t="s">
        <v>169</v>
      </c>
      <c r="D31" s="57">
        <f t="shared" si="0"/>
        <v>1236000</v>
      </c>
      <c r="E31" s="57">
        <f t="shared" si="1"/>
        <v>1591444.4444444445</v>
      </c>
      <c r="F31" s="57">
        <f t="shared" si="2"/>
        <v>585000</v>
      </c>
      <c r="G31" s="57">
        <f t="shared" si="3"/>
        <v>4572000</v>
      </c>
      <c r="H31" s="57">
        <f t="shared" si="4"/>
        <v>1035750</v>
      </c>
      <c r="I31" s="57">
        <f t="shared" si="5"/>
        <v>1852000</v>
      </c>
      <c r="J31" s="57">
        <f t="shared" si="6"/>
        <v>995685.64742931398</v>
      </c>
      <c r="K31" s="58">
        <f t="shared" si="7"/>
        <v>0.62564901395404771</v>
      </c>
      <c r="M31" s="59">
        <v>4572000</v>
      </c>
      <c r="N31" s="59">
        <v>2235000</v>
      </c>
      <c r="O31" s="59">
        <v>3324000</v>
      </c>
      <c r="P31" s="59">
        <v>585000</v>
      </c>
      <c r="Q31" s="59">
        <v>1270000</v>
      </c>
      <c r="R31" s="59">
        <v>1950000</v>
      </c>
      <c r="S31" s="59">
        <v>2249000</v>
      </c>
      <c r="T31" s="59">
        <v>1498000</v>
      </c>
      <c r="U31" s="59">
        <v>1558000</v>
      </c>
      <c r="V31" s="59">
        <v>1098000</v>
      </c>
      <c r="W31" s="59">
        <v>1211000</v>
      </c>
      <c r="X31" s="59">
        <v>1261000</v>
      </c>
      <c r="Y31" s="59">
        <v>1121000</v>
      </c>
      <c r="Z31" s="59">
        <v>1038000</v>
      </c>
      <c r="AA31" s="59">
        <v>1035000</v>
      </c>
      <c r="AB31" s="59">
        <v>979000</v>
      </c>
      <c r="AC31" s="59">
        <v>849000</v>
      </c>
      <c r="AD31" s="59">
        <v>813000</v>
      </c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45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</row>
    <row r="32" spans="1:84" outlineLevel="3">
      <c r="A32" s="39"/>
      <c r="B32" s="43"/>
      <c r="C32" s="56" t="s">
        <v>170</v>
      </c>
      <c r="D32" s="57">
        <f t="shared" si="0"/>
        <v>80000</v>
      </c>
      <c r="E32" s="57">
        <f t="shared" si="1"/>
        <v>78545.454545454544</v>
      </c>
      <c r="F32" s="57">
        <f t="shared" si="2"/>
        <v>51000</v>
      </c>
      <c r="G32" s="57">
        <f t="shared" si="3"/>
        <v>91000</v>
      </c>
      <c r="H32" s="57">
        <f t="shared" si="4"/>
        <v>78000</v>
      </c>
      <c r="I32" s="57">
        <f t="shared" si="5"/>
        <v>84000</v>
      </c>
      <c r="J32" s="57">
        <f t="shared" si="6"/>
        <v>10434.20947042598</v>
      </c>
      <c r="K32" s="58">
        <f t="shared" si="7"/>
        <v>0.13284294464662705</v>
      </c>
      <c r="M32" s="59"/>
      <c r="N32" s="59"/>
      <c r="O32" s="59"/>
      <c r="P32" s="59"/>
      <c r="Q32" s="59"/>
      <c r="R32" s="59"/>
      <c r="S32" s="59"/>
      <c r="T32" s="59">
        <v>51000</v>
      </c>
      <c r="U32" s="59">
        <v>81000</v>
      </c>
      <c r="V32" s="59">
        <v>82000</v>
      </c>
      <c r="W32" s="59">
        <v>86000</v>
      </c>
      <c r="X32" s="59">
        <v>80000</v>
      </c>
      <c r="Y32" s="59">
        <v>78000</v>
      </c>
      <c r="Z32" s="59">
        <v>86000</v>
      </c>
      <c r="AA32" s="59">
        <v>79000</v>
      </c>
      <c r="AB32" s="59">
        <v>91000</v>
      </c>
      <c r="AC32" s="59">
        <v>78000</v>
      </c>
      <c r="AD32" s="59">
        <v>72000</v>
      </c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45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</row>
    <row r="33" spans="1:84" outlineLevel="3">
      <c r="A33" s="39"/>
      <c r="B33" s="43"/>
      <c r="C33" s="60" t="s">
        <v>171</v>
      </c>
      <c r="D33" s="61">
        <f t="shared" si="0"/>
        <v>1153000</v>
      </c>
      <c r="E33" s="61">
        <f t="shared" si="1"/>
        <v>1543444.4444444445</v>
      </c>
      <c r="F33" s="61">
        <f t="shared" si="2"/>
        <v>585000</v>
      </c>
      <c r="G33" s="61">
        <f t="shared" si="3"/>
        <v>4572000</v>
      </c>
      <c r="H33" s="61">
        <f t="shared" si="4"/>
        <v>953000</v>
      </c>
      <c r="I33" s="61">
        <f t="shared" si="5"/>
        <v>1831750</v>
      </c>
      <c r="J33" s="61">
        <f t="shared" si="6"/>
        <v>1020126.0719216911</v>
      </c>
      <c r="K33" s="62">
        <f t="shared" si="7"/>
        <v>0.66094123153806206</v>
      </c>
      <c r="L33" s="41"/>
      <c r="M33" s="63">
        <v>4572000</v>
      </c>
      <c r="N33" s="63">
        <v>2235000</v>
      </c>
      <c r="O33" s="63">
        <v>3324000</v>
      </c>
      <c r="P33" s="63">
        <v>585000</v>
      </c>
      <c r="Q33" s="63">
        <v>1270000</v>
      </c>
      <c r="R33" s="63">
        <v>1950000</v>
      </c>
      <c r="S33" s="63">
        <v>2249000</v>
      </c>
      <c r="T33" s="63">
        <v>1447000</v>
      </c>
      <c r="U33" s="63">
        <v>1477000</v>
      </c>
      <c r="V33" s="63">
        <v>1016000</v>
      </c>
      <c r="W33" s="63">
        <v>1125000</v>
      </c>
      <c r="X33" s="63">
        <v>1181000</v>
      </c>
      <c r="Y33" s="63">
        <v>1043000</v>
      </c>
      <c r="Z33" s="63">
        <v>952000</v>
      </c>
      <c r="AA33" s="63">
        <v>956000</v>
      </c>
      <c r="AB33" s="63">
        <v>888000</v>
      </c>
      <c r="AC33" s="63">
        <v>771000</v>
      </c>
      <c r="AD33" s="63">
        <v>741000</v>
      </c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45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</row>
    <row r="34" spans="1:84" outlineLevel="2">
      <c r="A34" s="39"/>
      <c r="B34" s="43"/>
      <c r="C34" s="60" t="s">
        <v>172</v>
      </c>
      <c r="D34" s="61">
        <f t="shared" si="0"/>
        <v>1153000</v>
      </c>
      <c r="E34" s="61">
        <f t="shared" si="1"/>
        <v>1543444.4444444445</v>
      </c>
      <c r="F34" s="61">
        <f t="shared" si="2"/>
        <v>585000</v>
      </c>
      <c r="G34" s="61">
        <f t="shared" si="3"/>
        <v>4572000</v>
      </c>
      <c r="H34" s="61">
        <f t="shared" si="4"/>
        <v>953000</v>
      </c>
      <c r="I34" s="61">
        <f t="shared" si="5"/>
        <v>1831750</v>
      </c>
      <c r="J34" s="61">
        <f t="shared" si="6"/>
        <v>1020126.0719216911</v>
      </c>
      <c r="K34" s="62">
        <f t="shared" si="7"/>
        <v>0.66094123153806206</v>
      </c>
      <c r="L34" s="41"/>
      <c r="M34" s="63">
        <v>4572000</v>
      </c>
      <c r="N34" s="63">
        <v>2235000</v>
      </c>
      <c r="O34" s="63">
        <v>3324000</v>
      </c>
      <c r="P34" s="63">
        <v>585000</v>
      </c>
      <c r="Q34" s="63">
        <v>1270000</v>
      </c>
      <c r="R34" s="63">
        <v>1950000</v>
      </c>
      <c r="S34" s="63">
        <v>2249000</v>
      </c>
      <c r="T34" s="63">
        <v>1447000</v>
      </c>
      <c r="U34" s="63">
        <v>1477000</v>
      </c>
      <c r="V34" s="63">
        <v>1016000</v>
      </c>
      <c r="W34" s="63">
        <v>1125000</v>
      </c>
      <c r="X34" s="63">
        <v>1181000</v>
      </c>
      <c r="Y34" s="63">
        <v>1043000</v>
      </c>
      <c r="Z34" s="63">
        <v>952000</v>
      </c>
      <c r="AA34" s="63">
        <v>956000</v>
      </c>
      <c r="AB34" s="63">
        <v>888000</v>
      </c>
      <c r="AC34" s="63">
        <v>771000</v>
      </c>
      <c r="AD34" s="63">
        <v>741000</v>
      </c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45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</row>
    <row r="35" spans="1:84" outlineLevel="1">
      <c r="A35" s="39"/>
      <c r="B35" s="43"/>
      <c r="C35" s="56" t="s">
        <v>173</v>
      </c>
      <c r="D35" s="57" t="str">
        <f t="shared" si="0"/>
        <v/>
      </c>
      <c r="E35" s="57" t="str">
        <f t="shared" si="1"/>
        <v/>
      </c>
      <c r="F35" s="57" t="str">
        <f t="shared" si="2"/>
        <v/>
      </c>
      <c r="G35" s="57" t="str">
        <f t="shared" si="3"/>
        <v/>
      </c>
      <c r="H35" s="57" t="str">
        <f t="shared" si="4"/>
        <v/>
      </c>
      <c r="I35" s="57" t="str">
        <f t="shared" si="5"/>
        <v/>
      </c>
      <c r="J35" s="57" t="str">
        <f t="shared" si="6"/>
        <v/>
      </c>
      <c r="K35" s="58" t="str">
        <f t="shared" si="7"/>
        <v/>
      </c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45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</row>
    <row r="36" spans="1:84" outlineLevel="2">
      <c r="A36" s="39"/>
      <c r="B36" s="43"/>
      <c r="C36" s="56" t="s">
        <v>174</v>
      </c>
      <c r="D36" s="57">
        <f t="shared" si="0"/>
        <v>97500</v>
      </c>
      <c r="E36" s="57">
        <f t="shared" si="1"/>
        <v>98333.333333333328</v>
      </c>
      <c r="F36" s="57">
        <f t="shared" si="2"/>
        <v>40000</v>
      </c>
      <c r="G36" s="57">
        <f t="shared" si="3"/>
        <v>179000</v>
      </c>
      <c r="H36" s="57">
        <f t="shared" si="4"/>
        <v>66250</v>
      </c>
      <c r="I36" s="57">
        <f t="shared" si="5"/>
        <v>115250</v>
      </c>
      <c r="J36" s="57">
        <f t="shared" si="6"/>
        <v>43292.521574082799</v>
      </c>
      <c r="K36" s="58">
        <f t="shared" si="7"/>
        <v>0.440262931261859</v>
      </c>
      <c r="M36" s="59">
        <v>179000</v>
      </c>
      <c r="N36" s="59">
        <v>163000</v>
      </c>
      <c r="O36" s="59">
        <v>125000</v>
      </c>
      <c r="P36" s="59">
        <v>80000</v>
      </c>
      <c r="Q36" s="59">
        <v>70000</v>
      </c>
      <c r="R36" s="59">
        <v>50000</v>
      </c>
      <c r="S36" s="59">
        <v>55000</v>
      </c>
      <c r="T36" s="59">
        <v>111000</v>
      </c>
      <c r="U36" s="59">
        <v>112000</v>
      </c>
      <c r="V36" s="59">
        <v>40000</v>
      </c>
      <c r="W36" s="59">
        <v>90000</v>
      </c>
      <c r="X36" s="59">
        <v>105000</v>
      </c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45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</row>
    <row r="37" spans="1:84" outlineLevel="2">
      <c r="A37" s="39"/>
      <c r="B37" s="43"/>
      <c r="C37" s="56" t="s">
        <v>175</v>
      </c>
      <c r="D37" s="57">
        <f t="shared" si="0"/>
        <v>107000</v>
      </c>
      <c r="E37" s="57">
        <f t="shared" si="1"/>
        <v>39100</v>
      </c>
      <c r="F37" s="57">
        <f t="shared" si="2"/>
        <v>-461000</v>
      </c>
      <c r="G37" s="57">
        <f t="shared" si="3"/>
        <v>267000</v>
      </c>
      <c r="H37" s="57">
        <f t="shared" si="4"/>
        <v>0</v>
      </c>
      <c r="I37" s="57">
        <f t="shared" si="5"/>
        <v>162000</v>
      </c>
      <c r="J37" s="57">
        <f t="shared" si="6"/>
        <v>220008.81295479456</v>
      </c>
      <c r="K37" s="58">
        <f t="shared" si="7"/>
        <v>5.626823860736434</v>
      </c>
      <c r="M37" s="59">
        <v>107000</v>
      </c>
      <c r="N37" s="59">
        <v>107000</v>
      </c>
      <c r="O37" s="59">
        <v>159000</v>
      </c>
      <c r="P37" s="59">
        <v>-461000</v>
      </c>
      <c r="Q37" s="59">
        <v>267000</v>
      </c>
      <c r="R37" s="59">
        <v>163000</v>
      </c>
      <c r="S37" s="59">
        <v>238000</v>
      </c>
      <c r="T37" s="59">
        <v>-189000</v>
      </c>
      <c r="U37" s="59">
        <v>0</v>
      </c>
      <c r="V37" s="59">
        <v>0</v>
      </c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45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</row>
    <row r="38" spans="1:84" outlineLevel="2">
      <c r="A38" s="39"/>
      <c r="B38" s="43"/>
      <c r="C38" s="56" t="s">
        <v>176</v>
      </c>
      <c r="D38" s="57">
        <f t="shared" si="0"/>
        <v>62000</v>
      </c>
      <c r="E38" s="57">
        <f t="shared" si="1"/>
        <v>-19500</v>
      </c>
      <c r="F38" s="57">
        <f t="shared" si="2"/>
        <v>-1351000</v>
      </c>
      <c r="G38" s="57">
        <f t="shared" si="3"/>
        <v>666000</v>
      </c>
      <c r="H38" s="57">
        <f t="shared" si="4"/>
        <v>16000</v>
      </c>
      <c r="I38" s="57">
        <f t="shared" si="5"/>
        <v>132500</v>
      </c>
      <c r="J38" s="57">
        <f t="shared" si="6"/>
        <v>422202.66251563851</v>
      </c>
      <c r="K38" s="58">
        <f t="shared" si="7"/>
        <v>-21.651418590545564</v>
      </c>
      <c r="M38" s="59">
        <v>-184000</v>
      </c>
      <c r="N38" s="59">
        <v>-246000</v>
      </c>
      <c r="O38" s="59">
        <v>-648000</v>
      </c>
      <c r="P38" s="59">
        <v>203000</v>
      </c>
      <c r="Q38" s="59">
        <v>666000</v>
      </c>
      <c r="R38" s="59">
        <v>-1351000</v>
      </c>
      <c r="S38" s="59">
        <v>66000</v>
      </c>
      <c r="T38" s="59">
        <v>358000</v>
      </c>
      <c r="U38" s="59">
        <v>141000</v>
      </c>
      <c r="V38" s="59">
        <v>148000</v>
      </c>
      <c r="W38" s="59">
        <v>107000</v>
      </c>
      <c r="X38" s="59">
        <v>93000</v>
      </c>
      <c r="Y38" s="59">
        <v>25000</v>
      </c>
      <c r="Z38" s="59">
        <v>13000</v>
      </c>
      <c r="AA38" s="59">
        <v>55000</v>
      </c>
      <c r="AB38" s="59">
        <v>58000</v>
      </c>
      <c r="AC38" s="59">
        <v>52000</v>
      </c>
      <c r="AD38" s="59">
        <v>93000</v>
      </c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45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</row>
    <row r="39" spans="1:84" outlineLevel="2">
      <c r="A39" s="39"/>
      <c r="B39" s="43"/>
      <c r="C39" s="56" t="s">
        <v>177</v>
      </c>
      <c r="D39" s="57">
        <f t="shared" si="0"/>
        <v>0</v>
      </c>
      <c r="E39" s="57">
        <f t="shared" si="1"/>
        <v>-11500</v>
      </c>
      <c r="F39" s="57">
        <f t="shared" si="2"/>
        <v>-67000</v>
      </c>
      <c r="G39" s="57">
        <f t="shared" si="3"/>
        <v>21000</v>
      </c>
      <c r="H39" s="57">
        <f t="shared" si="4"/>
        <v>-16750</v>
      </c>
      <c r="I39" s="57">
        <f t="shared" si="5"/>
        <v>5250</v>
      </c>
      <c r="J39" s="57">
        <f t="shared" si="6"/>
        <v>38301.436004411116</v>
      </c>
      <c r="K39" s="58">
        <f t="shared" si="7"/>
        <v>-3.3305596525574885</v>
      </c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>
        <v>0</v>
      </c>
      <c r="X39" s="59">
        <v>21000</v>
      </c>
      <c r="Y39" s="59">
        <v>-67000</v>
      </c>
      <c r="Z39" s="59">
        <v>0</v>
      </c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45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</row>
    <row r="40" spans="1:84" outlineLevel="2">
      <c r="A40" s="39"/>
      <c r="B40" s="43"/>
      <c r="C40" s="60" t="s">
        <v>178</v>
      </c>
      <c r="D40" s="61">
        <f t="shared" si="0"/>
        <v>75500</v>
      </c>
      <c r="E40" s="61">
        <f t="shared" si="1"/>
        <v>65222.222222222219</v>
      </c>
      <c r="F40" s="61">
        <f t="shared" si="2"/>
        <v>-1138000</v>
      </c>
      <c r="G40" s="61">
        <f t="shared" si="3"/>
        <v>1003000</v>
      </c>
      <c r="H40" s="61">
        <f t="shared" si="4"/>
        <v>15750</v>
      </c>
      <c r="I40" s="61">
        <f t="shared" si="5"/>
        <v>213500</v>
      </c>
      <c r="J40" s="61">
        <f t="shared" si="6"/>
        <v>406760.59667393542</v>
      </c>
      <c r="K40" s="62">
        <f t="shared" si="7"/>
        <v>6.2365338501966248</v>
      </c>
      <c r="L40" s="41"/>
      <c r="M40" s="63">
        <v>102000</v>
      </c>
      <c r="N40" s="63">
        <v>24000</v>
      </c>
      <c r="O40" s="63">
        <v>-364000</v>
      </c>
      <c r="P40" s="63">
        <v>-178000</v>
      </c>
      <c r="Q40" s="63">
        <v>1003000</v>
      </c>
      <c r="R40" s="63">
        <v>-1138000</v>
      </c>
      <c r="S40" s="63">
        <v>359000</v>
      </c>
      <c r="T40" s="63">
        <v>280000</v>
      </c>
      <c r="U40" s="63">
        <v>253000</v>
      </c>
      <c r="V40" s="63">
        <v>188000</v>
      </c>
      <c r="W40" s="63">
        <v>197000</v>
      </c>
      <c r="X40" s="63">
        <v>219000</v>
      </c>
      <c r="Y40" s="63">
        <v>-42000</v>
      </c>
      <c r="Z40" s="63">
        <v>13000</v>
      </c>
      <c r="AA40" s="63">
        <v>55000</v>
      </c>
      <c r="AB40" s="63">
        <v>58000</v>
      </c>
      <c r="AC40" s="63">
        <v>52000</v>
      </c>
      <c r="AD40" s="63">
        <v>93000</v>
      </c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45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</row>
    <row r="41" spans="1:84" outlineLevel="1">
      <c r="A41" s="39"/>
      <c r="B41" s="43"/>
      <c r="C41" s="56" t="s">
        <v>179</v>
      </c>
      <c r="D41" s="57" t="str">
        <f t="shared" si="0"/>
        <v/>
      </c>
      <c r="E41" s="57" t="str">
        <f t="shared" si="1"/>
        <v/>
      </c>
      <c r="F41" s="57" t="str">
        <f t="shared" si="2"/>
        <v/>
      </c>
      <c r="G41" s="57" t="str">
        <f t="shared" si="3"/>
        <v/>
      </c>
      <c r="H41" s="57" t="str">
        <f t="shared" si="4"/>
        <v/>
      </c>
      <c r="I41" s="57" t="str">
        <f t="shared" si="5"/>
        <v/>
      </c>
      <c r="J41" s="57" t="str">
        <f t="shared" si="6"/>
        <v/>
      </c>
      <c r="K41" s="58" t="str">
        <f t="shared" si="7"/>
        <v/>
      </c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45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</row>
    <row r="42" spans="1:84" outlineLevel="2">
      <c r="A42" s="39"/>
      <c r="B42" s="43"/>
      <c r="C42" s="56" t="s">
        <v>180</v>
      </c>
      <c r="D42" s="57">
        <f t="shared" si="0"/>
        <v>-379000</v>
      </c>
      <c r="E42" s="57">
        <f t="shared" si="1"/>
        <v>-663583.33333333337</v>
      </c>
      <c r="F42" s="57">
        <f t="shared" si="2"/>
        <v>-4007000</v>
      </c>
      <c r="G42" s="57">
        <f t="shared" si="3"/>
        <v>4000</v>
      </c>
      <c r="H42" s="57">
        <f t="shared" si="4"/>
        <v>-465750</v>
      </c>
      <c r="I42" s="57">
        <f t="shared" si="5"/>
        <v>-214250</v>
      </c>
      <c r="J42" s="57">
        <f t="shared" si="6"/>
        <v>1092544.8572720094</v>
      </c>
      <c r="K42" s="58">
        <f t="shared" si="7"/>
        <v>-1.6464320340655672</v>
      </c>
      <c r="M42" s="59">
        <v>-260000</v>
      </c>
      <c r="N42" s="59">
        <v>-352000</v>
      </c>
      <c r="O42" s="59">
        <v>-405000</v>
      </c>
      <c r="P42" s="59">
        <v>-522000</v>
      </c>
      <c r="Q42" s="59">
        <v>-77000</v>
      </c>
      <c r="R42" s="59">
        <v>-353000</v>
      </c>
      <c r="S42" s="59">
        <v>-406000</v>
      </c>
      <c r="T42" s="59">
        <v>-4007000</v>
      </c>
      <c r="U42" s="59">
        <v>-1111000</v>
      </c>
      <c r="V42" s="59">
        <v>-447000</v>
      </c>
      <c r="W42" s="59">
        <v>4000</v>
      </c>
      <c r="X42" s="59">
        <v>-27000</v>
      </c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45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</row>
    <row r="43" spans="1:84" outlineLevel="2">
      <c r="A43" s="39"/>
      <c r="B43" s="43"/>
      <c r="C43" s="56" t="s">
        <v>181</v>
      </c>
      <c r="D43" s="57">
        <f t="shared" si="0"/>
        <v>-60500</v>
      </c>
      <c r="E43" s="57">
        <f t="shared" si="1"/>
        <v>-53000</v>
      </c>
      <c r="F43" s="57">
        <f t="shared" si="2"/>
        <v>-157000</v>
      </c>
      <c r="G43" s="57">
        <f t="shared" si="3"/>
        <v>66000</v>
      </c>
      <c r="H43" s="57">
        <f t="shared" si="4"/>
        <v>-89500</v>
      </c>
      <c r="I43" s="57">
        <f t="shared" si="5"/>
        <v>-24000</v>
      </c>
      <c r="J43" s="57">
        <f t="shared" si="6"/>
        <v>91604.22115455888</v>
      </c>
      <c r="K43" s="58">
        <f t="shared" si="7"/>
        <v>-1.7283815312180921</v>
      </c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>
        <v>-54000</v>
      </c>
      <c r="Z43" s="59">
        <v>-157000</v>
      </c>
      <c r="AA43" s="59">
        <v>66000</v>
      </c>
      <c r="AB43" s="59">
        <v>-67000</v>
      </c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45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</row>
    <row r="44" spans="1:84" outlineLevel="2">
      <c r="A44" s="39"/>
      <c r="B44" s="43"/>
      <c r="C44" s="56" t="s">
        <v>182</v>
      </c>
      <c r="D44" s="57">
        <f t="shared" si="0"/>
        <v>148000</v>
      </c>
      <c r="E44" s="57">
        <f t="shared" si="1"/>
        <v>148000</v>
      </c>
      <c r="F44" s="57">
        <f t="shared" si="2"/>
        <v>148000</v>
      </c>
      <c r="G44" s="57">
        <f t="shared" si="3"/>
        <v>148000</v>
      </c>
      <c r="H44" s="57">
        <f t="shared" si="4"/>
        <v>148000</v>
      </c>
      <c r="I44" s="57">
        <f t="shared" si="5"/>
        <v>148000</v>
      </c>
      <c r="J44" s="57" t="str">
        <f t="shared" si="6"/>
        <v/>
      </c>
      <c r="K44" s="58" t="str">
        <f t="shared" si="7"/>
        <v/>
      </c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>
        <v>148000</v>
      </c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45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</row>
    <row r="45" spans="1:84" outlineLevel="2">
      <c r="A45" s="39"/>
      <c r="B45" s="43"/>
      <c r="C45" s="56" t="s">
        <v>183</v>
      </c>
      <c r="D45" s="57">
        <f t="shared" si="0"/>
        <v>37500</v>
      </c>
      <c r="E45" s="57">
        <f t="shared" si="1"/>
        <v>119375</v>
      </c>
      <c r="F45" s="57">
        <f t="shared" si="2"/>
        <v>7000</v>
      </c>
      <c r="G45" s="57">
        <f t="shared" si="3"/>
        <v>446000</v>
      </c>
      <c r="H45" s="57">
        <f t="shared" si="4"/>
        <v>15250</v>
      </c>
      <c r="I45" s="57">
        <f t="shared" si="5"/>
        <v>143000</v>
      </c>
      <c r="J45" s="57">
        <f t="shared" si="6"/>
        <v>165832.04713547637</v>
      </c>
      <c r="K45" s="58">
        <f t="shared" si="7"/>
        <v>1.3891689812395926</v>
      </c>
      <c r="M45" s="59"/>
      <c r="N45" s="59"/>
      <c r="O45" s="59"/>
      <c r="P45" s="59"/>
      <c r="Q45" s="59"/>
      <c r="R45" s="59"/>
      <c r="S45" s="59"/>
      <c r="T45" s="59"/>
      <c r="U45" s="59">
        <v>446000</v>
      </c>
      <c r="V45" s="59">
        <v>7000</v>
      </c>
      <c r="W45" s="59">
        <v>40000</v>
      </c>
      <c r="X45" s="59">
        <v>13000</v>
      </c>
      <c r="Y45" s="59">
        <v>311000</v>
      </c>
      <c r="Z45" s="59">
        <v>16000</v>
      </c>
      <c r="AA45" s="59">
        <v>87000</v>
      </c>
      <c r="AB45" s="59">
        <v>35000</v>
      </c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45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</row>
    <row r="46" spans="1:84" outlineLevel="2">
      <c r="A46" s="39"/>
      <c r="B46" s="43"/>
      <c r="C46" s="56" t="s">
        <v>184</v>
      </c>
      <c r="D46" s="57">
        <f t="shared" si="0"/>
        <v>0</v>
      </c>
      <c r="E46" s="57">
        <f t="shared" si="1"/>
        <v>8200</v>
      </c>
      <c r="F46" s="57">
        <f t="shared" si="2"/>
        <v>-54000</v>
      </c>
      <c r="G46" s="57">
        <f t="shared" si="3"/>
        <v>69000</v>
      </c>
      <c r="H46" s="57">
        <f t="shared" si="4"/>
        <v>0</v>
      </c>
      <c r="I46" s="57">
        <f t="shared" si="5"/>
        <v>26000</v>
      </c>
      <c r="J46" s="57">
        <f t="shared" si="6"/>
        <v>44768.292350725198</v>
      </c>
      <c r="K46" s="58">
        <f t="shared" si="7"/>
        <v>5.4595478476494144</v>
      </c>
      <c r="M46" s="59"/>
      <c r="N46" s="59"/>
      <c r="O46" s="59"/>
      <c r="P46" s="59"/>
      <c r="Q46" s="59"/>
      <c r="R46" s="59"/>
      <c r="S46" s="59"/>
      <c r="T46" s="59"/>
      <c r="U46" s="59">
        <v>69000</v>
      </c>
      <c r="V46" s="59">
        <v>-54000</v>
      </c>
      <c r="W46" s="59">
        <v>26000</v>
      </c>
      <c r="X46" s="59">
        <v>0</v>
      </c>
      <c r="Y46" s="59">
        <v>0</v>
      </c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45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</row>
    <row r="47" spans="1:84" outlineLevel="2">
      <c r="A47" s="39"/>
      <c r="B47" s="43"/>
      <c r="C47" s="56" t="s">
        <v>185</v>
      </c>
      <c r="D47" s="57">
        <f t="shared" si="0"/>
        <v>-86000</v>
      </c>
      <c r="E47" s="57">
        <f t="shared" si="1"/>
        <v>-94176.470588235301</v>
      </c>
      <c r="F47" s="57">
        <f t="shared" si="2"/>
        <v>-198000</v>
      </c>
      <c r="G47" s="57">
        <f t="shared" si="3"/>
        <v>-37000</v>
      </c>
      <c r="H47" s="57">
        <f t="shared" si="4"/>
        <v>-112000</v>
      </c>
      <c r="I47" s="57">
        <f t="shared" si="5"/>
        <v>-63000</v>
      </c>
      <c r="J47" s="57">
        <f t="shared" si="6"/>
        <v>49528.066909225374</v>
      </c>
      <c r="K47" s="58">
        <f t="shared" si="7"/>
        <v>-0.5259070190236298</v>
      </c>
      <c r="M47" s="59">
        <v>-181000</v>
      </c>
      <c r="N47" s="59">
        <v>-198000</v>
      </c>
      <c r="O47" s="59">
        <v>-161000</v>
      </c>
      <c r="P47" s="59">
        <v>-112000</v>
      </c>
      <c r="Q47" s="59">
        <v>-142000</v>
      </c>
      <c r="R47" s="59">
        <v>-93000</v>
      </c>
      <c r="S47" s="59">
        <v>-67000</v>
      </c>
      <c r="T47" s="59">
        <v>-96000</v>
      </c>
      <c r="U47" s="59">
        <v>-92000</v>
      </c>
      <c r="V47" s="59">
        <v>-86000</v>
      </c>
      <c r="W47" s="59">
        <v>-70000</v>
      </c>
      <c r="X47" s="59">
        <v>-37000</v>
      </c>
      <c r="Y47" s="59">
        <v>-63000</v>
      </c>
      <c r="Z47" s="59">
        <v>-67000</v>
      </c>
      <c r="AA47" s="59">
        <v>-39000</v>
      </c>
      <c r="AB47" s="59">
        <v>-37000</v>
      </c>
      <c r="AC47" s="59"/>
      <c r="AD47" s="59">
        <v>-60000</v>
      </c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45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</row>
    <row r="48" spans="1:84" outlineLevel="2">
      <c r="A48" s="39"/>
      <c r="B48" s="43"/>
      <c r="C48" s="60" t="s">
        <v>186</v>
      </c>
      <c r="D48" s="61">
        <f t="shared" si="0"/>
        <v>-90000</v>
      </c>
      <c r="E48" s="61">
        <f t="shared" si="1"/>
        <v>-305909.375</v>
      </c>
      <c r="F48" s="61">
        <f t="shared" si="2"/>
        <v>-4103000</v>
      </c>
      <c r="G48" s="61">
        <f t="shared" si="3"/>
        <v>194000</v>
      </c>
      <c r="H48" s="61">
        <f t="shared" si="4"/>
        <v>-442250</v>
      </c>
      <c r="I48" s="61">
        <f t="shared" si="5"/>
        <v>-34075</v>
      </c>
      <c r="J48" s="61">
        <f t="shared" si="6"/>
        <v>731634.28964219685</v>
      </c>
      <c r="K48" s="62">
        <f t="shared" si="7"/>
        <v>-2.3916700481709552</v>
      </c>
      <c r="L48" s="41"/>
      <c r="M48" s="63">
        <v>-441000</v>
      </c>
      <c r="N48" s="63">
        <v>-550000</v>
      </c>
      <c r="O48" s="63">
        <v>-566000</v>
      </c>
      <c r="P48" s="63">
        <v>-634000</v>
      </c>
      <c r="Q48" s="63">
        <v>-219000</v>
      </c>
      <c r="R48" s="63">
        <v>-446000</v>
      </c>
      <c r="S48" s="63">
        <v>-473000</v>
      </c>
      <c r="T48" s="63">
        <v>-4103000</v>
      </c>
      <c r="U48" s="63">
        <v>-688000</v>
      </c>
      <c r="V48" s="63">
        <v>-580000</v>
      </c>
      <c r="W48" s="63">
        <v>0</v>
      </c>
      <c r="X48" s="63">
        <v>-51000</v>
      </c>
      <c r="Y48" s="63">
        <v>194000</v>
      </c>
      <c r="Z48" s="63">
        <v>-208000</v>
      </c>
      <c r="AA48" s="63">
        <v>114000</v>
      </c>
      <c r="AB48" s="63">
        <v>-69000</v>
      </c>
      <c r="AC48" s="63">
        <v>-67000</v>
      </c>
      <c r="AD48" s="63">
        <v>88000</v>
      </c>
      <c r="AE48" s="63">
        <v>-47000</v>
      </c>
      <c r="AF48" s="63">
        <v>-213000</v>
      </c>
      <c r="AG48" s="63">
        <v>-199000</v>
      </c>
      <c r="AH48" s="63">
        <v>-110000</v>
      </c>
      <c r="AI48" s="63">
        <v>-90000</v>
      </c>
      <c r="AJ48" s="63">
        <v>-88000</v>
      </c>
      <c r="AK48" s="63">
        <v>-90000</v>
      </c>
      <c r="AL48" s="63">
        <v>-93000</v>
      </c>
      <c r="AM48" s="63">
        <v>-80000</v>
      </c>
      <c r="AN48" s="63">
        <v>-28000</v>
      </c>
      <c r="AO48" s="63">
        <v>-4000</v>
      </c>
      <c r="AP48" s="63">
        <v>7000</v>
      </c>
      <c r="AQ48" s="63">
        <v>-19000</v>
      </c>
      <c r="AR48" s="63">
        <v>-36100</v>
      </c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45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</row>
    <row r="49" spans="1:84" outlineLevel="1">
      <c r="A49" s="39"/>
      <c r="B49" s="43"/>
      <c r="C49" s="56" t="s">
        <v>187</v>
      </c>
      <c r="D49" s="57">
        <f t="shared" si="0"/>
        <v>206000</v>
      </c>
      <c r="E49" s="57">
        <f t="shared" si="1"/>
        <v>223375</v>
      </c>
      <c r="F49" s="57">
        <f t="shared" si="2"/>
        <v>-633000</v>
      </c>
      <c r="G49" s="57">
        <f t="shared" si="3"/>
        <v>578000</v>
      </c>
      <c r="H49" s="57">
        <f t="shared" si="4"/>
        <v>99750</v>
      </c>
      <c r="I49" s="57">
        <f t="shared" si="5"/>
        <v>419500</v>
      </c>
      <c r="J49" s="57">
        <f t="shared" si="6"/>
        <v>296534.39935359947</v>
      </c>
      <c r="K49" s="58">
        <f t="shared" si="7"/>
        <v>1.3275182959310552</v>
      </c>
      <c r="M49" s="59">
        <v>539000</v>
      </c>
      <c r="N49" s="59">
        <v>571000</v>
      </c>
      <c r="O49" s="59">
        <v>578000</v>
      </c>
      <c r="P49" s="59">
        <v>402000</v>
      </c>
      <c r="Q49" s="59">
        <v>387000</v>
      </c>
      <c r="R49" s="59">
        <v>109000</v>
      </c>
      <c r="S49" s="59">
        <v>72000</v>
      </c>
      <c r="T49" s="59">
        <v>213000</v>
      </c>
      <c r="U49" s="59">
        <v>-633000</v>
      </c>
      <c r="V49" s="59">
        <v>472000</v>
      </c>
      <c r="W49" s="59">
        <v>256000</v>
      </c>
      <c r="X49" s="59">
        <v>199000</v>
      </c>
      <c r="Y49" s="59">
        <v>192000</v>
      </c>
      <c r="Z49" s="59">
        <v>58000</v>
      </c>
      <c r="AA49" s="59">
        <v>155000</v>
      </c>
      <c r="AB49" s="59">
        <v>4000</v>
      </c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45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</row>
    <row r="50" spans="1:84" outlineLevel="1">
      <c r="A50" s="39"/>
      <c r="B50" s="43"/>
      <c r="C50" s="53" t="s">
        <v>188</v>
      </c>
      <c r="D50" s="61">
        <f t="shared" si="0"/>
        <v>11500</v>
      </c>
      <c r="E50" s="61">
        <f t="shared" si="1"/>
        <v>-413903.125</v>
      </c>
      <c r="F50" s="61">
        <f t="shared" si="2"/>
        <v>-3490000</v>
      </c>
      <c r="G50" s="61">
        <f t="shared" si="3"/>
        <v>3149000</v>
      </c>
      <c r="H50" s="61">
        <f t="shared" si="4"/>
        <v>-782750</v>
      </c>
      <c r="I50" s="61">
        <f t="shared" si="5"/>
        <v>90750</v>
      </c>
      <c r="J50" s="61">
        <f t="shared" si="6"/>
        <v>1123341.6840045496</v>
      </c>
      <c r="K50" s="62">
        <f t="shared" si="7"/>
        <v>-2.7140207844638757</v>
      </c>
      <c r="L50" s="64"/>
      <c r="M50" s="61">
        <v>-3490000</v>
      </c>
      <c r="N50" s="61">
        <v>-1090000</v>
      </c>
      <c r="O50" s="61">
        <v>-2544000</v>
      </c>
      <c r="P50" s="61">
        <v>273000</v>
      </c>
      <c r="Q50" s="61">
        <v>339000</v>
      </c>
      <c r="R50" s="61">
        <v>-2533000</v>
      </c>
      <c r="S50" s="61">
        <v>-1345000</v>
      </c>
      <c r="T50" s="61">
        <v>3149000</v>
      </c>
      <c r="U50" s="61">
        <v>-1169000</v>
      </c>
      <c r="V50" s="61">
        <v>224000</v>
      </c>
      <c r="W50" s="61">
        <v>-672000</v>
      </c>
      <c r="X50" s="61">
        <v>-712000</v>
      </c>
      <c r="Y50" s="61">
        <v>-1087000</v>
      </c>
      <c r="Z50" s="61">
        <v>-673000</v>
      </c>
      <c r="AA50" s="61">
        <v>-860000</v>
      </c>
      <c r="AB50" s="61">
        <v>-757000</v>
      </c>
      <c r="AC50" s="61">
        <v>-652000</v>
      </c>
      <c r="AD50" s="61">
        <v>-736000</v>
      </c>
      <c r="AE50" s="61">
        <v>47000</v>
      </c>
      <c r="AF50" s="61">
        <v>213000</v>
      </c>
      <c r="AG50" s="61">
        <v>199000</v>
      </c>
      <c r="AH50" s="61">
        <v>110000</v>
      </c>
      <c r="AI50" s="61">
        <v>90000</v>
      </c>
      <c r="AJ50" s="61">
        <v>88000</v>
      </c>
      <c r="AK50" s="61">
        <v>90000</v>
      </c>
      <c r="AL50" s="61">
        <v>93000</v>
      </c>
      <c r="AM50" s="61">
        <v>80000</v>
      </c>
      <c r="AN50" s="61">
        <v>28000</v>
      </c>
      <c r="AO50" s="61">
        <v>4000</v>
      </c>
      <c r="AP50" s="61">
        <v>-7000</v>
      </c>
      <c r="AQ50" s="61">
        <v>19000</v>
      </c>
      <c r="AR50" s="61">
        <v>36100</v>
      </c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45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</row>
    <row r="51" spans="1:84">
      <c r="A51" s="39"/>
      <c r="B51" s="43"/>
      <c r="C51" s="53" t="s">
        <v>189</v>
      </c>
      <c r="D51" s="54">
        <f t="shared" si="0"/>
        <v>2251000</v>
      </c>
      <c r="E51" s="54">
        <f t="shared" si="1"/>
        <v>2648218.75</v>
      </c>
      <c r="F51" s="54">
        <f t="shared" si="2"/>
        <v>826000</v>
      </c>
      <c r="G51" s="54">
        <f t="shared" si="3"/>
        <v>7352000</v>
      </c>
      <c r="H51" s="54">
        <f t="shared" si="4"/>
        <v>1130000</v>
      </c>
      <c r="I51" s="54">
        <f t="shared" si="5"/>
        <v>3833000</v>
      </c>
      <c r="J51" s="54">
        <f t="shared" si="6"/>
        <v>1854178.7458528858</v>
      </c>
      <c r="K51" s="55">
        <f t="shared" si="7"/>
        <v>0.70016071967351101</v>
      </c>
      <c r="L51" s="48"/>
      <c r="M51" s="54">
        <v>4530000</v>
      </c>
      <c r="N51" s="54">
        <v>6037000</v>
      </c>
      <c r="O51" s="54">
        <v>7288000</v>
      </c>
      <c r="P51" s="54">
        <v>3832000</v>
      </c>
      <c r="Q51" s="54">
        <v>3175000</v>
      </c>
      <c r="R51" s="54">
        <v>2413000</v>
      </c>
      <c r="S51" s="54">
        <v>3836000</v>
      </c>
      <c r="T51" s="54">
        <v>7352000</v>
      </c>
      <c r="U51" s="54">
        <v>4663000</v>
      </c>
      <c r="V51" s="54">
        <v>4378000</v>
      </c>
      <c r="W51" s="54">
        <v>3990000</v>
      </c>
      <c r="X51" s="54">
        <v>3645000</v>
      </c>
      <c r="Y51" s="54">
        <v>2454000</v>
      </c>
      <c r="Z51" s="54">
        <v>2603000</v>
      </c>
      <c r="AA51" s="54">
        <v>2452000</v>
      </c>
      <c r="AB51" s="54">
        <v>2489000</v>
      </c>
      <c r="AC51" s="54">
        <v>1942000</v>
      </c>
      <c r="AD51" s="54">
        <v>2089000</v>
      </c>
      <c r="AE51" s="54">
        <v>1680000</v>
      </c>
      <c r="AF51" s="54">
        <v>1678000</v>
      </c>
      <c r="AG51" s="54">
        <v>1183000</v>
      </c>
      <c r="AH51" s="54">
        <v>1168000</v>
      </c>
      <c r="AI51" s="54">
        <v>1261000</v>
      </c>
      <c r="AJ51" s="54">
        <v>939000</v>
      </c>
      <c r="AK51" s="54">
        <v>1160000</v>
      </c>
      <c r="AL51" s="54">
        <v>1040000</v>
      </c>
      <c r="AM51" s="54">
        <v>1020000</v>
      </c>
      <c r="AN51" s="54">
        <v>943000</v>
      </c>
      <c r="AO51" s="54">
        <v>922000</v>
      </c>
      <c r="AP51" s="54">
        <v>873000</v>
      </c>
      <c r="AQ51" s="54">
        <v>882000</v>
      </c>
      <c r="AR51" s="54">
        <v>826000</v>
      </c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45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</row>
    <row r="52" spans="1:84">
      <c r="A52" s="39"/>
      <c r="B52" s="43"/>
      <c r="C52" s="53" t="s">
        <v>190</v>
      </c>
      <c r="D52" s="54">
        <f t="shared" si="0"/>
        <v>358000</v>
      </c>
      <c r="E52" s="54">
        <f t="shared" si="1"/>
        <v>451790.625</v>
      </c>
      <c r="F52" s="54">
        <f t="shared" si="2"/>
        <v>-802000</v>
      </c>
      <c r="G52" s="54">
        <f t="shared" si="3"/>
        <v>1576000</v>
      </c>
      <c r="H52" s="54">
        <f t="shared" si="4"/>
        <v>301500</v>
      </c>
      <c r="I52" s="54">
        <f t="shared" si="5"/>
        <v>545500</v>
      </c>
      <c r="J52" s="54">
        <f t="shared" si="6"/>
        <v>476351.27615696692</v>
      </c>
      <c r="K52" s="55">
        <f t="shared" si="7"/>
        <v>1.0543629057308723</v>
      </c>
      <c r="L52" s="48"/>
      <c r="M52" s="54">
        <v>-802000</v>
      </c>
      <c r="N52" s="54">
        <v>339000</v>
      </c>
      <c r="O52" s="54">
        <v>1006000</v>
      </c>
      <c r="P52" s="54">
        <v>586000</v>
      </c>
      <c r="Q52" s="54">
        <v>348000</v>
      </c>
      <c r="R52" s="54">
        <v>44000</v>
      </c>
      <c r="S52" s="54">
        <v>448000</v>
      </c>
      <c r="T52" s="54">
        <v>1576000</v>
      </c>
      <c r="U52" s="54">
        <v>-660000</v>
      </c>
      <c r="V52" s="54">
        <v>1379000</v>
      </c>
      <c r="W52" s="54">
        <v>1228000</v>
      </c>
      <c r="X52" s="54">
        <v>1176000</v>
      </c>
      <c r="Y52" s="54">
        <v>777000</v>
      </c>
      <c r="Z52" s="54">
        <v>692000</v>
      </c>
      <c r="AA52" s="54">
        <v>529000</v>
      </c>
      <c r="AB52" s="54">
        <v>532000</v>
      </c>
      <c r="AC52" s="54">
        <v>327000</v>
      </c>
      <c r="AD52" s="54">
        <v>450000</v>
      </c>
      <c r="AE52" s="54">
        <v>368000</v>
      </c>
      <c r="AF52" s="54">
        <v>397000</v>
      </c>
      <c r="AG52" s="54">
        <v>282000</v>
      </c>
      <c r="AH52" s="54">
        <v>272000</v>
      </c>
      <c r="AI52" s="54">
        <v>368000</v>
      </c>
      <c r="AJ52" s="54">
        <v>244000</v>
      </c>
      <c r="AK52" s="54">
        <v>379000</v>
      </c>
      <c r="AL52" s="54">
        <v>336000</v>
      </c>
      <c r="AM52" s="54">
        <v>323000</v>
      </c>
      <c r="AN52" s="54">
        <v>279000</v>
      </c>
      <c r="AO52" s="54">
        <v>304000</v>
      </c>
      <c r="AP52" s="54">
        <v>294000</v>
      </c>
      <c r="AQ52" s="54">
        <v>329000</v>
      </c>
      <c r="AR52" s="54">
        <v>307300</v>
      </c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45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</row>
    <row r="53" spans="1:84">
      <c r="A53" s="39"/>
      <c r="B53" s="43"/>
      <c r="C53" s="53" t="s">
        <v>191</v>
      </c>
      <c r="D53" s="54">
        <f t="shared" si="0"/>
        <v>781000</v>
      </c>
      <c r="E53" s="54">
        <f t="shared" si="1"/>
        <v>1588844.6808510639</v>
      </c>
      <c r="F53" s="54">
        <f t="shared" si="2"/>
        <v>-391000</v>
      </c>
      <c r="G53" s="54">
        <f t="shared" si="3"/>
        <v>6282000</v>
      </c>
      <c r="H53" s="54">
        <f t="shared" si="4"/>
        <v>419550</v>
      </c>
      <c r="I53" s="54">
        <f t="shared" si="5"/>
        <v>2163000</v>
      </c>
      <c r="J53" s="54">
        <f t="shared" si="6"/>
        <v>1697233.7807262978</v>
      </c>
      <c r="K53" s="55">
        <f t="shared" si="7"/>
        <v>1.0682188140738686</v>
      </c>
      <c r="L53" s="48"/>
      <c r="M53" s="54">
        <v>5332000</v>
      </c>
      <c r="N53" s="54">
        <v>5698000</v>
      </c>
      <c r="O53" s="54">
        <v>6282000</v>
      </c>
      <c r="P53" s="54">
        <v>3246000</v>
      </c>
      <c r="Q53" s="54">
        <v>2827000</v>
      </c>
      <c r="R53" s="54">
        <v>2369000</v>
      </c>
      <c r="S53" s="54">
        <v>3388000</v>
      </c>
      <c r="T53" s="54">
        <v>5776000</v>
      </c>
      <c r="U53" s="54">
        <v>5323000</v>
      </c>
      <c r="V53" s="54">
        <v>2999000</v>
      </c>
      <c r="W53" s="54">
        <v>2762000</v>
      </c>
      <c r="X53" s="54">
        <v>2469000</v>
      </c>
      <c r="Y53" s="54">
        <v>1677000</v>
      </c>
      <c r="Z53" s="54">
        <v>1911000</v>
      </c>
      <c r="AA53" s="54">
        <v>1923000</v>
      </c>
      <c r="AB53" s="54">
        <v>1957000</v>
      </c>
      <c r="AC53" s="54">
        <v>1615000</v>
      </c>
      <c r="AD53" s="54">
        <v>1639000</v>
      </c>
      <c r="AE53" s="54">
        <v>1312000</v>
      </c>
      <c r="AF53" s="54">
        <v>1281000</v>
      </c>
      <c r="AG53" s="54">
        <v>901000</v>
      </c>
      <c r="AH53" s="54">
        <v>896000</v>
      </c>
      <c r="AI53" s="54">
        <v>893000</v>
      </c>
      <c r="AJ53" s="54">
        <v>695000</v>
      </c>
      <c r="AK53" s="54">
        <v>781000</v>
      </c>
      <c r="AL53" s="54">
        <v>704000</v>
      </c>
      <c r="AM53" s="54">
        <v>697000</v>
      </c>
      <c r="AN53" s="54">
        <v>664000</v>
      </c>
      <c r="AO53" s="54">
        <v>618000</v>
      </c>
      <c r="AP53" s="54">
        <v>579000</v>
      </c>
      <c r="AQ53" s="54">
        <v>553000</v>
      </c>
      <c r="AR53" s="54">
        <v>518700</v>
      </c>
      <c r="AS53" s="54">
        <v>428700</v>
      </c>
      <c r="AT53" s="54">
        <v>466900</v>
      </c>
      <c r="AU53" s="54">
        <v>376100</v>
      </c>
      <c r="AV53" s="54">
        <v>-391000</v>
      </c>
      <c r="AW53" s="54">
        <v>410400</v>
      </c>
      <c r="AX53" s="54">
        <v>447800</v>
      </c>
      <c r="AY53" s="54">
        <v>402900</v>
      </c>
      <c r="AZ53" s="54">
        <v>365400</v>
      </c>
      <c r="BA53" s="54">
        <v>372300</v>
      </c>
      <c r="BB53" s="54">
        <v>302700</v>
      </c>
      <c r="BC53" s="54">
        <v>314000</v>
      </c>
      <c r="BD53" s="54">
        <v>266700</v>
      </c>
      <c r="BE53" s="54">
        <v>224100</v>
      </c>
      <c r="BF53" s="54">
        <v>198300</v>
      </c>
      <c r="BG53" s="54">
        <v>204700</v>
      </c>
      <c r="BH53" s="45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</row>
    <row r="54" spans="1:84">
      <c r="A54" s="39"/>
      <c r="B54" s="43"/>
      <c r="C54" s="53" t="s">
        <v>192</v>
      </c>
      <c r="D54" s="54">
        <f t="shared" si="0"/>
        <v>0</v>
      </c>
      <c r="E54" s="54">
        <f t="shared" si="1"/>
        <v>23850</v>
      </c>
      <c r="F54" s="54">
        <f t="shared" si="2"/>
        <v>-135600</v>
      </c>
      <c r="G54" s="54">
        <f t="shared" si="3"/>
        <v>231000</v>
      </c>
      <c r="H54" s="54">
        <f t="shared" si="4"/>
        <v>-33900</v>
      </c>
      <c r="I54" s="54">
        <f t="shared" si="5"/>
        <v>57750</v>
      </c>
      <c r="J54" s="54">
        <f t="shared" si="6"/>
        <v>152176.5093567335</v>
      </c>
      <c r="K54" s="55">
        <f t="shared" si="7"/>
        <v>6.3805664300517186</v>
      </c>
      <c r="L54" s="48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>
        <v>231000</v>
      </c>
      <c r="Z54" s="54">
        <v>0</v>
      </c>
      <c r="AA54" s="54">
        <v>0</v>
      </c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>
        <v>-135600</v>
      </c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45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</row>
    <row r="55" spans="1:84">
      <c r="A55" s="39"/>
      <c r="B55" s="43"/>
      <c r="C55" s="53" t="s">
        <v>193</v>
      </c>
      <c r="D55" s="54">
        <f t="shared" si="0"/>
        <v>-112500</v>
      </c>
      <c r="E55" s="54">
        <f t="shared" si="1"/>
        <v>-112500</v>
      </c>
      <c r="F55" s="54">
        <f t="shared" si="2"/>
        <v>-222000</v>
      </c>
      <c r="G55" s="54">
        <f t="shared" si="3"/>
        <v>-3000</v>
      </c>
      <c r="H55" s="54">
        <f t="shared" si="4"/>
        <v>-167250</v>
      </c>
      <c r="I55" s="54">
        <f t="shared" si="5"/>
        <v>-57750</v>
      </c>
      <c r="J55" s="54">
        <f t="shared" si="6"/>
        <v>154856.38507985391</v>
      </c>
      <c r="K55" s="55">
        <f t="shared" si="7"/>
        <v>-1.3765012007098125</v>
      </c>
      <c r="L55" s="48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>
        <v>-3000</v>
      </c>
      <c r="AJ55" s="54">
        <v>-222000</v>
      </c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45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</row>
    <row r="56" spans="1:84">
      <c r="A56" s="39"/>
      <c r="B56" s="43"/>
      <c r="C56" s="53" t="s">
        <v>194</v>
      </c>
      <c r="D56" s="54">
        <f t="shared" si="0"/>
        <v>2913000</v>
      </c>
      <c r="E56" s="54">
        <f t="shared" si="1"/>
        <v>3510625</v>
      </c>
      <c r="F56" s="54">
        <f t="shared" si="2"/>
        <v>1908000</v>
      </c>
      <c r="G56" s="54">
        <f t="shared" si="3"/>
        <v>6282000</v>
      </c>
      <c r="H56" s="54">
        <f t="shared" si="4"/>
        <v>2266000</v>
      </c>
      <c r="I56" s="54">
        <f t="shared" si="5"/>
        <v>5325250</v>
      </c>
      <c r="J56" s="54">
        <f t="shared" si="6"/>
        <v>1592138.389085572</v>
      </c>
      <c r="K56" s="55">
        <f t="shared" si="7"/>
        <v>0.45351992567863897</v>
      </c>
      <c r="L56" s="48"/>
      <c r="M56" s="54">
        <v>5332000</v>
      </c>
      <c r="N56" s="54">
        <v>5698000</v>
      </c>
      <c r="O56" s="54">
        <v>6282000</v>
      </c>
      <c r="P56" s="54">
        <v>3246000</v>
      </c>
      <c r="Q56" s="54">
        <v>2827000</v>
      </c>
      <c r="R56" s="54">
        <v>2369000</v>
      </c>
      <c r="S56" s="54">
        <v>3388000</v>
      </c>
      <c r="T56" s="54">
        <v>5776000</v>
      </c>
      <c r="U56" s="54">
        <v>5323000</v>
      </c>
      <c r="V56" s="54">
        <v>2999000</v>
      </c>
      <c r="W56" s="54">
        <v>2762000</v>
      </c>
      <c r="X56" s="54">
        <v>2469000</v>
      </c>
      <c r="Y56" s="54">
        <v>1908000</v>
      </c>
      <c r="Z56" s="54">
        <v>1911000</v>
      </c>
      <c r="AA56" s="54">
        <v>1923000</v>
      </c>
      <c r="AB56" s="54">
        <v>1957000</v>
      </c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45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</row>
    <row r="57" spans="1:84">
      <c r="A57" s="39"/>
      <c r="B57" s="43"/>
      <c r="C57" s="53" t="s">
        <v>195</v>
      </c>
      <c r="D57" s="54">
        <f t="shared" si="0"/>
        <v>4000</v>
      </c>
      <c r="E57" s="54">
        <f t="shared" si="1"/>
        <v>-302973.91304347827</v>
      </c>
      <c r="F57" s="54">
        <f t="shared" si="2"/>
        <v>-1503000</v>
      </c>
      <c r="G57" s="54">
        <f t="shared" si="3"/>
        <v>93000</v>
      </c>
      <c r="H57" s="54">
        <f t="shared" si="4"/>
        <v>-648000</v>
      </c>
      <c r="I57" s="54">
        <f t="shared" si="5"/>
        <v>15000</v>
      </c>
      <c r="J57" s="54">
        <f t="shared" si="6"/>
        <v>492607.5675953161</v>
      </c>
      <c r="K57" s="55">
        <f t="shared" si="7"/>
        <v>-1.6259075332489912</v>
      </c>
      <c r="L57" s="48"/>
      <c r="M57" s="54">
        <v>-1503000</v>
      </c>
      <c r="N57" s="54">
        <v>-1248000</v>
      </c>
      <c r="O57" s="54">
        <v>-1028000</v>
      </c>
      <c r="P57" s="54">
        <v>-901000</v>
      </c>
      <c r="Q57" s="54">
        <v>-746000</v>
      </c>
      <c r="R57" s="54">
        <v>-550000</v>
      </c>
      <c r="S57" s="54">
        <v>-381000</v>
      </c>
      <c r="T57" s="54">
        <v>-862000</v>
      </c>
      <c r="U57" s="54">
        <v>-57000</v>
      </c>
      <c r="V57" s="54">
        <v>93000</v>
      </c>
      <c r="W57" s="54">
        <v>10000</v>
      </c>
      <c r="X57" s="54">
        <v>4000</v>
      </c>
      <c r="Y57" s="54">
        <v>0</v>
      </c>
      <c r="Z57" s="54">
        <v>0</v>
      </c>
      <c r="AA57" s="54"/>
      <c r="AB57" s="54"/>
      <c r="AC57" s="54"/>
      <c r="AD57" s="54"/>
      <c r="AE57" s="54"/>
      <c r="AF57" s="54"/>
      <c r="AG57" s="54"/>
      <c r="AH57" s="54"/>
      <c r="AI57" s="54"/>
      <c r="AJ57" s="54">
        <v>15000</v>
      </c>
      <c r="AK57" s="54">
        <v>15000</v>
      </c>
      <c r="AL57" s="54">
        <v>15000</v>
      </c>
      <c r="AM57" s="54">
        <v>15000</v>
      </c>
      <c r="AN57" s="54">
        <v>15000</v>
      </c>
      <c r="AO57" s="54">
        <v>19000</v>
      </c>
      <c r="AP57" s="54">
        <v>24000</v>
      </c>
      <c r="AQ57" s="54">
        <v>43000</v>
      </c>
      <c r="AR57" s="54">
        <v>39600</v>
      </c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45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</row>
    <row r="58" spans="1:84">
      <c r="A58" s="39"/>
      <c r="B58" s="43"/>
      <c r="C58" s="53" t="s">
        <v>196</v>
      </c>
      <c r="D58" s="54">
        <f t="shared" si="0"/>
        <v>781000</v>
      </c>
      <c r="E58" s="54">
        <f t="shared" si="1"/>
        <v>1738619.1489361702</v>
      </c>
      <c r="F58" s="54">
        <f t="shared" si="2"/>
        <v>-391000</v>
      </c>
      <c r="G58" s="54">
        <f t="shared" si="3"/>
        <v>7310000</v>
      </c>
      <c r="H58" s="54">
        <f t="shared" si="4"/>
        <v>419550</v>
      </c>
      <c r="I58" s="54">
        <f t="shared" si="5"/>
        <v>2211000</v>
      </c>
      <c r="J58" s="54">
        <f t="shared" si="6"/>
        <v>2007383.8828985849</v>
      </c>
      <c r="K58" s="55">
        <f t="shared" si="7"/>
        <v>1.1545851684233819</v>
      </c>
      <c r="L58" s="48"/>
      <c r="M58" s="54">
        <v>6835000</v>
      </c>
      <c r="N58" s="54">
        <v>6946000</v>
      </c>
      <c r="O58" s="54">
        <v>7310000</v>
      </c>
      <c r="P58" s="54">
        <v>4147000</v>
      </c>
      <c r="Q58" s="54">
        <v>3573000</v>
      </c>
      <c r="R58" s="54">
        <v>2919000</v>
      </c>
      <c r="S58" s="54">
        <v>3769000</v>
      </c>
      <c r="T58" s="54">
        <v>6638000</v>
      </c>
      <c r="U58" s="54">
        <v>5380000</v>
      </c>
      <c r="V58" s="54">
        <v>2906000</v>
      </c>
      <c r="W58" s="54">
        <v>2752000</v>
      </c>
      <c r="X58" s="54">
        <v>2465000</v>
      </c>
      <c r="Y58" s="54">
        <v>1908000</v>
      </c>
      <c r="Z58" s="54">
        <v>1911000</v>
      </c>
      <c r="AA58" s="54">
        <v>1923000</v>
      </c>
      <c r="AB58" s="54">
        <v>1957000</v>
      </c>
      <c r="AC58" s="54">
        <v>1615000</v>
      </c>
      <c r="AD58" s="54">
        <v>1639000</v>
      </c>
      <c r="AE58" s="54">
        <v>1312000</v>
      </c>
      <c r="AF58" s="54">
        <v>1281000</v>
      </c>
      <c r="AG58" s="54">
        <v>901000</v>
      </c>
      <c r="AH58" s="54">
        <v>896000</v>
      </c>
      <c r="AI58" s="54">
        <v>890000</v>
      </c>
      <c r="AJ58" s="54">
        <v>473000</v>
      </c>
      <c r="AK58" s="54">
        <v>781000</v>
      </c>
      <c r="AL58" s="54">
        <v>704000</v>
      </c>
      <c r="AM58" s="54">
        <v>697000</v>
      </c>
      <c r="AN58" s="54">
        <v>664000</v>
      </c>
      <c r="AO58" s="54">
        <v>618000</v>
      </c>
      <c r="AP58" s="54">
        <v>579000</v>
      </c>
      <c r="AQ58" s="54">
        <v>553000</v>
      </c>
      <c r="AR58" s="54">
        <v>518700</v>
      </c>
      <c r="AS58" s="54">
        <v>428700</v>
      </c>
      <c r="AT58" s="54">
        <v>466900</v>
      </c>
      <c r="AU58" s="54">
        <v>240500</v>
      </c>
      <c r="AV58" s="54">
        <v>-391000</v>
      </c>
      <c r="AW58" s="54">
        <v>410400</v>
      </c>
      <c r="AX58" s="54">
        <v>447800</v>
      </c>
      <c r="AY58" s="54">
        <v>402900</v>
      </c>
      <c r="AZ58" s="54">
        <v>365400</v>
      </c>
      <c r="BA58" s="54">
        <v>372300</v>
      </c>
      <c r="BB58" s="54">
        <v>302700</v>
      </c>
      <c r="BC58" s="54">
        <v>314000</v>
      </c>
      <c r="BD58" s="54">
        <v>266700</v>
      </c>
      <c r="BE58" s="54">
        <v>224100</v>
      </c>
      <c r="BF58" s="54">
        <v>198300</v>
      </c>
      <c r="BG58" s="54">
        <v>204700</v>
      </c>
      <c r="BH58" s="45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</row>
    <row r="59" spans="1:84">
      <c r="A59" s="39"/>
      <c r="B59" s="43"/>
      <c r="C59" s="53" t="s">
        <v>197</v>
      </c>
      <c r="D59" s="54">
        <f t="shared" si="0"/>
        <v>-43700</v>
      </c>
      <c r="E59" s="54">
        <f t="shared" si="1"/>
        <v>-41725</v>
      </c>
      <c r="F59" s="54">
        <f t="shared" si="2"/>
        <v>-48300</v>
      </c>
      <c r="G59" s="54">
        <f t="shared" si="3"/>
        <v>-33700</v>
      </c>
      <c r="H59" s="54">
        <f t="shared" si="4"/>
        <v>-45200</v>
      </c>
      <c r="I59" s="54">
        <f t="shared" si="5"/>
        <v>-37025</v>
      </c>
      <c r="J59" s="54">
        <f t="shared" si="6"/>
        <v>4881.7144901803058</v>
      </c>
      <c r="K59" s="55">
        <f t="shared" si="7"/>
        <v>-0.11699735147226617</v>
      </c>
      <c r="L59" s="48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>
        <v>-45100</v>
      </c>
      <c r="AT59" s="54">
        <v>-43900</v>
      </c>
      <c r="AU59" s="54">
        <v>-41300</v>
      </c>
      <c r="AV59" s="54">
        <v>-43600</v>
      </c>
      <c r="AW59" s="54">
        <v>-43800</v>
      </c>
      <c r="AX59" s="54">
        <v>-45500</v>
      </c>
      <c r="AY59" s="54">
        <v>-48300</v>
      </c>
      <c r="AZ59" s="54"/>
      <c r="BA59" s="54"/>
      <c r="BB59" s="54"/>
      <c r="BC59" s="54">
        <v>-46700</v>
      </c>
      <c r="BD59" s="54">
        <v>-37400</v>
      </c>
      <c r="BE59" s="54">
        <v>-35500</v>
      </c>
      <c r="BF59" s="54">
        <v>-35900</v>
      </c>
      <c r="BG59" s="54">
        <v>-33700</v>
      </c>
      <c r="BH59" s="45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</row>
    <row r="60" spans="1:84">
      <c r="A60" s="39"/>
      <c r="B60" s="43"/>
      <c r="C60" s="53" t="s">
        <v>198</v>
      </c>
      <c r="D60" s="54">
        <f t="shared" si="0"/>
        <v>781000</v>
      </c>
      <c r="E60" s="54">
        <f t="shared" si="1"/>
        <v>1727965.9574468085</v>
      </c>
      <c r="F60" s="54">
        <f t="shared" si="2"/>
        <v>-434600</v>
      </c>
      <c r="G60" s="54">
        <f t="shared" si="3"/>
        <v>7310000</v>
      </c>
      <c r="H60" s="54">
        <f t="shared" si="4"/>
        <v>377950</v>
      </c>
      <c r="I60" s="54">
        <f t="shared" si="5"/>
        <v>2211000</v>
      </c>
      <c r="J60" s="54">
        <f t="shared" si="6"/>
        <v>2015395.8465723624</v>
      </c>
      <c r="K60" s="55">
        <f t="shared" si="7"/>
        <v>1.1663400183822208</v>
      </c>
      <c r="L60" s="48"/>
      <c r="M60" s="54">
        <v>6835000</v>
      </c>
      <c r="N60" s="54">
        <v>6946000</v>
      </c>
      <c r="O60" s="54">
        <v>7310000</v>
      </c>
      <c r="P60" s="54">
        <v>4147000</v>
      </c>
      <c r="Q60" s="54">
        <v>3573000</v>
      </c>
      <c r="R60" s="54">
        <v>2919000</v>
      </c>
      <c r="S60" s="54">
        <v>3769000</v>
      </c>
      <c r="T60" s="54">
        <v>6638000</v>
      </c>
      <c r="U60" s="54">
        <v>5380000</v>
      </c>
      <c r="V60" s="54">
        <v>2906000</v>
      </c>
      <c r="W60" s="54">
        <v>2752000</v>
      </c>
      <c r="X60" s="54">
        <v>2465000</v>
      </c>
      <c r="Y60" s="54">
        <v>1908000</v>
      </c>
      <c r="Z60" s="54">
        <v>1911000</v>
      </c>
      <c r="AA60" s="54">
        <v>1923000</v>
      </c>
      <c r="AB60" s="54">
        <v>1957000</v>
      </c>
      <c r="AC60" s="54">
        <v>1615000</v>
      </c>
      <c r="AD60" s="54">
        <v>1639000</v>
      </c>
      <c r="AE60" s="54">
        <v>1312000</v>
      </c>
      <c r="AF60" s="54">
        <v>1281000</v>
      </c>
      <c r="AG60" s="54">
        <v>901000</v>
      </c>
      <c r="AH60" s="54">
        <v>896000</v>
      </c>
      <c r="AI60" s="54">
        <v>890000</v>
      </c>
      <c r="AJ60" s="54">
        <v>473000</v>
      </c>
      <c r="AK60" s="54">
        <v>781000</v>
      </c>
      <c r="AL60" s="54">
        <v>704000</v>
      </c>
      <c r="AM60" s="54">
        <v>697000</v>
      </c>
      <c r="AN60" s="54">
        <v>664000</v>
      </c>
      <c r="AO60" s="54">
        <v>618000</v>
      </c>
      <c r="AP60" s="54">
        <v>579000</v>
      </c>
      <c r="AQ60" s="54">
        <v>553000</v>
      </c>
      <c r="AR60" s="54">
        <v>518700</v>
      </c>
      <c r="AS60" s="54">
        <v>383600</v>
      </c>
      <c r="AT60" s="54">
        <v>423000</v>
      </c>
      <c r="AU60" s="54">
        <v>199200</v>
      </c>
      <c r="AV60" s="54">
        <v>-434600</v>
      </c>
      <c r="AW60" s="54">
        <v>366600</v>
      </c>
      <c r="AX60" s="54">
        <v>402300</v>
      </c>
      <c r="AY60" s="54">
        <v>354600</v>
      </c>
      <c r="AZ60" s="54">
        <v>365400</v>
      </c>
      <c r="BA60" s="54">
        <v>372300</v>
      </c>
      <c r="BB60" s="54">
        <v>302700</v>
      </c>
      <c r="BC60" s="54">
        <v>267300</v>
      </c>
      <c r="BD60" s="54">
        <v>229300</v>
      </c>
      <c r="BE60" s="54">
        <v>188600</v>
      </c>
      <c r="BF60" s="54">
        <v>162400</v>
      </c>
      <c r="BG60" s="54">
        <v>171000</v>
      </c>
      <c r="BH60" s="45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</row>
    <row r="61" spans="1:84">
      <c r="A61" s="39"/>
      <c r="B61" s="43"/>
      <c r="C61" s="53" t="s">
        <v>199</v>
      </c>
      <c r="D61" s="54">
        <f t="shared" si="0"/>
        <v>0</v>
      </c>
      <c r="E61" s="54">
        <f t="shared" si="1"/>
        <v>-6333.333333333333</v>
      </c>
      <c r="F61" s="54">
        <f t="shared" si="2"/>
        <v>-19000</v>
      </c>
      <c r="G61" s="54">
        <f t="shared" si="3"/>
        <v>0</v>
      </c>
      <c r="H61" s="54">
        <f t="shared" si="4"/>
        <v>-9500</v>
      </c>
      <c r="I61" s="54">
        <f t="shared" si="5"/>
        <v>0</v>
      </c>
      <c r="J61" s="54">
        <f t="shared" si="6"/>
        <v>10969.655114602891</v>
      </c>
      <c r="K61" s="55">
        <f t="shared" si="7"/>
        <v>-1.7320508075688776</v>
      </c>
      <c r="L61" s="48"/>
      <c r="M61" s="54"/>
      <c r="N61" s="54"/>
      <c r="O61" s="54"/>
      <c r="P61" s="54"/>
      <c r="Q61" s="54"/>
      <c r="R61" s="54"/>
      <c r="S61" s="54"/>
      <c r="T61" s="54">
        <v>-19000</v>
      </c>
      <c r="U61" s="54">
        <v>0</v>
      </c>
      <c r="V61" s="54">
        <v>0</v>
      </c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45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</row>
    <row r="62" spans="1:84">
      <c r="A62" s="39"/>
      <c r="B62" s="43"/>
      <c r="C62" s="53" t="s">
        <v>200</v>
      </c>
      <c r="D62" s="54">
        <f t="shared" si="0"/>
        <v>781000</v>
      </c>
      <c r="E62" s="54">
        <f t="shared" si="1"/>
        <v>1727561.7021276595</v>
      </c>
      <c r="F62" s="54">
        <f t="shared" si="2"/>
        <v>-434600</v>
      </c>
      <c r="G62" s="54">
        <f t="shared" si="3"/>
        <v>7310000</v>
      </c>
      <c r="H62" s="54">
        <f t="shared" si="4"/>
        <v>377950</v>
      </c>
      <c r="I62" s="54">
        <f t="shared" si="5"/>
        <v>2211000</v>
      </c>
      <c r="J62" s="54">
        <f t="shared" si="6"/>
        <v>2014391.2192405825</v>
      </c>
      <c r="K62" s="55">
        <f t="shared" si="7"/>
        <v>1.1660314168574499</v>
      </c>
      <c r="L62" s="48"/>
      <c r="M62" s="54">
        <v>6835000</v>
      </c>
      <c r="N62" s="54">
        <v>6946000</v>
      </c>
      <c r="O62" s="54">
        <v>7310000</v>
      </c>
      <c r="P62" s="54">
        <v>4147000</v>
      </c>
      <c r="Q62" s="54">
        <v>3573000</v>
      </c>
      <c r="R62" s="54">
        <v>2919000</v>
      </c>
      <c r="S62" s="54">
        <v>3769000</v>
      </c>
      <c r="T62" s="54">
        <v>6619000</v>
      </c>
      <c r="U62" s="54">
        <v>5380000</v>
      </c>
      <c r="V62" s="54">
        <v>2906000</v>
      </c>
      <c r="W62" s="54">
        <v>2752000</v>
      </c>
      <c r="X62" s="54">
        <v>2465000</v>
      </c>
      <c r="Y62" s="54">
        <v>1908000</v>
      </c>
      <c r="Z62" s="54">
        <v>1911000</v>
      </c>
      <c r="AA62" s="54">
        <v>1923000</v>
      </c>
      <c r="AB62" s="54">
        <v>1957000</v>
      </c>
      <c r="AC62" s="54">
        <v>1615000</v>
      </c>
      <c r="AD62" s="54">
        <v>1639000</v>
      </c>
      <c r="AE62" s="54">
        <v>1312000</v>
      </c>
      <c r="AF62" s="54">
        <v>1281000</v>
      </c>
      <c r="AG62" s="54">
        <v>901000</v>
      </c>
      <c r="AH62" s="54">
        <v>896000</v>
      </c>
      <c r="AI62" s="54">
        <v>890000</v>
      </c>
      <c r="AJ62" s="54">
        <v>473000</v>
      </c>
      <c r="AK62" s="54">
        <v>781000</v>
      </c>
      <c r="AL62" s="54">
        <v>704000</v>
      </c>
      <c r="AM62" s="54">
        <v>697000</v>
      </c>
      <c r="AN62" s="54">
        <v>664000</v>
      </c>
      <c r="AO62" s="54">
        <v>618000</v>
      </c>
      <c r="AP62" s="54">
        <v>579000</v>
      </c>
      <c r="AQ62" s="54">
        <v>553000</v>
      </c>
      <c r="AR62" s="54">
        <v>518700</v>
      </c>
      <c r="AS62" s="54">
        <v>383600</v>
      </c>
      <c r="AT62" s="54">
        <v>423000</v>
      </c>
      <c r="AU62" s="54">
        <v>199200</v>
      </c>
      <c r="AV62" s="54">
        <v>-434600</v>
      </c>
      <c r="AW62" s="54">
        <v>366600</v>
      </c>
      <c r="AX62" s="54">
        <v>402300</v>
      </c>
      <c r="AY62" s="54">
        <v>354600</v>
      </c>
      <c r="AZ62" s="54">
        <v>365400</v>
      </c>
      <c r="BA62" s="54">
        <v>372300</v>
      </c>
      <c r="BB62" s="54">
        <v>302700</v>
      </c>
      <c r="BC62" s="54">
        <v>267300</v>
      </c>
      <c r="BD62" s="54">
        <v>229300</v>
      </c>
      <c r="BE62" s="54">
        <v>188600</v>
      </c>
      <c r="BF62" s="54">
        <v>162400</v>
      </c>
      <c r="BG62" s="54">
        <v>171000</v>
      </c>
      <c r="BH62" s="45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</row>
    <row r="63" spans="1:84">
      <c r="A63" s="39"/>
      <c r="B63" s="43"/>
      <c r="C63" s="53" t="s">
        <v>201</v>
      </c>
      <c r="D63" s="55" t="str">
        <f t="shared" si="0"/>
        <v/>
      </c>
      <c r="E63" s="55" t="str">
        <f t="shared" si="1"/>
        <v/>
      </c>
      <c r="F63" s="55" t="str">
        <f t="shared" si="2"/>
        <v/>
      </c>
      <c r="G63" s="55" t="str">
        <f t="shared" si="3"/>
        <v/>
      </c>
      <c r="H63" s="55" t="str">
        <f t="shared" si="4"/>
        <v/>
      </c>
      <c r="I63" s="55" t="str">
        <f t="shared" si="5"/>
        <v/>
      </c>
      <c r="J63" s="55" t="str">
        <f t="shared" si="6"/>
        <v/>
      </c>
      <c r="K63" s="55" t="str">
        <f t="shared" si="7"/>
        <v/>
      </c>
      <c r="L63" s="48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45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</row>
    <row r="64" spans="1:84" outlineLevel="1">
      <c r="A64" s="39"/>
      <c r="B64" s="43"/>
      <c r="C64" s="56" t="s">
        <v>202</v>
      </c>
      <c r="D64" s="58">
        <f t="shared" si="0"/>
        <v>0.48125000000000001</v>
      </c>
      <c r="E64" s="58">
        <f t="shared" si="1"/>
        <v>0.9017088297872341</v>
      </c>
      <c r="F64" s="58">
        <f t="shared" si="2"/>
        <v>-0.17874999999999999</v>
      </c>
      <c r="G64" s="58">
        <f t="shared" si="3"/>
        <v>3.61</v>
      </c>
      <c r="H64" s="58">
        <f t="shared" si="4"/>
        <v>0.18156250000000002</v>
      </c>
      <c r="I64" s="58">
        <f t="shared" si="5"/>
        <v>1.3049999999999999</v>
      </c>
      <c r="J64" s="58">
        <f t="shared" si="6"/>
        <v>1.0283436246362467</v>
      </c>
      <c r="K64" s="58">
        <f t="shared" si="7"/>
        <v>1.1404386767277117</v>
      </c>
      <c r="M64" s="65">
        <v>3.31</v>
      </c>
      <c r="N64" s="65">
        <v>3.38</v>
      </c>
      <c r="O64" s="65">
        <v>3.61</v>
      </c>
      <c r="P64" s="65">
        <v>2.1</v>
      </c>
      <c r="Q64" s="65">
        <v>1.82</v>
      </c>
      <c r="R64" s="65">
        <v>1.49</v>
      </c>
      <c r="S64" s="65">
        <v>1.95</v>
      </c>
      <c r="T64" s="65">
        <v>3.51</v>
      </c>
      <c r="U64" s="65">
        <v>2.87</v>
      </c>
      <c r="V64" s="65">
        <v>1.5674999999999999</v>
      </c>
      <c r="W64" s="65">
        <v>1.5275000000000001</v>
      </c>
      <c r="X64" s="65">
        <v>1.4175</v>
      </c>
      <c r="Y64" s="65">
        <v>0.98750000000000004</v>
      </c>
      <c r="Z64" s="65">
        <v>1.1475</v>
      </c>
      <c r="AA64" s="65">
        <v>1.155</v>
      </c>
      <c r="AB64" s="65">
        <v>1.1924999999999999</v>
      </c>
      <c r="AC64" s="65">
        <v>0.99750000000000005</v>
      </c>
      <c r="AD64" s="65">
        <v>1.0249999999999999</v>
      </c>
      <c r="AE64" s="65">
        <v>0.82499999999999996</v>
      </c>
      <c r="AF64" s="65">
        <v>0.8125</v>
      </c>
      <c r="AG64" s="65">
        <v>0.59250000000000003</v>
      </c>
      <c r="AH64" s="65">
        <v>0.3125</v>
      </c>
      <c r="AI64" s="65">
        <v>0.31874999999999998</v>
      </c>
      <c r="AJ64" s="65">
        <v>0.17249999999999999</v>
      </c>
      <c r="AK64" s="65">
        <v>0.28875000000000001</v>
      </c>
      <c r="AL64" s="65">
        <v>0.51749999999999996</v>
      </c>
      <c r="AM64" s="65">
        <v>0.50875000000000004</v>
      </c>
      <c r="AN64" s="65">
        <v>0.48125000000000001</v>
      </c>
      <c r="AO64" s="65">
        <v>0.22312499999999999</v>
      </c>
      <c r="AP64" s="65">
        <v>0.208125</v>
      </c>
      <c r="AQ64" s="65">
        <v>0.19750000000000001</v>
      </c>
      <c r="AR64" s="65">
        <v>0.18187500000000001</v>
      </c>
      <c r="AS64" s="65">
        <v>0.14374999999999999</v>
      </c>
      <c r="AT64" s="65">
        <v>0.16562499999999999</v>
      </c>
      <c r="AU64" s="65">
        <v>0.144375</v>
      </c>
      <c r="AV64" s="65">
        <v>-0.17874999999999999</v>
      </c>
      <c r="AW64" s="65">
        <v>0.19500000000000001</v>
      </c>
      <c r="AX64" s="65">
        <v>0.21375</v>
      </c>
      <c r="AY64" s="65">
        <v>0.19375000000000001</v>
      </c>
      <c r="AZ64" s="65">
        <v>0.18124999999999999</v>
      </c>
      <c r="BA64" s="65">
        <v>0.19437499999999999</v>
      </c>
      <c r="BB64" s="65">
        <v>8.1875000000000003E-2</v>
      </c>
      <c r="BC64" s="65">
        <v>7.8437999999999994E-2</v>
      </c>
      <c r="BD64" s="65">
        <v>7.4688000000000004E-2</v>
      </c>
      <c r="BE64" s="65">
        <v>6.6562999999999997E-2</v>
      </c>
      <c r="BF64" s="65">
        <v>6.1563E-2</v>
      </c>
      <c r="BG64" s="65">
        <v>6.5937999999999997E-2</v>
      </c>
      <c r="BH64" s="45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</row>
    <row r="65" spans="1:84" outlineLevel="1">
      <c r="A65" s="39"/>
      <c r="B65" s="43"/>
      <c r="C65" s="56" t="s">
        <v>203</v>
      </c>
      <c r="D65" s="58">
        <f t="shared" si="0"/>
        <v>0</v>
      </c>
      <c r="E65" s="58">
        <f t="shared" si="1"/>
        <v>2.1406250000000002E-2</v>
      </c>
      <c r="F65" s="58">
        <f t="shared" si="2"/>
        <v>-5.1874999999999998E-2</v>
      </c>
      <c r="G65" s="58">
        <f t="shared" si="3"/>
        <v>0.13750000000000001</v>
      </c>
      <c r="H65" s="58">
        <f t="shared" si="4"/>
        <v>-1.2968750000000001E-2</v>
      </c>
      <c r="I65" s="58">
        <f t="shared" si="5"/>
        <v>3.4375000000000003E-2</v>
      </c>
      <c r="J65" s="58">
        <f t="shared" si="6"/>
        <v>8.116722546436668E-2</v>
      </c>
      <c r="K65" s="58">
        <f t="shared" si="7"/>
        <v>3.7917535983353776</v>
      </c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>
        <v>0.13750000000000001</v>
      </c>
      <c r="Z65" s="65">
        <v>0</v>
      </c>
      <c r="AA65" s="65">
        <v>0</v>
      </c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>
        <v>-5.1874999999999998E-2</v>
      </c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45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</row>
    <row r="66" spans="1:84" outlineLevel="1">
      <c r="A66" s="39"/>
      <c r="B66" s="43"/>
      <c r="C66" s="53" t="s">
        <v>204</v>
      </c>
      <c r="D66" s="62">
        <f t="shared" si="0"/>
        <v>0.48125000000000001</v>
      </c>
      <c r="E66" s="62">
        <f t="shared" si="1"/>
        <v>0.90350404255319172</v>
      </c>
      <c r="F66" s="62">
        <f t="shared" si="2"/>
        <v>-0.17874999999999999</v>
      </c>
      <c r="G66" s="62">
        <f t="shared" si="3"/>
        <v>3.61</v>
      </c>
      <c r="H66" s="62">
        <f t="shared" si="4"/>
        <v>0.18156250000000002</v>
      </c>
      <c r="I66" s="62">
        <f t="shared" si="5"/>
        <v>1.3049999999999999</v>
      </c>
      <c r="J66" s="62">
        <f t="shared" si="6"/>
        <v>1.0296647701194022</v>
      </c>
      <c r="K66" s="62">
        <f t="shared" si="7"/>
        <v>1.1396349342385848</v>
      </c>
      <c r="L66" s="64"/>
      <c r="M66" s="62">
        <v>3.31</v>
      </c>
      <c r="N66" s="62">
        <v>3.38</v>
      </c>
      <c r="O66" s="62">
        <v>3.61</v>
      </c>
      <c r="P66" s="62">
        <v>2.1</v>
      </c>
      <c r="Q66" s="62">
        <v>1.82</v>
      </c>
      <c r="R66" s="62">
        <v>1.49</v>
      </c>
      <c r="S66" s="62">
        <v>1.95</v>
      </c>
      <c r="T66" s="62">
        <v>3.51</v>
      </c>
      <c r="U66" s="62">
        <v>2.87</v>
      </c>
      <c r="V66" s="62">
        <v>1.5674999999999999</v>
      </c>
      <c r="W66" s="62">
        <v>1.5275000000000001</v>
      </c>
      <c r="X66" s="62">
        <v>1.4175</v>
      </c>
      <c r="Y66" s="62">
        <v>1.125</v>
      </c>
      <c r="Z66" s="62">
        <v>1.1475</v>
      </c>
      <c r="AA66" s="62">
        <v>1.155</v>
      </c>
      <c r="AB66" s="62">
        <v>1.1924999999999999</v>
      </c>
      <c r="AC66" s="62">
        <v>0.99750000000000005</v>
      </c>
      <c r="AD66" s="62">
        <v>1.0249999999999999</v>
      </c>
      <c r="AE66" s="62">
        <v>0.82499999999999996</v>
      </c>
      <c r="AF66" s="62">
        <v>0.8125</v>
      </c>
      <c r="AG66" s="62">
        <v>0.59250000000000003</v>
      </c>
      <c r="AH66" s="62">
        <v>0.3125</v>
      </c>
      <c r="AI66" s="62">
        <v>0.3175</v>
      </c>
      <c r="AJ66" s="62">
        <v>0.17249999999999999</v>
      </c>
      <c r="AK66" s="62">
        <v>0.28875000000000001</v>
      </c>
      <c r="AL66" s="62">
        <v>0.51749999999999996</v>
      </c>
      <c r="AM66" s="62">
        <v>0.50875000000000004</v>
      </c>
      <c r="AN66" s="62">
        <v>0.48125000000000001</v>
      </c>
      <c r="AO66" s="62">
        <v>0.22312499999999999</v>
      </c>
      <c r="AP66" s="62">
        <v>0.208125</v>
      </c>
      <c r="AQ66" s="62">
        <v>0.19750000000000001</v>
      </c>
      <c r="AR66" s="62">
        <v>0.18187500000000001</v>
      </c>
      <c r="AS66" s="62">
        <v>0.14374999999999999</v>
      </c>
      <c r="AT66" s="62">
        <v>0.16562499999999999</v>
      </c>
      <c r="AU66" s="62">
        <v>9.2499999999999999E-2</v>
      </c>
      <c r="AV66" s="62">
        <v>-0.17874999999999999</v>
      </c>
      <c r="AW66" s="62">
        <v>0.19500000000000001</v>
      </c>
      <c r="AX66" s="62">
        <v>0.21375</v>
      </c>
      <c r="AY66" s="62">
        <v>0.19375000000000001</v>
      </c>
      <c r="AZ66" s="62">
        <v>0.18124999999999999</v>
      </c>
      <c r="BA66" s="62">
        <v>0.19437499999999999</v>
      </c>
      <c r="BB66" s="62">
        <v>8.1875000000000003E-2</v>
      </c>
      <c r="BC66" s="62">
        <v>7.8437999999999994E-2</v>
      </c>
      <c r="BD66" s="62">
        <v>7.4688000000000004E-2</v>
      </c>
      <c r="BE66" s="62">
        <v>6.6562999999999997E-2</v>
      </c>
      <c r="BF66" s="62">
        <v>6.1563E-2</v>
      </c>
      <c r="BG66" s="62">
        <v>6.5937999999999997E-2</v>
      </c>
      <c r="BH66" s="45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</row>
    <row r="67" spans="1:84">
      <c r="A67" s="39"/>
      <c r="B67" s="43"/>
      <c r="C67" s="53" t="s">
        <v>205</v>
      </c>
      <c r="D67" s="55" t="str">
        <f t="shared" si="0"/>
        <v/>
      </c>
      <c r="E67" s="55" t="str">
        <f t="shared" si="1"/>
        <v/>
      </c>
      <c r="F67" s="55" t="str">
        <f t="shared" si="2"/>
        <v/>
      </c>
      <c r="G67" s="55" t="str">
        <f t="shared" si="3"/>
        <v/>
      </c>
      <c r="H67" s="55" t="str">
        <f t="shared" si="4"/>
        <v/>
      </c>
      <c r="I67" s="55" t="str">
        <f t="shared" si="5"/>
        <v/>
      </c>
      <c r="J67" s="55" t="str">
        <f t="shared" si="6"/>
        <v/>
      </c>
      <c r="K67" s="55" t="str">
        <f t="shared" si="7"/>
        <v/>
      </c>
      <c r="L67" s="48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45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</row>
    <row r="68" spans="1:84" outlineLevel="1">
      <c r="A68" s="39"/>
      <c r="B68" s="43"/>
      <c r="C68" s="56" t="s">
        <v>206</v>
      </c>
      <c r="D68" s="58">
        <f t="shared" si="0"/>
        <v>0.45734599999999997</v>
      </c>
      <c r="E68" s="58">
        <f t="shared" si="1"/>
        <v>0.89590414893617021</v>
      </c>
      <c r="F68" s="58">
        <f t="shared" si="2"/>
        <v>-0.17874999999999999</v>
      </c>
      <c r="G68" s="58">
        <f t="shared" si="3"/>
        <v>3.6</v>
      </c>
      <c r="H68" s="58">
        <f t="shared" si="4"/>
        <v>0.18156250000000002</v>
      </c>
      <c r="I68" s="58">
        <f t="shared" si="5"/>
        <v>1.2925</v>
      </c>
      <c r="J68" s="58">
        <f t="shared" si="6"/>
        <v>1.0229897520557296</v>
      </c>
      <c r="K68" s="58">
        <f t="shared" si="7"/>
        <v>1.1418517854510055</v>
      </c>
      <c r="M68" s="65">
        <v>3.3</v>
      </c>
      <c r="N68" s="65">
        <v>3.37</v>
      </c>
      <c r="O68" s="65">
        <v>3.6</v>
      </c>
      <c r="P68" s="65">
        <v>2.1</v>
      </c>
      <c r="Q68" s="65">
        <v>1.81</v>
      </c>
      <c r="R68" s="65">
        <v>1.48</v>
      </c>
      <c r="S68" s="65">
        <v>1.94</v>
      </c>
      <c r="T68" s="65">
        <v>3.47</v>
      </c>
      <c r="U68" s="65">
        <v>2.8475000000000001</v>
      </c>
      <c r="V68" s="65">
        <v>1.56</v>
      </c>
      <c r="W68" s="65">
        <v>1.5149999999999999</v>
      </c>
      <c r="X68" s="65">
        <v>1.4</v>
      </c>
      <c r="Y68" s="65">
        <v>0.98250000000000004</v>
      </c>
      <c r="Z68" s="65">
        <v>1.1399999999999999</v>
      </c>
      <c r="AA68" s="65">
        <v>1.1475</v>
      </c>
      <c r="AB68" s="65">
        <v>1.1850000000000001</v>
      </c>
      <c r="AC68" s="65">
        <v>0.99250000000000005</v>
      </c>
      <c r="AD68" s="65">
        <v>1.0175000000000001</v>
      </c>
      <c r="AE68" s="65">
        <v>0.8175</v>
      </c>
      <c r="AF68" s="65">
        <v>0.8075</v>
      </c>
      <c r="AG68" s="65">
        <v>0.58499999999999996</v>
      </c>
      <c r="AH68" s="65">
        <v>0.31</v>
      </c>
      <c r="AI68" s="65">
        <v>0.3175</v>
      </c>
      <c r="AJ68" s="65">
        <v>0.17249999999999999</v>
      </c>
      <c r="AK68" s="65">
        <v>0.28875000000000001</v>
      </c>
      <c r="AL68" s="65">
        <v>0.51749999999999996</v>
      </c>
      <c r="AM68" s="65">
        <v>0.48358400000000001</v>
      </c>
      <c r="AN68" s="65">
        <v>0.45734599999999997</v>
      </c>
      <c r="AO68" s="65">
        <v>0.22312499999999999</v>
      </c>
      <c r="AP68" s="65">
        <v>0.208125</v>
      </c>
      <c r="AQ68" s="65">
        <v>0.19750000000000001</v>
      </c>
      <c r="AR68" s="65">
        <v>0.18187500000000001</v>
      </c>
      <c r="AS68" s="65">
        <v>0.14374999999999999</v>
      </c>
      <c r="AT68" s="65">
        <v>0.16562499999999999</v>
      </c>
      <c r="AU68" s="65">
        <v>0.144375</v>
      </c>
      <c r="AV68" s="65">
        <v>-0.17874999999999999</v>
      </c>
      <c r="AW68" s="65">
        <v>0.19500000000000001</v>
      </c>
      <c r="AX68" s="65">
        <v>0.21375</v>
      </c>
      <c r="AY68" s="65">
        <v>0.19375000000000001</v>
      </c>
      <c r="AZ68" s="65">
        <v>0.18124999999999999</v>
      </c>
      <c r="BA68" s="65">
        <v>0.19437499999999999</v>
      </c>
      <c r="BB68" s="65">
        <v>8.1875000000000003E-2</v>
      </c>
      <c r="BC68" s="65">
        <v>7.8437999999999994E-2</v>
      </c>
      <c r="BD68" s="65">
        <v>7.4688000000000004E-2</v>
      </c>
      <c r="BE68" s="65">
        <v>6.6562999999999997E-2</v>
      </c>
      <c r="BF68" s="65">
        <v>6.1563E-2</v>
      </c>
      <c r="BG68" s="65">
        <v>6.5937999999999997E-2</v>
      </c>
      <c r="BH68" s="45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</row>
    <row r="69" spans="1:84" outlineLevel="1">
      <c r="A69" s="39"/>
      <c r="B69" s="43"/>
      <c r="C69" s="56" t="s">
        <v>207</v>
      </c>
      <c r="D69" s="58">
        <f t="shared" si="0"/>
        <v>0</v>
      </c>
      <c r="E69" s="58">
        <f t="shared" si="1"/>
        <v>2.0781250000000001E-2</v>
      </c>
      <c r="F69" s="58">
        <f t="shared" si="2"/>
        <v>-5.1874999999999998E-2</v>
      </c>
      <c r="G69" s="58">
        <f t="shared" si="3"/>
        <v>0.13500000000000001</v>
      </c>
      <c r="H69" s="58">
        <f t="shared" si="4"/>
        <v>-1.2968750000000001E-2</v>
      </c>
      <c r="I69" s="58">
        <f t="shared" si="5"/>
        <v>3.3750000000000002E-2</v>
      </c>
      <c r="J69" s="58">
        <f t="shared" si="6"/>
        <v>7.9976192746654309E-2</v>
      </c>
      <c r="K69" s="58">
        <f t="shared" si="7"/>
        <v>3.8484784479593048</v>
      </c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>
        <v>0.13500000000000001</v>
      </c>
      <c r="Z69" s="65">
        <v>0</v>
      </c>
      <c r="AA69" s="65">
        <v>0</v>
      </c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>
        <v>-5.1874999999999998E-2</v>
      </c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45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</row>
    <row r="70" spans="1:84" outlineLevel="1">
      <c r="A70" s="39"/>
      <c r="B70" s="43"/>
      <c r="C70" s="53" t="s">
        <v>208</v>
      </c>
      <c r="D70" s="62">
        <f t="shared" si="0"/>
        <v>0.45734599999999997</v>
      </c>
      <c r="E70" s="62">
        <f t="shared" si="1"/>
        <v>0.89764617021276594</v>
      </c>
      <c r="F70" s="62">
        <f t="shared" si="2"/>
        <v>-0.17874999999999999</v>
      </c>
      <c r="G70" s="62">
        <f t="shared" si="3"/>
        <v>3.6</v>
      </c>
      <c r="H70" s="62">
        <f t="shared" si="4"/>
        <v>0.18156250000000002</v>
      </c>
      <c r="I70" s="62">
        <f t="shared" si="5"/>
        <v>1.2925</v>
      </c>
      <c r="J70" s="62">
        <f t="shared" si="6"/>
        <v>1.0243019096672055</v>
      </c>
      <c r="K70" s="62">
        <f t="shared" si="7"/>
        <v>1.1410976213761586</v>
      </c>
      <c r="L70" s="64"/>
      <c r="M70" s="62">
        <v>3.3</v>
      </c>
      <c r="N70" s="62">
        <v>3.37</v>
      </c>
      <c r="O70" s="62">
        <v>3.6</v>
      </c>
      <c r="P70" s="62">
        <v>2.1</v>
      </c>
      <c r="Q70" s="62">
        <v>1.81</v>
      </c>
      <c r="R70" s="62">
        <v>1.48</v>
      </c>
      <c r="S70" s="62">
        <v>1.94</v>
      </c>
      <c r="T70" s="62">
        <v>3.47</v>
      </c>
      <c r="U70" s="62">
        <v>2.8475000000000001</v>
      </c>
      <c r="V70" s="62">
        <v>1.56</v>
      </c>
      <c r="W70" s="62">
        <v>1.5149999999999999</v>
      </c>
      <c r="X70" s="62">
        <v>1.4</v>
      </c>
      <c r="Y70" s="62">
        <v>1.1174999999999999</v>
      </c>
      <c r="Z70" s="62">
        <v>1.1399999999999999</v>
      </c>
      <c r="AA70" s="62">
        <v>1.1475</v>
      </c>
      <c r="AB70" s="62">
        <v>1.1850000000000001</v>
      </c>
      <c r="AC70" s="62">
        <v>0.99250000000000005</v>
      </c>
      <c r="AD70" s="62">
        <v>1.0175000000000001</v>
      </c>
      <c r="AE70" s="62">
        <v>0.8175</v>
      </c>
      <c r="AF70" s="62">
        <v>0.8075</v>
      </c>
      <c r="AG70" s="62">
        <v>0.58499999999999996</v>
      </c>
      <c r="AH70" s="62">
        <v>0.31</v>
      </c>
      <c r="AI70" s="62">
        <v>0.31624999999999998</v>
      </c>
      <c r="AJ70" s="62">
        <v>0.17249999999999999</v>
      </c>
      <c r="AK70" s="62">
        <v>0.28875000000000001</v>
      </c>
      <c r="AL70" s="62">
        <v>0.51749999999999996</v>
      </c>
      <c r="AM70" s="62">
        <v>0.48358400000000001</v>
      </c>
      <c r="AN70" s="62">
        <v>0.45734599999999997</v>
      </c>
      <c r="AO70" s="62">
        <v>0.22312499999999999</v>
      </c>
      <c r="AP70" s="62">
        <v>0.208125</v>
      </c>
      <c r="AQ70" s="62">
        <v>0.19750000000000001</v>
      </c>
      <c r="AR70" s="62">
        <v>0.18187500000000001</v>
      </c>
      <c r="AS70" s="62">
        <v>0.14374999999999999</v>
      </c>
      <c r="AT70" s="62">
        <v>0.16562499999999999</v>
      </c>
      <c r="AU70" s="62">
        <v>9.2499999999999999E-2</v>
      </c>
      <c r="AV70" s="62">
        <v>-0.17874999999999999</v>
      </c>
      <c r="AW70" s="62">
        <v>0.19500000000000001</v>
      </c>
      <c r="AX70" s="62">
        <v>0.21375</v>
      </c>
      <c r="AY70" s="62">
        <v>0.19375000000000001</v>
      </c>
      <c r="AZ70" s="62">
        <v>0.18124999999999999</v>
      </c>
      <c r="BA70" s="62">
        <v>0.19437499999999999</v>
      </c>
      <c r="BB70" s="62">
        <v>8.1875000000000003E-2</v>
      </c>
      <c r="BC70" s="62">
        <v>7.8437999999999994E-2</v>
      </c>
      <c r="BD70" s="62">
        <v>7.4688000000000004E-2</v>
      </c>
      <c r="BE70" s="62">
        <v>6.6562999999999997E-2</v>
      </c>
      <c r="BF70" s="62">
        <v>6.1563E-2</v>
      </c>
      <c r="BG70" s="62">
        <v>6.5937999999999997E-2</v>
      </c>
      <c r="BH70" s="45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</row>
    <row r="71" spans="1:84">
      <c r="A71" s="39"/>
      <c r="B71" s="43"/>
      <c r="C71" s="53" t="s">
        <v>209</v>
      </c>
      <c r="D71" s="54">
        <f t="shared" si="0"/>
        <v>1476100280</v>
      </c>
      <c r="E71" s="54">
        <f t="shared" si="1"/>
        <v>1452498611.7659574</v>
      </c>
      <c r="F71" s="54">
        <f t="shared" si="2"/>
        <v>653104000</v>
      </c>
      <c r="G71" s="54">
        <f t="shared" si="3"/>
        <v>2064500000</v>
      </c>
      <c r="H71" s="54">
        <f t="shared" si="4"/>
        <v>1186936000</v>
      </c>
      <c r="I71" s="54">
        <f t="shared" si="5"/>
        <v>1717200000</v>
      </c>
      <c r="J71" s="54">
        <f t="shared" si="6"/>
        <v>390096181.3485691</v>
      </c>
      <c r="K71" s="55">
        <f t="shared" si="7"/>
        <v>0.26856905623771138</v>
      </c>
      <c r="L71" s="48"/>
      <c r="M71" s="54">
        <v>2064500000</v>
      </c>
      <c r="N71" s="54">
        <v>2052900000</v>
      </c>
      <c r="O71" s="54">
        <v>2026100000</v>
      </c>
      <c r="P71" s="54">
        <v>1972600000</v>
      </c>
      <c r="Q71" s="54">
        <v>1962500000</v>
      </c>
      <c r="R71" s="54">
        <v>1959000000</v>
      </c>
      <c r="S71" s="54">
        <v>1927900000</v>
      </c>
      <c r="T71" s="54">
        <v>1892800000</v>
      </c>
      <c r="U71" s="54">
        <v>1875200000</v>
      </c>
      <c r="V71" s="54">
        <v>1852400000</v>
      </c>
      <c r="W71" s="54">
        <v>1802000000</v>
      </c>
      <c r="X71" s="54">
        <v>1737600000</v>
      </c>
      <c r="Y71" s="54">
        <v>1696800000</v>
      </c>
      <c r="Z71" s="54">
        <v>1666800000</v>
      </c>
      <c r="AA71" s="54">
        <v>1666400000</v>
      </c>
      <c r="AB71" s="54">
        <v>1641200000</v>
      </c>
      <c r="AC71" s="54">
        <v>1617600000</v>
      </c>
      <c r="AD71" s="54">
        <v>1600400000</v>
      </c>
      <c r="AE71" s="54">
        <v>1590800000</v>
      </c>
      <c r="AF71" s="54">
        <v>1574000000</v>
      </c>
      <c r="AG71" s="54">
        <v>1520400000</v>
      </c>
      <c r="AH71" s="54">
        <v>1432000000</v>
      </c>
      <c r="AI71" s="54">
        <v>1418400000</v>
      </c>
      <c r="AJ71" s="54">
        <v>1374400000</v>
      </c>
      <c r="AK71" s="54">
        <v>1352000000</v>
      </c>
      <c r="AL71" s="54">
        <v>1360386473</v>
      </c>
      <c r="AM71" s="54">
        <v>1368000000</v>
      </c>
      <c r="AN71" s="54">
        <v>1384000000</v>
      </c>
      <c r="AO71" s="54">
        <v>1459552000</v>
      </c>
      <c r="AP71" s="54">
        <v>1476100280</v>
      </c>
      <c r="AQ71" s="54">
        <v>1484032000</v>
      </c>
      <c r="AR71" s="54">
        <v>1434616000</v>
      </c>
      <c r="AS71" s="54">
        <v>1482960000</v>
      </c>
      <c r="AT71" s="54">
        <v>1387144000</v>
      </c>
      <c r="AU71" s="54">
        <v>1293336000</v>
      </c>
      <c r="AV71" s="54">
        <v>1080536000</v>
      </c>
      <c r="AW71" s="54">
        <v>1040248000</v>
      </c>
      <c r="AX71" s="54">
        <v>1040248000</v>
      </c>
      <c r="AY71" s="54">
        <v>1040248000</v>
      </c>
      <c r="AZ71" s="54">
        <v>1001376000</v>
      </c>
      <c r="BA71" s="54">
        <v>946176000</v>
      </c>
      <c r="BB71" s="54">
        <v>927120000</v>
      </c>
      <c r="BC71" s="54">
        <v>901520000</v>
      </c>
      <c r="BD71" s="54">
        <v>806880000</v>
      </c>
      <c r="BE71" s="54">
        <v>724336000</v>
      </c>
      <c r="BF71" s="54">
        <v>698816000</v>
      </c>
      <c r="BG71" s="54">
        <v>653104000</v>
      </c>
      <c r="BH71" s="45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</row>
    <row r="72" spans="1:84">
      <c r="A72" s="39"/>
      <c r="B72" s="43"/>
      <c r="C72" s="53" t="s">
        <v>210</v>
      </c>
      <c r="D72" s="54">
        <f t="shared" si="0"/>
        <v>1476100280</v>
      </c>
      <c r="E72" s="54">
        <f t="shared" si="1"/>
        <v>1460968313.8936169</v>
      </c>
      <c r="F72" s="54">
        <f t="shared" si="2"/>
        <v>653104000</v>
      </c>
      <c r="G72" s="54">
        <f t="shared" si="3"/>
        <v>2070600000</v>
      </c>
      <c r="H72" s="54">
        <f t="shared" si="4"/>
        <v>1186936000</v>
      </c>
      <c r="I72" s="54">
        <f t="shared" si="5"/>
        <v>1734200000</v>
      </c>
      <c r="J72" s="54">
        <f t="shared" si="6"/>
        <v>393937123.36413896</v>
      </c>
      <c r="K72" s="55">
        <f t="shared" si="7"/>
        <v>0.26964111378586969</v>
      </c>
      <c r="L72" s="48"/>
      <c r="M72" s="54">
        <v>2070600000</v>
      </c>
      <c r="N72" s="54">
        <v>2059200000</v>
      </c>
      <c r="O72" s="54">
        <v>2030800000</v>
      </c>
      <c r="P72" s="54">
        <v>1978600000</v>
      </c>
      <c r="Q72" s="54">
        <v>1972200000</v>
      </c>
      <c r="R72" s="54">
        <v>1968800000</v>
      </c>
      <c r="S72" s="54">
        <v>1941900000</v>
      </c>
      <c r="T72" s="54">
        <v>1907900000</v>
      </c>
      <c r="U72" s="54">
        <v>1890000000</v>
      </c>
      <c r="V72" s="54">
        <v>1863200000</v>
      </c>
      <c r="W72" s="54">
        <v>1816000000</v>
      </c>
      <c r="X72" s="54">
        <v>1760400000</v>
      </c>
      <c r="Y72" s="54">
        <v>1708000000</v>
      </c>
      <c r="Z72" s="54">
        <v>1676800000</v>
      </c>
      <c r="AA72" s="54">
        <v>1676000000</v>
      </c>
      <c r="AB72" s="54">
        <v>1652000000</v>
      </c>
      <c r="AC72" s="54">
        <v>1628800000</v>
      </c>
      <c r="AD72" s="54">
        <v>1610800000</v>
      </c>
      <c r="AE72" s="54">
        <v>1602400000</v>
      </c>
      <c r="AF72" s="54">
        <v>1586000000</v>
      </c>
      <c r="AG72" s="54">
        <v>1542800000</v>
      </c>
      <c r="AH72" s="54">
        <v>1441600000</v>
      </c>
      <c r="AI72" s="54">
        <v>1422400000</v>
      </c>
      <c r="AJ72" s="54">
        <v>1374400000</v>
      </c>
      <c r="AK72" s="54">
        <v>1352000000</v>
      </c>
      <c r="AL72" s="54">
        <v>1360386473</v>
      </c>
      <c r="AM72" s="54">
        <v>1441320000</v>
      </c>
      <c r="AN72" s="54">
        <v>1451856000</v>
      </c>
      <c r="AO72" s="54">
        <v>1459552000</v>
      </c>
      <c r="AP72" s="54">
        <v>1476100280</v>
      </c>
      <c r="AQ72" s="54">
        <v>1484032000</v>
      </c>
      <c r="AR72" s="54">
        <v>1434616000</v>
      </c>
      <c r="AS72" s="54">
        <v>1482960000</v>
      </c>
      <c r="AT72" s="54">
        <v>1387144000</v>
      </c>
      <c r="AU72" s="54">
        <v>1293336000</v>
      </c>
      <c r="AV72" s="54">
        <v>1080536000</v>
      </c>
      <c r="AW72" s="54">
        <v>1040248000</v>
      </c>
      <c r="AX72" s="54">
        <v>1040248000</v>
      </c>
      <c r="AY72" s="54">
        <v>1040248000</v>
      </c>
      <c r="AZ72" s="54">
        <v>1001376000</v>
      </c>
      <c r="BA72" s="54">
        <v>946176000</v>
      </c>
      <c r="BB72" s="54">
        <v>927120000</v>
      </c>
      <c r="BC72" s="54">
        <v>901520000</v>
      </c>
      <c r="BD72" s="54">
        <v>806880000</v>
      </c>
      <c r="BE72" s="54">
        <v>724336000</v>
      </c>
      <c r="BF72" s="54">
        <v>698816000</v>
      </c>
      <c r="BG72" s="54">
        <v>653104000</v>
      </c>
      <c r="BH72" s="45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</row>
    <row r="73" spans="1:84">
      <c r="A73" s="39"/>
      <c r="B73" s="43"/>
      <c r="C73" s="53" t="s">
        <v>211</v>
      </c>
      <c r="D73" s="66" t="str">
        <f t="shared" si="0"/>
        <v/>
      </c>
      <c r="E73" s="66" t="str">
        <f t="shared" si="1"/>
        <v/>
      </c>
      <c r="F73" s="66" t="str">
        <f t="shared" si="2"/>
        <v/>
      </c>
      <c r="G73" s="66" t="str">
        <f t="shared" si="3"/>
        <v/>
      </c>
      <c r="H73" s="66" t="str">
        <f t="shared" si="4"/>
        <v/>
      </c>
      <c r="I73" s="66" t="str">
        <f t="shared" si="5"/>
        <v/>
      </c>
      <c r="J73" s="66" t="str">
        <f t="shared" si="6"/>
        <v/>
      </c>
      <c r="K73" s="55" t="str">
        <f t="shared" si="7"/>
        <v/>
      </c>
      <c r="L73" s="48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45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</row>
    <row r="74" spans="1:84" outlineLevel="1">
      <c r="A74" s="39"/>
      <c r="B74" s="43"/>
      <c r="C74" s="56" t="s">
        <v>212</v>
      </c>
      <c r="D74" s="67" t="str">
        <f t="shared" si="0"/>
        <v/>
      </c>
      <c r="E74" s="67" t="str">
        <f t="shared" si="1"/>
        <v/>
      </c>
      <c r="F74" s="67" t="str">
        <f t="shared" si="2"/>
        <v/>
      </c>
      <c r="G74" s="67" t="str">
        <f t="shared" si="3"/>
        <v/>
      </c>
      <c r="H74" s="67" t="str">
        <f t="shared" si="4"/>
        <v/>
      </c>
      <c r="I74" s="67" t="str">
        <f t="shared" si="5"/>
        <v/>
      </c>
      <c r="J74" s="67" t="str">
        <f t="shared" si="6"/>
        <v/>
      </c>
      <c r="K74" s="58" t="str">
        <f t="shared" si="7"/>
        <v/>
      </c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45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</row>
    <row r="75" spans="1:84" outlineLevel="2">
      <c r="A75" s="39"/>
      <c r="B75" s="43"/>
      <c r="C75" s="56" t="s">
        <v>213</v>
      </c>
      <c r="D75" s="58">
        <f t="shared" ref="D75:D121" si="8">IF(COUNT(L75:BG75)&gt;0,MEDIAN(L75:BG75),"")</f>
        <v>1.4</v>
      </c>
      <c r="E75" s="58">
        <f t="shared" ref="E75:E121" si="9">IF(COUNT(L75:BG75)&gt;0,AVERAGE(L75:BG75),"")</f>
        <v>1.3847727272727275</v>
      </c>
      <c r="F75" s="58">
        <f t="shared" ref="F75:F121" si="10">IF(COUNT(L75:BG75)&gt;0,MIN(L75:BG75),"")</f>
        <v>0.5</v>
      </c>
      <c r="G75" s="58">
        <f t="shared" ref="G75:G121" si="11">IF(COUNT(L75:BG75)&gt;0,MAX(L75:BG75),"")</f>
        <v>2.27</v>
      </c>
      <c r="H75" s="58">
        <f t="shared" ref="H75:H121" si="12">IF(COUNT(L75:BG75)&gt;0,QUARTILE(L75:BG75,1),"")</f>
        <v>1.0462500000000001</v>
      </c>
      <c r="I75" s="58">
        <f t="shared" ref="I75:I121" si="13">IF(COUNT(L75:BG75)&gt;0,QUARTILE(L75:BG75,3),"")</f>
        <v>1.7850000000000001</v>
      </c>
      <c r="J75" s="58">
        <f t="shared" ref="J75:J121" si="14">IF(COUNT(L75:BG75)&gt;1,STDEV(L75:BG75),"")</f>
        <v>0.57739550412331564</v>
      </c>
      <c r="K75" s="58">
        <f t="shared" ref="K75:K121" si="15">IF(COUNT(L75:BG75)&gt;1,STDEV(L75:BG75)/AVERAGE(L75:BG75),"")</f>
        <v>0.41696048221608212</v>
      </c>
      <c r="M75" s="65">
        <v>2.27</v>
      </c>
      <c r="N75" s="65">
        <v>2.06</v>
      </c>
      <c r="O75" s="65">
        <v>1.87</v>
      </c>
      <c r="P75" s="65">
        <v>1.7</v>
      </c>
      <c r="Q75" s="65">
        <v>1.54</v>
      </c>
      <c r="R75" s="65">
        <v>1.4</v>
      </c>
      <c r="S75" s="65">
        <v>1.25</v>
      </c>
      <c r="T75" s="65">
        <v>1.1100000000000001</v>
      </c>
      <c r="U75" s="65">
        <v>0.98250000000000004</v>
      </c>
      <c r="V75" s="65"/>
      <c r="W75" s="65"/>
      <c r="X75" s="65"/>
      <c r="Y75" s="65"/>
      <c r="Z75" s="65"/>
      <c r="AA75" s="65">
        <v>0.55000000000000004</v>
      </c>
      <c r="AB75" s="65">
        <v>0.5</v>
      </c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45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</row>
    <row r="76" spans="1:84" outlineLevel="2">
      <c r="A76" s="39"/>
      <c r="B76" s="43"/>
      <c r="C76" s="56" t="s">
        <v>214</v>
      </c>
      <c r="D76" s="58">
        <f t="shared" si="8"/>
        <v>0.35499999999999998</v>
      </c>
      <c r="E76" s="58">
        <f t="shared" si="9"/>
        <v>0.63621341463414638</v>
      </c>
      <c r="F76" s="58">
        <f t="shared" si="10"/>
        <v>0</v>
      </c>
      <c r="G76" s="58">
        <f t="shared" si="11"/>
        <v>2.266</v>
      </c>
      <c r="H76" s="58">
        <f t="shared" si="12"/>
        <v>0.27250000000000002</v>
      </c>
      <c r="I76" s="58">
        <f t="shared" si="13"/>
        <v>0.77</v>
      </c>
      <c r="J76" s="58">
        <f t="shared" si="14"/>
        <v>0.56491645555165848</v>
      </c>
      <c r="K76" s="58">
        <f t="shared" si="15"/>
        <v>0.88793546718362248</v>
      </c>
      <c r="M76" s="65">
        <v>2.266</v>
      </c>
      <c r="N76" s="65">
        <v>2.06</v>
      </c>
      <c r="O76" s="65">
        <v>1.87</v>
      </c>
      <c r="P76" s="65">
        <v>1.7</v>
      </c>
      <c r="Q76" s="65">
        <v>1.54</v>
      </c>
      <c r="R76" s="65">
        <v>1.4</v>
      </c>
      <c r="S76" s="65">
        <v>1.25</v>
      </c>
      <c r="T76" s="65">
        <v>1.1100000000000001</v>
      </c>
      <c r="U76" s="65">
        <v>0.98250000000000004</v>
      </c>
      <c r="V76" s="65">
        <v>0.87</v>
      </c>
      <c r="W76" s="65">
        <v>0.77</v>
      </c>
      <c r="X76" s="65">
        <v>0.72499999999999998</v>
      </c>
      <c r="Y76" s="65">
        <v>0.66</v>
      </c>
      <c r="Z76" s="65">
        <v>0.6</v>
      </c>
      <c r="AA76" s="65">
        <v>0.55000000000000004</v>
      </c>
      <c r="AB76" s="65">
        <v>0.5</v>
      </c>
      <c r="AC76" s="65">
        <v>0.47249999999999998</v>
      </c>
      <c r="AD76" s="65">
        <v>0.44500000000000001</v>
      </c>
      <c r="AE76" s="65">
        <v>0.41</v>
      </c>
      <c r="AF76" s="65">
        <v>0.375</v>
      </c>
      <c r="AG76" s="65">
        <v>0.35499999999999998</v>
      </c>
      <c r="AH76" s="65">
        <v>0.32500000000000001</v>
      </c>
      <c r="AI76" s="65">
        <v>0.3</v>
      </c>
      <c r="AJ76" s="65">
        <v>0.28999999999999998</v>
      </c>
      <c r="AK76" s="65">
        <v>0.28000000000000003</v>
      </c>
      <c r="AL76" s="65">
        <v>0.27</v>
      </c>
      <c r="AM76" s="65">
        <v>0.26</v>
      </c>
      <c r="AN76" s="65">
        <v>0.25</v>
      </c>
      <c r="AO76" s="65">
        <v>0.24</v>
      </c>
      <c r="AP76" s="65">
        <v>0.23</v>
      </c>
      <c r="AQ76" s="65">
        <v>0.22</v>
      </c>
      <c r="AR76" s="65">
        <v>0.23499999999999999</v>
      </c>
      <c r="AS76" s="65">
        <v>0.30875000000000002</v>
      </c>
      <c r="AT76" s="65">
        <v>0.30374999999999996</v>
      </c>
      <c r="AU76" s="65">
        <v>0.29875000000000002</v>
      </c>
      <c r="AV76" s="65">
        <v>0.29249999999999998</v>
      </c>
      <c r="AW76" s="65">
        <v>0.28249999999999997</v>
      </c>
      <c r="AX76" s="65">
        <v>0.27250000000000002</v>
      </c>
      <c r="AY76" s="65">
        <v>0.26250000000000001</v>
      </c>
      <c r="AZ76" s="65">
        <v>0.2525</v>
      </c>
      <c r="BA76" s="65">
        <v>0</v>
      </c>
      <c r="BB76" s="65"/>
      <c r="BC76" s="65"/>
      <c r="BD76" s="65"/>
      <c r="BE76" s="65"/>
      <c r="BF76" s="65"/>
      <c r="BG76" s="65"/>
      <c r="BH76" s="45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</row>
    <row r="77" spans="1:84" outlineLevel="2">
      <c r="A77" s="39"/>
      <c r="B77" s="43"/>
      <c r="C77" s="56" t="s">
        <v>215</v>
      </c>
      <c r="D77" s="58">
        <f t="shared" si="8"/>
        <v>3.0163159489569606</v>
      </c>
      <c r="E77" s="58">
        <f t="shared" si="9"/>
        <v>3.3427973823868129</v>
      </c>
      <c r="F77" s="58">
        <f t="shared" si="10"/>
        <v>1.0803587859050785</v>
      </c>
      <c r="G77" s="58">
        <f t="shared" si="11"/>
        <v>8.2543825093559189</v>
      </c>
      <c r="H77" s="58">
        <f t="shared" si="12"/>
        <v>1.572269048362434</v>
      </c>
      <c r="I77" s="58">
        <f t="shared" si="13"/>
        <v>4.5964084679393054</v>
      </c>
      <c r="J77" s="58">
        <f t="shared" si="14"/>
        <v>2.047482411214856</v>
      </c>
      <c r="K77" s="58">
        <f t="shared" si="15"/>
        <v>0.61250568820085638</v>
      </c>
      <c r="M77" s="65">
        <v>7.7479957500241472</v>
      </c>
      <c r="N77" s="65">
        <v>6.8147824397824399</v>
      </c>
      <c r="O77" s="65">
        <v>8.2543825093559189</v>
      </c>
      <c r="P77" s="65">
        <v>4.6532902051955931</v>
      </c>
      <c r="Q77" s="65">
        <v>4.390528343981341</v>
      </c>
      <c r="R77" s="65">
        <v>4.4077610727346608</v>
      </c>
      <c r="S77" s="65">
        <v>5.4395179978371697</v>
      </c>
      <c r="T77" s="65">
        <v>6.7854709366318993</v>
      </c>
      <c r="U77" s="65">
        <v>4.6444444444444448</v>
      </c>
      <c r="V77" s="65">
        <v>4.7348647488192359</v>
      </c>
      <c r="W77" s="65">
        <v>4.5803964757709252</v>
      </c>
      <c r="X77" s="65">
        <v>4.3865030674846626</v>
      </c>
      <c r="Y77" s="65">
        <v>3.5234192037470726</v>
      </c>
      <c r="Z77" s="65">
        <v>3.1798664122137406</v>
      </c>
      <c r="AA77" s="65">
        <v>3.1366348448687349</v>
      </c>
      <c r="AB77" s="65">
        <v>3.2990314769975786</v>
      </c>
      <c r="AC77" s="65">
        <v>2.8959970530451868</v>
      </c>
      <c r="AD77" s="65">
        <v>2.7768810528929726</v>
      </c>
      <c r="AE77" s="65">
        <v>1.9714178731902148</v>
      </c>
      <c r="AF77" s="65">
        <v>1.9539722572509457</v>
      </c>
      <c r="AG77" s="65">
        <v>1.7364532019704433</v>
      </c>
      <c r="AH77" s="65">
        <v>1.6745283018867925</v>
      </c>
      <c r="AI77" s="65">
        <v>1.672525309336333</v>
      </c>
      <c r="AJ77" s="65">
        <v>1.3438591385331782</v>
      </c>
      <c r="AK77" s="65">
        <v>1.5850591715976332</v>
      </c>
      <c r="AL77" s="65">
        <v>1.5230965913904673</v>
      </c>
      <c r="AM77" s="65">
        <v>1.4292454139261233</v>
      </c>
      <c r="AN77" s="65">
        <v>1.5338986786568365</v>
      </c>
      <c r="AO77" s="65">
        <v>1.3586360746311197</v>
      </c>
      <c r="AP77" s="65">
        <v>1.2417855513176923</v>
      </c>
      <c r="AQ77" s="65">
        <v>1.2129118509573917</v>
      </c>
      <c r="AR77" s="65">
        <v>1.0803587859050785</v>
      </c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5"/>
      <c r="BD77" s="65"/>
      <c r="BE77" s="65"/>
      <c r="BF77" s="65"/>
      <c r="BG77" s="65"/>
      <c r="BH77" s="45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</row>
    <row r="78" spans="1:84" outlineLevel="2">
      <c r="A78" s="39"/>
      <c r="B78" s="43"/>
      <c r="C78" s="56" t="s">
        <v>216</v>
      </c>
      <c r="D78" s="58">
        <f t="shared" si="8"/>
        <v>3.0163159489569606</v>
      </c>
      <c r="E78" s="58">
        <f t="shared" si="9"/>
        <v>3.3427973823868129</v>
      </c>
      <c r="F78" s="58">
        <f t="shared" si="10"/>
        <v>1.0803587859050785</v>
      </c>
      <c r="G78" s="58">
        <f t="shared" si="11"/>
        <v>8.2543825093559189</v>
      </c>
      <c r="H78" s="58">
        <f t="shared" si="12"/>
        <v>1.572269048362434</v>
      </c>
      <c r="I78" s="58">
        <f t="shared" si="13"/>
        <v>4.5964084679393054</v>
      </c>
      <c r="J78" s="58">
        <f t="shared" si="14"/>
        <v>2.047482411214856</v>
      </c>
      <c r="K78" s="58">
        <f t="shared" si="15"/>
        <v>0.61250568820085638</v>
      </c>
      <c r="M78" s="65">
        <v>7.7479957500241472</v>
      </c>
      <c r="N78" s="65">
        <v>6.8147824397824399</v>
      </c>
      <c r="O78" s="65">
        <v>8.2543825093559189</v>
      </c>
      <c r="P78" s="65">
        <v>4.6532902051955931</v>
      </c>
      <c r="Q78" s="65">
        <v>4.390528343981341</v>
      </c>
      <c r="R78" s="65">
        <v>4.4077610727346608</v>
      </c>
      <c r="S78" s="65">
        <v>5.4395179978371697</v>
      </c>
      <c r="T78" s="65">
        <v>6.7854709366318993</v>
      </c>
      <c r="U78" s="65">
        <v>4.6444444444444448</v>
      </c>
      <c r="V78" s="65">
        <v>4.7348647488192359</v>
      </c>
      <c r="W78" s="65">
        <v>4.5803964757709252</v>
      </c>
      <c r="X78" s="65">
        <v>4.3865030674846626</v>
      </c>
      <c r="Y78" s="65">
        <v>3.5234192037470726</v>
      </c>
      <c r="Z78" s="65">
        <v>3.1798664122137406</v>
      </c>
      <c r="AA78" s="65">
        <v>3.1366348448687349</v>
      </c>
      <c r="AB78" s="65">
        <v>3.2990314769975786</v>
      </c>
      <c r="AC78" s="65">
        <v>2.8959970530451868</v>
      </c>
      <c r="AD78" s="65">
        <v>2.7768810528929726</v>
      </c>
      <c r="AE78" s="65">
        <v>1.9714178731902148</v>
      </c>
      <c r="AF78" s="65">
        <v>1.9539722572509457</v>
      </c>
      <c r="AG78" s="65">
        <v>1.7364532019704433</v>
      </c>
      <c r="AH78" s="65">
        <v>1.6745283018867925</v>
      </c>
      <c r="AI78" s="65">
        <v>1.672525309336333</v>
      </c>
      <c r="AJ78" s="65">
        <v>1.3438591385331782</v>
      </c>
      <c r="AK78" s="65">
        <v>1.5850591715976332</v>
      </c>
      <c r="AL78" s="65">
        <v>1.5230965913904673</v>
      </c>
      <c r="AM78" s="65">
        <v>1.4292454139261233</v>
      </c>
      <c r="AN78" s="65">
        <v>1.5338986786568365</v>
      </c>
      <c r="AO78" s="65">
        <v>1.3586360746311197</v>
      </c>
      <c r="AP78" s="65">
        <v>1.2417855513176923</v>
      </c>
      <c r="AQ78" s="65">
        <v>1.2129118509573917</v>
      </c>
      <c r="AR78" s="65">
        <v>1.0803587859050785</v>
      </c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5"/>
      <c r="BD78" s="65"/>
      <c r="BE78" s="65"/>
      <c r="BF78" s="65"/>
      <c r="BG78" s="65"/>
      <c r="BH78" s="45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</row>
    <row r="79" spans="1:84" outlineLevel="2">
      <c r="A79" s="39"/>
      <c r="B79" s="43"/>
      <c r="C79" s="56" t="s">
        <v>217</v>
      </c>
      <c r="D79" s="58">
        <f t="shared" si="8"/>
        <v>0.48125000000000001</v>
      </c>
      <c r="E79" s="58">
        <f t="shared" si="9"/>
        <v>0.88941716382559233</v>
      </c>
      <c r="F79" s="58">
        <f t="shared" si="10"/>
        <v>-0.17874999999999999</v>
      </c>
      <c r="G79" s="58">
        <f t="shared" si="11"/>
        <v>3.7214821990796803</v>
      </c>
      <c r="H79" s="58">
        <f t="shared" si="12"/>
        <v>0.18156250000000002</v>
      </c>
      <c r="I79" s="58">
        <f t="shared" si="13"/>
        <v>1.2801033507660233</v>
      </c>
      <c r="J79" s="58">
        <f t="shared" si="14"/>
        <v>1.0008578983311498</v>
      </c>
      <c r="K79" s="58">
        <f t="shared" si="15"/>
        <v>1.1252963615253664</v>
      </c>
      <c r="M79" s="65">
        <v>3.7214821990796803</v>
      </c>
      <c r="N79" s="65">
        <v>3.4404988065663207</v>
      </c>
      <c r="O79" s="65">
        <v>3.179013869009427</v>
      </c>
      <c r="P79" s="65">
        <v>2.9108790428875597</v>
      </c>
      <c r="Q79" s="65">
        <v>2.558471337579618</v>
      </c>
      <c r="R79" s="65">
        <v>2.3236345074017355</v>
      </c>
      <c r="S79" s="65">
        <v>2.1069557549665441</v>
      </c>
      <c r="T79" s="65">
        <v>1.9405114116652578</v>
      </c>
      <c r="U79" s="65">
        <v>1.6878199658703072</v>
      </c>
      <c r="V79" s="65">
        <v>1.3119747354782982</v>
      </c>
      <c r="W79" s="65">
        <v>1.4422863485016648</v>
      </c>
      <c r="X79" s="65">
        <v>1.343232044198895</v>
      </c>
      <c r="Y79" s="65">
        <v>1.2482319660537482</v>
      </c>
      <c r="Z79" s="65">
        <v>1.148308135349172</v>
      </c>
      <c r="AA79" s="65">
        <v>1.1023763802208353</v>
      </c>
      <c r="AB79" s="65">
        <v>1.0833536436753595</v>
      </c>
      <c r="AC79" s="65">
        <v>1.0278322184090352</v>
      </c>
      <c r="AD79" s="65">
        <v>0.90292933288937216</v>
      </c>
      <c r="AE79" s="65">
        <v>0.82499999999999996</v>
      </c>
      <c r="AF79" s="65">
        <v>0.8125</v>
      </c>
      <c r="AG79" s="65">
        <v>0.59250000000000003</v>
      </c>
      <c r="AH79" s="65">
        <v>0.3125</v>
      </c>
      <c r="AI79" s="65">
        <v>0.31874999999999998</v>
      </c>
      <c r="AJ79" s="65">
        <v>0.17249999999999999</v>
      </c>
      <c r="AK79" s="65">
        <v>0.28875000000000001</v>
      </c>
      <c r="AL79" s="65">
        <v>0.51749999999999996</v>
      </c>
      <c r="AM79" s="65">
        <v>0.50875000000000004</v>
      </c>
      <c r="AN79" s="65">
        <v>0.48125000000000001</v>
      </c>
      <c r="AO79" s="65">
        <v>0.22312499999999999</v>
      </c>
      <c r="AP79" s="65">
        <v>0.208125</v>
      </c>
      <c r="AQ79" s="65">
        <v>0.19750000000000001</v>
      </c>
      <c r="AR79" s="65">
        <v>0.18187500000000001</v>
      </c>
      <c r="AS79" s="65">
        <v>0.14374999999999999</v>
      </c>
      <c r="AT79" s="65">
        <v>0.16562499999999999</v>
      </c>
      <c r="AU79" s="65">
        <v>0.144375</v>
      </c>
      <c r="AV79" s="65">
        <v>-0.17874999999999999</v>
      </c>
      <c r="AW79" s="65">
        <v>0.19500000000000001</v>
      </c>
      <c r="AX79" s="65">
        <v>0.21375</v>
      </c>
      <c r="AY79" s="65">
        <v>0.19375000000000001</v>
      </c>
      <c r="AZ79" s="65">
        <v>0.18124999999999999</v>
      </c>
      <c r="BA79" s="65">
        <v>0.19437499999999999</v>
      </c>
      <c r="BB79" s="65">
        <v>8.1875000000000003E-2</v>
      </c>
      <c r="BC79" s="65">
        <v>7.8437999999999994E-2</v>
      </c>
      <c r="BD79" s="65">
        <v>7.4688000000000004E-2</v>
      </c>
      <c r="BE79" s="65">
        <v>6.6562999999999997E-2</v>
      </c>
      <c r="BF79" s="65">
        <v>6.1563E-2</v>
      </c>
      <c r="BG79" s="65">
        <v>6.5937999999999997E-2</v>
      </c>
      <c r="BH79" s="45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</row>
    <row r="80" spans="1:84" outlineLevel="2">
      <c r="A80" s="39"/>
      <c r="B80" s="43"/>
      <c r="C80" s="56" t="s">
        <v>218</v>
      </c>
      <c r="D80" s="58">
        <f t="shared" si="8"/>
        <v>0.45734599999999997</v>
      </c>
      <c r="E80" s="58">
        <f t="shared" si="9"/>
        <v>0.88912417275419753</v>
      </c>
      <c r="F80" s="58">
        <f t="shared" si="10"/>
        <v>-0.17874999999999999</v>
      </c>
      <c r="G80" s="58">
        <f t="shared" si="11"/>
        <v>3.71</v>
      </c>
      <c r="H80" s="58">
        <f t="shared" si="12"/>
        <v>0.18156250000000002</v>
      </c>
      <c r="I80" s="58">
        <f t="shared" si="13"/>
        <v>1.2837499999999999</v>
      </c>
      <c r="J80" s="58">
        <f t="shared" si="14"/>
        <v>0.99977829898321235</v>
      </c>
      <c r="K80" s="58">
        <f t="shared" si="15"/>
        <v>1.1244529500151219</v>
      </c>
      <c r="M80" s="65">
        <v>3.71</v>
      </c>
      <c r="N80" s="65">
        <v>3.43</v>
      </c>
      <c r="O80" s="65">
        <v>3.17</v>
      </c>
      <c r="P80" s="65">
        <v>2.9</v>
      </c>
      <c r="Q80" s="65">
        <v>2.5499999999999998</v>
      </c>
      <c r="R80" s="65">
        <v>2.31</v>
      </c>
      <c r="S80" s="65">
        <v>2.0924999999999998</v>
      </c>
      <c r="T80" s="65">
        <v>1.925</v>
      </c>
      <c r="U80" s="65">
        <v>1.675</v>
      </c>
      <c r="V80" s="65">
        <v>1.5475000000000001</v>
      </c>
      <c r="W80" s="65">
        <v>1.4275</v>
      </c>
      <c r="X80" s="65">
        <v>1.325</v>
      </c>
      <c r="Y80" s="65">
        <v>1.2424999999999999</v>
      </c>
      <c r="Z80" s="65">
        <v>1.1425000000000001</v>
      </c>
      <c r="AA80" s="65">
        <v>1.0974999999999999</v>
      </c>
      <c r="AB80" s="65">
        <v>1.075</v>
      </c>
      <c r="AC80" s="65">
        <v>1.0226236471626076</v>
      </c>
      <c r="AD80" s="65">
        <v>0.89621747228467308</v>
      </c>
      <c r="AE80" s="65">
        <v>0.8175</v>
      </c>
      <c r="AF80" s="65">
        <v>0.8075</v>
      </c>
      <c r="AG80" s="65">
        <v>0.58499999999999996</v>
      </c>
      <c r="AH80" s="65">
        <v>0.31</v>
      </c>
      <c r="AI80" s="65">
        <v>0.3175</v>
      </c>
      <c r="AJ80" s="65">
        <v>0.17249999999999999</v>
      </c>
      <c r="AK80" s="65">
        <v>0.28875000000000001</v>
      </c>
      <c r="AL80" s="65">
        <v>0.51749999999999996</v>
      </c>
      <c r="AM80" s="65">
        <v>0.48358400000000001</v>
      </c>
      <c r="AN80" s="65">
        <v>0.45734599999999997</v>
      </c>
      <c r="AO80" s="65">
        <v>0.22312499999999999</v>
      </c>
      <c r="AP80" s="65">
        <v>0.208125</v>
      </c>
      <c r="AQ80" s="65">
        <v>0.19750000000000001</v>
      </c>
      <c r="AR80" s="65">
        <v>0.18187500000000001</v>
      </c>
      <c r="AS80" s="65">
        <v>0.14374999999999999</v>
      </c>
      <c r="AT80" s="65">
        <v>0.16562499999999999</v>
      </c>
      <c r="AU80" s="65">
        <v>0.144375</v>
      </c>
      <c r="AV80" s="65">
        <v>-0.17874999999999999</v>
      </c>
      <c r="AW80" s="65">
        <v>0.19500000000000001</v>
      </c>
      <c r="AX80" s="65">
        <v>0.21375</v>
      </c>
      <c r="AY80" s="65">
        <v>0.19375000000000001</v>
      </c>
      <c r="AZ80" s="65">
        <v>0.18124999999999999</v>
      </c>
      <c r="BA80" s="65">
        <v>0.19437499999999999</v>
      </c>
      <c r="BB80" s="65">
        <v>8.1875000000000003E-2</v>
      </c>
      <c r="BC80" s="65">
        <v>7.8437999999999994E-2</v>
      </c>
      <c r="BD80" s="65">
        <v>7.4688000000000004E-2</v>
      </c>
      <c r="BE80" s="65">
        <v>6.6562999999999997E-2</v>
      </c>
      <c r="BF80" s="65">
        <v>6.1563E-2</v>
      </c>
      <c r="BG80" s="65">
        <v>6.5937999999999997E-2</v>
      </c>
      <c r="BH80" s="45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</row>
    <row r="81" spans="1:84" outlineLevel="2">
      <c r="A81" s="39"/>
      <c r="B81" s="43"/>
      <c r="C81" s="56" t="s">
        <v>219</v>
      </c>
      <c r="D81" s="58">
        <f t="shared" si="8"/>
        <v>2.9686744280433119</v>
      </c>
      <c r="E81" s="58">
        <f t="shared" si="9"/>
        <v>3.1598447544731671</v>
      </c>
      <c r="F81" s="58">
        <f t="shared" si="10"/>
        <v>1.0803587859050785</v>
      </c>
      <c r="G81" s="58">
        <f t="shared" si="11"/>
        <v>7.4596735245822465</v>
      </c>
      <c r="H81" s="58">
        <f t="shared" si="12"/>
        <v>1.572269048362434</v>
      </c>
      <c r="I81" s="58">
        <f t="shared" si="13"/>
        <v>4.367839337681545</v>
      </c>
      <c r="J81" s="58">
        <f t="shared" si="14"/>
        <v>1.785919792059403</v>
      </c>
      <c r="K81" s="58">
        <f t="shared" si="15"/>
        <v>0.56519225811053009</v>
      </c>
      <c r="M81" s="65">
        <v>7.4596735245822465</v>
      </c>
      <c r="N81" s="65">
        <v>6.0572066822066821</v>
      </c>
      <c r="O81" s="65">
        <v>6.8598581839669093</v>
      </c>
      <c r="P81" s="65">
        <v>5.128879005357323</v>
      </c>
      <c r="Q81" s="65">
        <v>5.0425920292059629</v>
      </c>
      <c r="R81" s="65">
        <v>4.3412230800487608</v>
      </c>
      <c r="S81" s="65">
        <v>4.9698748648231117</v>
      </c>
      <c r="T81" s="65">
        <v>4.6543319880496883</v>
      </c>
      <c r="U81" s="65">
        <v>4.3793650793650798</v>
      </c>
      <c r="V81" s="65">
        <v>4.3639974237870334</v>
      </c>
      <c r="W81" s="65">
        <v>4.2940528634361232</v>
      </c>
      <c r="X81" s="65">
        <v>3.9888661667802774</v>
      </c>
      <c r="Y81" s="65">
        <v>3.6311475409836067</v>
      </c>
      <c r="Z81" s="65">
        <v>3.005128816793893</v>
      </c>
      <c r="AA81" s="65">
        <v>3.042959427207637</v>
      </c>
      <c r="AB81" s="65">
        <v>3.0236077481840193</v>
      </c>
      <c r="AC81" s="65">
        <v>2.9322200392927309</v>
      </c>
      <c r="AD81" s="65">
        <v>2.6222994785199902</v>
      </c>
      <c r="AE81" s="65">
        <v>1.9714178731902148</v>
      </c>
      <c r="AF81" s="65">
        <v>1.9539722572509457</v>
      </c>
      <c r="AG81" s="65">
        <v>1.7364532019704433</v>
      </c>
      <c r="AH81" s="65">
        <v>1.6745283018867925</v>
      </c>
      <c r="AI81" s="65">
        <v>1.672525309336333</v>
      </c>
      <c r="AJ81" s="65">
        <v>1.3438591385331782</v>
      </c>
      <c r="AK81" s="65">
        <v>1.5850591715976332</v>
      </c>
      <c r="AL81" s="65">
        <v>1.5230965913904673</v>
      </c>
      <c r="AM81" s="65">
        <v>1.4292454139261233</v>
      </c>
      <c r="AN81" s="65">
        <v>1.5338986786568365</v>
      </c>
      <c r="AO81" s="65">
        <v>1.3586360746311197</v>
      </c>
      <c r="AP81" s="65">
        <v>1.2417855513176923</v>
      </c>
      <c r="AQ81" s="65">
        <v>1.2129118509573917</v>
      </c>
      <c r="AR81" s="65">
        <v>1.0803587859050785</v>
      </c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5"/>
      <c r="BH81" s="45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</row>
    <row r="82" spans="1:84" outlineLevel="2">
      <c r="A82" s="39"/>
      <c r="B82" s="43"/>
      <c r="C82" s="56" t="s">
        <v>220</v>
      </c>
      <c r="D82" s="58">
        <f t="shared" si="8"/>
        <v>2.9686744280433119</v>
      </c>
      <c r="E82" s="58">
        <f t="shared" si="9"/>
        <v>3.1598447544731671</v>
      </c>
      <c r="F82" s="58">
        <f t="shared" si="10"/>
        <v>1.0803587859050785</v>
      </c>
      <c r="G82" s="58">
        <f t="shared" si="11"/>
        <v>7.4596735245822465</v>
      </c>
      <c r="H82" s="58">
        <f t="shared" si="12"/>
        <v>1.572269048362434</v>
      </c>
      <c r="I82" s="58">
        <f t="shared" si="13"/>
        <v>4.367839337681545</v>
      </c>
      <c r="J82" s="58">
        <f t="shared" si="14"/>
        <v>1.785919792059403</v>
      </c>
      <c r="K82" s="58">
        <f t="shared" si="15"/>
        <v>0.56519225811053009</v>
      </c>
      <c r="M82" s="65">
        <v>7.4596735245822465</v>
      </c>
      <c r="N82" s="65">
        <v>6.0572066822066821</v>
      </c>
      <c r="O82" s="65">
        <v>6.8598581839669093</v>
      </c>
      <c r="P82" s="65">
        <v>5.128879005357323</v>
      </c>
      <c r="Q82" s="65">
        <v>5.0425920292059629</v>
      </c>
      <c r="R82" s="65">
        <v>4.3412230800487608</v>
      </c>
      <c r="S82" s="65">
        <v>4.9698748648231117</v>
      </c>
      <c r="T82" s="65">
        <v>4.6543319880496883</v>
      </c>
      <c r="U82" s="65">
        <v>4.3793650793650798</v>
      </c>
      <c r="V82" s="65">
        <v>4.3639974237870334</v>
      </c>
      <c r="W82" s="65">
        <v>4.2940528634361232</v>
      </c>
      <c r="X82" s="65">
        <v>3.9888661667802774</v>
      </c>
      <c r="Y82" s="65">
        <v>3.6311475409836067</v>
      </c>
      <c r="Z82" s="65">
        <v>3.005128816793893</v>
      </c>
      <c r="AA82" s="65">
        <v>3.042959427207637</v>
      </c>
      <c r="AB82" s="65">
        <v>3.0236077481840193</v>
      </c>
      <c r="AC82" s="65">
        <v>2.9322200392927309</v>
      </c>
      <c r="AD82" s="65">
        <v>2.6222994785199902</v>
      </c>
      <c r="AE82" s="65">
        <v>1.9714178731902148</v>
      </c>
      <c r="AF82" s="65">
        <v>1.9539722572509457</v>
      </c>
      <c r="AG82" s="65">
        <v>1.7364532019704433</v>
      </c>
      <c r="AH82" s="65">
        <v>1.6745283018867925</v>
      </c>
      <c r="AI82" s="65">
        <v>1.672525309336333</v>
      </c>
      <c r="AJ82" s="65">
        <v>1.3438591385331782</v>
      </c>
      <c r="AK82" s="65">
        <v>1.5850591715976332</v>
      </c>
      <c r="AL82" s="65">
        <v>1.5230965913904673</v>
      </c>
      <c r="AM82" s="65">
        <v>1.4292454139261233</v>
      </c>
      <c r="AN82" s="65">
        <v>1.5338986786568365</v>
      </c>
      <c r="AO82" s="65">
        <v>1.3586360746311197</v>
      </c>
      <c r="AP82" s="65">
        <v>1.2417855513176923</v>
      </c>
      <c r="AQ82" s="65">
        <v>1.2129118509573917</v>
      </c>
      <c r="AR82" s="65">
        <v>1.0803587859050785</v>
      </c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5"/>
      <c r="BD82" s="65"/>
      <c r="BE82" s="65"/>
      <c r="BF82" s="65"/>
      <c r="BG82" s="65"/>
      <c r="BH82" s="45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</row>
    <row r="83" spans="1:84" outlineLevel="2">
      <c r="A83" s="39"/>
      <c r="B83" s="43"/>
      <c r="C83" s="56" t="s">
        <v>221</v>
      </c>
      <c r="D83" s="58">
        <f t="shared" si="8"/>
        <v>0.48125000000000001</v>
      </c>
      <c r="E83" s="58">
        <f t="shared" si="9"/>
        <v>0.88941716382559233</v>
      </c>
      <c r="F83" s="58">
        <f t="shared" si="10"/>
        <v>-0.17874999999999999</v>
      </c>
      <c r="G83" s="58">
        <f t="shared" si="11"/>
        <v>3.7214821990796803</v>
      </c>
      <c r="H83" s="58">
        <f t="shared" si="12"/>
        <v>0.18156250000000002</v>
      </c>
      <c r="I83" s="58">
        <f t="shared" si="13"/>
        <v>1.2801033507660233</v>
      </c>
      <c r="J83" s="58">
        <f t="shared" si="14"/>
        <v>1.0008578983311498</v>
      </c>
      <c r="K83" s="58">
        <f t="shared" si="15"/>
        <v>1.1252963615253664</v>
      </c>
      <c r="M83" s="65">
        <v>3.7214821990796803</v>
      </c>
      <c r="N83" s="65">
        <v>3.4404988065663207</v>
      </c>
      <c r="O83" s="65">
        <v>3.179013869009427</v>
      </c>
      <c r="P83" s="65">
        <v>2.9108790428875597</v>
      </c>
      <c r="Q83" s="65">
        <v>2.558471337579618</v>
      </c>
      <c r="R83" s="65">
        <v>2.3236345074017355</v>
      </c>
      <c r="S83" s="65">
        <v>2.1069557549665441</v>
      </c>
      <c r="T83" s="65">
        <v>1.9405114116652578</v>
      </c>
      <c r="U83" s="65">
        <v>1.6878199658703072</v>
      </c>
      <c r="V83" s="65">
        <v>1.3119747354782982</v>
      </c>
      <c r="W83" s="65">
        <v>1.4422863485016648</v>
      </c>
      <c r="X83" s="65">
        <v>1.343232044198895</v>
      </c>
      <c r="Y83" s="65">
        <v>1.2482319660537482</v>
      </c>
      <c r="Z83" s="65">
        <v>1.148308135349172</v>
      </c>
      <c r="AA83" s="65">
        <v>1.1023763802208353</v>
      </c>
      <c r="AB83" s="65">
        <v>1.0833536436753595</v>
      </c>
      <c r="AC83" s="65">
        <v>1.0278322184090352</v>
      </c>
      <c r="AD83" s="65">
        <v>0.90292933288937216</v>
      </c>
      <c r="AE83" s="65">
        <v>0.82499999999999996</v>
      </c>
      <c r="AF83" s="65">
        <v>0.8125</v>
      </c>
      <c r="AG83" s="65">
        <v>0.59250000000000003</v>
      </c>
      <c r="AH83" s="65">
        <v>0.3125</v>
      </c>
      <c r="AI83" s="65">
        <v>0.31874999999999998</v>
      </c>
      <c r="AJ83" s="65">
        <v>0.17249999999999999</v>
      </c>
      <c r="AK83" s="65">
        <v>0.28875000000000001</v>
      </c>
      <c r="AL83" s="65">
        <v>0.51749999999999996</v>
      </c>
      <c r="AM83" s="65">
        <v>0.50875000000000004</v>
      </c>
      <c r="AN83" s="65">
        <v>0.48125000000000001</v>
      </c>
      <c r="AO83" s="65">
        <v>0.22312499999999999</v>
      </c>
      <c r="AP83" s="65">
        <v>0.208125</v>
      </c>
      <c r="AQ83" s="65">
        <v>0.19750000000000001</v>
      </c>
      <c r="AR83" s="65">
        <v>0.18187500000000001</v>
      </c>
      <c r="AS83" s="65">
        <v>0.14374999999999999</v>
      </c>
      <c r="AT83" s="65">
        <v>0.16562499999999999</v>
      </c>
      <c r="AU83" s="65">
        <v>0.144375</v>
      </c>
      <c r="AV83" s="65">
        <v>-0.17874999999999999</v>
      </c>
      <c r="AW83" s="65">
        <v>0.19500000000000001</v>
      </c>
      <c r="AX83" s="65">
        <v>0.21375</v>
      </c>
      <c r="AY83" s="65">
        <v>0.19375000000000001</v>
      </c>
      <c r="AZ83" s="65">
        <v>0.18124999999999999</v>
      </c>
      <c r="BA83" s="65">
        <v>0.19437499999999999</v>
      </c>
      <c r="BB83" s="65">
        <v>8.1875000000000003E-2</v>
      </c>
      <c r="BC83" s="65">
        <v>7.8437999999999994E-2</v>
      </c>
      <c r="BD83" s="65">
        <v>7.4688000000000004E-2</v>
      </c>
      <c r="BE83" s="65">
        <v>6.6562999999999997E-2</v>
      </c>
      <c r="BF83" s="65">
        <v>6.1563E-2</v>
      </c>
      <c r="BG83" s="65">
        <v>6.5937999999999997E-2</v>
      </c>
      <c r="BH83" s="45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</row>
    <row r="84" spans="1:84" outlineLevel="2">
      <c r="A84" s="39"/>
      <c r="B84" s="43"/>
      <c r="C84" s="56" t="s">
        <v>222</v>
      </c>
      <c r="D84" s="58">
        <f t="shared" si="8"/>
        <v>0.45734599999999997</v>
      </c>
      <c r="E84" s="58">
        <f t="shared" si="9"/>
        <v>0.88912417275419753</v>
      </c>
      <c r="F84" s="58">
        <f t="shared" si="10"/>
        <v>-0.17874999999999999</v>
      </c>
      <c r="G84" s="58">
        <f t="shared" si="11"/>
        <v>3.71</v>
      </c>
      <c r="H84" s="58">
        <f t="shared" si="12"/>
        <v>0.18156250000000002</v>
      </c>
      <c r="I84" s="58">
        <f t="shared" si="13"/>
        <v>1.2837499999999999</v>
      </c>
      <c r="J84" s="58">
        <f t="shared" si="14"/>
        <v>0.99977829898321235</v>
      </c>
      <c r="K84" s="58">
        <f t="shared" si="15"/>
        <v>1.1244529500151219</v>
      </c>
      <c r="M84" s="65">
        <v>3.71</v>
      </c>
      <c r="N84" s="65">
        <v>3.43</v>
      </c>
      <c r="O84" s="65">
        <v>3.17</v>
      </c>
      <c r="P84" s="65">
        <v>2.9</v>
      </c>
      <c r="Q84" s="65">
        <v>2.5499999999999998</v>
      </c>
      <c r="R84" s="65">
        <v>2.31</v>
      </c>
      <c r="S84" s="65">
        <v>2.0924999999999998</v>
      </c>
      <c r="T84" s="65">
        <v>1.925</v>
      </c>
      <c r="U84" s="65">
        <v>1.675</v>
      </c>
      <c r="V84" s="65">
        <v>1.5475000000000001</v>
      </c>
      <c r="W84" s="65">
        <v>1.4275</v>
      </c>
      <c r="X84" s="65">
        <v>1.325</v>
      </c>
      <c r="Y84" s="65">
        <v>1.2424999999999999</v>
      </c>
      <c r="Z84" s="65">
        <v>1.1425000000000001</v>
      </c>
      <c r="AA84" s="65">
        <v>1.0974999999999999</v>
      </c>
      <c r="AB84" s="65">
        <v>1.075</v>
      </c>
      <c r="AC84" s="65">
        <v>1.0226236471626076</v>
      </c>
      <c r="AD84" s="65">
        <v>0.89621747228467308</v>
      </c>
      <c r="AE84" s="65">
        <v>0.8175</v>
      </c>
      <c r="AF84" s="65">
        <v>0.8075</v>
      </c>
      <c r="AG84" s="65">
        <v>0.58499999999999996</v>
      </c>
      <c r="AH84" s="65">
        <v>0.31</v>
      </c>
      <c r="AI84" s="65">
        <v>0.3175</v>
      </c>
      <c r="AJ84" s="65">
        <v>0.17249999999999999</v>
      </c>
      <c r="AK84" s="65">
        <v>0.28875000000000001</v>
      </c>
      <c r="AL84" s="65">
        <v>0.51749999999999996</v>
      </c>
      <c r="AM84" s="65">
        <v>0.48358400000000001</v>
      </c>
      <c r="AN84" s="65">
        <v>0.45734599999999997</v>
      </c>
      <c r="AO84" s="65">
        <v>0.22312499999999999</v>
      </c>
      <c r="AP84" s="65">
        <v>0.208125</v>
      </c>
      <c r="AQ84" s="65">
        <v>0.19750000000000001</v>
      </c>
      <c r="AR84" s="65">
        <v>0.18187500000000001</v>
      </c>
      <c r="AS84" s="65">
        <v>0.14374999999999999</v>
      </c>
      <c r="AT84" s="65">
        <v>0.16562499999999999</v>
      </c>
      <c r="AU84" s="65">
        <v>0.144375</v>
      </c>
      <c r="AV84" s="65">
        <v>-0.17874999999999999</v>
      </c>
      <c r="AW84" s="65">
        <v>0.19500000000000001</v>
      </c>
      <c r="AX84" s="65">
        <v>0.21375</v>
      </c>
      <c r="AY84" s="65">
        <v>0.19375000000000001</v>
      </c>
      <c r="AZ84" s="65">
        <v>0.18124999999999999</v>
      </c>
      <c r="BA84" s="65">
        <v>0.19437499999999999</v>
      </c>
      <c r="BB84" s="65">
        <v>8.1875000000000003E-2</v>
      </c>
      <c r="BC84" s="65">
        <v>7.8437999999999994E-2</v>
      </c>
      <c r="BD84" s="65">
        <v>7.4688000000000004E-2</v>
      </c>
      <c r="BE84" s="65">
        <v>6.6562999999999997E-2</v>
      </c>
      <c r="BF84" s="65">
        <v>6.1563E-2</v>
      </c>
      <c r="BG84" s="65">
        <v>6.5937999999999997E-2</v>
      </c>
      <c r="BH84" s="45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</row>
    <row r="85" spans="1:84" outlineLevel="2">
      <c r="A85" s="39"/>
      <c r="B85" s="43"/>
      <c r="C85" s="56" t="s">
        <v>223</v>
      </c>
      <c r="D85" s="58">
        <f t="shared" si="8"/>
        <v>6.0776627218934909</v>
      </c>
      <c r="E85" s="58">
        <f t="shared" si="9"/>
        <v>6.9395752591249193</v>
      </c>
      <c r="F85" s="58">
        <f t="shared" si="10"/>
        <v>2.9610904235772555</v>
      </c>
      <c r="G85" s="58">
        <f t="shared" si="11"/>
        <v>13.843805396887927</v>
      </c>
      <c r="H85" s="58">
        <f t="shared" si="12"/>
        <v>4.2573667581221146</v>
      </c>
      <c r="I85" s="58">
        <f t="shared" si="13"/>
        <v>9.2125665281686473</v>
      </c>
      <c r="J85" s="58">
        <f t="shared" si="14"/>
        <v>2.9074572837202473</v>
      </c>
      <c r="K85" s="58">
        <f t="shared" si="15"/>
        <v>0.4189676133128179</v>
      </c>
      <c r="M85" s="65">
        <v>13.238674780256931</v>
      </c>
      <c r="N85" s="65">
        <v>12.020687645687646</v>
      </c>
      <c r="O85" s="65">
        <v>13.843805396887927</v>
      </c>
      <c r="P85" s="65">
        <v>10.591327201051248</v>
      </c>
      <c r="Q85" s="65">
        <v>8.654801744245006</v>
      </c>
      <c r="R85" s="65">
        <v>9.1411011783827707</v>
      </c>
      <c r="S85" s="65">
        <v>9.8892836912302382</v>
      </c>
      <c r="T85" s="65">
        <v>8.7672309869490022</v>
      </c>
      <c r="U85" s="65">
        <v>9.0862433862433871</v>
      </c>
      <c r="V85" s="65">
        <v>8.6614426792614854</v>
      </c>
      <c r="W85" s="65">
        <v>9.6288546255506606</v>
      </c>
      <c r="X85" s="65">
        <v>9.6688252669847756</v>
      </c>
      <c r="Y85" s="65">
        <v>8.8618266978922708</v>
      </c>
      <c r="Z85" s="65">
        <v>8.5019083969465647</v>
      </c>
      <c r="AA85" s="65">
        <v>9.1533412887828156</v>
      </c>
      <c r="AB85" s="65">
        <v>9.271791767554479</v>
      </c>
      <c r="AC85" s="65">
        <v>9.6040029469548127</v>
      </c>
      <c r="AD85" s="65">
        <v>10.18748447976161</v>
      </c>
      <c r="AE85" s="65">
        <v>9.5250873689465809</v>
      </c>
      <c r="AF85" s="65">
        <v>9.9054224464060532</v>
      </c>
      <c r="AG85" s="65">
        <v>7.6782473424941662</v>
      </c>
      <c r="AH85" s="65">
        <v>7.2988346281908987</v>
      </c>
      <c r="AI85" s="65">
        <v>6.7702474690663665</v>
      </c>
      <c r="AJ85" s="65">
        <v>5.9465948777648432</v>
      </c>
      <c r="AK85" s="65">
        <v>6.0776627218934909</v>
      </c>
      <c r="AL85" s="65">
        <v>5.2058735811907768</v>
      </c>
      <c r="AM85" s="65">
        <v>4.4667388227458167</v>
      </c>
      <c r="AN85" s="65">
        <v>4.5879205651249162</v>
      </c>
      <c r="AO85" s="65">
        <v>4.3636677555852756</v>
      </c>
      <c r="AP85" s="65">
        <v>4.0898305364456675</v>
      </c>
      <c r="AQ85" s="65">
        <v>3.768112816974297</v>
      </c>
      <c r="AR85" s="65">
        <v>3.7798965019210717</v>
      </c>
      <c r="AS85" s="65">
        <v>3.5849247451043857</v>
      </c>
      <c r="AT85" s="65">
        <v>3.7438795107068912</v>
      </c>
      <c r="AU85" s="65">
        <v>4.0588060643173929</v>
      </c>
      <c r="AV85" s="65">
        <v>5.8202595748776531</v>
      </c>
      <c r="AW85" s="65">
        <v>5.9406987564503853</v>
      </c>
      <c r="AX85" s="65">
        <v>5.62702355592128</v>
      </c>
      <c r="AY85" s="65">
        <v>4.2674439172197403</v>
      </c>
      <c r="AZ85" s="65">
        <v>4.0858778321030265</v>
      </c>
      <c r="BA85" s="65">
        <v>4.5961850649350646</v>
      </c>
      <c r="BB85" s="65">
        <v>4.2506903097765125</v>
      </c>
      <c r="BC85" s="65">
        <v>3.7187194959623748</v>
      </c>
      <c r="BD85" s="65">
        <v>3.6446559587547096</v>
      </c>
      <c r="BE85" s="65">
        <v>4.2640432064677167</v>
      </c>
      <c r="BF85" s="65">
        <v>3.3589671673230148</v>
      </c>
      <c r="BG85" s="65">
        <v>2.9610904235772555</v>
      </c>
      <c r="BH85" s="45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</row>
    <row r="86" spans="1:84" outlineLevel="2">
      <c r="A86" s="39"/>
      <c r="B86" s="43"/>
      <c r="C86" s="56" t="s">
        <v>224</v>
      </c>
      <c r="D86" s="58">
        <f t="shared" si="8"/>
        <v>0.35499999999999998</v>
      </c>
      <c r="E86" s="58">
        <f t="shared" si="9"/>
        <v>0.63621341463414638</v>
      </c>
      <c r="F86" s="58">
        <f t="shared" si="10"/>
        <v>0</v>
      </c>
      <c r="G86" s="58">
        <f t="shared" si="11"/>
        <v>2.266</v>
      </c>
      <c r="H86" s="58">
        <f t="shared" si="12"/>
        <v>0.27250000000000002</v>
      </c>
      <c r="I86" s="58">
        <f t="shared" si="13"/>
        <v>0.77</v>
      </c>
      <c r="J86" s="58">
        <f t="shared" si="14"/>
        <v>0.56491645555165848</v>
      </c>
      <c r="K86" s="58">
        <f t="shared" si="15"/>
        <v>0.88793546718362248</v>
      </c>
      <c r="M86" s="65">
        <v>2.266</v>
      </c>
      <c r="N86" s="65">
        <v>2.06</v>
      </c>
      <c r="O86" s="65">
        <v>1.87</v>
      </c>
      <c r="P86" s="65">
        <v>1.7</v>
      </c>
      <c r="Q86" s="65">
        <v>1.54</v>
      </c>
      <c r="R86" s="65">
        <v>1.4</v>
      </c>
      <c r="S86" s="65">
        <v>1.25</v>
      </c>
      <c r="T86" s="65">
        <v>1.1100000000000001</v>
      </c>
      <c r="U86" s="65">
        <v>0.98250000000000004</v>
      </c>
      <c r="V86" s="65">
        <v>0.87</v>
      </c>
      <c r="W86" s="65">
        <v>0.77</v>
      </c>
      <c r="X86" s="65">
        <v>0.72499999999999998</v>
      </c>
      <c r="Y86" s="65">
        <v>0.66</v>
      </c>
      <c r="Z86" s="65">
        <v>0.6</v>
      </c>
      <c r="AA86" s="65">
        <v>0.55000000000000004</v>
      </c>
      <c r="AB86" s="65">
        <v>0.5</v>
      </c>
      <c r="AC86" s="65">
        <v>0.47249999999999998</v>
      </c>
      <c r="AD86" s="65">
        <v>0.44500000000000001</v>
      </c>
      <c r="AE86" s="65">
        <v>0.41</v>
      </c>
      <c r="AF86" s="65">
        <v>0.375</v>
      </c>
      <c r="AG86" s="65">
        <v>0.35499999999999998</v>
      </c>
      <c r="AH86" s="65">
        <v>0.32500000000000001</v>
      </c>
      <c r="AI86" s="65">
        <v>0.3</v>
      </c>
      <c r="AJ86" s="65">
        <v>0.28999999999999998</v>
      </c>
      <c r="AK86" s="65">
        <v>0.28000000000000003</v>
      </c>
      <c r="AL86" s="65">
        <v>0.27</v>
      </c>
      <c r="AM86" s="65">
        <v>0.26</v>
      </c>
      <c r="AN86" s="65">
        <v>0.25</v>
      </c>
      <c r="AO86" s="65">
        <v>0.24</v>
      </c>
      <c r="AP86" s="65">
        <v>0.23</v>
      </c>
      <c r="AQ86" s="65">
        <v>0.22</v>
      </c>
      <c r="AR86" s="65">
        <v>0.23499999999999999</v>
      </c>
      <c r="AS86" s="65">
        <v>0.30875000000000002</v>
      </c>
      <c r="AT86" s="65">
        <v>0.30374999999999996</v>
      </c>
      <c r="AU86" s="65">
        <v>0.29875000000000002</v>
      </c>
      <c r="AV86" s="65">
        <v>0.29249999999999998</v>
      </c>
      <c r="AW86" s="65">
        <v>0.28249999999999997</v>
      </c>
      <c r="AX86" s="65">
        <v>0.27250000000000002</v>
      </c>
      <c r="AY86" s="65">
        <v>0.26250000000000001</v>
      </c>
      <c r="AZ86" s="65">
        <v>0.2525</v>
      </c>
      <c r="BA86" s="65">
        <v>0</v>
      </c>
      <c r="BB86" s="65"/>
      <c r="BC86" s="65"/>
      <c r="BD86" s="65"/>
      <c r="BE86" s="65"/>
      <c r="BF86" s="65"/>
      <c r="BG86" s="65"/>
      <c r="BH86" s="45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</row>
    <row r="87" spans="1:84" outlineLevel="1">
      <c r="A87" s="39"/>
      <c r="B87" s="43"/>
      <c r="C87" s="56" t="s">
        <v>225</v>
      </c>
      <c r="D87" s="67" t="str">
        <f t="shared" si="8"/>
        <v/>
      </c>
      <c r="E87" s="67" t="str">
        <f t="shared" si="9"/>
        <v/>
      </c>
      <c r="F87" s="67" t="str">
        <f t="shared" si="10"/>
        <v/>
      </c>
      <c r="G87" s="67" t="str">
        <f t="shared" si="11"/>
        <v/>
      </c>
      <c r="H87" s="67" t="str">
        <f t="shared" si="12"/>
        <v/>
      </c>
      <c r="I87" s="67" t="str">
        <f t="shared" si="13"/>
        <v/>
      </c>
      <c r="J87" s="67" t="str">
        <f t="shared" si="14"/>
        <v/>
      </c>
      <c r="K87" s="58" t="str">
        <f t="shared" si="15"/>
        <v/>
      </c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45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</row>
    <row r="88" spans="1:84" outlineLevel="2">
      <c r="A88" s="39"/>
      <c r="B88" s="43"/>
      <c r="C88" s="56" t="s">
        <v>226</v>
      </c>
      <c r="D88" s="57">
        <f t="shared" si="8"/>
        <v>8217000</v>
      </c>
      <c r="E88" s="57">
        <f t="shared" si="9"/>
        <v>11057031.914893618</v>
      </c>
      <c r="F88" s="57">
        <f t="shared" si="10"/>
        <v>1933900</v>
      </c>
      <c r="G88" s="57">
        <f t="shared" si="11"/>
        <v>28114000</v>
      </c>
      <c r="H88" s="57">
        <f t="shared" si="12"/>
        <v>5369500</v>
      </c>
      <c r="I88" s="57">
        <f t="shared" si="13"/>
        <v>16274000</v>
      </c>
      <c r="J88" s="57">
        <f t="shared" si="14"/>
        <v>6938177.5814222721</v>
      </c>
      <c r="K88" s="58">
        <f t="shared" si="15"/>
        <v>0.62749005653828993</v>
      </c>
      <c r="M88" s="59">
        <v>27412000</v>
      </c>
      <c r="N88" s="59">
        <v>24753000</v>
      </c>
      <c r="O88" s="59">
        <v>28114000</v>
      </c>
      <c r="P88" s="59">
        <v>20956000</v>
      </c>
      <c r="Q88" s="59">
        <v>17069000</v>
      </c>
      <c r="R88" s="59">
        <v>17997000</v>
      </c>
      <c r="S88" s="59">
        <v>19204000</v>
      </c>
      <c r="T88" s="59">
        <v>16727000</v>
      </c>
      <c r="U88" s="59">
        <v>17173000</v>
      </c>
      <c r="V88" s="59">
        <v>16138000</v>
      </c>
      <c r="W88" s="59">
        <v>17486000</v>
      </c>
      <c r="X88" s="59">
        <v>17021000</v>
      </c>
      <c r="Y88" s="59">
        <v>15136000</v>
      </c>
      <c r="Z88" s="59">
        <v>14256000</v>
      </c>
      <c r="AA88" s="59">
        <v>15341000</v>
      </c>
      <c r="AB88" s="59">
        <v>15317000</v>
      </c>
      <c r="AC88" s="59">
        <v>15643000</v>
      </c>
      <c r="AD88" s="59">
        <v>16410000</v>
      </c>
      <c r="AE88" s="59">
        <v>15263000</v>
      </c>
      <c r="AF88" s="59">
        <v>15710000</v>
      </c>
      <c r="AG88" s="59">
        <v>11846000</v>
      </c>
      <c r="AH88" s="59">
        <v>10522000</v>
      </c>
      <c r="AI88" s="59">
        <v>9630000</v>
      </c>
      <c r="AJ88" s="59">
        <v>8173000</v>
      </c>
      <c r="AK88" s="59">
        <v>8217000</v>
      </c>
      <c r="AL88" s="59">
        <v>7082000</v>
      </c>
      <c r="AM88" s="59">
        <v>6438000</v>
      </c>
      <c r="AN88" s="59">
        <v>6661000</v>
      </c>
      <c r="AO88" s="59">
        <v>6369000</v>
      </c>
      <c r="AP88" s="59">
        <v>6037000</v>
      </c>
      <c r="AQ88" s="59">
        <v>5592000</v>
      </c>
      <c r="AR88" s="59">
        <v>5422700</v>
      </c>
      <c r="AS88" s="59">
        <v>5316300</v>
      </c>
      <c r="AT88" s="59">
        <v>5193300</v>
      </c>
      <c r="AU88" s="59">
        <v>5249400</v>
      </c>
      <c r="AV88" s="59">
        <v>6289000</v>
      </c>
      <c r="AW88" s="59">
        <v>6179800</v>
      </c>
      <c r="AX88" s="59">
        <v>5853500</v>
      </c>
      <c r="AY88" s="59">
        <v>4439200</v>
      </c>
      <c r="AZ88" s="59">
        <v>4091500</v>
      </c>
      <c r="BA88" s="59">
        <v>4348800</v>
      </c>
      <c r="BB88" s="59">
        <v>3940900</v>
      </c>
      <c r="BC88" s="59">
        <v>3352500</v>
      </c>
      <c r="BD88" s="59">
        <v>2940800</v>
      </c>
      <c r="BE88" s="59">
        <v>3088600</v>
      </c>
      <c r="BF88" s="59">
        <v>2347300</v>
      </c>
      <c r="BG88" s="59">
        <v>1933900</v>
      </c>
      <c r="BH88" s="45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</row>
    <row r="89" spans="1:84" outlineLevel="2">
      <c r="A89" s="39"/>
      <c r="B89" s="43"/>
      <c r="C89" s="56" t="s">
        <v>227</v>
      </c>
      <c r="D89" s="57">
        <f t="shared" si="8"/>
        <v>-8312000</v>
      </c>
      <c r="E89" s="57">
        <f t="shared" si="9"/>
        <v>-8792465.625</v>
      </c>
      <c r="F89" s="57">
        <f t="shared" si="10"/>
        <v>-19392000</v>
      </c>
      <c r="G89" s="57">
        <f t="shared" si="11"/>
        <v>-2558900</v>
      </c>
      <c r="H89" s="57">
        <f t="shared" si="12"/>
        <v>-12691250</v>
      </c>
      <c r="I89" s="57">
        <f t="shared" si="13"/>
        <v>-3356250</v>
      </c>
      <c r="J89" s="57">
        <f t="shared" si="14"/>
        <v>5602445.7927224198</v>
      </c>
      <c r="K89" s="58">
        <f t="shared" si="15"/>
        <v>-0.63718711356604474</v>
      </c>
      <c r="M89" s="59">
        <v>-19392000</v>
      </c>
      <c r="N89" s="59">
        <v>-17626000</v>
      </c>
      <c r="O89" s="59">
        <v>-18282000</v>
      </c>
      <c r="P89" s="59">
        <v>-17397000</v>
      </c>
      <c r="Q89" s="59">
        <v>-14233000</v>
      </c>
      <c r="R89" s="59">
        <v>-13234000</v>
      </c>
      <c r="S89" s="59">
        <v>-14257000</v>
      </c>
      <c r="T89" s="59">
        <v>-12527000</v>
      </c>
      <c r="U89" s="59">
        <v>-12000000</v>
      </c>
      <c r="V89" s="59">
        <v>-11679000</v>
      </c>
      <c r="W89" s="59">
        <v>-12854000</v>
      </c>
      <c r="X89" s="59">
        <v>-12637000</v>
      </c>
      <c r="Y89" s="59">
        <v>-11895000</v>
      </c>
      <c r="Z89" s="59">
        <v>-10980000</v>
      </c>
      <c r="AA89" s="59">
        <v>-12080000</v>
      </c>
      <c r="AB89" s="59">
        <v>-12090000</v>
      </c>
      <c r="AC89" s="59">
        <v>-5644000</v>
      </c>
      <c r="AD89" s="59">
        <v>-5173000</v>
      </c>
      <c r="AE89" s="59">
        <v>-4788000</v>
      </c>
      <c r="AF89" s="59">
        <v>-4670000</v>
      </c>
      <c r="AG89" s="59">
        <v>-4185000</v>
      </c>
      <c r="AH89" s="59">
        <v>-3820000</v>
      </c>
      <c r="AI89" s="59">
        <v>-3560000</v>
      </c>
      <c r="AJ89" s="59">
        <v>-3420000</v>
      </c>
      <c r="AK89" s="59">
        <v>-3048000</v>
      </c>
      <c r="AL89" s="59">
        <v>-2974000</v>
      </c>
      <c r="AM89" s="59">
        <v>-2896000</v>
      </c>
      <c r="AN89" s="59">
        <v>-3165000</v>
      </c>
      <c r="AO89" s="59">
        <v>-2886000</v>
      </c>
      <c r="AP89" s="59">
        <v>-2735000</v>
      </c>
      <c r="AQ89" s="59">
        <v>-2673000</v>
      </c>
      <c r="AR89" s="59">
        <v>-2558900</v>
      </c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45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9"/>
    </row>
    <row r="90" spans="1:84" outlineLevel="2">
      <c r="A90" s="39"/>
      <c r="B90" s="43"/>
      <c r="C90" s="56" t="s">
        <v>228</v>
      </c>
      <c r="D90" s="57">
        <f t="shared" si="8"/>
        <v>2869000</v>
      </c>
      <c r="E90" s="57">
        <f t="shared" si="9"/>
        <v>3271796.875</v>
      </c>
      <c r="F90" s="57">
        <f t="shared" si="10"/>
        <v>1148500</v>
      </c>
      <c r="G90" s="57">
        <f t="shared" si="11"/>
        <v>10237000</v>
      </c>
      <c r="H90" s="57">
        <f t="shared" si="12"/>
        <v>1370500</v>
      </c>
      <c r="I90" s="57">
        <f t="shared" si="13"/>
        <v>4402750</v>
      </c>
      <c r="J90" s="57">
        <f t="shared" si="14"/>
        <v>2266247.72960182</v>
      </c>
      <c r="K90" s="58">
        <f t="shared" si="15"/>
        <v>0.69266149953206368</v>
      </c>
      <c r="M90" s="59">
        <v>8280000</v>
      </c>
      <c r="N90" s="59">
        <v>7479000</v>
      </c>
      <c r="O90" s="59">
        <v>10237000</v>
      </c>
      <c r="P90" s="59">
        <v>4081000</v>
      </c>
      <c r="Q90" s="59">
        <v>2913000</v>
      </c>
      <c r="R90" s="59">
        <v>5116000</v>
      </c>
      <c r="S90" s="59">
        <v>5353000</v>
      </c>
      <c r="T90" s="59">
        <v>4280000</v>
      </c>
      <c r="U90" s="59">
        <v>5173000</v>
      </c>
      <c r="V90" s="59">
        <v>4459000</v>
      </c>
      <c r="W90" s="59">
        <v>4632000</v>
      </c>
      <c r="X90" s="59">
        <v>4384000</v>
      </c>
      <c r="Y90" s="59">
        <v>3241000</v>
      </c>
      <c r="Z90" s="59">
        <v>3276000</v>
      </c>
      <c r="AA90" s="59">
        <v>3261000</v>
      </c>
      <c r="AB90" s="59">
        <v>3227000</v>
      </c>
      <c r="AC90" s="59">
        <v>2594000</v>
      </c>
      <c r="AD90" s="59">
        <v>2825000</v>
      </c>
      <c r="AE90" s="59">
        <v>2283000</v>
      </c>
      <c r="AF90" s="59">
        <v>2097000</v>
      </c>
      <c r="AG90" s="59">
        <v>1490000</v>
      </c>
      <c r="AH90" s="59">
        <v>1485000</v>
      </c>
      <c r="AI90" s="59">
        <v>1531000</v>
      </c>
      <c r="AJ90" s="59">
        <v>1177000</v>
      </c>
      <c r="AK90" s="59">
        <v>1410000</v>
      </c>
      <c r="AL90" s="59">
        <v>1240000</v>
      </c>
      <c r="AM90" s="59">
        <v>1177000</v>
      </c>
      <c r="AN90" s="59">
        <v>1252000</v>
      </c>
      <c r="AO90" s="59">
        <v>1228000</v>
      </c>
      <c r="AP90" s="59">
        <v>1171000</v>
      </c>
      <c r="AQ90" s="59">
        <v>1197000</v>
      </c>
      <c r="AR90" s="59">
        <v>1148500</v>
      </c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  <c r="BF90" s="59"/>
      <c r="BG90" s="59"/>
      <c r="BH90" s="45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9"/>
    </row>
    <row r="91" spans="1:84" outlineLevel="2">
      <c r="A91" s="39"/>
      <c r="B91" s="43"/>
      <c r="C91" s="56" t="s">
        <v>229</v>
      </c>
      <c r="D91" s="57">
        <f t="shared" si="8"/>
        <v>3673000</v>
      </c>
      <c r="E91" s="57">
        <f t="shared" si="9"/>
        <v>3998800</v>
      </c>
      <c r="F91" s="57">
        <f t="shared" si="10"/>
        <v>1778000</v>
      </c>
      <c r="G91" s="57">
        <f t="shared" si="11"/>
        <v>7683000</v>
      </c>
      <c r="H91" s="57">
        <f t="shared" si="12"/>
        <v>2226000</v>
      </c>
      <c r="I91" s="57">
        <f t="shared" si="13"/>
        <v>5381500</v>
      </c>
      <c r="J91" s="57">
        <f t="shared" si="14"/>
        <v>2006100.5956830778</v>
      </c>
      <c r="K91" s="58">
        <f t="shared" si="15"/>
        <v>0.50167565161625438</v>
      </c>
      <c r="M91" s="59">
        <v>7683000</v>
      </c>
      <c r="N91" s="59">
        <v>7063000</v>
      </c>
      <c r="O91" s="59">
        <v>6441000</v>
      </c>
      <c r="P91" s="59">
        <v>5742000</v>
      </c>
      <c r="Q91" s="59">
        <v>5021000</v>
      </c>
      <c r="R91" s="59">
        <v>4552000</v>
      </c>
      <c r="S91" s="59">
        <v>4062000</v>
      </c>
      <c r="T91" s="59">
        <v>3673000</v>
      </c>
      <c r="U91" s="59">
        <v>3165000</v>
      </c>
      <c r="V91" s="59"/>
      <c r="W91" s="59">
        <v>2599000</v>
      </c>
      <c r="X91" s="59">
        <v>2334000</v>
      </c>
      <c r="Y91" s="59">
        <v>2118000</v>
      </c>
      <c r="Z91" s="59">
        <v>1914000</v>
      </c>
      <c r="AA91" s="59">
        <v>1837000</v>
      </c>
      <c r="AB91" s="59">
        <v>1778000</v>
      </c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45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9"/>
    </row>
    <row r="92" spans="1:84" outlineLevel="2">
      <c r="A92" s="39"/>
      <c r="B92" s="43"/>
      <c r="C92" s="56" t="s">
        <v>230</v>
      </c>
      <c r="D92" s="58">
        <f t="shared" si="8"/>
        <v>1.8</v>
      </c>
      <c r="E92" s="58">
        <f t="shared" si="9"/>
        <v>2.0387499999999998</v>
      </c>
      <c r="F92" s="58">
        <f t="shared" si="10"/>
        <v>1.075</v>
      </c>
      <c r="G92" s="58">
        <f t="shared" si="11"/>
        <v>3.71</v>
      </c>
      <c r="H92" s="58">
        <f t="shared" si="12"/>
        <v>1.3043749999999998</v>
      </c>
      <c r="I92" s="58">
        <f t="shared" si="13"/>
        <v>2.6374999999999997</v>
      </c>
      <c r="J92" s="58">
        <f t="shared" si="14"/>
        <v>0.87975991043011326</v>
      </c>
      <c r="K92" s="58">
        <f t="shared" si="15"/>
        <v>0.43151926937099366</v>
      </c>
      <c r="M92" s="65">
        <v>3.71</v>
      </c>
      <c r="N92" s="65">
        <v>3.43</v>
      </c>
      <c r="O92" s="65">
        <v>3.17</v>
      </c>
      <c r="P92" s="65">
        <v>2.9</v>
      </c>
      <c r="Q92" s="65">
        <v>2.5499999999999998</v>
      </c>
      <c r="R92" s="65">
        <v>2.31</v>
      </c>
      <c r="S92" s="65">
        <v>2.0924999999999998</v>
      </c>
      <c r="T92" s="65">
        <v>1.925</v>
      </c>
      <c r="U92" s="65">
        <v>1.675</v>
      </c>
      <c r="V92" s="65">
        <v>1.5475000000000001</v>
      </c>
      <c r="W92" s="65">
        <v>1.4275</v>
      </c>
      <c r="X92" s="65">
        <v>1.325</v>
      </c>
      <c r="Y92" s="65">
        <v>1.2424999999999999</v>
      </c>
      <c r="Z92" s="65">
        <v>1.1425000000000001</v>
      </c>
      <c r="AA92" s="65">
        <v>1.0974999999999999</v>
      </c>
      <c r="AB92" s="65">
        <v>1.075</v>
      </c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5"/>
      <c r="BD92" s="65"/>
      <c r="BE92" s="65"/>
      <c r="BF92" s="65"/>
      <c r="BG92" s="65"/>
      <c r="BH92" s="45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39"/>
      <c r="CE92" s="39"/>
      <c r="CF92" s="39"/>
    </row>
    <row r="93" spans="1:84" outlineLevel="2">
      <c r="A93" s="39"/>
      <c r="B93" s="43"/>
      <c r="C93" s="56" t="s">
        <v>231</v>
      </c>
      <c r="D93" s="69">
        <f t="shared" si="8"/>
        <v>0.1835</v>
      </c>
      <c r="E93" s="69">
        <f t="shared" si="9"/>
        <v>0.15287500000000001</v>
      </c>
      <c r="F93" s="69">
        <f t="shared" si="10"/>
        <v>-0.17699999999999999</v>
      </c>
      <c r="G93" s="69">
        <f t="shared" si="11"/>
        <v>0.32300000000000001</v>
      </c>
      <c r="H93" s="69">
        <f t="shared" si="12"/>
        <v>9.6500000000000002E-2</v>
      </c>
      <c r="I93" s="69">
        <f t="shared" si="13"/>
        <v>0.27650000000000002</v>
      </c>
      <c r="J93" s="69">
        <f t="shared" si="14"/>
        <v>0.15431002343766698</v>
      </c>
      <c r="K93" s="58">
        <f t="shared" si="15"/>
        <v>1.0093869071965134</v>
      </c>
      <c r="M93" s="70">
        <v>-0.17699999999999999</v>
      </c>
      <c r="N93" s="70">
        <v>5.6000000000000001E-2</v>
      </c>
      <c r="O93" s="70">
        <v>0.13800000000000001</v>
      </c>
      <c r="P93" s="70">
        <v>0.153</v>
      </c>
      <c r="Q93" s="70">
        <v>0.11</v>
      </c>
      <c r="R93" s="70">
        <v>1.7999999999999999E-2</v>
      </c>
      <c r="S93" s="70">
        <v>0.11700000000000001</v>
      </c>
      <c r="T93" s="70">
        <v>0.214</v>
      </c>
      <c r="U93" s="70">
        <v>-0.14199999999999999</v>
      </c>
      <c r="V93" s="70">
        <v>0.315</v>
      </c>
      <c r="W93" s="70">
        <v>0.308</v>
      </c>
      <c r="X93" s="70">
        <v>0.32300000000000001</v>
      </c>
      <c r="Y93" s="70">
        <v>0.317</v>
      </c>
      <c r="Z93" s="70">
        <v>0.26600000000000001</v>
      </c>
      <c r="AA93" s="70">
        <v>0.216</v>
      </c>
      <c r="AB93" s="70">
        <v>0.214</v>
      </c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45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</row>
    <row r="94" spans="1:84">
      <c r="A94" s="39"/>
      <c r="B94" s="43"/>
      <c r="C94" s="53" t="s">
        <v>232</v>
      </c>
      <c r="D94" s="66" t="str">
        <f t="shared" si="8"/>
        <v/>
      </c>
      <c r="E94" s="66" t="str">
        <f t="shared" si="9"/>
        <v/>
      </c>
      <c r="F94" s="66" t="str">
        <f t="shared" si="10"/>
        <v/>
      </c>
      <c r="G94" s="66" t="str">
        <f t="shared" si="11"/>
        <v/>
      </c>
      <c r="H94" s="66" t="str">
        <f t="shared" si="12"/>
        <v/>
      </c>
      <c r="I94" s="66" t="str">
        <f t="shared" si="13"/>
        <v/>
      </c>
      <c r="J94" s="66" t="str">
        <f t="shared" si="14"/>
        <v/>
      </c>
      <c r="K94" s="55" t="str">
        <f t="shared" si="15"/>
        <v/>
      </c>
      <c r="L94" s="48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/>
      <c r="BH94" s="45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</row>
    <row r="95" spans="1:84" outlineLevel="1">
      <c r="A95" s="39"/>
      <c r="B95" s="43"/>
      <c r="C95" s="56" t="s">
        <v>233</v>
      </c>
      <c r="D95" s="67" t="str">
        <f t="shared" si="8"/>
        <v/>
      </c>
      <c r="E95" s="67" t="str">
        <f t="shared" si="9"/>
        <v/>
      </c>
      <c r="F95" s="67" t="str">
        <f t="shared" si="10"/>
        <v/>
      </c>
      <c r="G95" s="67" t="str">
        <f t="shared" si="11"/>
        <v/>
      </c>
      <c r="H95" s="67" t="str">
        <f t="shared" si="12"/>
        <v/>
      </c>
      <c r="I95" s="67" t="str">
        <f t="shared" si="13"/>
        <v/>
      </c>
      <c r="J95" s="67" t="str">
        <f t="shared" si="14"/>
        <v/>
      </c>
      <c r="K95" s="58" t="str">
        <f t="shared" si="15"/>
        <v/>
      </c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45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</row>
    <row r="96" spans="1:84" outlineLevel="2">
      <c r="A96" s="39"/>
      <c r="B96" s="43"/>
      <c r="C96" s="56" t="s">
        <v>234</v>
      </c>
      <c r="D96" s="57">
        <f t="shared" si="8"/>
        <v>4987000</v>
      </c>
      <c r="E96" s="57">
        <f t="shared" si="9"/>
        <v>6031996.875</v>
      </c>
      <c r="F96" s="57">
        <f t="shared" si="10"/>
        <v>1549900</v>
      </c>
      <c r="G96" s="57">
        <f t="shared" si="11"/>
        <v>16763000</v>
      </c>
      <c r="H96" s="57">
        <f t="shared" si="12"/>
        <v>2206000</v>
      </c>
      <c r="I96" s="57">
        <f t="shared" si="13"/>
        <v>8703000</v>
      </c>
      <c r="J96" s="57">
        <f t="shared" si="14"/>
        <v>4420758.3439718094</v>
      </c>
      <c r="K96" s="58">
        <f t="shared" si="15"/>
        <v>0.73288472052993381</v>
      </c>
      <c r="M96" s="59">
        <v>16043000</v>
      </c>
      <c r="N96" s="59">
        <v>14033000</v>
      </c>
      <c r="O96" s="59">
        <v>16763000</v>
      </c>
      <c r="P96" s="59">
        <v>9207000</v>
      </c>
      <c r="Q96" s="59">
        <v>8659000</v>
      </c>
      <c r="R96" s="59">
        <v>8678000</v>
      </c>
      <c r="S96" s="59">
        <v>10563000</v>
      </c>
      <c r="T96" s="59">
        <v>12946000</v>
      </c>
      <c r="U96" s="59">
        <v>8778000</v>
      </c>
      <c r="V96" s="59">
        <v>8822000</v>
      </c>
      <c r="W96" s="59">
        <v>8318000</v>
      </c>
      <c r="X96" s="59">
        <v>7722000</v>
      </c>
      <c r="Y96" s="59">
        <v>6018000</v>
      </c>
      <c r="Z96" s="59">
        <v>5332000</v>
      </c>
      <c r="AA96" s="59">
        <v>5257000</v>
      </c>
      <c r="AB96" s="59">
        <v>5450000</v>
      </c>
      <c r="AC96" s="59">
        <v>4717000</v>
      </c>
      <c r="AD96" s="59">
        <v>4473000</v>
      </c>
      <c r="AE96" s="59">
        <v>3159000</v>
      </c>
      <c r="AF96" s="59">
        <v>3099000</v>
      </c>
      <c r="AG96" s="59">
        <v>2679000</v>
      </c>
      <c r="AH96" s="59">
        <v>2414000</v>
      </c>
      <c r="AI96" s="59">
        <v>2379000</v>
      </c>
      <c r="AJ96" s="59">
        <v>1847000</v>
      </c>
      <c r="AK96" s="59">
        <v>2143000</v>
      </c>
      <c r="AL96" s="59">
        <v>2072000</v>
      </c>
      <c r="AM96" s="59">
        <v>2060000</v>
      </c>
      <c r="AN96" s="59">
        <v>2227000</v>
      </c>
      <c r="AO96" s="59">
        <v>1983000</v>
      </c>
      <c r="AP96" s="59">
        <v>1833000</v>
      </c>
      <c r="AQ96" s="59">
        <v>1800000</v>
      </c>
      <c r="AR96" s="59">
        <v>1549900</v>
      </c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45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9"/>
    </row>
    <row r="97" spans="1:84" outlineLevel="2">
      <c r="A97" s="39"/>
      <c r="B97" s="43"/>
      <c r="C97" s="56" t="s">
        <v>235</v>
      </c>
      <c r="D97" s="57">
        <f t="shared" si="8"/>
        <v>4635500</v>
      </c>
      <c r="E97" s="57">
        <f t="shared" si="9"/>
        <v>5386111.111111111</v>
      </c>
      <c r="F97" s="57">
        <f t="shared" si="10"/>
        <v>2713000</v>
      </c>
      <c r="G97" s="57">
        <f t="shared" si="11"/>
        <v>10612000</v>
      </c>
      <c r="H97" s="57">
        <f t="shared" si="12"/>
        <v>3511500</v>
      </c>
      <c r="I97" s="57">
        <f t="shared" si="13"/>
        <v>6126250</v>
      </c>
      <c r="J97" s="57">
        <f t="shared" si="14"/>
        <v>2350969.7846005112</v>
      </c>
      <c r="K97" s="58">
        <f t="shared" si="15"/>
        <v>0.43648742777523675</v>
      </c>
      <c r="M97" s="59">
        <v>9102000</v>
      </c>
      <c r="N97" s="59">
        <v>8272000</v>
      </c>
      <c r="O97" s="59">
        <v>10612000</v>
      </c>
      <c r="P97" s="59">
        <v>4417000</v>
      </c>
      <c r="Q97" s="59">
        <v>4445000</v>
      </c>
      <c r="R97" s="59">
        <v>4363000</v>
      </c>
      <c r="S97" s="59">
        <v>6085000</v>
      </c>
      <c r="T97" s="59">
        <v>8799000</v>
      </c>
      <c r="U97" s="59">
        <v>6140000</v>
      </c>
      <c r="V97" s="59">
        <v>5394000</v>
      </c>
      <c r="W97" s="59">
        <v>5115000</v>
      </c>
      <c r="X97" s="59">
        <v>4826000</v>
      </c>
      <c r="Y97" s="59">
        <v>3497000</v>
      </c>
      <c r="Z97" s="59">
        <v>3555000</v>
      </c>
      <c r="AA97" s="59">
        <v>3408000</v>
      </c>
      <c r="AB97" s="59">
        <v>3377000</v>
      </c>
      <c r="AC97" s="59">
        <v>2713000</v>
      </c>
      <c r="AD97" s="59">
        <v>2830000</v>
      </c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45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</row>
    <row r="98" spans="1:84" outlineLevel="2">
      <c r="A98" s="39"/>
      <c r="B98" s="43"/>
      <c r="C98" s="56" t="s">
        <v>236</v>
      </c>
      <c r="D98" s="57">
        <f t="shared" si="8"/>
        <v>3103500</v>
      </c>
      <c r="E98" s="57">
        <f t="shared" si="9"/>
        <v>3516406.25</v>
      </c>
      <c r="F98" s="57">
        <f t="shared" si="10"/>
        <v>826000</v>
      </c>
      <c r="G98" s="57">
        <f t="shared" si="11"/>
        <v>10612000</v>
      </c>
      <c r="H98" s="57">
        <f t="shared" si="12"/>
        <v>1130000</v>
      </c>
      <c r="I98" s="57">
        <f t="shared" si="13"/>
        <v>4898250</v>
      </c>
      <c r="J98" s="57">
        <f t="shared" si="14"/>
        <v>2775252.163601099</v>
      </c>
      <c r="K98" s="58">
        <f t="shared" si="15"/>
        <v>0.78922967549642453</v>
      </c>
      <c r="M98" s="59">
        <v>9102000</v>
      </c>
      <c r="N98" s="59">
        <v>8272000</v>
      </c>
      <c r="O98" s="59">
        <v>10612000</v>
      </c>
      <c r="P98" s="59">
        <v>4417000</v>
      </c>
      <c r="Q98" s="59">
        <v>4445000</v>
      </c>
      <c r="R98" s="59">
        <v>4363000</v>
      </c>
      <c r="S98" s="59">
        <v>6085000</v>
      </c>
      <c r="T98" s="59">
        <v>8799000</v>
      </c>
      <c r="U98" s="59">
        <v>6140000</v>
      </c>
      <c r="V98" s="59">
        <v>5394000</v>
      </c>
      <c r="W98" s="59">
        <v>5115000</v>
      </c>
      <c r="X98" s="59">
        <v>4826000</v>
      </c>
      <c r="Y98" s="59">
        <v>3497000</v>
      </c>
      <c r="Z98" s="59">
        <v>3555000</v>
      </c>
      <c r="AA98" s="59">
        <v>3408000</v>
      </c>
      <c r="AB98" s="59">
        <v>3377000</v>
      </c>
      <c r="AC98" s="59">
        <v>2713000</v>
      </c>
      <c r="AD98" s="59">
        <v>2830000</v>
      </c>
      <c r="AE98" s="59">
        <v>1680000</v>
      </c>
      <c r="AF98" s="59">
        <v>1678000</v>
      </c>
      <c r="AG98" s="59">
        <v>1183000</v>
      </c>
      <c r="AH98" s="59">
        <v>1168000</v>
      </c>
      <c r="AI98" s="59">
        <v>1261000</v>
      </c>
      <c r="AJ98" s="59">
        <v>939000</v>
      </c>
      <c r="AK98" s="59">
        <v>1160000</v>
      </c>
      <c r="AL98" s="59">
        <v>1040000</v>
      </c>
      <c r="AM98" s="59">
        <v>1020000</v>
      </c>
      <c r="AN98" s="59">
        <v>943000</v>
      </c>
      <c r="AO98" s="59">
        <v>922000</v>
      </c>
      <c r="AP98" s="59">
        <v>873000</v>
      </c>
      <c r="AQ98" s="59">
        <v>882000</v>
      </c>
      <c r="AR98" s="59">
        <v>826000</v>
      </c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45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</row>
    <row r="99" spans="1:84" outlineLevel="2">
      <c r="A99" s="39"/>
      <c r="B99" s="43"/>
      <c r="C99" s="56" t="s">
        <v>237</v>
      </c>
      <c r="D99" s="57">
        <f t="shared" si="8"/>
        <v>4987000</v>
      </c>
      <c r="E99" s="57">
        <f t="shared" si="9"/>
        <v>6031996.875</v>
      </c>
      <c r="F99" s="57">
        <f t="shared" si="10"/>
        <v>1549900</v>
      </c>
      <c r="G99" s="57">
        <f t="shared" si="11"/>
        <v>16763000</v>
      </c>
      <c r="H99" s="57">
        <f t="shared" si="12"/>
        <v>2206000</v>
      </c>
      <c r="I99" s="57">
        <f t="shared" si="13"/>
        <v>8703000</v>
      </c>
      <c r="J99" s="57">
        <f t="shared" si="14"/>
        <v>4420758.3439718094</v>
      </c>
      <c r="K99" s="58">
        <f t="shared" si="15"/>
        <v>0.73288472052993381</v>
      </c>
      <c r="M99" s="59">
        <v>16043000</v>
      </c>
      <c r="N99" s="59">
        <v>14033000</v>
      </c>
      <c r="O99" s="59">
        <v>16763000</v>
      </c>
      <c r="P99" s="59">
        <v>9207000</v>
      </c>
      <c r="Q99" s="59">
        <v>8659000</v>
      </c>
      <c r="R99" s="59">
        <v>8678000</v>
      </c>
      <c r="S99" s="59">
        <v>10563000</v>
      </c>
      <c r="T99" s="59">
        <v>12946000</v>
      </c>
      <c r="U99" s="59">
        <v>8778000</v>
      </c>
      <c r="V99" s="59">
        <v>8822000</v>
      </c>
      <c r="W99" s="59">
        <v>8318000</v>
      </c>
      <c r="X99" s="59">
        <v>7722000</v>
      </c>
      <c r="Y99" s="59">
        <v>6018000</v>
      </c>
      <c r="Z99" s="59">
        <v>5332000</v>
      </c>
      <c r="AA99" s="59">
        <v>5257000</v>
      </c>
      <c r="AB99" s="59">
        <v>5450000</v>
      </c>
      <c r="AC99" s="59">
        <v>4717000</v>
      </c>
      <c r="AD99" s="59">
        <v>4473000</v>
      </c>
      <c r="AE99" s="59">
        <v>3159000</v>
      </c>
      <c r="AF99" s="59">
        <v>3099000</v>
      </c>
      <c r="AG99" s="59">
        <v>2679000</v>
      </c>
      <c r="AH99" s="59">
        <v>2414000</v>
      </c>
      <c r="AI99" s="59">
        <v>2379000</v>
      </c>
      <c r="AJ99" s="59">
        <v>1847000</v>
      </c>
      <c r="AK99" s="59">
        <v>2143000</v>
      </c>
      <c r="AL99" s="59">
        <v>2072000</v>
      </c>
      <c r="AM99" s="59">
        <v>2060000</v>
      </c>
      <c r="AN99" s="59">
        <v>2227000</v>
      </c>
      <c r="AO99" s="59">
        <v>1983000</v>
      </c>
      <c r="AP99" s="59">
        <v>1833000</v>
      </c>
      <c r="AQ99" s="59">
        <v>1800000</v>
      </c>
      <c r="AR99" s="59">
        <v>1549900</v>
      </c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45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</row>
    <row r="100" spans="1:84" outlineLevel="2">
      <c r="A100" s="39"/>
      <c r="B100" s="43"/>
      <c r="C100" s="56" t="s">
        <v>238</v>
      </c>
      <c r="D100" s="57">
        <f t="shared" si="8"/>
        <v>80000</v>
      </c>
      <c r="E100" s="57">
        <f t="shared" si="9"/>
        <v>78545.454545454544</v>
      </c>
      <c r="F100" s="57">
        <f t="shared" si="10"/>
        <v>51000</v>
      </c>
      <c r="G100" s="57">
        <f t="shared" si="11"/>
        <v>91000</v>
      </c>
      <c r="H100" s="57">
        <f t="shared" si="12"/>
        <v>78000</v>
      </c>
      <c r="I100" s="57">
        <f t="shared" si="13"/>
        <v>84000</v>
      </c>
      <c r="J100" s="57">
        <f t="shared" si="14"/>
        <v>10434.20947042598</v>
      </c>
      <c r="K100" s="58">
        <f t="shared" si="15"/>
        <v>0.13284294464662705</v>
      </c>
      <c r="M100" s="59"/>
      <c r="N100" s="59"/>
      <c r="O100" s="59"/>
      <c r="P100" s="59"/>
      <c r="Q100" s="59"/>
      <c r="R100" s="59"/>
      <c r="S100" s="59"/>
      <c r="T100" s="59">
        <v>51000</v>
      </c>
      <c r="U100" s="59">
        <v>81000</v>
      </c>
      <c r="V100" s="59">
        <v>82000</v>
      </c>
      <c r="W100" s="59">
        <v>86000</v>
      </c>
      <c r="X100" s="59">
        <v>80000</v>
      </c>
      <c r="Y100" s="59">
        <v>78000</v>
      </c>
      <c r="Z100" s="59">
        <v>86000</v>
      </c>
      <c r="AA100" s="59">
        <v>79000</v>
      </c>
      <c r="AB100" s="59">
        <v>91000</v>
      </c>
      <c r="AC100" s="59">
        <v>78000</v>
      </c>
      <c r="AD100" s="59">
        <v>72000</v>
      </c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45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</row>
    <row r="101" spans="1:84" outlineLevel="2">
      <c r="A101" s="39"/>
      <c r="B101" s="43"/>
      <c r="C101" s="56" t="s">
        <v>239</v>
      </c>
      <c r="D101" s="57">
        <f t="shared" si="8"/>
        <v>0</v>
      </c>
      <c r="E101" s="57">
        <f t="shared" si="9"/>
        <v>-48855.7340607363</v>
      </c>
      <c r="F101" s="57">
        <f t="shared" si="10"/>
        <v>-870124</v>
      </c>
      <c r="G101" s="57">
        <f t="shared" si="11"/>
        <v>143973</v>
      </c>
      <c r="H101" s="57">
        <f t="shared" si="12"/>
        <v>-43775.052178075639</v>
      </c>
      <c r="I101" s="57">
        <f t="shared" si="13"/>
        <v>0</v>
      </c>
      <c r="J101" s="57">
        <f t="shared" si="14"/>
        <v>151839.66923419049</v>
      </c>
      <c r="K101" s="58">
        <f t="shared" si="15"/>
        <v>-3.107919104140918</v>
      </c>
      <c r="M101" s="59">
        <v>-125370</v>
      </c>
      <c r="N101" s="59">
        <v>-87360</v>
      </c>
      <c r="O101" s="59">
        <v>-390816.00000000006</v>
      </c>
      <c r="P101" s="59">
        <v>143973</v>
      </c>
      <c r="Q101" s="59">
        <v>141460</v>
      </c>
      <c r="R101" s="59">
        <v>-2358</v>
      </c>
      <c r="S101" s="59">
        <v>-106704</v>
      </c>
      <c r="T101" s="59">
        <v>-870124</v>
      </c>
      <c r="U101" s="59">
        <v>-200400</v>
      </c>
      <c r="V101" s="59">
        <v>-217665</v>
      </c>
      <c r="W101" s="59">
        <v>-160160</v>
      </c>
      <c r="X101" s="59">
        <v>-226100</v>
      </c>
      <c r="Y101" s="59">
        <v>58328</v>
      </c>
      <c r="Z101" s="59">
        <v>-77938</v>
      </c>
      <c r="AA101" s="59">
        <v>-33912</v>
      </c>
      <c r="AB101" s="59">
        <v>-97370</v>
      </c>
      <c r="AC101" s="59">
        <v>9934.6035015447997</v>
      </c>
      <c r="AD101" s="59">
        <v>-53638.104356151271</v>
      </c>
      <c r="AE101" s="59">
        <v>0</v>
      </c>
      <c r="AF101" s="59">
        <v>0</v>
      </c>
      <c r="AG101" s="59">
        <v>0</v>
      </c>
      <c r="AH101" s="59">
        <v>0</v>
      </c>
      <c r="AI101" s="59">
        <v>0</v>
      </c>
      <c r="AJ101" s="59">
        <v>0</v>
      </c>
      <c r="AK101" s="59">
        <v>0</v>
      </c>
      <c r="AL101" s="59">
        <v>0</v>
      </c>
      <c r="AM101" s="59">
        <v>0</v>
      </c>
      <c r="AN101" s="59">
        <v>0</v>
      </c>
      <c r="AO101" s="59">
        <v>0</v>
      </c>
      <c r="AP101" s="59">
        <v>0</v>
      </c>
      <c r="AQ101" s="59">
        <v>0</v>
      </c>
      <c r="AR101" s="59">
        <v>0</v>
      </c>
      <c r="AS101" s="59">
        <v>0</v>
      </c>
      <c r="AT101" s="59">
        <v>0</v>
      </c>
      <c r="AU101" s="59">
        <v>0</v>
      </c>
      <c r="AV101" s="59">
        <v>0</v>
      </c>
      <c r="AW101" s="59">
        <v>0</v>
      </c>
      <c r="AX101" s="59">
        <v>0</v>
      </c>
      <c r="AY101" s="59">
        <v>0</v>
      </c>
      <c r="AZ101" s="59">
        <v>0</v>
      </c>
      <c r="BA101" s="59">
        <v>0</v>
      </c>
      <c r="BB101" s="59">
        <v>0</v>
      </c>
      <c r="BC101" s="59">
        <v>0</v>
      </c>
      <c r="BD101" s="59">
        <v>0</v>
      </c>
      <c r="BE101" s="59">
        <v>0</v>
      </c>
      <c r="BF101" s="59">
        <v>0</v>
      </c>
      <c r="BG101" s="59">
        <v>0</v>
      </c>
      <c r="BH101" s="45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</row>
    <row r="102" spans="1:84" outlineLevel="2">
      <c r="A102" s="39"/>
      <c r="B102" s="43"/>
      <c r="C102" s="56" t="s">
        <v>240</v>
      </c>
      <c r="D102" s="57">
        <f t="shared" si="8"/>
        <v>0</v>
      </c>
      <c r="E102" s="57">
        <f t="shared" si="9"/>
        <v>-238170.21276595743</v>
      </c>
      <c r="F102" s="57">
        <f t="shared" si="10"/>
        <v>-4066000</v>
      </c>
      <c r="G102" s="57">
        <f t="shared" si="11"/>
        <v>1286000</v>
      </c>
      <c r="H102" s="57">
        <f t="shared" si="12"/>
        <v>-203000</v>
      </c>
      <c r="I102" s="57">
        <f t="shared" si="13"/>
        <v>0</v>
      </c>
      <c r="J102" s="57">
        <f t="shared" si="14"/>
        <v>807174.84553679253</v>
      </c>
      <c r="K102" s="58">
        <f t="shared" si="15"/>
        <v>-3.3890671556395615</v>
      </c>
      <c r="M102" s="59">
        <v>-597000</v>
      </c>
      <c r="N102" s="59">
        <v>-1560000</v>
      </c>
      <c r="O102" s="59">
        <v>-2832000</v>
      </c>
      <c r="P102" s="59">
        <v>941000</v>
      </c>
      <c r="Q102" s="59">
        <v>1286000</v>
      </c>
      <c r="R102" s="59">
        <v>-131000</v>
      </c>
      <c r="S102" s="59">
        <v>-912000</v>
      </c>
      <c r="T102" s="59">
        <v>-4066000</v>
      </c>
      <c r="U102" s="59">
        <v>-501000</v>
      </c>
      <c r="V102" s="59">
        <v>-691000</v>
      </c>
      <c r="W102" s="59">
        <v>-520000</v>
      </c>
      <c r="X102" s="59">
        <v>-700000</v>
      </c>
      <c r="Y102" s="59">
        <v>184000</v>
      </c>
      <c r="Z102" s="59">
        <v>-293000</v>
      </c>
      <c r="AA102" s="59">
        <v>-157000</v>
      </c>
      <c r="AB102" s="59">
        <v>-455000</v>
      </c>
      <c r="AC102" s="59">
        <v>59000</v>
      </c>
      <c r="AD102" s="59">
        <v>-249000</v>
      </c>
      <c r="AE102" s="59">
        <v>0</v>
      </c>
      <c r="AF102" s="59">
        <v>0</v>
      </c>
      <c r="AG102" s="59">
        <v>0</v>
      </c>
      <c r="AH102" s="59">
        <v>0</v>
      </c>
      <c r="AI102" s="59">
        <v>0</v>
      </c>
      <c r="AJ102" s="59">
        <v>0</v>
      </c>
      <c r="AK102" s="59">
        <v>0</v>
      </c>
      <c r="AL102" s="59">
        <v>0</v>
      </c>
      <c r="AM102" s="59">
        <v>0</v>
      </c>
      <c r="AN102" s="59">
        <v>0</v>
      </c>
      <c r="AO102" s="59">
        <v>0</v>
      </c>
      <c r="AP102" s="59">
        <v>0</v>
      </c>
      <c r="AQ102" s="59">
        <v>0</v>
      </c>
      <c r="AR102" s="59">
        <v>0</v>
      </c>
      <c r="AS102" s="59">
        <v>0</v>
      </c>
      <c r="AT102" s="59">
        <v>0</v>
      </c>
      <c r="AU102" s="59">
        <v>0</v>
      </c>
      <c r="AV102" s="59">
        <v>0</v>
      </c>
      <c r="AW102" s="59">
        <v>0</v>
      </c>
      <c r="AX102" s="59">
        <v>0</v>
      </c>
      <c r="AY102" s="59">
        <v>0</v>
      </c>
      <c r="AZ102" s="59">
        <v>0</v>
      </c>
      <c r="BA102" s="59">
        <v>0</v>
      </c>
      <c r="BB102" s="59">
        <v>0</v>
      </c>
      <c r="BC102" s="59">
        <v>0</v>
      </c>
      <c r="BD102" s="59">
        <v>0</v>
      </c>
      <c r="BE102" s="59">
        <v>0</v>
      </c>
      <c r="BF102" s="59">
        <v>0</v>
      </c>
      <c r="BG102" s="59">
        <v>0</v>
      </c>
      <c r="BH102" s="45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</row>
    <row r="103" spans="1:84" outlineLevel="2">
      <c r="A103" s="39"/>
      <c r="B103" s="43"/>
      <c r="C103" s="56" t="s">
        <v>241</v>
      </c>
      <c r="D103" s="57">
        <f t="shared" si="8"/>
        <v>0</v>
      </c>
      <c r="E103" s="57">
        <f t="shared" si="9"/>
        <v>-238170.21276595743</v>
      </c>
      <c r="F103" s="57">
        <f t="shared" si="10"/>
        <v>-4066000</v>
      </c>
      <c r="G103" s="57">
        <f t="shared" si="11"/>
        <v>1286000</v>
      </c>
      <c r="H103" s="57">
        <f t="shared" si="12"/>
        <v>-203000</v>
      </c>
      <c r="I103" s="57">
        <f t="shared" si="13"/>
        <v>0</v>
      </c>
      <c r="J103" s="57">
        <f t="shared" si="14"/>
        <v>807174.84553679253</v>
      </c>
      <c r="K103" s="58">
        <f t="shared" si="15"/>
        <v>-3.3890671556395615</v>
      </c>
      <c r="M103" s="59">
        <v>-597000</v>
      </c>
      <c r="N103" s="59">
        <v>-1560000</v>
      </c>
      <c r="O103" s="59">
        <v>-2832000</v>
      </c>
      <c r="P103" s="59">
        <v>941000</v>
      </c>
      <c r="Q103" s="59">
        <v>1286000</v>
      </c>
      <c r="R103" s="59">
        <v>-131000</v>
      </c>
      <c r="S103" s="59">
        <v>-912000</v>
      </c>
      <c r="T103" s="59">
        <v>-4066000</v>
      </c>
      <c r="U103" s="59">
        <v>-501000</v>
      </c>
      <c r="V103" s="59">
        <v>-691000</v>
      </c>
      <c r="W103" s="59">
        <v>-520000</v>
      </c>
      <c r="X103" s="59">
        <v>-700000</v>
      </c>
      <c r="Y103" s="59">
        <v>184000</v>
      </c>
      <c r="Z103" s="59">
        <v>-293000</v>
      </c>
      <c r="AA103" s="59">
        <v>-157000</v>
      </c>
      <c r="AB103" s="59">
        <v>-455000</v>
      </c>
      <c r="AC103" s="59">
        <v>59000</v>
      </c>
      <c r="AD103" s="59">
        <v>-249000</v>
      </c>
      <c r="AE103" s="59">
        <v>0</v>
      </c>
      <c r="AF103" s="59">
        <v>0</v>
      </c>
      <c r="AG103" s="59">
        <v>0</v>
      </c>
      <c r="AH103" s="59">
        <v>0</v>
      </c>
      <c r="AI103" s="59">
        <v>0</v>
      </c>
      <c r="AJ103" s="59">
        <v>0</v>
      </c>
      <c r="AK103" s="59">
        <v>0</v>
      </c>
      <c r="AL103" s="59">
        <v>0</v>
      </c>
      <c r="AM103" s="59">
        <v>0</v>
      </c>
      <c r="AN103" s="59">
        <v>0</v>
      </c>
      <c r="AO103" s="59">
        <v>0</v>
      </c>
      <c r="AP103" s="59">
        <v>0</v>
      </c>
      <c r="AQ103" s="59">
        <v>0</v>
      </c>
      <c r="AR103" s="59">
        <v>0</v>
      </c>
      <c r="AS103" s="59">
        <v>0</v>
      </c>
      <c r="AT103" s="59">
        <v>0</v>
      </c>
      <c r="AU103" s="59">
        <v>0</v>
      </c>
      <c r="AV103" s="59">
        <v>0</v>
      </c>
      <c r="AW103" s="59">
        <v>0</v>
      </c>
      <c r="AX103" s="59">
        <v>0</v>
      </c>
      <c r="AY103" s="59">
        <v>0</v>
      </c>
      <c r="AZ103" s="59">
        <v>0</v>
      </c>
      <c r="BA103" s="59">
        <v>0</v>
      </c>
      <c r="BB103" s="59">
        <v>0</v>
      </c>
      <c r="BC103" s="59">
        <v>0</v>
      </c>
      <c r="BD103" s="59">
        <v>0</v>
      </c>
      <c r="BE103" s="59">
        <v>0</v>
      </c>
      <c r="BF103" s="59">
        <v>0</v>
      </c>
      <c r="BG103" s="59">
        <v>0</v>
      </c>
      <c r="BH103" s="45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</row>
    <row r="104" spans="1:84" outlineLevel="2">
      <c r="A104" s="39"/>
      <c r="B104" s="43"/>
      <c r="C104" s="56" t="s">
        <v>242</v>
      </c>
      <c r="D104" s="57">
        <f t="shared" si="8"/>
        <v>12006500</v>
      </c>
      <c r="E104" s="57">
        <f t="shared" si="9"/>
        <v>10991443.75</v>
      </c>
      <c r="F104" s="57">
        <f t="shared" si="10"/>
        <v>4274200</v>
      </c>
      <c r="G104" s="57">
        <f t="shared" si="11"/>
        <v>19392000</v>
      </c>
      <c r="H104" s="57">
        <f t="shared" si="12"/>
        <v>6948750</v>
      </c>
      <c r="I104" s="57">
        <f t="shared" si="13"/>
        <v>13184500</v>
      </c>
      <c r="J104" s="57">
        <f t="shared" si="14"/>
        <v>4264177.9487574575</v>
      </c>
      <c r="K104" s="58">
        <f t="shared" si="15"/>
        <v>0.38795430752738536</v>
      </c>
      <c r="M104" s="59">
        <v>19392000</v>
      </c>
      <c r="N104" s="59">
        <v>17626000</v>
      </c>
      <c r="O104" s="59">
        <v>18282000</v>
      </c>
      <c r="P104" s="59">
        <v>17397000</v>
      </c>
      <c r="Q104" s="59">
        <v>14233000</v>
      </c>
      <c r="R104" s="59">
        <v>13051000</v>
      </c>
      <c r="S104" s="59">
        <v>14023000</v>
      </c>
      <c r="T104" s="59">
        <v>12524000</v>
      </c>
      <c r="U104" s="59">
        <v>11341000</v>
      </c>
      <c r="V104" s="59">
        <v>11984000</v>
      </c>
      <c r="W104" s="59">
        <v>12824000</v>
      </c>
      <c r="X104" s="59">
        <v>12664000</v>
      </c>
      <c r="Y104" s="59">
        <v>11595000</v>
      </c>
      <c r="Z104" s="59">
        <v>10980000</v>
      </c>
      <c r="AA104" s="59">
        <v>12029000</v>
      </c>
      <c r="AB104" s="59">
        <v>12071000</v>
      </c>
      <c r="AC104" s="59">
        <v>13049000</v>
      </c>
      <c r="AD104" s="59">
        <v>13585000</v>
      </c>
      <c r="AE104" s="59">
        <v>12980000</v>
      </c>
      <c r="AF104" s="59">
        <v>13613000</v>
      </c>
      <c r="AG104" s="59">
        <v>10356000</v>
      </c>
      <c r="AH104" s="59">
        <v>9037000</v>
      </c>
      <c r="AI104" s="59">
        <v>8099000</v>
      </c>
      <c r="AJ104" s="59">
        <v>6996000</v>
      </c>
      <c r="AK104" s="59">
        <v>6807000</v>
      </c>
      <c r="AL104" s="59">
        <v>5842000</v>
      </c>
      <c r="AM104" s="59">
        <v>5261000</v>
      </c>
      <c r="AN104" s="59">
        <v>5409000</v>
      </c>
      <c r="AO104" s="59">
        <v>5141000</v>
      </c>
      <c r="AP104" s="59">
        <v>4866000</v>
      </c>
      <c r="AQ104" s="59">
        <v>4395000</v>
      </c>
      <c r="AR104" s="59">
        <v>4274200</v>
      </c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45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/>
    </row>
    <row r="105" spans="1:84" outlineLevel="2">
      <c r="A105" s="39"/>
      <c r="B105" s="43"/>
      <c r="C105" s="56" t="s">
        <v>243</v>
      </c>
      <c r="D105" s="57">
        <f t="shared" si="8"/>
        <v>781000</v>
      </c>
      <c r="E105" s="57">
        <f t="shared" si="9"/>
        <v>2067403.6764555958</v>
      </c>
      <c r="F105" s="57">
        <f t="shared" si="10"/>
        <v>-391000</v>
      </c>
      <c r="G105" s="57">
        <f t="shared" si="11"/>
        <v>9147288</v>
      </c>
      <c r="H105" s="57">
        <f t="shared" si="12"/>
        <v>419550</v>
      </c>
      <c r="I105" s="57">
        <f t="shared" si="13"/>
        <v>2970520.5</v>
      </c>
      <c r="J105" s="57">
        <f t="shared" si="14"/>
        <v>2431930.9894587263</v>
      </c>
      <c r="K105" s="58">
        <f t="shared" si="15"/>
        <v>1.1763213044237613</v>
      </c>
      <c r="M105" s="59">
        <v>8943880</v>
      </c>
      <c r="N105" s="59">
        <v>7807840</v>
      </c>
      <c r="O105" s="59">
        <v>9147288</v>
      </c>
      <c r="P105" s="59">
        <v>3741495</v>
      </c>
      <c r="Q105" s="59">
        <v>3957300</v>
      </c>
      <c r="R105" s="59">
        <v>4283900</v>
      </c>
      <c r="S105" s="59">
        <v>5373867</v>
      </c>
      <c r="T105" s="59">
        <v>6913342</v>
      </c>
      <c r="U105" s="59">
        <v>6209200</v>
      </c>
      <c r="V105" s="59">
        <v>3694960</v>
      </c>
      <c r="W105" s="59">
        <v>3540500</v>
      </c>
      <c r="X105" s="59">
        <v>3268537</v>
      </c>
      <c r="Y105" s="59">
        <v>2389369</v>
      </c>
      <c r="Z105" s="59">
        <v>2609768</v>
      </c>
      <c r="AA105" s="59">
        <v>2672504</v>
      </c>
      <c r="AB105" s="59">
        <v>2654968</v>
      </c>
      <c r="AC105" s="59">
        <v>2256176.6220391351</v>
      </c>
      <c r="AD105" s="59">
        <v>2220378.1713738632</v>
      </c>
      <c r="AE105" s="59">
        <v>1312000</v>
      </c>
      <c r="AF105" s="59">
        <v>1281000</v>
      </c>
      <c r="AG105" s="59">
        <v>901000</v>
      </c>
      <c r="AH105" s="59">
        <v>896000</v>
      </c>
      <c r="AI105" s="59">
        <v>893000</v>
      </c>
      <c r="AJ105" s="59">
        <v>695000</v>
      </c>
      <c r="AK105" s="59">
        <v>781000</v>
      </c>
      <c r="AL105" s="59">
        <v>704000</v>
      </c>
      <c r="AM105" s="59">
        <v>697000</v>
      </c>
      <c r="AN105" s="59">
        <v>664000</v>
      </c>
      <c r="AO105" s="59">
        <v>618000</v>
      </c>
      <c r="AP105" s="59">
        <v>579000</v>
      </c>
      <c r="AQ105" s="59">
        <v>553000</v>
      </c>
      <c r="AR105" s="59">
        <v>518700</v>
      </c>
      <c r="AS105" s="59">
        <v>428700</v>
      </c>
      <c r="AT105" s="59">
        <v>466900</v>
      </c>
      <c r="AU105" s="59">
        <v>376100</v>
      </c>
      <c r="AV105" s="59">
        <v>-391000</v>
      </c>
      <c r="AW105" s="59">
        <v>410400</v>
      </c>
      <c r="AX105" s="59">
        <v>447800</v>
      </c>
      <c r="AY105" s="59">
        <v>402900</v>
      </c>
      <c r="AZ105" s="59">
        <v>365400</v>
      </c>
      <c r="BA105" s="59">
        <v>372300</v>
      </c>
      <c r="BB105" s="59">
        <v>302700</v>
      </c>
      <c r="BC105" s="59">
        <v>314000</v>
      </c>
      <c r="BD105" s="59">
        <v>266700</v>
      </c>
      <c r="BE105" s="59">
        <v>224100</v>
      </c>
      <c r="BF105" s="59">
        <v>198300</v>
      </c>
      <c r="BG105" s="59">
        <v>204700</v>
      </c>
      <c r="BH105" s="45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</row>
    <row r="106" spans="1:84" outlineLevel="2">
      <c r="A106" s="39"/>
      <c r="B106" s="43"/>
      <c r="C106" s="56" t="s">
        <v>244</v>
      </c>
      <c r="D106" s="57">
        <f t="shared" si="8"/>
        <v>1658000</v>
      </c>
      <c r="E106" s="57">
        <f t="shared" si="9"/>
        <v>2196428.125</v>
      </c>
      <c r="F106" s="57">
        <f t="shared" si="10"/>
        <v>518700</v>
      </c>
      <c r="G106" s="57">
        <f t="shared" si="11"/>
        <v>6282000</v>
      </c>
      <c r="H106" s="57">
        <f t="shared" si="12"/>
        <v>761750</v>
      </c>
      <c r="I106" s="57">
        <f t="shared" si="13"/>
        <v>2870000</v>
      </c>
      <c r="J106" s="57">
        <f t="shared" si="14"/>
        <v>1749525.2851493792</v>
      </c>
      <c r="K106" s="58">
        <f t="shared" si="15"/>
        <v>0.79653199903792848</v>
      </c>
      <c r="M106" s="59">
        <v>5332000</v>
      </c>
      <c r="N106" s="59">
        <v>5698000</v>
      </c>
      <c r="O106" s="59">
        <v>6282000</v>
      </c>
      <c r="P106" s="59">
        <v>3246000</v>
      </c>
      <c r="Q106" s="59">
        <v>2827000</v>
      </c>
      <c r="R106" s="59">
        <v>2369000</v>
      </c>
      <c r="S106" s="59">
        <v>3388000</v>
      </c>
      <c r="T106" s="59">
        <v>5776000</v>
      </c>
      <c r="U106" s="59">
        <v>5323000</v>
      </c>
      <c r="V106" s="59">
        <v>2999000</v>
      </c>
      <c r="W106" s="59">
        <v>2762000</v>
      </c>
      <c r="X106" s="59">
        <v>2469000</v>
      </c>
      <c r="Y106" s="59">
        <v>1677000</v>
      </c>
      <c r="Z106" s="59">
        <v>1911000</v>
      </c>
      <c r="AA106" s="59">
        <v>1923000</v>
      </c>
      <c r="AB106" s="59">
        <v>1957000</v>
      </c>
      <c r="AC106" s="59">
        <v>1615000</v>
      </c>
      <c r="AD106" s="59">
        <v>1639000</v>
      </c>
      <c r="AE106" s="59">
        <v>1312000</v>
      </c>
      <c r="AF106" s="59">
        <v>1281000</v>
      </c>
      <c r="AG106" s="59">
        <v>901000</v>
      </c>
      <c r="AH106" s="59">
        <v>896000</v>
      </c>
      <c r="AI106" s="59">
        <v>893000</v>
      </c>
      <c r="AJ106" s="59">
        <v>695000</v>
      </c>
      <c r="AK106" s="59">
        <v>781000</v>
      </c>
      <c r="AL106" s="59">
        <v>704000</v>
      </c>
      <c r="AM106" s="59">
        <v>697000</v>
      </c>
      <c r="AN106" s="59">
        <v>664000</v>
      </c>
      <c r="AO106" s="59">
        <v>618000</v>
      </c>
      <c r="AP106" s="59">
        <v>579000</v>
      </c>
      <c r="AQ106" s="59">
        <v>553000</v>
      </c>
      <c r="AR106" s="59">
        <v>518700</v>
      </c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45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</row>
    <row r="107" spans="1:84" outlineLevel="1">
      <c r="A107" s="39"/>
      <c r="B107" s="43"/>
      <c r="C107" s="56" t="s">
        <v>245</v>
      </c>
      <c r="D107" s="67" t="str">
        <f t="shared" si="8"/>
        <v/>
      </c>
      <c r="E107" s="67" t="str">
        <f t="shared" si="9"/>
        <v/>
      </c>
      <c r="F107" s="67" t="str">
        <f t="shared" si="10"/>
        <v/>
      </c>
      <c r="G107" s="67" t="str">
        <f t="shared" si="11"/>
        <v/>
      </c>
      <c r="H107" s="67" t="str">
        <f t="shared" si="12"/>
        <v/>
      </c>
      <c r="I107" s="67" t="str">
        <f t="shared" si="13"/>
        <v/>
      </c>
      <c r="J107" s="67" t="str">
        <f t="shared" si="14"/>
        <v/>
      </c>
      <c r="K107" s="58" t="str">
        <f t="shared" si="15"/>
        <v/>
      </c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45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  <c r="CA107" s="39"/>
      <c r="CB107" s="39"/>
      <c r="CC107" s="39"/>
      <c r="CD107" s="39"/>
      <c r="CE107" s="39"/>
      <c r="CF107" s="39"/>
    </row>
    <row r="108" spans="1:84" outlineLevel="2">
      <c r="A108" s="39"/>
      <c r="B108" s="43"/>
      <c r="C108" s="56" t="s">
        <v>246</v>
      </c>
      <c r="D108" s="57">
        <f t="shared" si="8"/>
        <v>4885500</v>
      </c>
      <c r="E108" s="57">
        <f t="shared" si="9"/>
        <v>5682184.375</v>
      </c>
      <c r="F108" s="57">
        <f t="shared" si="10"/>
        <v>1549900</v>
      </c>
      <c r="G108" s="57">
        <f t="shared" si="11"/>
        <v>15446000</v>
      </c>
      <c r="H108" s="57">
        <f t="shared" si="12"/>
        <v>2206000</v>
      </c>
      <c r="I108" s="57">
        <f t="shared" si="13"/>
        <v>8344500</v>
      </c>
      <c r="J108" s="57">
        <f t="shared" si="14"/>
        <v>3913822.9282402331</v>
      </c>
      <c r="K108" s="58">
        <f t="shared" si="15"/>
        <v>0.68878844295513253</v>
      </c>
      <c r="M108" s="59">
        <v>15446000</v>
      </c>
      <c r="N108" s="59">
        <v>12473000</v>
      </c>
      <c r="O108" s="59">
        <v>13931000</v>
      </c>
      <c r="P108" s="59">
        <v>10148000</v>
      </c>
      <c r="Q108" s="59">
        <v>9945000</v>
      </c>
      <c r="R108" s="59">
        <v>8547000</v>
      </c>
      <c r="S108" s="59">
        <v>9651000</v>
      </c>
      <c r="T108" s="59">
        <v>8880000</v>
      </c>
      <c r="U108" s="59">
        <v>8277000</v>
      </c>
      <c r="V108" s="59">
        <v>8131000</v>
      </c>
      <c r="W108" s="59">
        <v>7798000</v>
      </c>
      <c r="X108" s="59">
        <v>7022000</v>
      </c>
      <c r="Y108" s="59">
        <v>6202000</v>
      </c>
      <c r="Z108" s="59">
        <v>5039000</v>
      </c>
      <c r="AA108" s="59">
        <v>5100000</v>
      </c>
      <c r="AB108" s="59">
        <v>4995000</v>
      </c>
      <c r="AC108" s="59">
        <v>4776000</v>
      </c>
      <c r="AD108" s="59">
        <v>4224000</v>
      </c>
      <c r="AE108" s="59">
        <v>3159000</v>
      </c>
      <c r="AF108" s="59">
        <v>3099000</v>
      </c>
      <c r="AG108" s="59">
        <v>2679000</v>
      </c>
      <c r="AH108" s="59">
        <v>2414000</v>
      </c>
      <c r="AI108" s="59">
        <v>2379000</v>
      </c>
      <c r="AJ108" s="59">
        <v>1847000</v>
      </c>
      <c r="AK108" s="59">
        <v>2143000</v>
      </c>
      <c r="AL108" s="59">
        <v>2072000</v>
      </c>
      <c r="AM108" s="59">
        <v>2060000</v>
      </c>
      <c r="AN108" s="59">
        <v>2227000</v>
      </c>
      <c r="AO108" s="59">
        <v>1983000</v>
      </c>
      <c r="AP108" s="59">
        <v>1833000</v>
      </c>
      <c r="AQ108" s="59">
        <v>1800000</v>
      </c>
      <c r="AR108" s="59">
        <v>1549900</v>
      </c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45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39"/>
    </row>
    <row r="109" spans="1:84" outlineLevel="2">
      <c r="A109" s="39"/>
      <c r="B109" s="43"/>
      <c r="C109" s="56" t="s">
        <v>247</v>
      </c>
      <c r="D109" s="57">
        <f t="shared" si="8"/>
        <v>2847000</v>
      </c>
      <c r="E109" s="57">
        <f t="shared" si="9"/>
        <v>3166593.75</v>
      </c>
      <c r="F109" s="57">
        <f t="shared" si="10"/>
        <v>826000</v>
      </c>
      <c r="G109" s="57">
        <f t="shared" si="11"/>
        <v>8505000</v>
      </c>
      <c r="H109" s="57">
        <f t="shared" si="12"/>
        <v>1130000</v>
      </c>
      <c r="I109" s="57">
        <f t="shared" si="13"/>
        <v>4710500</v>
      </c>
      <c r="J109" s="57">
        <f t="shared" si="14"/>
        <v>2226411.7791375113</v>
      </c>
      <c r="K109" s="58">
        <f t="shared" si="15"/>
        <v>0.70309359359327706</v>
      </c>
      <c r="M109" s="59">
        <v>8505000</v>
      </c>
      <c r="N109" s="59">
        <v>6712000</v>
      </c>
      <c r="O109" s="59">
        <v>7780000</v>
      </c>
      <c r="P109" s="59">
        <v>5358000</v>
      </c>
      <c r="Q109" s="59">
        <v>5731000</v>
      </c>
      <c r="R109" s="59">
        <v>4232000</v>
      </c>
      <c r="S109" s="59">
        <v>5173000</v>
      </c>
      <c r="T109" s="59">
        <v>4733000</v>
      </c>
      <c r="U109" s="59">
        <v>5639000</v>
      </c>
      <c r="V109" s="59">
        <v>4703000</v>
      </c>
      <c r="W109" s="59">
        <v>4595000</v>
      </c>
      <c r="X109" s="59">
        <v>4126000</v>
      </c>
      <c r="Y109" s="59">
        <v>3681000</v>
      </c>
      <c r="Z109" s="59">
        <v>3262000</v>
      </c>
      <c r="AA109" s="59">
        <v>3251000</v>
      </c>
      <c r="AB109" s="59">
        <v>2922000</v>
      </c>
      <c r="AC109" s="59">
        <v>2772000</v>
      </c>
      <c r="AD109" s="59">
        <v>2581000</v>
      </c>
      <c r="AE109" s="59">
        <v>1680000</v>
      </c>
      <c r="AF109" s="59">
        <v>1678000</v>
      </c>
      <c r="AG109" s="59">
        <v>1183000</v>
      </c>
      <c r="AH109" s="59">
        <v>1168000</v>
      </c>
      <c r="AI109" s="59">
        <v>1261000</v>
      </c>
      <c r="AJ109" s="59">
        <v>939000</v>
      </c>
      <c r="AK109" s="59">
        <v>1160000</v>
      </c>
      <c r="AL109" s="59">
        <v>1040000</v>
      </c>
      <c r="AM109" s="59">
        <v>1020000</v>
      </c>
      <c r="AN109" s="59">
        <v>943000</v>
      </c>
      <c r="AO109" s="59">
        <v>922000</v>
      </c>
      <c r="AP109" s="59">
        <v>873000</v>
      </c>
      <c r="AQ109" s="59">
        <v>882000</v>
      </c>
      <c r="AR109" s="59">
        <v>826000</v>
      </c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45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  <c r="CA109" s="39"/>
      <c r="CB109" s="39"/>
      <c r="CC109" s="39"/>
      <c r="CD109" s="39"/>
      <c r="CE109" s="39"/>
      <c r="CF109" s="39"/>
    </row>
    <row r="110" spans="1:84" outlineLevel="2">
      <c r="A110" s="39"/>
      <c r="B110" s="43"/>
      <c r="C110" s="56" t="s">
        <v>248</v>
      </c>
      <c r="D110" s="57">
        <f t="shared" si="8"/>
        <v>4885500</v>
      </c>
      <c r="E110" s="57">
        <f t="shared" si="9"/>
        <v>5682184.375</v>
      </c>
      <c r="F110" s="57">
        <f t="shared" si="10"/>
        <v>1549900</v>
      </c>
      <c r="G110" s="57">
        <f t="shared" si="11"/>
        <v>15446000</v>
      </c>
      <c r="H110" s="57">
        <f t="shared" si="12"/>
        <v>2206000</v>
      </c>
      <c r="I110" s="57">
        <f t="shared" si="13"/>
        <v>8344500</v>
      </c>
      <c r="J110" s="57">
        <f t="shared" si="14"/>
        <v>3913822.9282402331</v>
      </c>
      <c r="K110" s="58">
        <f t="shared" si="15"/>
        <v>0.68878844295513253</v>
      </c>
      <c r="M110" s="59">
        <v>15446000</v>
      </c>
      <c r="N110" s="59">
        <v>12473000</v>
      </c>
      <c r="O110" s="59">
        <v>13931000</v>
      </c>
      <c r="P110" s="59">
        <v>10148000</v>
      </c>
      <c r="Q110" s="59">
        <v>9945000</v>
      </c>
      <c r="R110" s="59">
        <v>8547000</v>
      </c>
      <c r="S110" s="59">
        <v>9651000</v>
      </c>
      <c r="T110" s="59">
        <v>8880000</v>
      </c>
      <c r="U110" s="59">
        <v>8277000</v>
      </c>
      <c r="V110" s="59">
        <v>8131000</v>
      </c>
      <c r="W110" s="59">
        <v>7798000</v>
      </c>
      <c r="X110" s="59">
        <v>7022000</v>
      </c>
      <c r="Y110" s="59">
        <v>6202000</v>
      </c>
      <c r="Z110" s="59">
        <v>5039000</v>
      </c>
      <c r="AA110" s="59">
        <v>5100000</v>
      </c>
      <c r="AB110" s="59">
        <v>4995000</v>
      </c>
      <c r="AC110" s="59">
        <v>4776000</v>
      </c>
      <c r="AD110" s="59">
        <v>4224000</v>
      </c>
      <c r="AE110" s="59">
        <v>3159000</v>
      </c>
      <c r="AF110" s="59">
        <v>3099000</v>
      </c>
      <c r="AG110" s="59">
        <v>2679000</v>
      </c>
      <c r="AH110" s="59">
        <v>2414000</v>
      </c>
      <c r="AI110" s="59">
        <v>2379000</v>
      </c>
      <c r="AJ110" s="59">
        <v>1847000</v>
      </c>
      <c r="AK110" s="59">
        <v>2143000</v>
      </c>
      <c r="AL110" s="59">
        <v>2072000</v>
      </c>
      <c r="AM110" s="59">
        <v>2060000</v>
      </c>
      <c r="AN110" s="59">
        <v>2227000</v>
      </c>
      <c r="AO110" s="59">
        <v>1983000</v>
      </c>
      <c r="AP110" s="59">
        <v>1833000</v>
      </c>
      <c r="AQ110" s="59">
        <v>1800000</v>
      </c>
      <c r="AR110" s="59">
        <v>1549900</v>
      </c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45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  <c r="BZ110" s="39"/>
      <c r="CA110" s="39"/>
      <c r="CB110" s="39"/>
      <c r="CC110" s="39"/>
      <c r="CD110" s="39"/>
      <c r="CE110" s="39"/>
      <c r="CF110" s="39"/>
    </row>
    <row r="111" spans="1:84" outlineLevel="2">
      <c r="A111" s="39"/>
      <c r="B111" s="43"/>
      <c r="C111" s="56" t="s">
        <v>249</v>
      </c>
      <c r="D111" s="57">
        <f t="shared" si="8"/>
        <v>781000</v>
      </c>
      <c r="E111" s="57">
        <f t="shared" si="9"/>
        <v>1725490.8191671195</v>
      </c>
      <c r="F111" s="57">
        <f t="shared" si="10"/>
        <v>-391000</v>
      </c>
      <c r="G111" s="57">
        <f t="shared" si="11"/>
        <v>7683000</v>
      </c>
      <c r="H111" s="57">
        <f t="shared" si="12"/>
        <v>419550</v>
      </c>
      <c r="I111" s="57">
        <f t="shared" si="13"/>
        <v>2226000</v>
      </c>
      <c r="J111" s="57">
        <f t="shared" si="14"/>
        <v>1972475.8702000519</v>
      </c>
      <c r="K111" s="58">
        <f t="shared" si="15"/>
        <v>1.1431390119781397</v>
      </c>
      <c r="M111" s="59">
        <v>7683000</v>
      </c>
      <c r="N111" s="59">
        <v>7063000</v>
      </c>
      <c r="O111" s="59">
        <v>6441000</v>
      </c>
      <c r="P111" s="59">
        <v>5742000</v>
      </c>
      <c r="Q111" s="59">
        <v>5021000</v>
      </c>
      <c r="R111" s="59">
        <v>4552000</v>
      </c>
      <c r="S111" s="59">
        <v>4062000</v>
      </c>
      <c r="T111" s="59">
        <v>3673000</v>
      </c>
      <c r="U111" s="59">
        <v>3165000</v>
      </c>
      <c r="V111" s="59">
        <v>2525665</v>
      </c>
      <c r="W111" s="59">
        <v>2599000</v>
      </c>
      <c r="X111" s="59">
        <v>2334000</v>
      </c>
      <c r="Y111" s="59">
        <v>2118000</v>
      </c>
      <c r="Z111" s="59">
        <v>1914000</v>
      </c>
      <c r="AA111" s="59">
        <v>1837000</v>
      </c>
      <c r="AB111" s="59">
        <v>1778000</v>
      </c>
      <c r="AC111" s="59">
        <v>1664065.3964984552</v>
      </c>
      <c r="AD111" s="59">
        <v>1443638.1043561513</v>
      </c>
      <c r="AE111" s="59">
        <v>1312000</v>
      </c>
      <c r="AF111" s="59">
        <v>1281000</v>
      </c>
      <c r="AG111" s="59">
        <v>901000</v>
      </c>
      <c r="AH111" s="59">
        <v>896000</v>
      </c>
      <c r="AI111" s="59">
        <v>893000</v>
      </c>
      <c r="AJ111" s="59">
        <v>695000</v>
      </c>
      <c r="AK111" s="59">
        <v>781000</v>
      </c>
      <c r="AL111" s="59">
        <v>704000</v>
      </c>
      <c r="AM111" s="59">
        <v>697000</v>
      </c>
      <c r="AN111" s="59">
        <v>664000</v>
      </c>
      <c r="AO111" s="59">
        <v>618000</v>
      </c>
      <c r="AP111" s="59">
        <v>579000</v>
      </c>
      <c r="AQ111" s="59">
        <v>553000</v>
      </c>
      <c r="AR111" s="59">
        <v>518700</v>
      </c>
      <c r="AS111" s="59">
        <v>428700</v>
      </c>
      <c r="AT111" s="59">
        <v>466900</v>
      </c>
      <c r="AU111" s="59">
        <v>376100</v>
      </c>
      <c r="AV111" s="59">
        <v>-391000</v>
      </c>
      <c r="AW111" s="59">
        <v>410400</v>
      </c>
      <c r="AX111" s="59">
        <v>447800</v>
      </c>
      <c r="AY111" s="59">
        <v>402900</v>
      </c>
      <c r="AZ111" s="59">
        <v>365400</v>
      </c>
      <c r="BA111" s="59">
        <v>372300</v>
      </c>
      <c r="BB111" s="59">
        <v>302700</v>
      </c>
      <c r="BC111" s="59">
        <v>314000</v>
      </c>
      <c r="BD111" s="59">
        <v>266700</v>
      </c>
      <c r="BE111" s="59">
        <v>224100</v>
      </c>
      <c r="BF111" s="59">
        <v>198300</v>
      </c>
      <c r="BG111" s="59">
        <v>204700</v>
      </c>
      <c r="BH111" s="45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39"/>
      <c r="CE111" s="39"/>
      <c r="CF111" s="39"/>
    </row>
    <row r="112" spans="1:84" outlineLevel="1">
      <c r="A112" s="39"/>
      <c r="B112" s="43"/>
      <c r="C112" s="56" t="s">
        <v>250</v>
      </c>
      <c r="D112" s="67" t="str">
        <f t="shared" si="8"/>
        <v/>
      </c>
      <c r="E112" s="67" t="str">
        <f t="shared" si="9"/>
        <v/>
      </c>
      <c r="F112" s="67" t="str">
        <f t="shared" si="10"/>
        <v/>
      </c>
      <c r="G112" s="67" t="str">
        <f t="shared" si="11"/>
        <v/>
      </c>
      <c r="H112" s="67" t="str">
        <f t="shared" si="12"/>
        <v/>
      </c>
      <c r="I112" s="67" t="str">
        <f t="shared" si="13"/>
        <v/>
      </c>
      <c r="J112" s="67" t="str">
        <f t="shared" si="14"/>
        <v/>
      </c>
      <c r="K112" s="58" t="str">
        <f t="shared" si="15"/>
        <v/>
      </c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45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</row>
    <row r="113" spans="1:84" outlineLevel="2">
      <c r="A113" s="39"/>
      <c r="B113" s="43"/>
      <c r="C113" s="56" t="s">
        <v>251</v>
      </c>
      <c r="D113" s="57">
        <f t="shared" si="8"/>
        <v>7799000</v>
      </c>
      <c r="E113" s="57">
        <f t="shared" si="9"/>
        <v>7949788.7039627051</v>
      </c>
      <c r="F113" s="57">
        <f t="shared" si="10"/>
        <v>2379000</v>
      </c>
      <c r="G113" s="57">
        <f t="shared" si="11"/>
        <v>17167000</v>
      </c>
      <c r="H113" s="57">
        <f t="shared" si="12"/>
        <v>4879347.5</v>
      </c>
      <c r="I113" s="57">
        <f t="shared" si="13"/>
        <v>10716000</v>
      </c>
      <c r="J113" s="57">
        <f t="shared" si="14"/>
        <v>4223287.7519886671</v>
      </c>
      <c r="K113" s="58">
        <f t="shared" si="15"/>
        <v>0.53124528327193132</v>
      </c>
      <c r="M113" s="59">
        <v>17167000</v>
      </c>
      <c r="N113" s="59">
        <v>14121000</v>
      </c>
      <c r="O113" s="59">
        <v>15661000</v>
      </c>
      <c r="P113" s="59">
        <v>11289000</v>
      </c>
      <c r="Q113" s="59">
        <v>10509000</v>
      </c>
      <c r="R113" s="59">
        <v>10868000</v>
      </c>
      <c r="S113" s="59">
        <v>10785000</v>
      </c>
      <c r="T113" s="59">
        <v>9618000</v>
      </c>
      <c r="U113" s="59">
        <v>8366000</v>
      </c>
      <c r="V113" s="59">
        <v>8616000</v>
      </c>
      <c r="W113" s="59">
        <v>8106000</v>
      </c>
      <c r="X113" s="59">
        <v>7492000</v>
      </c>
      <c r="Y113" s="59">
        <v>6359256.41025641</v>
      </c>
      <c r="Z113" s="59">
        <v>5203622.307692308</v>
      </c>
      <c r="AA113" s="59">
        <v>5133950</v>
      </c>
      <c r="AB113" s="59">
        <v>5210692.769230769</v>
      </c>
      <c r="AC113" s="59">
        <v>4794480</v>
      </c>
      <c r="AD113" s="59">
        <v>4251840</v>
      </c>
      <c r="AE113" s="59">
        <v>3186510</v>
      </c>
      <c r="AF113" s="59">
        <v>3099000</v>
      </c>
      <c r="AG113" s="59">
        <v>2679000</v>
      </c>
      <c r="AH113" s="59"/>
      <c r="AI113" s="59">
        <v>2379000</v>
      </c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45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</row>
    <row r="114" spans="1:84" outlineLevel="2">
      <c r="A114" s="39"/>
      <c r="B114" s="43"/>
      <c r="C114" s="56" t="s">
        <v>252</v>
      </c>
      <c r="D114" s="57">
        <f t="shared" si="8"/>
        <v>4749500</v>
      </c>
      <c r="E114" s="57">
        <f t="shared" si="9"/>
        <v>4752379.6130536133</v>
      </c>
      <c r="F114" s="57">
        <f t="shared" si="10"/>
        <v>1183000</v>
      </c>
      <c r="G114" s="57">
        <f t="shared" si="11"/>
        <v>10226000</v>
      </c>
      <c r="H114" s="57">
        <f t="shared" si="12"/>
        <v>2877283.192307692</v>
      </c>
      <c r="I114" s="57">
        <f t="shared" si="13"/>
        <v>6304000</v>
      </c>
      <c r="J114" s="57">
        <f t="shared" si="14"/>
        <v>2562140.7027889458</v>
      </c>
      <c r="K114" s="58">
        <f t="shared" si="15"/>
        <v>0.53912795513038936</v>
      </c>
      <c r="M114" s="59">
        <v>10226000</v>
      </c>
      <c r="N114" s="59">
        <v>8360000</v>
      </c>
      <c r="O114" s="59">
        <v>9510000</v>
      </c>
      <c r="P114" s="59">
        <v>6499000</v>
      </c>
      <c r="Q114" s="59">
        <v>6295000</v>
      </c>
      <c r="R114" s="59">
        <v>6553000</v>
      </c>
      <c r="S114" s="59">
        <v>6307000</v>
      </c>
      <c r="T114" s="59">
        <v>5471000</v>
      </c>
      <c r="U114" s="59">
        <v>5728000</v>
      </c>
      <c r="V114" s="59">
        <v>5188000</v>
      </c>
      <c r="W114" s="59">
        <v>4903000</v>
      </c>
      <c r="X114" s="59">
        <v>4596000</v>
      </c>
      <c r="Y114" s="59">
        <v>3838256.41025641</v>
      </c>
      <c r="Z114" s="59">
        <v>3426622.307692308</v>
      </c>
      <c r="AA114" s="59">
        <v>3284950</v>
      </c>
      <c r="AB114" s="59">
        <v>3137692.769230769</v>
      </c>
      <c r="AC114" s="59">
        <v>2790480</v>
      </c>
      <c r="AD114" s="59">
        <v>2608840</v>
      </c>
      <c r="AE114" s="59">
        <v>1707510</v>
      </c>
      <c r="AF114" s="59">
        <v>1678000</v>
      </c>
      <c r="AG114" s="59">
        <v>1183000</v>
      </c>
      <c r="AH114" s="59"/>
      <c r="AI114" s="59">
        <v>1261000</v>
      </c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45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</row>
    <row r="115" spans="1:84" outlineLevel="2">
      <c r="A115" s="39"/>
      <c r="B115" s="43"/>
      <c r="C115" s="56" t="s">
        <v>253</v>
      </c>
      <c r="D115" s="57">
        <f t="shared" si="8"/>
        <v>4063000</v>
      </c>
      <c r="E115" s="57">
        <f t="shared" si="9"/>
        <v>4395003.8460584786</v>
      </c>
      <c r="F115" s="57">
        <f t="shared" si="10"/>
        <v>2037899.999678134</v>
      </c>
      <c r="G115" s="57">
        <f t="shared" si="11"/>
        <v>7683000</v>
      </c>
      <c r="H115" s="57">
        <f t="shared" si="12"/>
        <v>2878149.9999463558</v>
      </c>
      <c r="I115" s="57">
        <f t="shared" si="13"/>
        <v>5742000</v>
      </c>
      <c r="J115" s="57">
        <f t="shared" si="14"/>
        <v>1877100.1756363546</v>
      </c>
      <c r="K115" s="58">
        <f t="shared" si="15"/>
        <v>0.42709864231854383</v>
      </c>
      <c r="M115" s="59">
        <v>7683000</v>
      </c>
      <c r="N115" s="59">
        <v>7063000</v>
      </c>
      <c r="O115" s="59">
        <v>6442000</v>
      </c>
      <c r="P115" s="59">
        <v>5742000</v>
      </c>
      <c r="Q115" s="59">
        <v>5022000</v>
      </c>
      <c r="R115" s="59">
        <v>4552000</v>
      </c>
      <c r="S115" s="59">
        <v>4063000</v>
      </c>
      <c r="T115" s="59">
        <v>3673000</v>
      </c>
      <c r="U115" s="59">
        <v>3154250</v>
      </c>
      <c r="V115" s="59">
        <v>2878149.9999463558</v>
      </c>
      <c r="W115" s="59">
        <v>2555849.9996960168</v>
      </c>
      <c r="X115" s="59">
        <v>2268899.9994397168</v>
      </c>
      <c r="Y115" s="59">
        <v>2037899.999678134</v>
      </c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45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39"/>
      <c r="CE115" s="39"/>
      <c r="CF115" s="39"/>
    </row>
    <row r="116" spans="1:84" outlineLevel="2">
      <c r="A116" s="39"/>
      <c r="B116" s="43"/>
      <c r="C116" s="56" t="s">
        <v>254</v>
      </c>
      <c r="D116" s="58">
        <f t="shared" si="8"/>
        <v>1.3477895</v>
      </c>
      <c r="E116" s="58">
        <f t="shared" si="9"/>
        <v>1.6944236363636362</v>
      </c>
      <c r="F116" s="58">
        <f t="shared" si="10"/>
        <v>0.60921000000000003</v>
      </c>
      <c r="G116" s="58">
        <f t="shared" si="11"/>
        <v>3.71</v>
      </c>
      <c r="H116" s="58">
        <f t="shared" si="12"/>
        <v>1.0330315000000001</v>
      </c>
      <c r="I116" s="58">
        <f t="shared" si="13"/>
        <v>2.2487500000000002</v>
      </c>
      <c r="J116" s="58">
        <f t="shared" si="14"/>
        <v>0.94034951825769642</v>
      </c>
      <c r="K116" s="58">
        <f t="shared" si="15"/>
        <v>0.55496718652707122</v>
      </c>
      <c r="M116" s="65">
        <v>3.71</v>
      </c>
      <c r="N116" s="65">
        <v>3.43</v>
      </c>
      <c r="O116" s="65">
        <v>3.1799999999999997</v>
      </c>
      <c r="P116" s="65">
        <v>2.91</v>
      </c>
      <c r="Q116" s="65">
        <v>2.54</v>
      </c>
      <c r="R116" s="65">
        <v>2.3000000000000003</v>
      </c>
      <c r="S116" s="65">
        <v>2.0949999999999998</v>
      </c>
      <c r="T116" s="65">
        <v>1.9249999999999998</v>
      </c>
      <c r="U116" s="65">
        <v>1.6697200000000001</v>
      </c>
      <c r="V116" s="65">
        <v>1.5494350000000001</v>
      </c>
      <c r="W116" s="65">
        <v>1.4122980000000001</v>
      </c>
      <c r="X116" s="65">
        <v>1.2832809999999999</v>
      </c>
      <c r="Y116" s="65">
        <v>1.1950690000000002</v>
      </c>
      <c r="Z116" s="65">
        <v>1.0677639999999999</v>
      </c>
      <c r="AA116" s="65">
        <v>1.07847</v>
      </c>
      <c r="AB116" s="65">
        <v>1.0693410000000001</v>
      </c>
      <c r="AC116" s="65">
        <v>1.0214540000000001</v>
      </c>
      <c r="AD116" s="65">
        <v>0.95877800000000002</v>
      </c>
      <c r="AE116" s="65">
        <v>0.875</v>
      </c>
      <c r="AF116" s="65">
        <v>0.755</v>
      </c>
      <c r="AG116" s="65">
        <v>0.64249999999999996</v>
      </c>
      <c r="AH116" s="65"/>
      <c r="AI116" s="65">
        <v>0.60921000000000003</v>
      </c>
      <c r="AJ116" s="65"/>
      <c r="AK116" s="65"/>
      <c r="AL116" s="65"/>
      <c r="AM116" s="65"/>
      <c r="AN116" s="65"/>
      <c r="AO116" s="65"/>
      <c r="AP116" s="65"/>
      <c r="AQ116" s="65"/>
      <c r="AR116" s="65"/>
      <c r="AS116" s="65"/>
      <c r="AT116" s="65"/>
      <c r="AU116" s="65"/>
      <c r="AV116" s="65"/>
      <c r="AW116" s="65"/>
      <c r="AX116" s="65"/>
      <c r="AY116" s="65"/>
      <c r="AZ116" s="65"/>
      <c r="BA116" s="65"/>
      <c r="BB116" s="65"/>
      <c r="BC116" s="65"/>
      <c r="BD116" s="65"/>
      <c r="BE116" s="65"/>
      <c r="BF116" s="65"/>
      <c r="BG116" s="65"/>
      <c r="BH116" s="45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</row>
    <row r="117" spans="1:84">
      <c r="A117" s="39"/>
      <c r="B117" s="43"/>
      <c r="C117" s="53" t="s">
        <v>255</v>
      </c>
      <c r="D117" s="66" t="str">
        <f t="shared" si="8"/>
        <v/>
      </c>
      <c r="E117" s="66" t="str">
        <f t="shared" si="9"/>
        <v/>
      </c>
      <c r="F117" s="66" t="str">
        <f t="shared" si="10"/>
        <v/>
      </c>
      <c r="G117" s="66" t="str">
        <f t="shared" si="11"/>
        <v/>
      </c>
      <c r="H117" s="66" t="str">
        <f t="shared" si="12"/>
        <v/>
      </c>
      <c r="I117" s="66" t="str">
        <f t="shared" si="13"/>
        <v/>
      </c>
      <c r="J117" s="66" t="str">
        <f t="shared" si="14"/>
        <v/>
      </c>
      <c r="K117" s="55" t="str">
        <f t="shared" si="15"/>
        <v/>
      </c>
      <c r="L117" s="48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45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</row>
    <row r="118" spans="1:84" outlineLevel="1">
      <c r="A118" s="39"/>
      <c r="B118" s="43"/>
      <c r="C118" s="56" t="s">
        <v>256</v>
      </c>
      <c r="D118" s="67" t="str">
        <f t="shared" si="8"/>
        <v/>
      </c>
      <c r="E118" s="67" t="str">
        <f t="shared" si="9"/>
        <v/>
      </c>
      <c r="F118" s="67" t="str">
        <f t="shared" si="10"/>
        <v/>
      </c>
      <c r="G118" s="67" t="str">
        <f t="shared" si="11"/>
        <v/>
      </c>
      <c r="H118" s="67" t="str">
        <f t="shared" si="12"/>
        <v/>
      </c>
      <c r="I118" s="67" t="str">
        <f t="shared" si="13"/>
        <v/>
      </c>
      <c r="J118" s="67" t="str">
        <f t="shared" si="14"/>
        <v/>
      </c>
      <c r="K118" s="58" t="str">
        <f t="shared" si="15"/>
        <v/>
      </c>
      <c r="M118" s="68" t="s">
        <v>257</v>
      </c>
      <c r="N118" s="68" t="s">
        <v>257</v>
      </c>
      <c r="O118" s="68" t="s">
        <v>257</v>
      </c>
      <c r="P118" s="68" t="s">
        <v>257</v>
      </c>
      <c r="Q118" s="68" t="s">
        <v>257</v>
      </c>
      <c r="R118" s="68" t="s">
        <v>257</v>
      </c>
      <c r="S118" s="68" t="s">
        <v>257</v>
      </c>
      <c r="T118" s="68" t="s">
        <v>257</v>
      </c>
      <c r="U118" s="68" t="s">
        <v>257</v>
      </c>
      <c r="V118" s="68" t="s">
        <v>257</v>
      </c>
      <c r="W118" s="68" t="s">
        <v>257</v>
      </c>
      <c r="X118" s="68" t="s">
        <v>257</v>
      </c>
      <c r="Y118" s="68" t="s">
        <v>257</v>
      </c>
      <c r="Z118" s="68" t="s">
        <v>257</v>
      </c>
      <c r="AA118" s="68" t="s">
        <v>257</v>
      </c>
      <c r="AB118" s="68" t="s">
        <v>257</v>
      </c>
      <c r="AC118" s="68" t="s">
        <v>257</v>
      </c>
      <c r="AD118" s="68" t="s">
        <v>257</v>
      </c>
      <c r="AE118" s="68" t="s">
        <v>257</v>
      </c>
      <c r="AF118" s="68" t="s">
        <v>257</v>
      </c>
      <c r="AG118" s="68" t="s">
        <v>257</v>
      </c>
      <c r="AH118" s="68" t="s">
        <v>257</v>
      </c>
      <c r="AI118" s="68" t="s">
        <v>257</v>
      </c>
      <c r="AJ118" s="68" t="s">
        <v>257</v>
      </c>
      <c r="AK118" s="68" t="s">
        <v>257</v>
      </c>
      <c r="AL118" s="68" t="s">
        <v>257</v>
      </c>
      <c r="AM118" s="68" t="s">
        <v>257</v>
      </c>
      <c r="AN118" s="68" t="s">
        <v>257</v>
      </c>
      <c r="AO118" s="68" t="s">
        <v>257</v>
      </c>
      <c r="AP118" s="68" t="s">
        <v>257</v>
      </c>
      <c r="AQ118" s="68" t="s">
        <v>257</v>
      </c>
      <c r="AR118" s="68" t="s">
        <v>257</v>
      </c>
      <c r="AS118" s="68" t="s">
        <v>257</v>
      </c>
      <c r="AT118" s="68" t="s">
        <v>257</v>
      </c>
      <c r="AU118" s="68" t="s">
        <v>257</v>
      </c>
      <c r="AV118" s="68" t="s">
        <v>257</v>
      </c>
      <c r="AW118" s="68" t="s">
        <v>257</v>
      </c>
      <c r="AX118" s="68" t="s">
        <v>257</v>
      </c>
      <c r="AY118" s="68" t="s">
        <v>257</v>
      </c>
      <c r="AZ118" s="68" t="s">
        <v>257</v>
      </c>
      <c r="BA118" s="68" t="s">
        <v>257</v>
      </c>
      <c r="BB118" s="68" t="s">
        <v>257</v>
      </c>
      <c r="BC118" s="68" t="s">
        <v>257</v>
      </c>
      <c r="BD118" s="68" t="s">
        <v>257</v>
      </c>
      <c r="BE118" s="68" t="s">
        <v>257</v>
      </c>
      <c r="BF118" s="68" t="s">
        <v>257</v>
      </c>
      <c r="BG118" s="68" t="s">
        <v>257</v>
      </c>
      <c r="BH118" s="45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</row>
    <row r="119" spans="1:84" outlineLevel="1">
      <c r="A119" s="39"/>
      <c r="B119" s="43"/>
      <c r="C119" s="56" t="s">
        <v>258</v>
      </c>
      <c r="D119" s="67" t="str">
        <f t="shared" si="8"/>
        <v/>
      </c>
      <c r="E119" s="67" t="str">
        <f t="shared" si="9"/>
        <v/>
      </c>
      <c r="F119" s="67" t="str">
        <f t="shared" si="10"/>
        <v/>
      </c>
      <c r="G119" s="67" t="str">
        <f t="shared" si="11"/>
        <v/>
      </c>
      <c r="H119" s="67" t="str">
        <f t="shared" si="12"/>
        <v/>
      </c>
      <c r="I119" s="67" t="str">
        <f t="shared" si="13"/>
        <v/>
      </c>
      <c r="J119" s="67" t="str">
        <f t="shared" si="14"/>
        <v/>
      </c>
      <c r="K119" s="58" t="str">
        <f t="shared" si="15"/>
        <v/>
      </c>
      <c r="M119" s="68" t="s">
        <v>257</v>
      </c>
      <c r="N119" s="68" t="s">
        <v>257</v>
      </c>
      <c r="O119" s="68" t="s">
        <v>257</v>
      </c>
      <c r="P119" s="68" t="s">
        <v>257</v>
      </c>
      <c r="Q119" s="68" t="s">
        <v>257</v>
      </c>
      <c r="R119" s="68" t="s">
        <v>257</v>
      </c>
      <c r="S119" s="68" t="s">
        <v>257</v>
      </c>
      <c r="T119" s="68" t="s">
        <v>257</v>
      </c>
      <c r="U119" s="68" t="s">
        <v>257</v>
      </c>
      <c r="V119" s="68" t="s">
        <v>257</v>
      </c>
      <c r="W119" s="68" t="s">
        <v>257</v>
      </c>
      <c r="X119" s="68" t="s">
        <v>257</v>
      </c>
      <c r="Y119" s="68" t="s">
        <v>257</v>
      </c>
      <c r="Z119" s="68" t="s">
        <v>257</v>
      </c>
      <c r="AA119" s="68" t="s">
        <v>257</v>
      </c>
      <c r="AB119" s="68" t="s">
        <v>257</v>
      </c>
      <c r="AC119" s="68" t="s">
        <v>257</v>
      </c>
      <c r="AD119" s="68" t="s">
        <v>257</v>
      </c>
      <c r="AE119" s="68" t="s">
        <v>257</v>
      </c>
      <c r="AF119" s="68" t="s">
        <v>257</v>
      </c>
      <c r="AG119" s="68" t="s">
        <v>257</v>
      </c>
      <c r="AH119" s="68" t="s">
        <v>257</v>
      </c>
      <c r="AI119" s="68" t="s">
        <v>257</v>
      </c>
      <c r="AJ119" s="68" t="s">
        <v>257</v>
      </c>
      <c r="AK119" s="68" t="s">
        <v>257</v>
      </c>
      <c r="AL119" s="68" t="s">
        <v>257</v>
      </c>
      <c r="AM119" s="68" t="s">
        <v>257</v>
      </c>
      <c r="AN119" s="68" t="s">
        <v>257</v>
      </c>
      <c r="AO119" s="68" t="s">
        <v>257</v>
      </c>
      <c r="AP119" s="68" t="s">
        <v>257</v>
      </c>
      <c r="AQ119" s="68" t="s">
        <v>257</v>
      </c>
      <c r="AR119" s="68" t="s">
        <v>257</v>
      </c>
      <c r="AS119" s="68" t="s">
        <v>257</v>
      </c>
      <c r="AT119" s="68" t="s">
        <v>257</v>
      </c>
      <c r="AU119" s="68" t="s">
        <v>257</v>
      </c>
      <c r="AV119" s="68" t="s">
        <v>257</v>
      </c>
      <c r="AW119" s="68" t="s">
        <v>257</v>
      </c>
      <c r="AX119" s="68" t="s">
        <v>257</v>
      </c>
      <c r="AY119" s="68" t="s">
        <v>257</v>
      </c>
      <c r="AZ119" s="68" t="s">
        <v>257</v>
      </c>
      <c r="BA119" s="68" t="s">
        <v>257</v>
      </c>
      <c r="BB119" s="68" t="s">
        <v>257</v>
      </c>
      <c r="BC119" s="68" t="s">
        <v>257</v>
      </c>
      <c r="BD119" s="68" t="s">
        <v>257</v>
      </c>
      <c r="BE119" s="68" t="s">
        <v>257</v>
      </c>
      <c r="BF119" s="68" t="s">
        <v>257</v>
      </c>
      <c r="BG119" s="68" t="s">
        <v>257</v>
      </c>
      <c r="BH119" s="45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</row>
    <row r="120" spans="1:84" outlineLevel="1">
      <c r="A120" s="39"/>
      <c r="B120" s="43"/>
      <c r="C120" s="56" t="s">
        <v>259</v>
      </c>
      <c r="D120" s="67" t="str">
        <f t="shared" si="8"/>
        <v/>
      </c>
      <c r="E120" s="67" t="str">
        <f t="shared" si="9"/>
        <v/>
      </c>
      <c r="F120" s="67" t="str">
        <f t="shared" si="10"/>
        <v/>
      </c>
      <c r="G120" s="67" t="str">
        <f t="shared" si="11"/>
        <v/>
      </c>
      <c r="H120" s="67" t="str">
        <f t="shared" si="12"/>
        <v/>
      </c>
      <c r="I120" s="67" t="str">
        <f t="shared" si="13"/>
        <v/>
      </c>
      <c r="J120" s="67" t="str">
        <f t="shared" si="14"/>
        <v/>
      </c>
      <c r="K120" s="58" t="str">
        <f t="shared" si="15"/>
        <v/>
      </c>
      <c r="M120" s="68" t="s">
        <v>260</v>
      </c>
      <c r="N120" s="68" t="s">
        <v>260</v>
      </c>
      <c r="O120" s="68" t="s">
        <v>260</v>
      </c>
      <c r="P120" s="68" t="s">
        <v>260</v>
      </c>
      <c r="Q120" s="68" t="s">
        <v>260</v>
      </c>
      <c r="R120" s="68" t="s">
        <v>260</v>
      </c>
      <c r="S120" s="68" t="s">
        <v>260</v>
      </c>
      <c r="T120" s="68" t="s">
        <v>260</v>
      </c>
      <c r="U120" s="68" t="s">
        <v>260</v>
      </c>
      <c r="V120" s="68" t="s">
        <v>260</v>
      </c>
      <c r="W120" s="68" t="s">
        <v>260</v>
      </c>
      <c r="X120" s="68" t="s">
        <v>260</v>
      </c>
      <c r="Y120" s="68" t="s">
        <v>260</v>
      </c>
      <c r="Z120" s="68" t="s">
        <v>260</v>
      </c>
      <c r="AA120" s="68" t="s">
        <v>260</v>
      </c>
      <c r="AB120" s="68" t="s">
        <v>260</v>
      </c>
      <c r="AC120" s="68" t="s">
        <v>260</v>
      </c>
      <c r="AD120" s="68" t="s">
        <v>260</v>
      </c>
      <c r="AE120" s="68" t="s">
        <v>260</v>
      </c>
      <c r="AF120" s="68" t="s">
        <v>260</v>
      </c>
      <c r="AG120" s="68" t="s">
        <v>260</v>
      </c>
      <c r="AH120" s="68" t="s">
        <v>260</v>
      </c>
      <c r="AI120" s="68" t="s">
        <v>260</v>
      </c>
      <c r="AJ120" s="68" t="s">
        <v>260</v>
      </c>
      <c r="AK120" s="68" t="s">
        <v>260</v>
      </c>
      <c r="AL120" s="68" t="s">
        <v>260</v>
      </c>
      <c r="AM120" s="68" t="s">
        <v>260</v>
      </c>
      <c r="AN120" s="68" t="s">
        <v>260</v>
      </c>
      <c r="AO120" s="68" t="s">
        <v>260</v>
      </c>
      <c r="AP120" s="68" t="s">
        <v>260</v>
      </c>
      <c r="AQ120" s="68" t="s">
        <v>260</v>
      </c>
      <c r="AR120" s="68" t="s">
        <v>260</v>
      </c>
      <c r="AS120" s="68" t="s">
        <v>260</v>
      </c>
      <c r="AT120" s="68" t="s">
        <v>260</v>
      </c>
      <c r="AU120" s="68" t="s">
        <v>260</v>
      </c>
      <c r="AV120" s="68" t="s">
        <v>260</v>
      </c>
      <c r="AW120" s="68" t="s">
        <v>260</v>
      </c>
      <c r="AX120" s="68" t="s">
        <v>260</v>
      </c>
      <c r="AY120" s="68" t="s">
        <v>260</v>
      </c>
      <c r="AZ120" s="68" t="s">
        <v>260</v>
      </c>
      <c r="BA120" s="68" t="s">
        <v>260</v>
      </c>
      <c r="BB120" s="68" t="s">
        <v>260</v>
      </c>
      <c r="BC120" s="68" t="s">
        <v>260</v>
      </c>
      <c r="BD120" s="68" t="s">
        <v>260</v>
      </c>
      <c r="BE120" s="68" t="s">
        <v>260</v>
      </c>
      <c r="BF120" s="68" t="s">
        <v>260</v>
      </c>
      <c r="BG120" s="68" t="s">
        <v>260</v>
      </c>
      <c r="BH120" s="45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</row>
    <row r="121" spans="1:84" outlineLevel="1">
      <c r="A121" s="39"/>
      <c r="B121" s="43"/>
      <c r="C121" s="56" t="s">
        <v>261</v>
      </c>
      <c r="D121" s="67" t="str">
        <f t="shared" si="8"/>
        <v/>
      </c>
      <c r="E121" s="67" t="str">
        <f t="shared" si="9"/>
        <v/>
      </c>
      <c r="F121" s="67" t="str">
        <f t="shared" si="10"/>
        <v/>
      </c>
      <c r="G121" s="67" t="str">
        <f t="shared" si="11"/>
        <v/>
      </c>
      <c r="H121" s="67" t="str">
        <f t="shared" si="12"/>
        <v/>
      </c>
      <c r="I121" s="67" t="str">
        <f t="shared" si="13"/>
        <v/>
      </c>
      <c r="J121" s="67" t="str">
        <f t="shared" si="14"/>
        <v/>
      </c>
      <c r="K121" s="58" t="str">
        <f t="shared" si="15"/>
        <v/>
      </c>
      <c r="M121" s="68" t="s">
        <v>257</v>
      </c>
      <c r="N121" s="68" t="s">
        <v>257</v>
      </c>
      <c r="O121" s="68" t="s">
        <v>257</v>
      </c>
      <c r="P121" s="68" t="s">
        <v>257</v>
      </c>
      <c r="Q121" s="68" t="s">
        <v>257</v>
      </c>
      <c r="R121" s="68" t="s">
        <v>257</v>
      </c>
      <c r="S121" s="68" t="s">
        <v>257</v>
      </c>
      <c r="T121" s="68" t="s">
        <v>257</v>
      </c>
      <c r="U121" s="68" t="s">
        <v>257</v>
      </c>
      <c r="V121" s="68" t="s">
        <v>257</v>
      </c>
      <c r="W121" s="68" t="s">
        <v>257</v>
      </c>
      <c r="X121" s="68" t="s">
        <v>257</v>
      </c>
      <c r="Y121" s="68" t="s">
        <v>257</v>
      </c>
      <c r="Z121" s="68" t="s">
        <v>257</v>
      </c>
      <c r="AA121" s="68" t="s">
        <v>257</v>
      </c>
      <c r="AB121" s="68" t="s">
        <v>257</v>
      </c>
      <c r="AC121" s="68" t="s">
        <v>257</v>
      </c>
      <c r="AD121" s="68" t="s">
        <v>257</v>
      </c>
      <c r="AE121" s="68" t="s">
        <v>257</v>
      </c>
      <c r="AF121" s="68" t="s">
        <v>257</v>
      </c>
      <c r="AG121" s="68" t="s">
        <v>257</v>
      </c>
      <c r="AH121" s="68" t="s">
        <v>257</v>
      </c>
      <c r="AI121" s="68" t="s">
        <v>257</v>
      </c>
      <c r="AJ121" s="68" t="s">
        <v>257</v>
      </c>
      <c r="AK121" s="68" t="s">
        <v>257</v>
      </c>
      <c r="AL121" s="68" t="s">
        <v>257</v>
      </c>
      <c r="AM121" s="68" t="s">
        <v>257</v>
      </c>
      <c r="AN121" s="68" t="s">
        <v>257</v>
      </c>
      <c r="AO121" s="68" t="s">
        <v>257</v>
      </c>
      <c r="AP121" s="68" t="s">
        <v>257</v>
      </c>
      <c r="AQ121" s="68" t="s">
        <v>257</v>
      </c>
      <c r="AR121" s="68" t="s">
        <v>257</v>
      </c>
      <c r="AS121" s="68" t="s">
        <v>257</v>
      </c>
      <c r="AT121" s="68" t="s">
        <v>257</v>
      </c>
      <c r="AU121" s="68" t="s">
        <v>257</v>
      </c>
      <c r="AV121" s="68" t="s">
        <v>257</v>
      </c>
      <c r="AW121" s="68" t="s">
        <v>257</v>
      </c>
      <c r="AX121" s="68" t="s">
        <v>257</v>
      </c>
      <c r="AY121" s="68" t="s">
        <v>257</v>
      </c>
      <c r="AZ121" s="68" t="s">
        <v>257</v>
      </c>
      <c r="BA121" s="68" t="s">
        <v>257</v>
      </c>
      <c r="BB121" s="68" t="s">
        <v>257</v>
      </c>
      <c r="BC121" s="68" t="s">
        <v>257</v>
      </c>
      <c r="BD121" s="68" t="s">
        <v>257</v>
      </c>
      <c r="BE121" s="68" t="s">
        <v>257</v>
      </c>
      <c r="BF121" s="68" t="s">
        <v>257</v>
      </c>
      <c r="BG121" s="68" t="s">
        <v>257</v>
      </c>
      <c r="BH121" s="45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</row>
    <row r="122" spans="1:84">
      <c r="A122" s="39"/>
      <c r="B122" s="43"/>
      <c r="BH122" s="45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39"/>
    </row>
    <row r="123" spans="1:84">
      <c r="A123" s="39"/>
      <c r="B123" s="43"/>
      <c r="C123" s="46" t="s">
        <v>262</v>
      </c>
      <c r="BH123" s="45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  <c r="CA123" s="39"/>
      <c r="CB123" s="39"/>
      <c r="CC123" s="39"/>
      <c r="CD123" s="39"/>
      <c r="CE123" s="39"/>
      <c r="CF123" s="39"/>
    </row>
    <row r="124" spans="1:84">
      <c r="A124" s="39"/>
      <c r="B124" s="43"/>
      <c r="BH124" s="45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39"/>
    </row>
    <row r="125" spans="1:84">
      <c r="A125" s="39"/>
      <c r="B125" s="43"/>
      <c r="BH125" s="45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9"/>
    </row>
    <row r="126" spans="1:84">
      <c r="A126" s="39"/>
      <c r="B126" s="71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3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</row>
    <row r="127" spans="1:84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9"/>
    </row>
  </sheetData>
  <mergeCells count="8">
    <mergeCell ref="J5:J6"/>
    <mergeCell ref="K5:K6"/>
    <mergeCell ref="D5:D6"/>
    <mergeCell ref="E5:E6"/>
    <mergeCell ref="F5:F6"/>
    <mergeCell ref="G5:G6"/>
    <mergeCell ref="H5:H6"/>
    <mergeCell ref="I5:I6"/>
  </mergeCells>
  <hyperlinks>
    <hyperlink ref="M5" r:id="rId1" xr:uid="{98F7D52D-D5F1-2A42-910B-9B2E148A1B4E}"/>
    <hyperlink ref="N5" r:id="rId2" xr:uid="{F4E7B4FF-DA9A-7C42-A88D-CB880AF3F376}"/>
    <hyperlink ref="O5" r:id="rId3" xr:uid="{82F67E7E-77AA-E042-8A38-1E408585B763}"/>
    <hyperlink ref="P5" r:id="rId4" xr:uid="{E6946B25-0740-8E42-9D26-6E09026F01F6}"/>
    <hyperlink ref="Q5" r:id="rId5" xr:uid="{2D92AF0B-474A-064B-974C-2632EF112333}"/>
    <hyperlink ref="R5" r:id="rId6" xr:uid="{D1692D56-51D4-5D4E-986C-B17FC6B33316}"/>
    <hyperlink ref="S5" r:id="rId7" xr:uid="{B56A756B-DF92-ED40-AFAA-78D6E07F8148}"/>
    <hyperlink ref="T5" r:id="rId8" xr:uid="{AAA3D8B6-D5EE-2941-9B2B-36DBC3B2319E}"/>
    <hyperlink ref="U5" r:id="rId9" xr:uid="{45E059DF-D477-DB49-A45D-CBC8E34732B7}"/>
    <hyperlink ref="V5" r:id="rId10" xr:uid="{3766145A-E597-6648-9EF7-5D28E8794A9E}"/>
    <hyperlink ref="W5" r:id="rId11" xr:uid="{D432362F-DF01-7C40-97C0-ED0346B527C2}"/>
    <hyperlink ref="X5" r:id="rId12" xr:uid="{F147CB51-DE00-E148-A14A-75DB82EE597D}"/>
    <hyperlink ref="Y5" r:id="rId13" xr:uid="{0FC19AB6-E9B3-9042-B41D-92712AA0509A}"/>
    <hyperlink ref="Z5" r:id="rId14" xr:uid="{105F62DF-E0B0-434D-B139-0FCC8D048BB7}"/>
    <hyperlink ref="AA5" r:id="rId15" xr:uid="{DB7B9912-0AE5-1345-B17F-DCA3D2752BC4}"/>
    <hyperlink ref="AB5" r:id="rId16" xr:uid="{BF1E56FB-7365-6444-8099-98885C1B6976}"/>
    <hyperlink ref="AC5" r:id="rId17" xr:uid="{C29329D7-8DB0-0F4F-A9E9-EAB8E3F764C4}"/>
    <hyperlink ref="AD5" r:id="rId18" xr:uid="{921920E1-83B4-4E47-A8BC-F23868807CE0}"/>
    <hyperlink ref="AE5" r:id="rId19" xr:uid="{2F9B8537-05F0-DF47-902D-4C0ABF1EE7CD}"/>
    <hyperlink ref="AF5" r:id="rId20" xr:uid="{B91709B0-2349-CD40-BA7D-7C4F4878D0FE}"/>
    <hyperlink ref="AG5" r:id="rId21" xr:uid="{0427E875-9EB0-DA4B-85A5-5E821A3D6E82}"/>
    <hyperlink ref="AH5" r:id="rId22" xr:uid="{2FF07076-A851-544E-96F2-B6CDAB33B7E9}"/>
    <hyperlink ref="AI5" r:id="rId23" xr:uid="{6C324C24-005B-F442-8E0E-D82BACE9F60A}"/>
    <hyperlink ref="AJ5" r:id="rId24" xr:uid="{DC231C7F-51C3-CA4A-8831-DA511CB74F3C}"/>
    <hyperlink ref="AK5" r:id="rId25" xr:uid="{ED2AE0D6-74FF-434E-B739-55DAB0180F4A}"/>
    <hyperlink ref="AL5" r:id="rId26" xr:uid="{ACBF3D9A-2365-AD46-AB77-CD4C91531ADC}"/>
    <hyperlink ref="AM5" r:id="rId27" xr:uid="{55B9FC49-1A70-FE40-B588-C6B99104F302}"/>
    <hyperlink ref="AN5" r:id="rId28" xr:uid="{0B357911-86C4-8E4F-AEDE-FE662E1288F9}"/>
    <hyperlink ref="AO5" r:id="rId29" xr:uid="{22200384-5CA1-4345-8F94-0AB87A006821}"/>
    <hyperlink ref="AP5" r:id="rId30" xr:uid="{79BEF6FC-2ADF-354C-9E58-EC188C6ABD17}"/>
    <hyperlink ref="AQ5" r:id="rId31" xr:uid="{90F70F7E-BF40-1C4B-A0AD-E7E5696D8969}"/>
    <hyperlink ref="AR5" r:id="rId32" xr:uid="{DB67C4D3-0667-494C-B2DB-A8A094D34550}"/>
    <hyperlink ref="AS5" r:id="rId33" xr:uid="{49E937EC-1AF6-E14D-9280-2E5D9B261A1A}"/>
    <hyperlink ref="AT5" r:id="rId34" xr:uid="{18340EDB-73FB-D24E-B7D7-91ACB292A9E9}"/>
    <hyperlink ref="AU5" r:id="rId35" xr:uid="{53926751-B0E6-404E-8EFF-590632FF463F}"/>
    <hyperlink ref="AV5" r:id="rId36" xr:uid="{9D1D01F0-EE4A-F940-9783-7C97E1E05777}"/>
    <hyperlink ref="AW5" r:id="rId37" xr:uid="{74BAF6E6-B9ED-DD46-AFA5-F09503069552}"/>
    <hyperlink ref="AX5" r:id="rId38" xr:uid="{3C41D799-1AA6-5049-B441-421B2239E561}"/>
    <hyperlink ref="AY5" r:id="rId39" xr:uid="{A9362F19-07F5-AC4D-A4DD-D86F0CDE69E5}"/>
    <hyperlink ref="AZ5" r:id="rId40" xr:uid="{91F78B37-6CE7-B444-ADA0-7A542FB6E68C}"/>
    <hyperlink ref="BA5" r:id="rId41" xr:uid="{DEB6250A-457C-4348-877B-63D76BC4BFB8}"/>
    <hyperlink ref="BB5" r:id="rId42" xr:uid="{9744FF06-0763-A84C-BF77-BCA6BA508C56}"/>
    <hyperlink ref="BC5" r:id="rId43" xr:uid="{DE52F1BA-95DF-0044-88F2-141E29CF8955}"/>
    <hyperlink ref="BD5" r:id="rId44" xr:uid="{C5B3D419-D7E2-8F4D-BFBD-CFD842000BF2}"/>
    <hyperlink ref="BE5" r:id="rId45" xr:uid="{99F94F90-9787-5E40-9122-5FBDFBBC371C}"/>
    <hyperlink ref="BF5" r:id="rId46" xr:uid="{9DEC6BB7-155C-A54B-9FB1-4F70FA265084}"/>
    <hyperlink ref="BG5" r:id="rId47" xr:uid="{25EC3656-A3F0-B742-9C53-451B4EB09E45}"/>
    <hyperlink ref="M10" r:id="rId48" xr:uid="{371032F1-6F30-5748-8130-4DAB428F37FC}"/>
    <hyperlink ref="N10" r:id="rId49" xr:uid="{2F9347BC-BAC4-C34A-AFC7-C4E523036362}"/>
    <hyperlink ref="O10" r:id="rId50" xr:uid="{934F2604-E0A7-4849-B195-596DB8B6B0E8}"/>
    <hyperlink ref="P10" r:id="rId51" xr:uid="{3531FEB4-4D36-8849-98B2-6E16CB55ED2D}"/>
    <hyperlink ref="Q10" r:id="rId52" xr:uid="{CA746AFB-24C9-F345-8EF6-1099059819CB}"/>
    <hyperlink ref="R10" r:id="rId53" xr:uid="{6D74851E-A73C-9546-BADB-D324C5DD0E87}"/>
    <hyperlink ref="S10" r:id="rId54" xr:uid="{529A8725-AB72-D64C-9607-2F25E6B54B49}"/>
    <hyperlink ref="T10" r:id="rId55" xr:uid="{F2B830F3-7199-874C-AC94-70CDC88F6588}"/>
    <hyperlink ref="U10" r:id="rId56" xr:uid="{07E19340-38BE-8841-AC94-4D04A45A2978}"/>
    <hyperlink ref="V10" r:id="rId57" xr:uid="{3DD2E6D6-A22B-D346-88A0-4E860E76048E}"/>
    <hyperlink ref="W10" r:id="rId58" xr:uid="{3F23F535-0CD8-E94B-B737-F3F2BDA683F7}"/>
    <hyperlink ref="X10" r:id="rId59" xr:uid="{45599C2E-4CB9-F541-89A8-F4F548F1F7F8}"/>
    <hyperlink ref="Y10" r:id="rId60" xr:uid="{B5FF41C7-D4BE-8E41-913B-5B97849A771E}"/>
    <hyperlink ref="Z10" r:id="rId61" xr:uid="{4A04811B-CB85-A640-845B-F3BFCD2EB3CA}"/>
    <hyperlink ref="AA10" r:id="rId62" xr:uid="{0346826F-F4CD-A84A-B344-4E0F18ADE7AF}"/>
    <hyperlink ref="AB10" r:id="rId63" xr:uid="{6AF25CFC-4C2D-1748-9D7F-8BDFA8123931}"/>
    <hyperlink ref="AC10" r:id="rId64" xr:uid="{97C8938E-7BAA-5545-95BC-B19A4E941A5A}"/>
    <hyperlink ref="AD10" r:id="rId65" xr:uid="{B2A1595D-B80D-204C-9824-A7FFEAFD1BC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632B-CEF4-2842-9313-102B3A2D06DA}">
  <dimension ref="A1:BQ201"/>
  <sheetViews>
    <sheetView topLeftCell="B158" workbookViewId="0">
      <selection activeCell="C173" sqref="C173"/>
    </sheetView>
  </sheetViews>
  <sheetFormatPr baseColWidth="10" defaultColWidth="8.83203125" defaultRowHeight="15" outlineLevelRow="5" outlineLevelCol="1"/>
  <cols>
    <col min="1" max="1" width="1.1640625" customWidth="1"/>
    <col min="2" max="2" width="1.83203125" customWidth="1"/>
    <col min="3" max="3" width="50.6640625" customWidth="1"/>
    <col min="4" max="11" width="12.6640625" customWidth="1" outlineLevel="1"/>
    <col min="12" max="12" width="2.5" customWidth="1"/>
    <col min="13" max="44" width="12.6640625" customWidth="1"/>
    <col min="45" max="45" width="1.83203125" customWidth="1"/>
  </cols>
  <sheetData>
    <row r="1" spans="1:69" ht="6.5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</row>
    <row r="2" spans="1:69" ht="40" customHeight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2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</row>
    <row r="3" spans="1:69" ht="20">
      <c r="A3" s="39"/>
      <c r="B3" s="43"/>
      <c r="C3" s="44" t="s">
        <v>263</v>
      </c>
      <c r="AS3" s="45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</row>
    <row r="4" spans="1:69" ht="23">
      <c r="A4" s="39"/>
      <c r="B4" s="43"/>
      <c r="C4" s="46" t="s">
        <v>46</v>
      </c>
      <c r="D4" s="47" t="s">
        <v>47</v>
      </c>
      <c r="E4" s="48"/>
      <c r="F4" s="48"/>
      <c r="G4" s="48"/>
      <c r="H4" s="48"/>
      <c r="I4" s="48"/>
      <c r="J4" s="48"/>
      <c r="K4" s="48"/>
      <c r="AS4" s="45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</row>
    <row r="5" spans="1:69">
      <c r="A5" s="39"/>
      <c r="B5" s="43"/>
      <c r="C5" s="46" t="s">
        <v>48</v>
      </c>
      <c r="D5" s="154" t="s">
        <v>49</v>
      </c>
      <c r="E5" s="154" t="s">
        <v>50</v>
      </c>
      <c r="F5" s="154" t="s">
        <v>51</v>
      </c>
      <c r="G5" s="154" t="s">
        <v>52</v>
      </c>
      <c r="H5" s="154" t="s">
        <v>53</v>
      </c>
      <c r="I5" s="154" t="s">
        <v>54</v>
      </c>
      <c r="J5" s="154" t="s">
        <v>55</v>
      </c>
      <c r="K5" s="154" t="s">
        <v>56</v>
      </c>
      <c r="M5" s="49" t="s">
        <v>57</v>
      </c>
      <c r="N5" s="49" t="s">
        <v>58</v>
      </c>
      <c r="O5" s="49" t="s">
        <v>59</v>
      </c>
      <c r="P5" s="49" t="s">
        <v>60</v>
      </c>
      <c r="Q5" s="49" t="s">
        <v>61</v>
      </c>
      <c r="R5" s="49" t="s">
        <v>62</v>
      </c>
      <c r="S5" s="49" t="s">
        <v>63</v>
      </c>
      <c r="T5" s="49" t="s">
        <v>64</v>
      </c>
      <c r="U5" s="49" t="s">
        <v>65</v>
      </c>
      <c r="V5" s="49" t="s">
        <v>66</v>
      </c>
      <c r="W5" s="49" t="s">
        <v>67</v>
      </c>
      <c r="X5" s="49" t="s">
        <v>68</v>
      </c>
      <c r="Y5" s="49" t="s">
        <v>69</v>
      </c>
      <c r="Z5" s="49" t="s">
        <v>70</v>
      </c>
      <c r="AA5" s="49" t="s">
        <v>71</v>
      </c>
      <c r="AB5" s="49" t="s">
        <v>72</v>
      </c>
      <c r="AC5" s="49" t="s">
        <v>73</v>
      </c>
      <c r="AD5" s="49" t="s">
        <v>74</v>
      </c>
      <c r="AE5" s="49" t="s">
        <v>75</v>
      </c>
      <c r="AF5" s="49" t="s">
        <v>76</v>
      </c>
      <c r="AG5" s="49" t="s">
        <v>77</v>
      </c>
      <c r="AH5" s="49" t="s">
        <v>78</v>
      </c>
      <c r="AI5" s="49" t="s">
        <v>79</v>
      </c>
      <c r="AJ5" s="49" t="s">
        <v>80</v>
      </c>
      <c r="AK5" s="49" t="s">
        <v>81</v>
      </c>
      <c r="AL5" s="49" t="s">
        <v>82</v>
      </c>
      <c r="AM5" s="49" t="s">
        <v>83</v>
      </c>
      <c r="AN5" s="49" t="s">
        <v>84</v>
      </c>
      <c r="AO5" s="49" t="s">
        <v>85</v>
      </c>
      <c r="AP5" s="49" t="s">
        <v>86</v>
      </c>
      <c r="AQ5" s="49" t="s">
        <v>87</v>
      </c>
      <c r="AR5" s="49" t="s">
        <v>88</v>
      </c>
      <c r="AS5" s="45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</row>
    <row r="6" spans="1:69">
      <c r="A6" s="39"/>
      <c r="B6" s="43"/>
      <c r="D6" s="154"/>
      <c r="E6" s="154"/>
      <c r="F6" s="154"/>
      <c r="G6" s="154"/>
      <c r="H6" s="154"/>
      <c r="I6" s="154"/>
      <c r="J6" s="154"/>
      <c r="K6" s="154"/>
      <c r="AS6" s="45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</row>
    <row r="7" spans="1:69">
      <c r="A7" s="39"/>
      <c r="B7" s="43"/>
      <c r="C7" s="46" t="s">
        <v>104</v>
      </c>
      <c r="D7" s="48"/>
      <c r="E7" s="48"/>
      <c r="F7" s="48"/>
      <c r="G7" s="48"/>
      <c r="H7" s="48"/>
      <c r="I7" s="48"/>
      <c r="J7" s="48"/>
      <c r="K7" s="48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45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</row>
    <row r="8" spans="1:69">
      <c r="A8" s="39"/>
      <c r="B8" s="43"/>
      <c r="D8" s="48"/>
      <c r="E8" s="48"/>
      <c r="F8" s="48"/>
      <c r="G8" s="48"/>
      <c r="H8" s="48"/>
      <c r="I8" s="48"/>
      <c r="J8" s="48"/>
      <c r="K8" s="48"/>
      <c r="AS8" s="45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</row>
    <row r="9" spans="1:69">
      <c r="A9" s="39"/>
      <c r="B9" s="43"/>
      <c r="D9" s="48"/>
      <c r="E9" s="48"/>
      <c r="F9" s="48"/>
      <c r="G9" s="48"/>
      <c r="H9" s="48"/>
      <c r="I9" s="48"/>
      <c r="J9" s="48"/>
      <c r="K9" s="48"/>
      <c r="M9" s="51" t="s">
        <v>105</v>
      </c>
      <c r="N9" s="51" t="s">
        <v>105</v>
      </c>
      <c r="O9" s="51" t="s">
        <v>106</v>
      </c>
      <c r="P9" s="51" t="s">
        <v>107</v>
      </c>
      <c r="Q9" s="51" t="s">
        <v>264</v>
      </c>
      <c r="R9" s="51" t="s">
        <v>108</v>
      </c>
      <c r="S9" s="51" t="s">
        <v>109</v>
      </c>
      <c r="T9" s="51" t="s">
        <v>110</v>
      </c>
      <c r="U9" s="51" t="s">
        <v>111</v>
      </c>
      <c r="V9" s="51" t="s">
        <v>265</v>
      </c>
      <c r="W9" s="51" t="s">
        <v>112</v>
      </c>
      <c r="X9" s="51" t="s">
        <v>113</v>
      </c>
      <c r="Y9" s="51" t="s">
        <v>266</v>
      </c>
      <c r="Z9" s="51" t="s">
        <v>114</v>
      </c>
      <c r="AA9" s="51" t="s">
        <v>115</v>
      </c>
      <c r="AB9" s="51" t="s">
        <v>116</v>
      </c>
      <c r="AC9" s="51" t="s">
        <v>117</v>
      </c>
      <c r="AD9" s="51" t="s">
        <v>118</v>
      </c>
      <c r="AE9" s="51" t="s">
        <v>119</v>
      </c>
      <c r="AF9" s="51" t="s">
        <v>120</v>
      </c>
      <c r="AG9" s="51" t="s">
        <v>121</v>
      </c>
      <c r="AH9" s="51" t="s">
        <v>122</v>
      </c>
      <c r="AI9" s="51" t="s">
        <v>123</v>
      </c>
      <c r="AJ9" s="51" t="s">
        <v>124</v>
      </c>
      <c r="AK9" s="51" t="s">
        <v>125</v>
      </c>
      <c r="AL9" s="51" t="s">
        <v>126</v>
      </c>
      <c r="AM9" s="51" t="s">
        <v>127</v>
      </c>
      <c r="AN9" s="51" t="s">
        <v>128</v>
      </c>
      <c r="AO9" s="51" t="s">
        <v>129</v>
      </c>
      <c r="AP9" s="51" t="s">
        <v>130</v>
      </c>
      <c r="AQ9" s="51" t="s">
        <v>131</v>
      </c>
      <c r="AR9" s="51" t="s">
        <v>132</v>
      </c>
      <c r="AS9" s="45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</row>
    <row r="10" spans="1:69">
      <c r="A10" s="39"/>
      <c r="B10" s="43"/>
      <c r="D10" s="48"/>
      <c r="E10" s="48"/>
      <c r="F10" s="48"/>
      <c r="G10" s="48"/>
      <c r="H10" s="48"/>
      <c r="I10" s="48"/>
      <c r="J10" s="48"/>
      <c r="K10" s="48"/>
      <c r="M10" s="52" t="s">
        <v>148</v>
      </c>
      <c r="N10" s="52" t="s">
        <v>148</v>
      </c>
      <c r="O10" s="52" t="s">
        <v>148</v>
      </c>
      <c r="P10" s="52" t="s">
        <v>148</v>
      </c>
      <c r="Q10" s="52" t="s">
        <v>148</v>
      </c>
      <c r="R10" s="52" t="s">
        <v>148</v>
      </c>
      <c r="S10" s="52" t="s">
        <v>148</v>
      </c>
      <c r="T10" s="52" t="s">
        <v>148</v>
      </c>
      <c r="U10" s="52" t="s">
        <v>148</v>
      </c>
      <c r="V10" s="52" t="s">
        <v>148</v>
      </c>
      <c r="W10" s="52" t="s">
        <v>148</v>
      </c>
      <c r="X10" s="52" t="s">
        <v>148</v>
      </c>
      <c r="Y10" s="52" t="s">
        <v>148</v>
      </c>
      <c r="Z10" s="52" t="s">
        <v>148</v>
      </c>
      <c r="AA10" s="52" t="s">
        <v>148</v>
      </c>
      <c r="AB10" s="52" t="s">
        <v>148</v>
      </c>
      <c r="AC10" s="52" t="s">
        <v>148</v>
      </c>
      <c r="AD10" s="52" t="s">
        <v>148</v>
      </c>
      <c r="AS10" s="45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</row>
    <row r="11" spans="1:69">
      <c r="A11" s="39"/>
      <c r="B11" s="43"/>
      <c r="C11" s="53" t="s">
        <v>0</v>
      </c>
      <c r="D11" s="54" t="str">
        <f t="shared" ref="D11:D74" si="0">IF(COUNT(L11:AR11)&gt;0,MEDIAN(L11:AR11),"")</f>
        <v/>
      </c>
      <c r="E11" s="54" t="str">
        <f t="shared" ref="E11:E74" si="1">IF(COUNT(L11:AR11)&gt;0,AVERAGE(L11:AR11),"")</f>
        <v/>
      </c>
      <c r="F11" s="54" t="str">
        <f t="shared" ref="F11:F74" si="2">IF(COUNT(L11:AR11)&gt;0,MIN(L11:AR11),"")</f>
        <v/>
      </c>
      <c r="G11" s="54" t="str">
        <f t="shared" ref="G11:G74" si="3">IF(COUNT(L11:AR11)&gt;0,MAX(L11:AR11),"")</f>
        <v/>
      </c>
      <c r="H11" s="54" t="str">
        <f t="shared" ref="H11:H74" si="4">IF(COUNT(L11:AR11)&gt;0,QUARTILE(L11:AR11,1),"")</f>
        <v/>
      </c>
      <c r="I11" s="54" t="str">
        <f t="shared" ref="I11:I74" si="5">IF(COUNT(L11:AR11)&gt;0,QUARTILE(L11:AR11,3),"")</f>
        <v/>
      </c>
      <c r="J11" s="54" t="str">
        <f t="shared" ref="J11:J74" si="6">IF(COUNT(L11:AR11)&gt;1,STDEV(L11:AR11),"")</f>
        <v/>
      </c>
      <c r="K11" s="55" t="str">
        <f t="shared" ref="K11:K74" si="7">IF(COUNT(L11:AR11)&gt;1,STDEV(L11:AR11)/AVERAGE(L11:AR11),"")</f>
        <v/>
      </c>
      <c r="L11" s="48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45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</row>
    <row r="12" spans="1:69" outlineLevel="1">
      <c r="A12" s="39"/>
      <c r="B12" s="43"/>
      <c r="C12" s="56" t="s">
        <v>267</v>
      </c>
      <c r="D12" s="57" t="str">
        <f t="shared" si="0"/>
        <v/>
      </c>
      <c r="E12" s="57" t="str">
        <f t="shared" si="1"/>
        <v/>
      </c>
      <c r="F12" s="57" t="str">
        <f t="shared" si="2"/>
        <v/>
      </c>
      <c r="G12" s="57" t="str">
        <f t="shared" si="3"/>
        <v/>
      </c>
      <c r="H12" s="57" t="str">
        <f t="shared" si="4"/>
        <v/>
      </c>
      <c r="I12" s="57" t="str">
        <f t="shared" si="5"/>
        <v/>
      </c>
      <c r="J12" s="57" t="str">
        <f t="shared" si="6"/>
        <v/>
      </c>
      <c r="K12" s="58" t="str">
        <f t="shared" si="7"/>
        <v/>
      </c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45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</row>
    <row r="13" spans="1:69" outlineLevel="2">
      <c r="A13" s="39"/>
      <c r="B13" s="43"/>
      <c r="C13" s="56" t="s">
        <v>268</v>
      </c>
      <c r="D13" s="57" t="str">
        <f t="shared" si="0"/>
        <v/>
      </c>
      <c r="E13" s="57" t="str">
        <f t="shared" si="1"/>
        <v/>
      </c>
      <c r="F13" s="57" t="str">
        <f t="shared" si="2"/>
        <v/>
      </c>
      <c r="G13" s="57" t="str">
        <f t="shared" si="3"/>
        <v/>
      </c>
      <c r="H13" s="57" t="str">
        <f t="shared" si="4"/>
        <v/>
      </c>
      <c r="I13" s="57" t="str">
        <f t="shared" si="5"/>
        <v/>
      </c>
      <c r="J13" s="57" t="str">
        <f t="shared" si="6"/>
        <v/>
      </c>
      <c r="K13" s="58" t="str">
        <f t="shared" si="7"/>
        <v/>
      </c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45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</row>
    <row r="14" spans="1:69" outlineLevel="3">
      <c r="A14" s="39"/>
      <c r="B14" s="43"/>
      <c r="C14" s="56" t="s">
        <v>269</v>
      </c>
      <c r="D14" s="57">
        <f t="shared" si="0"/>
        <v>407500</v>
      </c>
      <c r="E14" s="57">
        <f t="shared" si="1"/>
        <v>660812.5</v>
      </c>
      <c r="F14" s="57">
        <f t="shared" si="2"/>
        <v>46200</v>
      </c>
      <c r="G14" s="57">
        <f t="shared" si="3"/>
        <v>2812000</v>
      </c>
      <c r="H14" s="57">
        <f t="shared" si="4"/>
        <v>217750</v>
      </c>
      <c r="I14" s="57">
        <f t="shared" si="5"/>
        <v>638250</v>
      </c>
      <c r="J14" s="57">
        <f t="shared" si="6"/>
        <v>709608.81897545629</v>
      </c>
      <c r="K14" s="58">
        <f t="shared" si="7"/>
        <v>1.0738429115300578</v>
      </c>
      <c r="M14" s="59">
        <v>2812000</v>
      </c>
      <c r="N14" s="59">
        <v>1487000</v>
      </c>
      <c r="O14" s="59">
        <v>2690000</v>
      </c>
      <c r="P14" s="59">
        <v>1601000</v>
      </c>
      <c r="Q14" s="59">
        <v>639000</v>
      </c>
      <c r="R14" s="59">
        <v>1105000</v>
      </c>
      <c r="S14" s="59">
        <v>600000</v>
      </c>
      <c r="T14" s="59">
        <v>638000</v>
      </c>
      <c r="U14" s="59">
        <v>1714000</v>
      </c>
      <c r="V14" s="59">
        <v>1292000</v>
      </c>
      <c r="W14" s="59">
        <v>571000</v>
      </c>
      <c r="X14" s="59">
        <v>577000</v>
      </c>
      <c r="Y14" s="59">
        <v>438000</v>
      </c>
      <c r="Z14" s="59">
        <v>329000</v>
      </c>
      <c r="AA14" s="59">
        <v>377000</v>
      </c>
      <c r="AB14" s="59">
        <v>302000</v>
      </c>
      <c r="AC14" s="59">
        <v>238000</v>
      </c>
      <c r="AD14" s="59">
        <v>535000</v>
      </c>
      <c r="AE14" s="59">
        <v>290000</v>
      </c>
      <c r="AF14" s="59">
        <v>620000</v>
      </c>
      <c r="AG14" s="59">
        <v>530000</v>
      </c>
      <c r="AH14" s="59">
        <v>225000</v>
      </c>
      <c r="AI14" s="59">
        <v>129000</v>
      </c>
      <c r="AJ14" s="59">
        <v>266000</v>
      </c>
      <c r="AK14" s="59">
        <v>82000</v>
      </c>
      <c r="AL14" s="59">
        <v>129000</v>
      </c>
      <c r="AM14" s="59">
        <v>361000</v>
      </c>
      <c r="AN14" s="59">
        <v>187000</v>
      </c>
      <c r="AO14" s="59">
        <v>54000</v>
      </c>
      <c r="AP14" s="59">
        <v>196000</v>
      </c>
      <c r="AQ14" s="59">
        <v>46200</v>
      </c>
      <c r="AR14" s="59">
        <v>85800</v>
      </c>
      <c r="AS14" s="45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</row>
    <row r="15" spans="1:69" outlineLevel="3">
      <c r="A15" s="39"/>
      <c r="B15" s="43"/>
      <c r="C15" s="56" t="s">
        <v>270</v>
      </c>
      <c r="D15" s="57">
        <f t="shared" si="0"/>
        <v>0</v>
      </c>
      <c r="E15" s="57">
        <f t="shared" si="1"/>
        <v>0</v>
      </c>
      <c r="F15" s="57">
        <f t="shared" si="2"/>
        <v>0</v>
      </c>
      <c r="G15" s="57">
        <f t="shared" si="3"/>
        <v>0</v>
      </c>
      <c r="H15" s="57">
        <f t="shared" si="4"/>
        <v>0</v>
      </c>
      <c r="I15" s="57">
        <f t="shared" si="5"/>
        <v>0</v>
      </c>
      <c r="J15" s="57">
        <f t="shared" si="6"/>
        <v>0</v>
      </c>
      <c r="K15" s="58" t="e">
        <f t="shared" si="7"/>
        <v>#DIV/0!</v>
      </c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>
        <v>0</v>
      </c>
      <c r="AC15" s="59">
        <v>0</v>
      </c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45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</row>
    <row r="16" spans="1:69" outlineLevel="3">
      <c r="A16" s="39"/>
      <c r="B16" s="43"/>
      <c r="C16" s="60" t="s">
        <v>271</v>
      </c>
      <c r="D16" s="61">
        <f t="shared" si="0"/>
        <v>407500</v>
      </c>
      <c r="E16" s="61">
        <f t="shared" si="1"/>
        <v>660812.5</v>
      </c>
      <c r="F16" s="61">
        <f t="shared" si="2"/>
        <v>46200</v>
      </c>
      <c r="G16" s="61">
        <f t="shared" si="3"/>
        <v>2812000</v>
      </c>
      <c r="H16" s="61">
        <f t="shared" si="4"/>
        <v>217750</v>
      </c>
      <c r="I16" s="61">
        <f t="shared" si="5"/>
        <v>638250</v>
      </c>
      <c r="J16" s="61">
        <f t="shared" si="6"/>
        <v>709608.81897545629</v>
      </c>
      <c r="K16" s="62">
        <f t="shared" si="7"/>
        <v>1.0738429115300578</v>
      </c>
      <c r="L16" s="41"/>
      <c r="M16" s="63">
        <v>2812000</v>
      </c>
      <c r="N16" s="63">
        <v>1487000</v>
      </c>
      <c r="O16" s="63">
        <v>2690000</v>
      </c>
      <c r="P16" s="63">
        <v>1601000</v>
      </c>
      <c r="Q16" s="63">
        <v>639000</v>
      </c>
      <c r="R16" s="63">
        <v>1105000</v>
      </c>
      <c r="S16" s="63">
        <v>600000</v>
      </c>
      <c r="T16" s="63">
        <v>638000</v>
      </c>
      <c r="U16" s="63">
        <v>1714000</v>
      </c>
      <c r="V16" s="63">
        <v>1292000</v>
      </c>
      <c r="W16" s="63">
        <v>571000</v>
      </c>
      <c r="X16" s="63">
        <v>577000</v>
      </c>
      <c r="Y16" s="63">
        <v>438000</v>
      </c>
      <c r="Z16" s="63">
        <v>329000</v>
      </c>
      <c r="AA16" s="63">
        <v>377000</v>
      </c>
      <c r="AB16" s="63">
        <v>302000</v>
      </c>
      <c r="AC16" s="63">
        <v>238000</v>
      </c>
      <c r="AD16" s="63">
        <v>535000</v>
      </c>
      <c r="AE16" s="63">
        <v>290000</v>
      </c>
      <c r="AF16" s="63">
        <v>620000</v>
      </c>
      <c r="AG16" s="63">
        <v>530000</v>
      </c>
      <c r="AH16" s="63">
        <v>225000</v>
      </c>
      <c r="AI16" s="63">
        <v>129000</v>
      </c>
      <c r="AJ16" s="63">
        <v>266000</v>
      </c>
      <c r="AK16" s="63">
        <v>82000</v>
      </c>
      <c r="AL16" s="63">
        <v>129000</v>
      </c>
      <c r="AM16" s="63">
        <v>361000</v>
      </c>
      <c r="AN16" s="63">
        <v>187000</v>
      </c>
      <c r="AO16" s="63">
        <v>54000</v>
      </c>
      <c r="AP16" s="63">
        <v>196000</v>
      </c>
      <c r="AQ16" s="63">
        <v>46200</v>
      </c>
      <c r="AR16" s="63">
        <v>85800</v>
      </c>
      <c r="AS16" s="45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</row>
    <row r="17" spans="1:69" outlineLevel="2">
      <c r="A17" s="39"/>
      <c r="B17" s="43"/>
      <c r="C17" s="56" t="s">
        <v>272</v>
      </c>
      <c r="D17" s="57">
        <f t="shared" si="0"/>
        <v>742000</v>
      </c>
      <c r="E17" s="57">
        <f t="shared" si="1"/>
        <v>853882.3529411765</v>
      </c>
      <c r="F17" s="57">
        <f t="shared" si="2"/>
        <v>425000</v>
      </c>
      <c r="G17" s="57">
        <f t="shared" si="3"/>
        <v>1730000</v>
      </c>
      <c r="H17" s="57">
        <f t="shared" si="4"/>
        <v>564000</v>
      </c>
      <c r="I17" s="57">
        <f t="shared" si="5"/>
        <v>997000</v>
      </c>
      <c r="J17" s="57">
        <f t="shared" si="6"/>
        <v>390425.39017604588</v>
      </c>
      <c r="K17" s="58">
        <f t="shared" si="7"/>
        <v>0.45723557681129651</v>
      </c>
      <c r="M17" s="59">
        <v>997000</v>
      </c>
      <c r="N17" s="59">
        <v>879000</v>
      </c>
      <c r="O17" s="59">
        <v>1730000</v>
      </c>
      <c r="P17" s="59">
        <v>1590000</v>
      </c>
      <c r="Q17" s="59">
        <v>689000</v>
      </c>
      <c r="R17" s="59">
        <v>570000</v>
      </c>
      <c r="S17" s="59">
        <v>762000</v>
      </c>
      <c r="T17" s="59">
        <v>564000</v>
      </c>
      <c r="U17" s="59">
        <v>489000</v>
      </c>
      <c r="V17" s="59">
        <v>885000</v>
      </c>
      <c r="W17" s="59">
        <v>712000</v>
      </c>
      <c r="X17" s="59">
        <v>1354000</v>
      </c>
      <c r="Y17" s="59">
        <v>498000</v>
      </c>
      <c r="Z17" s="59">
        <v>517000</v>
      </c>
      <c r="AA17" s="59">
        <v>1113000</v>
      </c>
      <c r="AB17" s="59">
        <v>742000</v>
      </c>
      <c r="AC17" s="59">
        <v>425000</v>
      </c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45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</row>
    <row r="18" spans="1:69" outlineLevel="2">
      <c r="A18" s="39"/>
      <c r="B18" s="43"/>
      <c r="C18" s="56" t="s">
        <v>273</v>
      </c>
      <c r="D18" s="57" t="str">
        <f t="shared" si="0"/>
        <v/>
      </c>
      <c r="E18" s="57" t="str">
        <f t="shared" si="1"/>
        <v/>
      </c>
      <c r="F18" s="57" t="str">
        <f t="shared" si="2"/>
        <v/>
      </c>
      <c r="G18" s="57" t="str">
        <f t="shared" si="3"/>
        <v/>
      </c>
      <c r="H18" s="57" t="str">
        <f t="shared" si="4"/>
        <v/>
      </c>
      <c r="I18" s="57" t="str">
        <f t="shared" si="5"/>
        <v/>
      </c>
      <c r="J18" s="57" t="str">
        <f t="shared" si="6"/>
        <v/>
      </c>
      <c r="K18" s="58" t="str">
        <f t="shared" si="7"/>
        <v/>
      </c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45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</row>
    <row r="19" spans="1:69" outlineLevel="3">
      <c r="A19" s="39"/>
      <c r="B19" s="43"/>
      <c r="C19" s="56" t="s">
        <v>274</v>
      </c>
      <c r="D19" s="57">
        <f t="shared" si="0"/>
        <v>1292000</v>
      </c>
      <c r="E19" s="57">
        <f t="shared" si="1"/>
        <v>1516733.3333333333</v>
      </c>
      <c r="F19" s="57">
        <f t="shared" si="2"/>
        <v>1073000</v>
      </c>
      <c r="G19" s="57">
        <f t="shared" si="3"/>
        <v>2420000</v>
      </c>
      <c r="H19" s="57">
        <f t="shared" si="4"/>
        <v>1241000</v>
      </c>
      <c r="I19" s="57">
        <f t="shared" si="5"/>
        <v>1747500</v>
      </c>
      <c r="J19" s="57">
        <f t="shared" si="6"/>
        <v>439312.36310961284</v>
      </c>
      <c r="K19" s="58">
        <f t="shared" si="7"/>
        <v>0.28964377155484122</v>
      </c>
      <c r="M19" s="59">
        <v>2420000</v>
      </c>
      <c r="N19" s="59">
        <v>2214000</v>
      </c>
      <c r="O19" s="59">
        <v>2106000</v>
      </c>
      <c r="P19" s="59">
        <v>1934000</v>
      </c>
      <c r="Q19" s="59">
        <v>1561000</v>
      </c>
      <c r="R19" s="59">
        <v>1552000</v>
      </c>
      <c r="S19" s="59">
        <v>1328000</v>
      </c>
      <c r="T19" s="59">
        <v>1223000</v>
      </c>
      <c r="U19" s="59">
        <v>1273000</v>
      </c>
      <c r="V19" s="59">
        <v>1289000</v>
      </c>
      <c r="W19" s="59">
        <v>1259000</v>
      </c>
      <c r="X19" s="59">
        <v>1292000</v>
      </c>
      <c r="Y19" s="59">
        <v>1153000</v>
      </c>
      <c r="Z19" s="59">
        <v>1073000</v>
      </c>
      <c r="AA19" s="59">
        <v>1074000</v>
      </c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45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</row>
    <row r="20" spans="1:69" outlineLevel="3">
      <c r="A20" s="39"/>
      <c r="B20" s="43"/>
      <c r="C20" s="60" t="s">
        <v>275</v>
      </c>
      <c r="D20" s="61">
        <f t="shared" si="0"/>
        <v>922500</v>
      </c>
      <c r="E20" s="61">
        <f t="shared" si="1"/>
        <v>982268.75</v>
      </c>
      <c r="F20" s="61">
        <f t="shared" si="2"/>
        <v>247300</v>
      </c>
      <c r="G20" s="61">
        <f t="shared" si="3"/>
        <v>2420000</v>
      </c>
      <c r="H20" s="61">
        <f t="shared" si="4"/>
        <v>388000</v>
      </c>
      <c r="I20" s="61">
        <f t="shared" si="5"/>
        <v>1289750</v>
      </c>
      <c r="J20" s="61">
        <f t="shared" si="6"/>
        <v>616652.48928413691</v>
      </c>
      <c r="K20" s="62">
        <f t="shared" si="7"/>
        <v>0.62778388224621506</v>
      </c>
      <c r="L20" s="41"/>
      <c r="M20" s="63">
        <v>2420000</v>
      </c>
      <c r="N20" s="63">
        <v>2214000</v>
      </c>
      <c r="O20" s="63">
        <v>2106000</v>
      </c>
      <c r="P20" s="63">
        <v>1934000</v>
      </c>
      <c r="Q20" s="63">
        <v>1561000</v>
      </c>
      <c r="R20" s="63">
        <v>1552000</v>
      </c>
      <c r="S20" s="63">
        <v>1328000</v>
      </c>
      <c r="T20" s="63">
        <v>1223000</v>
      </c>
      <c r="U20" s="63">
        <v>1273000</v>
      </c>
      <c r="V20" s="63">
        <v>1289000</v>
      </c>
      <c r="W20" s="63">
        <v>1259000</v>
      </c>
      <c r="X20" s="63">
        <v>1292000</v>
      </c>
      <c r="Y20" s="63">
        <v>1153000</v>
      </c>
      <c r="Z20" s="63">
        <v>1073000</v>
      </c>
      <c r="AA20" s="63">
        <v>1074000</v>
      </c>
      <c r="AB20" s="63">
        <v>857000</v>
      </c>
      <c r="AC20" s="63">
        <v>877000</v>
      </c>
      <c r="AD20" s="63">
        <v>968000</v>
      </c>
      <c r="AE20" s="63">
        <v>857000</v>
      </c>
      <c r="AF20" s="63">
        <v>785000</v>
      </c>
      <c r="AG20" s="63">
        <v>567000</v>
      </c>
      <c r="AH20" s="63">
        <v>394000</v>
      </c>
      <c r="AI20" s="63">
        <v>458000</v>
      </c>
      <c r="AJ20" s="63">
        <v>448000</v>
      </c>
      <c r="AK20" s="63">
        <v>349000</v>
      </c>
      <c r="AL20" s="63">
        <v>370000</v>
      </c>
      <c r="AM20" s="63">
        <v>343000</v>
      </c>
      <c r="AN20" s="63">
        <v>282000</v>
      </c>
      <c r="AO20" s="63">
        <v>302000</v>
      </c>
      <c r="AP20" s="63">
        <v>268000</v>
      </c>
      <c r="AQ20" s="63">
        <v>247300</v>
      </c>
      <c r="AR20" s="63">
        <v>309300</v>
      </c>
      <c r="AS20" s="45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</row>
    <row r="21" spans="1:69" outlineLevel="2">
      <c r="A21" s="39"/>
      <c r="B21" s="43"/>
      <c r="C21" s="56" t="s">
        <v>276</v>
      </c>
      <c r="D21" s="57" t="str">
        <f t="shared" si="0"/>
        <v/>
      </c>
      <c r="E21" s="57" t="str">
        <f t="shared" si="1"/>
        <v/>
      </c>
      <c r="F21" s="57" t="str">
        <f t="shared" si="2"/>
        <v/>
      </c>
      <c r="G21" s="57" t="str">
        <f t="shared" si="3"/>
        <v/>
      </c>
      <c r="H21" s="57" t="str">
        <f t="shared" si="4"/>
        <v/>
      </c>
      <c r="I21" s="57" t="str">
        <f t="shared" si="5"/>
        <v/>
      </c>
      <c r="J21" s="57" t="str">
        <f t="shared" si="6"/>
        <v/>
      </c>
      <c r="K21" s="58" t="str">
        <f t="shared" si="7"/>
        <v/>
      </c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45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</row>
    <row r="22" spans="1:69" outlineLevel="3">
      <c r="A22" s="39"/>
      <c r="B22" s="43"/>
      <c r="C22" s="56" t="s">
        <v>277</v>
      </c>
      <c r="D22" s="57" t="str">
        <f t="shared" si="0"/>
        <v/>
      </c>
      <c r="E22" s="57" t="str">
        <f t="shared" si="1"/>
        <v/>
      </c>
      <c r="F22" s="57" t="str">
        <f t="shared" si="2"/>
        <v/>
      </c>
      <c r="G22" s="57" t="str">
        <f t="shared" si="3"/>
        <v/>
      </c>
      <c r="H22" s="57" t="str">
        <f t="shared" si="4"/>
        <v/>
      </c>
      <c r="I22" s="57" t="str">
        <f t="shared" si="5"/>
        <v/>
      </c>
      <c r="J22" s="57" t="str">
        <f t="shared" si="6"/>
        <v/>
      </c>
      <c r="K22" s="58" t="str">
        <f t="shared" si="7"/>
        <v/>
      </c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45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</row>
    <row r="23" spans="1:69" outlineLevel="4">
      <c r="A23" s="39"/>
      <c r="B23" s="43"/>
      <c r="C23" s="56" t="s">
        <v>278</v>
      </c>
      <c r="D23" s="57">
        <f t="shared" si="0"/>
        <v>2301000</v>
      </c>
      <c r="E23" s="57">
        <f t="shared" si="1"/>
        <v>2548266.6666666665</v>
      </c>
      <c r="F23" s="57">
        <f t="shared" si="2"/>
        <v>1383000</v>
      </c>
      <c r="G23" s="57">
        <f t="shared" si="3"/>
        <v>4403000</v>
      </c>
      <c r="H23" s="57">
        <f t="shared" si="4"/>
        <v>1796000</v>
      </c>
      <c r="I23" s="57">
        <f t="shared" si="5"/>
        <v>3402500</v>
      </c>
      <c r="J23" s="57">
        <f t="shared" si="6"/>
        <v>982318.28320754017</v>
      </c>
      <c r="K23" s="58">
        <f t="shared" si="7"/>
        <v>0.3854848851013265</v>
      </c>
      <c r="M23" s="59">
        <v>4100000</v>
      </c>
      <c r="N23" s="59">
        <v>3392000</v>
      </c>
      <c r="O23" s="59">
        <v>3661000</v>
      </c>
      <c r="P23" s="59">
        <v>4403000</v>
      </c>
      <c r="Q23" s="59">
        <v>3413000</v>
      </c>
      <c r="R23" s="59">
        <v>2330000</v>
      </c>
      <c r="S23" s="59">
        <v>2301000</v>
      </c>
      <c r="T23" s="59">
        <v>2312000</v>
      </c>
      <c r="U23" s="59">
        <v>2227000</v>
      </c>
      <c r="V23" s="59">
        <v>1795000</v>
      </c>
      <c r="W23" s="59">
        <v>1797000</v>
      </c>
      <c r="X23" s="59">
        <v>1822000</v>
      </c>
      <c r="Y23" s="59">
        <v>1791000</v>
      </c>
      <c r="Z23" s="59">
        <v>1497000</v>
      </c>
      <c r="AA23" s="59">
        <v>1383000</v>
      </c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45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</row>
    <row r="24" spans="1:69" outlineLevel="4">
      <c r="A24" s="39"/>
      <c r="B24" s="43"/>
      <c r="C24" s="56" t="s">
        <v>279</v>
      </c>
      <c r="D24" s="57">
        <f t="shared" si="0"/>
        <v>-17000</v>
      </c>
      <c r="E24" s="57">
        <f t="shared" si="1"/>
        <v>-30533.333333333332</v>
      </c>
      <c r="F24" s="57">
        <f t="shared" si="2"/>
        <v>-82000</v>
      </c>
      <c r="G24" s="57">
        <f t="shared" si="3"/>
        <v>-7000</v>
      </c>
      <c r="H24" s="57">
        <f t="shared" si="4"/>
        <v>-53000</v>
      </c>
      <c r="I24" s="57">
        <f t="shared" si="5"/>
        <v>-11000</v>
      </c>
      <c r="J24" s="57">
        <f t="shared" si="6"/>
        <v>24950.999598260209</v>
      </c>
      <c r="K24" s="58">
        <f t="shared" si="7"/>
        <v>-0.81717247592555275</v>
      </c>
      <c r="M24" s="59">
        <v>-82000</v>
      </c>
      <c r="N24" s="59">
        <v>-56000</v>
      </c>
      <c r="O24" s="59">
        <v>-52000</v>
      </c>
      <c r="P24" s="59">
        <v>-54000</v>
      </c>
      <c r="Q24" s="59">
        <v>-35000</v>
      </c>
      <c r="R24" s="59">
        <v>-67000</v>
      </c>
      <c r="S24" s="59">
        <v>-19000</v>
      </c>
      <c r="T24" s="59">
        <v>-10000</v>
      </c>
      <c r="U24" s="59">
        <v>-7000</v>
      </c>
      <c r="V24" s="59">
        <v>-11000</v>
      </c>
      <c r="W24" s="59">
        <v>-13000</v>
      </c>
      <c r="X24" s="59">
        <v>-17000</v>
      </c>
      <c r="Y24" s="59">
        <v>-14000</v>
      </c>
      <c r="Z24" s="59">
        <v>-10000</v>
      </c>
      <c r="AA24" s="59">
        <v>-11000</v>
      </c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45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</row>
    <row r="25" spans="1:69" outlineLevel="4">
      <c r="A25" s="39"/>
      <c r="B25" s="43"/>
      <c r="C25" s="60" t="s">
        <v>280</v>
      </c>
      <c r="D25" s="61">
        <f t="shared" si="0"/>
        <v>1498000</v>
      </c>
      <c r="E25" s="61">
        <f t="shared" si="1"/>
        <v>1700656.25</v>
      </c>
      <c r="F25" s="61">
        <f t="shared" si="2"/>
        <v>462000</v>
      </c>
      <c r="G25" s="61">
        <f t="shared" si="3"/>
        <v>4349000</v>
      </c>
      <c r="H25" s="61">
        <f t="shared" si="4"/>
        <v>843750</v>
      </c>
      <c r="I25" s="61">
        <f t="shared" si="5"/>
        <v>2230750</v>
      </c>
      <c r="J25" s="61">
        <f t="shared" si="6"/>
        <v>1068310.9913097525</v>
      </c>
      <c r="K25" s="62">
        <f t="shared" si="7"/>
        <v>0.62817573587240361</v>
      </c>
      <c r="L25" s="41"/>
      <c r="M25" s="63">
        <v>4018000</v>
      </c>
      <c r="N25" s="63">
        <v>3336000</v>
      </c>
      <c r="O25" s="63">
        <v>3609000</v>
      </c>
      <c r="P25" s="63">
        <v>4349000</v>
      </c>
      <c r="Q25" s="63">
        <v>3378000</v>
      </c>
      <c r="R25" s="63">
        <v>2263000</v>
      </c>
      <c r="S25" s="63">
        <v>2282000</v>
      </c>
      <c r="T25" s="63">
        <v>2302000</v>
      </c>
      <c r="U25" s="63">
        <v>2220000</v>
      </c>
      <c r="V25" s="63">
        <v>1784000</v>
      </c>
      <c r="W25" s="63">
        <v>1784000</v>
      </c>
      <c r="X25" s="63">
        <v>1805000</v>
      </c>
      <c r="Y25" s="63">
        <v>1777000</v>
      </c>
      <c r="Z25" s="63">
        <v>1487000</v>
      </c>
      <c r="AA25" s="63">
        <v>1372000</v>
      </c>
      <c r="AB25" s="63">
        <v>1509000</v>
      </c>
      <c r="AC25" s="63">
        <v>1431000</v>
      </c>
      <c r="AD25" s="63">
        <v>1443000</v>
      </c>
      <c r="AE25" s="63">
        <v>1721000</v>
      </c>
      <c r="AF25" s="63">
        <v>1656000</v>
      </c>
      <c r="AG25" s="63">
        <v>1430000</v>
      </c>
      <c r="AH25" s="63">
        <v>1044000</v>
      </c>
      <c r="AI25" s="63">
        <v>1188000</v>
      </c>
      <c r="AJ25" s="63">
        <v>865000</v>
      </c>
      <c r="AK25" s="63">
        <v>780000</v>
      </c>
      <c r="AL25" s="63">
        <v>637000</v>
      </c>
      <c r="AM25" s="63">
        <v>482000</v>
      </c>
      <c r="AN25" s="63">
        <v>559000</v>
      </c>
      <c r="AO25" s="63">
        <v>501000</v>
      </c>
      <c r="AP25" s="63">
        <v>462000</v>
      </c>
      <c r="AQ25" s="63">
        <v>482300</v>
      </c>
      <c r="AR25" s="63">
        <v>464700</v>
      </c>
      <c r="AS25" s="45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</row>
    <row r="26" spans="1:69" outlineLevel="3">
      <c r="A26" s="39"/>
      <c r="B26" s="43"/>
      <c r="C26" s="56" t="s">
        <v>281</v>
      </c>
      <c r="D26" s="57">
        <f t="shared" si="0"/>
        <v>902500</v>
      </c>
      <c r="E26" s="57">
        <f t="shared" si="1"/>
        <v>902500</v>
      </c>
      <c r="F26" s="57">
        <f t="shared" si="2"/>
        <v>318000</v>
      </c>
      <c r="G26" s="57">
        <f t="shared" si="3"/>
        <v>1487000</v>
      </c>
      <c r="H26" s="57">
        <f t="shared" si="4"/>
        <v>610250</v>
      </c>
      <c r="I26" s="57">
        <f t="shared" si="5"/>
        <v>1194750</v>
      </c>
      <c r="J26" s="57">
        <f t="shared" si="6"/>
        <v>826607.82720707403</v>
      </c>
      <c r="K26" s="58">
        <f t="shared" si="7"/>
        <v>0.91590894981393245</v>
      </c>
      <c r="M26" s="59"/>
      <c r="N26" s="59"/>
      <c r="O26" s="59">
        <v>1487000</v>
      </c>
      <c r="P26" s="59">
        <v>318000</v>
      </c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45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</row>
    <row r="27" spans="1:69" outlineLevel="3">
      <c r="A27" s="39"/>
      <c r="B27" s="43"/>
      <c r="C27" s="56" t="s">
        <v>282</v>
      </c>
      <c r="D27" s="57">
        <f t="shared" si="0"/>
        <v>661000</v>
      </c>
      <c r="E27" s="57">
        <f t="shared" si="1"/>
        <v>716944.4444444445</v>
      </c>
      <c r="F27" s="57">
        <f t="shared" si="2"/>
        <v>264000</v>
      </c>
      <c r="G27" s="57">
        <f t="shared" si="3"/>
        <v>1733000</v>
      </c>
      <c r="H27" s="57">
        <f t="shared" si="4"/>
        <v>513250</v>
      </c>
      <c r="I27" s="57">
        <f t="shared" si="5"/>
        <v>798000</v>
      </c>
      <c r="J27" s="57">
        <f t="shared" si="6"/>
        <v>347918.59633138706</v>
      </c>
      <c r="K27" s="58">
        <f t="shared" si="7"/>
        <v>0.48527971592134572</v>
      </c>
      <c r="M27" s="59">
        <v>1733000</v>
      </c>
      <c r="N27" s="59">
        <v>1180000</v>
      </c>
      <c r="O27" s="59">
        <v>944000</v>
      </c>
      <c r="P27" s="59">
        <v>744000</v>
      </c>
      <c r="Q27" s="59">
        <v>730000</v>
      </c>
      <c r="R27" s="59">
        <v>711000</v>
      </c>
      <c r="S27" s="59">
        <v>525000</v>
      </c>
      <c r="T27" s="59">
        <v>667000</v>
      </c>
      <c r="U27" s="59">
        <v>517000</v>
      </c>
      <c r="V27" s="59">
        <v>655000</v>
      </c>
      <c r="W27" s="59">
        <v>481000</v>
      </c>
      <c r="X27" s="59">
        <v>354000</v>
      </c>
      <c r="Y27" s="59">
        <v>512000</v>
      </c>
      <c r="Z27" s="59">
        <v>569000</v>
      </c>
      <c r="AA27" s="59">
        <v>430000</v>
      </c>
      <c r="AB27" s="59">
        <v>1073000</v>
      </c>
      <c r="AC27" s="59">
        <v>816000</v>
      </c>
      <c r="AD27" s="59">
        <v>264000</v>
      </c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45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</row>
    <row r="28" spans="1:69" outlineLevel="3">
      <c r="A28" s="39"/>
      <c r="B28" s="43"/>
      <c r="C28" s="60" t="s">
        <v>283</v>
      </c>
      <c r="D28" s="61">
        <f t="shared" si="0"/>
        <v>1929000</v>
      </c>
      <c r="E28" s="61">
        <f t="shared" si="1"/>
        <v>2160343.75</v>
      </c>
      <c r="F28" s="61">
        <f t="shared" si="2"/>
        <v>462000</v>
      </c>
      <c r="G28" s="61">
        <f t="shared" si="3"/>
        <v>6040000</v>
      </c>
      <c r="H28" s="61">
        <f t="shared" si="4"/>
        <v>843750</v>
      </c>
      <c r="I28" s="61">
        <f t="shared" si="5"/>
        <v>2754500</v>
      </c>
      <c r="J28" s="61">
        <f t="shared" si="6"/>
        <v>1569281.7711867529</v>
      </c>
      <c r="K28" s="62">
        <f t="shared" si="7"/>
        <v>0.72640373606596309</v>
      </c>
      <c r="L28" s="41"/>
      <c r="M28" s="63">
        <v>5751000</v>
      </c>
      <c r="N28" s="63">
        <v>4516000</v>
      </c>
      <c r="O28" s="63">
        <v>6040000</v>
      </c>
      <c r="P28" s="63">
        <v>5411000</v>
      </c>
      <c r="Q28" s="63">
        <v>4108000</v>
      </c>
      <c r="R28" s="63">
        <v>2974000</v>
      </c>
      <c r="S28" s="63">
        <v>2807000</v>
      </c>
      <c r="T28" s="63">
        <v>2969000</v>
      </c>
      <c r="U28" s="63">
        <v>2737000</v>
      </c>
      <c r="V28" s="63">
        <v>2439000</v>
      </c>
      <c r="W28" s="63">
        <v>2265000</v>
      </c>
      <c r="X28" s="63">
        <v>2159000</v>
      </c>
      <c r="Y28" s="63">
        <v>2289000</v>
      </c>
      <c r="Z28" s="63">
        <v>2056000</v>
      </c>
      <c r="AA28" s="63">
        <v>1802000</v>
      </c>
      <c r="AB28" s="63">
        <v>2582000</v>
      </c>
      <c r="AC28" s="63">
        <v>2247000</v>
      </c>
      <c r="AD28" s="63">
        <v>1707000</v>
      </c>
      <c r="AE28" s="63">
        <v>1721000</v>
      </c>
      <c r="AF28" s="63">
        <v>1656000</v>
      </c>
      <c r="AG28" s="63">
        <v>1430000</v>
      </c>
      <c r="AH28" s="63">
        <v>1044000</v>
      </c>
      <c r="AI28" s="63">
        <v>1188000</v>
      </c>
      <c r="AJ28" s="63">
        <v>865000</v>
      </c>
      <c r="AK28" s="63">
        <v>780000</v>
      </c>
      <c r="AL28" s="63">
        <v>637000</v>
      </c>
      <c r="AM28" s="63">
        <v>482000</v>
      </c>
      <c r="AN28" s="63">
        <v>559000</v>
      </c>
      <c r="AO28" s="63">
        <v>501000</v>
      </c>
      <c r="AP28" s="63">
        <v>462000</v>
      </c>
      <c r="AQ28" s="63">
        <v>482300</v>
      </c>
      <c r="AR28" s="63">
        <v>464700</v>
      </c>
      <c r="AS28" s="45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</row>
    <row r="29" spans="1:69" outlineLevel="2">
      <c r="A29" s="39"/>
      <c r="B29" s="43"/>
      <c r="C29" s="56" t="s">
        <v>284</v>
      </c>
      <c r="D29" s="57">
        <f t="shared" si="0"/>
        <v>568000</v>
      </c>
      <c r="E29" s="57">
        <f t="shared" si="1"/>
        <v>474750</v>
      </c>
      <c r="F29" s="57">
        <f t="shared" si="2"/>
        <v>10000</v>
      </c>
      <c r="G29" s="57">
        <f t="shared" si="3"/>
        <v>753000</v>
      </c>
      <c r="H29" s="57">
        <f t="shared" si="4"/>
        <v>300250</v>
      </c>
      <c r="I29" s="57">
        <f t="shared" si="5"/>
        <v>742500</v>
      </c>
      <c r="J29" s="57">
        <f t="shared" si="6"/>
        <v>350850.75174495496</v>
      </c>
      <c r="K29" s="58">
        <f t="shared" si="7"/>
        <v>0.73902212057915739</v>
      </c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>
        <v>739000</v>
      </c>
      <c r="Y29" s="59">
        <v>753000</v>
      </c>
      <c r="Z29" s="59">
        <v>397000</v>
      </c>
      <c r="AA29" s="59">
        <v>10000</v>
      </c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45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</row>
    <row r="30" spans="1:69" outlineLevel="2">
      <c r="A30" s="39"/>
      <c r="B30" s="43"/>
      <c r="C30" s="56" t="s">
        <v>285</v>
      </c>
      <c r="D30" s="57">
        <f t="shared" si="0"/>
        <v>152000</v>
      </c>
      <c r="E30" s="57">
        <f t="shared" si="1"/>
        <v>180666.66666666666</v>
      </c>
      <c r="F30" s="57">
        <f t="shared" si="2"/>
        <v>69000</v>
      </c>
      <c r="G30" s="57">
        <f t="shared" si="3"/>
        <v>368000</v>
      </c>
      <c r="H30" s="57">
        <f t="shared" si="4"/>
        <v>84250</v>
      </c>
      <c r="I30" s="57">
        <f t="shared" si="5"/>
        <v>249000</v>
      </c>
      <c r="J30" s="57">
        <f t="shared" si="6"/>
        <v>119330.91245216668</v>
      </c>
      <c r="K30" s="58">
        <f t="shared" si="7"/>
        <v>0.66050320545479713</v>
      </c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>
        <v>268000</v>
      </c>
      <c r="Y30" s="59">
        <v>192000</v>
      </c>
      <c r="Z30" s="59">
        <v>75000</v>
      </c>
      <c r="AA30" s="59">
        <v>112000</v>
      </c>
      <c r="AB30" s="59">
        <v>368000</v>
      </c>
      <c r="AC30" s="59">
        <v>69000</v>
      </c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45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</row>
    <row r="31" spans="1:69" outlineLevel="2">
      <c r="A31" s="39"/>
      <c r="B31" s="43"/>
      <c r="C31" s="56" t="s">
        <v>286</v>
      </c>
      <c r="D31" s="57">
        <f t="shared" si="0"/>
        <v>440500</v>
      </c>
      <c r="E31" s="57">
        <f t="shared" si="1"/>
        <v>674214.28571428568</v>
      </c>
      <c r="F31" s="57">
        <f t="shared" si="2"/>
        <v>84000</v>
      </c>
      <c r="G31" s="57">
        <f t="shared" si="3"/>
        <v>2165000</v>
      </c>
      <c r="H31" s="57">
        <f t="shared" si="4"/>
        <v>335250</v>
      </c>
      <c r="I31" s="57">
        <f t="shared" si="5"/>
        <v>974750</v>
      </c>
      <c r="J31" s="57">
        <f t="shared" si="6"/>
        <v>622984.52611619479</v>
      </c>
      <c r="K31" s="58">
        <f t="shared" si="7"/>
        <v>0.92401561241940111</v>
      </c>
      <c r="M31" s="59">
        <v>433000</v>
      </c>
      <c r="N31" s="59">
        <v>1417000</v>
      </c>
      <c r="O31" s="59">
        <v>1460000</v>
      </c>
      <c r="P31" s="59">
        <v>2165000</v>
      </c>
      <c r="Q31" s="59">
        <v>1125000</v>
      </c>
      <c r="R31" s="59">
        <v>377000</v>
      </c>
      <c r="S31" s="59">
        <v>335000</v>
      </c>
      <c r="T31" s="59">
        <v>448000</v>
      </c>
      <c r="U31" s="59">
        <v>336000</v>
      </c>
      <c r="V31" s="59">
        <v>524000</v>
      </c>
      <c r="W31" s="59">
        <v>503000</v>
      </c>
      <c r="X31" s="59">
        <v>116000</v>
      </c>
      <c r="Y31" s="59">
        <v>116000</v>
      </c>
      <c r="Z31" s="59"/>
      <c r="AA31" s="59">
        <v>84000</v>
      </c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45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</row>
    <row r="32" spans="1:69" outlineLevel="2">
      <c r="A32" s="39"/>
      <c r="B32" s="43"/>
      <c r="C32" s="56" t="s">
        <v>287</v>
      </c>
      <c r="D32" s="57">
        <f t="shared" si="0"/>
        <v>335000</v>
      </c>
      <c r="E32" s="57">
        <f t="shared" si="1"/>
        <v>359200</v>
      </c>
      <c r="F32" s="57">
        <f t="shared" si="2"/>
        <v>0</v>
      </c>
      <c r="G32" s="57">
        <f t="shared" si="3"/>
        <v>1009000</v>
      </c>
      <c r="H32" s="57">
        <f t="shared" si="4"/>
        <v>0</v>
      </c>
      <c r="I32" s="57">
        <f t="shared" si="5"/>
        <v>452000</v>
      </c>
      <c r="J32" s="57">
        <f t="shared" si="6"/>
        <v>415176.70936602406</v>
      </c>
      <c r="K32" s="58">
        <f t="shared" si="7"/>
        <v>1.1558371641593097</v>
      </c>
      <c r="M32" s="59"/>
      <c r="N32" s="59"/>
      <c r="O32" s="59"/>
      <c r="P32" s="59"/>
      <c r="Q32" s="59"/>
      <c r="R32" s="59"/>
      <c r="S32" s="59"/>
      <c r="T32" s="59"/>
      <c r="U32" s="59"/>
      <c r="V32" s="59">
        <v>452000</v>
      </c>
      <c r="W32" s="59">
        <v>1009000</v>
      </c>
      <c r="X32" s="59">
        <v>0</v>
      </c>
      <c r="Y32" s="59"/>
      <c r="Z32" s="59">
        <v>335000</v>
      </c>
      <c r="AA32" s="59">
        <v>0</v>
      </c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45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</row>
    <row r="33" spans="1:69" outlineLevel="2">
      <c r="A33" s="39"/>
      <c r="B33" s="43"/>
      <c r="C33" s="56" t="s">
        <v>288</v>
      </c>
      <c r="D33" s="57">
        <f t="shared" si="0"/>
        <v>539500</v>
      </c>
      <c r="E33" s="57">
        <f t="shared" si="1"/>
        <v>762884.375</v>
      </c>
      <c r="F33" s="57">
        <f t="shared" si="2"/>
        <v>89800</v>
      </c>
      <c r="G33" s="57">
        <f t="shared" si="3"/>
        <v>2460000</v>
      </c>
      <c r="H33" s="57">
        <f t="shared" si="4"/>
        <v>375500</v>
      </c>
      <c r="I33" s="57">
        <f t="shared" si="5"/>
        <v>974750</v>
      </c>
      <c r="J33" s="57">
        <f t="shared" si="6"/>
        <v>593245.66695500363</v>
      </c>
      <c r="K33" s="58">
        <f t="shared" si="7"/>
        <v>0.77763509962437449</v>
      </c>
      <c r="M33" s="59">
        <v>1171000</v>
      </c>
      <c r="N33" s="59">
        <v>1438000</v>
      </c>
      <c r="O33" s="59">
        <v>1335000</v>
      </c>
      <c r="P33" s="59">
        <v>789000</v>
      </c>
      <c r="Q33" s="59">
        <v>1166000</v>
      </c>
      <c r="R33" s="59">
        <v>804000</v>
      </c>
      <c r="S33" s="59">
        <v>1576000</v>
      </c>
      <c r="T33" s="59">
        <v>551000</v>
      </c>
      <c r="U33" s="59">
        <v>632000</v>
      </c>
      <c r="V33" s="59">
        <v>528000</v>
      </c>
      <c r="W33" s="59">
        <v>476000</v>
      </c>
      <c r="X33" s="59">
        <v>439000</v>
      </c>
      <c r="Y33" s="59">
        <v>403000</v>
      </c>
      <c r="Z33" s="59">
        <v>455000</v>
      </c>
      <c r="AA33" s="59">
        <v>300000</v>
      </c>
      <c r="AB33" s="59">
        <v>407000</v>
      </c>
      <c r="AC33" s="59">
        <v>481000</v>
      </c>
      <c r="AD33" s="59">
        <v>2182000</v>
      </c>
      <c r="AE33" s="59">
        <v>911000</v>
      </c>
      <c r="AF33" s="59">
        <v>1769000</v>
      </c>
      <c r="AG33" s="59">
        <v>2460000</v>
      </c>
      <c r="AH33" s="59">
        <v>864000</v>
      </c>
      <c r="AI33" s="59">
        <v>695000</v>
      </c>
      <c r="AJ33" s="59">
        <v>329000</v>
      </c>
      <c r="AK33" s="59">
        <v>391000</v>
      </c>
      <c r="AL33" s="59">
        <v>645000</v>
      </c>
      <c r="AM33" s="59">
        <v>187000</v>
      </c>
      <c r="AN33" s="59">
        <v>238000</v>
      </c>
      <c r="AO33" s="59">
        <v>244000</v>
      </c>
      <c r="AP33" s="59">
        <v>247000</v>
      </c>
      <c r="AQ33" s="59">
        <v>209500</v>
      </c>
      <c r="AR33" s="59">
        <v>89800</v>
      </c>
      <c r="AS33" s="45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</row>
    <row r="34" spans="1:69" outlineLevel="2">
      <c r="A34" s="39"/>
      <c r="B34" s="43"/>
      <c r="C34" s="60" t="s">
        <v>289</v>
      </c>
      <c r="D34" s="61">
        <f t="shared" si="0"/>
        <v>5112000</v>
      </c>
      <c r="E34" s="61">
        <f t="shared" si="1"/>
        <v>5464246.875</v>
      </c>
      <c r="F34" s="61">
        <f t="shared" si="2"/>
        <v>949600</v>
      </c>
      <c r="G34" s="61">
        <f t="shared" si="3"/>
        <v>15361000</v>
      </c>
      <c r="H34" s="61">
        <f t="shared" si="4"/>
        <v>1876250</v>
      </c>
      <c r="I34" s="61">
        <f t="shared" si="5"/>
        <v>7231250</v>
      </c>
      <c r="J34" s="61">
        <f t="shared" si="6"/>
        <v>3936234.9379942622</v>
      </c>
      <c r="K34" s="62">
        <f t="shared" si="7"/>
        <v>0.72036184089765565</v>
      </c>
      <c r="L34" s="41"/>
      <c r="M34" s="63">
        <v>13584000</v>
      </c>
      <c r="N34" s="63">
        <v>11951000</v>
      </c>
      <c r="O34" s="63">
        <v>15361000</v>
      </c>
      <c r="P34" s="63">
        <v>13490000</v>
      </c>
      <c r="Q34" s="63">
        <v>9288000</v>
      </c>
      <c r="R34" s="63">
        <v>7382000</v>
      </c>
      <c r="S34" s="63">
        <v>7408000</v>
      </c>
      <c r="T34" s="63">
        <v>6393000</v>
      </c>
      <c r="U34" s="63">
        <v>7181000</v>
      </c>
      <c r="V34" s="63">
        <v>7409000</v>
      </c>
      <c r="W34" s="63">
        <v>6795000</v>
      </c>
      <c r="X34" s="63">
        <v>6944000</v>
      </c>
      <c r="Y34" s="63">
        <v>5842000</v>
      </c>
      <c r="Z34" s="63">
        <v>5237000</v>
      </c>
      <c r="AA34" s="63">
        <v>4872000</v>
      </c>
      <c r="AB34" s="63">
        <v>5258000</v>
      </c>
      <c r="AC34" s="63">
        <v>4337000</v>
      </c>
      <c r="AD34" s="63">
        <v>5392000</v>
      </c>
      <c r="AE34" s="63">
        <v>3779000</v>
      </c>
      <c r="AF34" s="63">
        <v>4830000</v>
      </c>
      <c r="AG34" s="63">
        <v>4987000</v>
      </c>
      <c r="AH34" s="63">
        <v>2527000</v>
      </c>
      <c r="AI34" s="63">
        <v>2470000</v>
      </c>
      <c r="AJ34" s="63">
        <v>1908000</v>
      </c>
      <c r="AK34" s="63">
        <v>1602000</v>
      </c>
      <c r="AL34" s="63">
        <v>1781000</v>
      </c>
      <c r="AM34" s="63">
        <v>1373000</v>
      </c>
      <c r="AN34" s="63">
        <v>1266000</v>
      </c>
      <c r="AO34" s="63">
        <v>1101000</v>
      </c>
      <c r="AP34" s="63">
        <v>1173000</v>
      </c>
      <c r="AQ34" s="63">
        <v>985300</v>
      </c>
      <c r="AR34" s="63">
        <v>949600</v>
      </c>
      <c r="AS34" s="45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</row>
    <row r="35" spans="1:69" outlineLevel="1">
      <c r="A35" s="39"/>
      <c r="B35" s="43"/>
      <c r="C35" s="56" t="s">
        <v>290</v>
      </c>
      <c r="D35" s="57" t="str">
        <f t="shared" si="0"/>
        <v/>
      </c>
      <c r="E35" s="57" t="str">
        <f t="shared" si="1"/>
        <v/>
      </c>
      <c r="F35" s="57" t="str">
        <f t="shared" si="2"/>
        <v/>
      </c>
      <c r="G35" s="57" t="str">
        <f t="shared" si="3"/>
        <v/>
      </c>
      <c r="H35" s="57" t="str">
        <f t="shared" si="4"/>
        <v/>
      </c>
      <c r="I35" s="57" t="str">
        <f t="shared" si="5"/>
        <v/>
      </c>
      <c r="J35" s="57" t="str">
        <f t="shared" si="6"/>
        <v/>
      </c>
      <c r="K35" s="58" t="str">
        <f t="shared" si="7"/>
        <v/>
      </c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45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</row>
    <row r="36" spans="1:69" outlineLevel="2">
      <c r="A36" s="39"/>
      <c r="B36" s="43"/>
      <c r="C36" s="56" t="s">
        <v>291</v>
      </c>
      <c r="D36" s="57" t="str">
        <f t="shared" si="0"/>
        <v/>
      </c>
      <c r="E36" s="57" t="str">
        <f t="shared" si="1"/>
        <v/>
      </c>
      <c r="F36" s="57" t="str">
        <f t="shared" si="2"/>
        <v/>
      </c>
      <c r="G36" s="57" t="str">
        <f t="shared" si="3"/>
        <v/>
      </c>
      <c r="H36" s="57" t="str">
        <f t="shared" si="4"/>
        <v/>
      </c>
      <c r="I36" s="57" t="str">
        <f t="shared" si="5"/>
        <v/>
      </c>
      <c r="J36" s="57" t="str">
        <f t="shared" si="6"/>
        <v/>
      </c>
      <c r="K36" s="58" t="str">
        <f t="shared" si="7"/>
        <v/>
      </c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45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</row>
    <row r="37" spans="1:69" outlineLevel="3">
      <c r="A37" s="39"/>
      <c r="B37" s="43"/>
      <c r="C37" s="56" t="s">
        <v>292</v>
      </c>
      <c r="D37" s="57" t="str">
        <f t="shared" si="0"/>
        <v/>
      </c>
      <c r="E37" s="57" t="str">
        <f t="shared" si="1"/>
        <v/>
      </c>
      <c r="F37" s="57" t="str">
        <f t="shared" si="2"/>
        <v/>
      </c>
      <c r="G37" s="57" t="str">
        <f t="shared" si="3"/>
        <v/>
      </c>
      <c r="H37" s="57" t="str">
        <f t="shared" si="4"/>
        <v/>
      </c>
      <c r="I37" s="57" t="str">
        <f t="shared" si="5"/>
        <v/>
      </c>
      <c r="J37" s="57" t="str">
        <f t="shared" si="6"/>
        <v/>
      </c>
      <c r="K37" s="58" t="str">
        <f t="shared" si="7"/>
        <v/>
      </c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45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</row>
    <row r="38" spans="1:69" outlineLevel="4">
      <c r="A38" s="39"/>
      <c r="B38" s="43"/>
      <c r="C38" s="56" t="s">
        <v>293</v>
      </c>
      <c r="D38" s="57" t="str">
        <f t="shared" si="0"/>
        <v/>
      </c>
      <c r="E38" s="57" t="str">
        <f t="shared" si="1"/>
        <v/>
      </c>
      <c r="F38" s="57" t="str">
        <f t="shared" si="2"/>
        <v/>
      </c>
      <c r="G38" s="57" t="str">
        <f t="shared" si="3"/>
        <v/>
      </c>
      <c r="H38" s="57" t="str">
        <f t="shared" si="4"/>
        <v/>
      </c>
      <c r="I38" s="57" t="str">
        <f t="shared" si="5"/>
        <v/>
      </c>
      <c r="J38" s="57" t="str">
        <f t="shared" si="6"/>
        <v/>
      </c>
      <c r="K38" s="58" t="str">
        <f t="shared" si="7"/>
        <v/>
      </c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45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</row>
    <row r="39" spans="1:69" outlineLevel="5">
      <c r="A39" s="39"/>
      <c r="B39" s="43"/>
      <c r="C39" s="56" t="s">
        <v>294</v>
      </c>
      <c r="D39" s="57">
        <f t="shared" si="0"/>
        <v>86886000</v>
      </c>
      <c r="E39" s="57">
        <f t="shared" si="1"/>
        <v>99071333.333333328</v>
      </c>
      <c r="F39" s="57">
        <f t="shared" si="2"/>
        <v>52563000</v>
      </c>
      <c r="G39" s="57">
        <f t="shared" si="3"/>
        <v>172155000</v>
      </c>
      <c r="H39" s="57">
        <f t="shared" si="4"/>
        <v>72360500</v>
      </c>
      <c r="I39" s="57">
        <f t="shared" si="5"/>
        <v>120376500</v>
      </c>
      <c r="J39" s="57">
        <f t="shared" si="6"/>
        <v>35981706.385063969</v>
      </c>
      <c r="K39" s="58">
        <f t="shared" si="7"/>
        <v>0.36318988727042439</v>
      </c>
      <c r="M39" s="59">
        <v>172155000</v>
      </c>
      <c r="N39" s="59">
        <v>153353000</v>
      </c>
      <c r="O39" s="59">
        <v>140613000</v>
      </c>
      <c r="P39" s="59">
        <v>126647000</v>
      </c>
      <c r="Q39" s="59">
        <v>114106000</v>
      </c>
      <c r="R39" s="59">
        <v>107464000</v>
      </c>
      <c r="S39" s="59">
        <v>97848000</v>
      </c>
      <c r="T39" s="59">
        <v>83726000</v>
      </c>
      <c r="U39" s="59">
        <v>86886000</v>
      </c>
      <c r="V39" s="59">
        <v>82281000</v>
      </c>
      <c r="W39" s="59">
        <v>74673000</v>
      </c>
      <c r="X39" s="59">
        <v>70048000</v>
      </c>
      <c r="Y39" s="59">
        <v>64758000</v>
      </c>
      <c r="Z39" s="59">
        <v>58949000</v>
      </c>
      <c r="AA39" s="59">
        <v>52563000</v>
      </c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45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</row>
    <row r="40" spans="1:69" outlineLevel="5">
      <c r="A40" s="39"/>
      <c r="B40" s="43"/>
      <c r="C40" s="60" t="s">
        <v>295</v>
      </c>
      <c r="D40" s="61">
        <f t="shared" si="0"/>
        <v>86886000</v>
      </c>
      <c r="E40" s="61">
        <f t="shared" si="1"/>
        <v>99071333.333333328</v>
      </c>
      <c r="F40" s="61">
        <f t="shared" si="2"/>
        <v>52563000</v>
      </c>
      <c r="G40" s="61">
        <f t="shared" si="3"/>
        <v>172155000</v>
      </c>
      <c r="H40" s="61">
        <f t="shared" si="4"/>
        <v>72360500</v>
      </c>
      <c r="I40" s="61">
        <f t="shared" si="5"/>
        <v>120376500</v>
      </c>
      <c r="J40" s="61">
        <f t="shared" si="6"/>
        <v>35981706.385063969</v>
      </c>
      <c r="K40" s="62">
        <f t="shared" si="7"/>
        <v>0.36318988727042439</v>
      </c>
      <c r="L40" s="41"/>
      <c r="M40" s="63">
        <v>172155000</v>
      </c>
      <c r="N40" s="63">
        <v>153353000</v>
      </c>
      <c r="O40" s="63">
        <v>140613000</v>
      </c>
      <c r="P40" s="63">
        <v>126647000</v>
      </c>
      <c r="Q40" s="63">
        <v>114106000</v>
      </c>
      <c r="R40" s="63">
        <v>107464000</v>
      </c>
      <c r="S40" s="63">
        <v>97848000</v>
      </c>
      <c r="T40" s="63">
        <v>83726000</v>
      </c>
      <c r="U40" s="63">
        <v>86886000</v>
      </c>
      <c r="V40" s="63">
        <v>82281000</v>
      </c>
      <c r="W40" s="63">
        <v>74673000</v>
      </c>
      <c r="X40" s="63">
        <v>70048000</v>
      </c>
      <c r="Y40" s="63">
        <v>64758000</v>
      </c>
      <c r="Z40" s="63">
        <v>58949000</v>
      </c>
      <c r="AA40" s="63">
        <v>52563000</v>
      </c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45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</row>
    <row r="41" spans="1:69" outlineLevel="4">
      <c r="A41" s="39"/>
      <c r="B41" s="43"/>
      <c r="C41" s="56" t="s">
        <v>296</v>
      </c>
      <c r="D41" s="57">
        <f t="shared" si="0"/>
        <v>3716000</v>
      </c>
      <c r="E41" s="57">
        <f t="shared" si="1"/>
        <v>6058243.333333333</v>
      </c>
      <c r="F41" s="57">
        <f t="shared" si="2"/>
        <v>214000</v>
      </c>
      <c r="G41" s="57">
        <f t="shared" si="3"/>
        <v>24556000</v>
      </c>
      <c r="H41" s="57">
        <f t="shared" si="4"/>
        <v>1418500</v>
      </c>
      <c r="I41" s="57">
        <f t="shared" si="5"/>
        <v>7937500</v>
      </c>
      <c r="J41" s="57">
        <f t="shared" si="6"/>
        <v>6639761.8062638007</v>
      </c>
      <c r="K41" s="58">
        <f t="shared" si="7"/>
        <v>1.0959879689432197</v>
      </c>
      <c r="M41" s="59">
        <v>24556000</v>
      </c>
      <c r="N41" s="59">
        <v>21658000</v>
      </c>
      <c r="O41" s="59">
        <v>18652000</v>
      </c>
      <c r="P41" s="59">
        <v>15675000</v>
      </c>
      <c r="Q41" s="59">
        <v>14141000</v>
      </c>
      <c r="R41" s="59">
        <v>10639000</v>
      </c>
      <c r="S41" s="59">
        <v>9330000</v>
      </c>
      <c r="T41" s="59">
        <v>8357000</v>
      </c>
      <c r="U41" s="59">
        <v>6679000</v>
      </c>
      <c r="V41" s="59">
        <v>4732000</v>
      </c>
      <c r="W41" s="59">
        <v>5657000</v>
      </c>
      <c r="X41" s="59">
        <v>3591000</v>
      </c>
      <c r="Y41" s="59">
        <v>4690000</v>
      </c>
      <c r="Z41" s="59">
        <v>5968000</v>
      </c>
      <c r="AA41" s="59">
        <v>4989000</v>
      </c>
      <c r="AB41" s="59">
        <v>3841000</v>
      </c>
      <c r="AC41" s="59">
        <v>2425000</v>
      </c>
      <c r="AD41" s="59">
        <v>2630000</v>
      </c>
      <c r="AE41" s="59">
        <v>1713000</v>
      </c>
      <c r="AF41" s="59">
        <v>1393000</v>
      </c>
      <c r="AG41" s="59">
        <v>945000</v>
      </c>
      <c r="AH41" s="59">
        <v>1495000</v>
      </c>
      <c r="AI41" s="59">
        <v>1364000</v>
      </c>
      <c r="AJ41" s="59">
        <v>2639000</v>
      </c>
      <c r="AK41" s="59">
        <v>1983000</v>
      </c>
      <c r="AL41" s="59"/>
      <c r="AM41" s="59">
        <v>923000</v>
      </c>
      <c r="AN41" s="59">
        <v>214000</v>
      </c>
      <c r="AO41" s="59"/>
      <c r="AP41" s="59">
        <v>258000</v>
      </c>
      <c r="AQ41" s="59">
        <v>317700</v>
      </c>
      <c r="AR41" s="59">
        <v>292600</v>
      </c>
      <c r="AS41" s="45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</row>
    <row r="42" spans="1:69" outlineLevel="4">
      <c r="A42" s="39"/>
      <c r="B42" s="43"/>
      <c r="C42" s="56" t="s">
        <v>297</v>
      </c>
      <c r="D42" s="57">
        <f t="shared" si="0"/>
        <v>28908000</v>
      </c>
      <c r="E42" s="57">
        <f t="shared" si="1"/>
        <v>29171100</v>
      </c>
      <c r="F42" s="57">
        <f t="shared" si="2"/>
        <v>16096900</v>
      </c>
      <c r="G42" s="57">
        <f t="shared" si="3"/>
        <v>50380000</v>
      </c>
      <c r="H42" s="57">
        <f t="shared" si="4"/>
        <v>18184500</v>
      </c>
      <c r="I42" s="57">
        <f t="shared" si="5"/>
        <v>37043000</v>
      </c>
      <c r="J42" s="57">
        <f t="shared" si="6"/>
        <v>11792794.668234626</v>
      </c>
      <c r="K42" s="58">
        <f t="shared" si="7"/>
        <v>0.40426294065820711</v>
      </c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>
        <v>50380000</v>
      </c>
      <c r="AC42" s="59">
        <v>47744000</v>
      </c>
      <c r="AD42" s="59">
        <v>42898000</v>
      </c>
      <c r="AE42" s="59">
        <v>39327000</v>
      </c>
      <c r="AF42" s="59">
        <v>34759000</v>
      </c>
      <c r="AG42" s="59">
        <v>32406000</v>
      </c>
      <c r="AH42" s="59">
        <v>30225000</v>
      </c>
      <c r="AI42" s="59">
        <v>28908000</v>
      </c>
      <c r="AJ42" s="59">
        <v>23866000</v>
      </c>
      <c r="AK42" s="59">
        <v>21405000</v>
      </c>
      <c r="AL42" s="59"/>
      <c r="AM42" s="59">
        <v>18631000</v>
      </c>
      <c r="AN42" s="59">
        <v>17738000</v>
      </c>
      <c r="AO42" s="59"/>
      <c r="AP42" s="59">
        <v>16775000</v>
      </c>
      <c r="AQ42" s="59">
        <v>16407600</v>
      </c>
      <c r="AR42" s="59">
        <v>16096900</v>
      </c>
      <c r="AS42" s="45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</row>
    <row r="43" spans="1:69" outlineLevel="4">
      <c r="A43" s="39"/>
      <c r="B43" s="43"/>
      <c r="C43" s="60" t="s">
        <v>298</v>
      </c>
      <c r="D43" s="61">
        <f t="shared" si="0"/>
        <v>52195000</v>
      </c>
      <c r="E43" s="61">
        <f t="shared" si="1"/>
        <v>67007056.25</v>
      </c>
      <c r="F43" s="61">
        <f t="shared" si="2"/>
        <v>16389500</v>
      </c>
      <c r="G43" s="61">
        <f t="shared" si="3"/>
        <v>196711000</v>
      </c>
      <c r="H43" s="61">
        <f t="shared" si="4"/>
        <v>25725750</v>
      </c>
      <c r="I43" s="61">
        <f t="shared" si="5"/>
        <v>92453500</v>
      </c>
      <c r="J43" s="61">
        <f t="shared" si="6"/>
        <v>50573263.517791279</v>
      </c>
      <c r="K43" s="62">
        <f t="shared" si="7"/>
        <v>0.75474534098476054</v>
      </c>
      <c r="L43" s="41"/>
      <c r="M43" s="63">
        <v>196711000</v>
      </c>
      <c r="N43" s="63">
        <v>175011000</v>
      </c>
      <c r="O43" s="63">
        <v>159265000</v>
      </c>
      <c r="P43" s="63">
        <v>142322000</v>
      </c>
      <c r="Q43" s="63">
        <v>128247000</v>
      </c>
      <c r="R43" s="63">
        <v>118103000</v>
      </c>
      <c r="S43" s="63">
        <v>107178000</v>
      </c>
      <c r="T43" s="63">
        <v>92083000</v>
      </c>
      <c r="U43" s="63">
        <v>93565000</v>
      </c>
      <c r="V43" s="63">
        <v>87013000</v>
      </c>
      <c r="W43" s="63">
        <v>80330000</v>
      </c>
      <c r="X43" s="63">
        <v>73639000</v>
      </c>
      <c r="Y43" s="63">
        <v>69448000</v>
      </c>
      <c r="Z43" s="63">
        <v>64917000</v>
      </c>
      <c r="AA43" s="63">
        <v>57552000</v>
      </c>
      <c r="AB43" s="63">
        <v>54221000</v>
      </c>
      <c r="AC43" s="63">
        <v>50169000</v>
      </c>
      <c r="AD43" s="63">
        <v>45528000</v>
      </c>
      <c r="AE43" s="63">
        <v>41040000</v>
      </c>
      <c r="AF43" s="63">
        <v>36152000</v>
      </c>
      <c r="AG43" s="63">
        <v>33351000</v>
      </c>
      <c r="AH43" s="63">
        <v>31720000</v>
      </c>
      <c r="AI43" s="63">
        <v>30272000</v>
      </c>
      <c r="AJ43" s="63">
        <v>26505000</v>
      </c>
      <c r="AK43" s="63">
        <v>23388000</v>
      </c>
      <c r="AL43" s="63">
        <v>21022000</v>
      </c>
      <c r="AM43" s="63">
        <v>19554000</v>
      </c>
      <c r="AN43" s="63">
        <v>17952000</v>
      </c>
      <c r="AO43" s="63">
        <v>17820000</v>
      </c>
      <c r="AP43" s="63">
        <v>17033000</v>
      </c>
      <c r="AQ43" s="63">
        <v>16725300</v>
      </c>
      <c r="AR43" s="63">
        <v>16389500</v>
      </c>
      <c r="AS43" s="45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</row>
    <row r="44" spans="1:69" outlineLevel="3">
      <c r="A44" s="39"/>
      <c r="B44" s="43"/>
      <c r="C44" s="56" t="s">
        <v>299</v>
      </c>
      <c r="D44" s="57" t="str">
        <f t="shared" si="0"/>
        <v/>
      </c>
      <c r="E44" s="57" t="str">
        <f t="shared" si="1"/>
        <v/>
      </c>
      <c r="F44" s="57" t="str">
        <f t="shared" si="2"/>
        <v/>
      </c>
      <c r="G44" s="57" t="str">
        <f t="shared" si="3"/>
        <v/>
      </c>
      <c r="H44" s="57" t="str">
        <f t="shared" si="4"/>
        <v/>
      </c>
      <c r="I44" s="57" t="str">
        <f t="shared" si="5"/>
        <v/>
      </c>
      <c r="J44" s="57" t="str">
        <f t="shared" si="6"/>
        <v/>
      </c>
      <c r="K44" s="58" t="str">
        <f t="shared" si="7"/>
        <v/>
      </c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45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</row>
    <row r="45" spans="1:69" outlineLevel="4">
      <c r="A45" s="39"/>
      <c r="B45" s="43"/>
      <c r="C45" s="56" t="s">
        <v>300</v>
      </c>
      <c r="D45" s="57">
        <f t="shared" si="0"/>
        <v>-14576500</v>
      </c>
      <c r="E45" s="57">
        <f t="shared" si="1"/>
        <v>-17103843.75</v>
      </c>
      <c r="F45" s="57">
        <f t="shared" si="2"/>
        <v>-40514000</v>
      </c>
      <c r="G45" s="57">
        <f t="shared" si="3"/>
        <v>-6186700</v>
      </c>
      <c r="H45" s="57">
        <f t="shared" si="4"/>
        <v>-21394250</v>
      </c>
      <c r="I45" s="57">
        <f t="shared" si="5"/>
        <v>-10443000</v>
      </c>
      <c r="J45" s="57">
        <f t="shared" si="6"/>
        <v>9103866.0663917065</v>
      </c>
      <c r="K45" s="58">
        <f t="shared" si="7"/>
        <v>-0.53227018437839191</v>
      </c>
      <c r="M45" s="59">
        <v>-40514000</v>
      </c>
      <c r="N45" s="59">
        <v>-36159000</v>
      </c>
      <c r="O45" s="59">
        <v>-33489000</v>
      </c>
      <c r="P45" s="59">
        <v>-31263000</v>
      </c>
      <c r="Q45" s="59">
        <v>-28899000</v>
      </c>
      <c r="R45" s="59">
        <v>-26300000</v>
      </c>
      <c r="S45" s="59">
        <v>-25168000</v>
      </c>
      <c r="T45" s="59">
        <v>-21749000</v>
      </c>
      <c r="U45" s="59">
        <v>-21276000</v>
      </c>
      <c r="V45" s="59">
        <v>-20101000</v>
      </c>
      <c r="W45" s="59">
        <v>-18944000</v>
      </c>
      <c r="X45" s="59">
        <v>-17934000</v>
      </c>
      <c r="Y45" s="59">
        <v>-16728000</v>
      </c>
      <c r="Z45" s="59">
        <v>-15504000</v>
      </c>
      <c r="AA45" s="59">
        <v>-15062000</v>
      </c>
      <c r="AB45" s="59">
        <v>-15146000</v>
      </c>
      <c r="AC45" s="59">
        <v>-14091000</v>
      </c>
      <c r="AD45" s="59">
        <v>-13117000</v>
      </c>
      <c r="AE45" s="59">
        <v>-12388000</v>
      </c>
      <c r="AF45" s="59">
        <v>-11653000</v>
      </c>
      <c r="AG45" s="59">
        <v>-10888000</v>
      </c>
      <c r="AH45" s="59">
        <v>-10494000</v>
      </c>
      <c r="AI45" s="59">
        <v>-9975000</v>
      </c>
      <c r="AJ45" s="59">
        <v>-8805000</v>
      </c>
      <c r="AK45" s="59">
        <v>-11726000</v>
      </c>
      <c r="AL45" s="59">
        <v>-11088000</v>
      </c>
      <c r="AM45" s="59">
        <v>-10290000</v>
      </c>
      <c r="AN45" s="59">
        <v>-9397000</v>
      </c>
      <c r="AO45" s="59">
        <v>-8466000</v>
      </c>
      <c r="AP45" s="59">
        <v>-7649000</v>
      </c>
      <c r="AQ45" s="59">
        <v>-6873300</v>
      </c>
      <c r="AR45" s="59">
        <v>-6186700</v>
      </c>
      <c r="AS45" s="45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</row>
    <row r="46" spans="1:69" outlineLevel="4">
      <c r="A46" s="39"/>
      <c r="B46" s="43"/>
      <c r="C46" s="60" t="s">
        <v>301</v>
      </c>
      <c r="D46" s="61">
        <f t="shared" si="0"/>
        <v>-14576500</v>
      </c>
      <c r="E46" s="61">
        <f t="shared" si="1"/>
        <v>-17103843.75</v>
      </c>
      <c r="F46" s="61">
        <f t="shared" si="2"/>
        <v>-40514000</v>
      </c>
      <c r="G46" s="61">
        <f t="shared" si="3"/>
        <v>-6186700</v>
      </c>
      <c r="H46" s="61">
        <f t="shared" si="4"/>
        <v>-21394250</v>
      </c>
      <c r="I46" s="61">
        <f t="shared" si="5"/>
        <v>-10443000</v>
      </c>
      <c r="J46" s="61">
        <f t="shared" si="6"/>
        <v>9103866.0663917065</v>
      </c>
      <c r="K46" s="62">
        <f t="shared" si="7"/>
        <v>-0.53227018437839191</v>
      </c>
      <c r="L46" s="41"/>
      <c r="M46" s="63">
        <v>-40514000</v>
      </c>
      <c r="N46" s="63">
        <v>-36159000</v>
      </c>
      <c r="O46" s="63">
        <v>-33489000</v>
      </c>
      <c r="P46" s="63">
        <v>-31263000</v>
      </c>
      <c r="Q46" s="63">
        <v>-28899000</v>
      </c>
      <c r="R46" s="63">
        <v>-26300000</v>
      </c>
      <c r="S46" s="63">
        <v>-25168000</v>
      </c>
      <c r="T46" s="63">
        <v>-21749000</v>
      </c>
      <c r="U46" s="63">
        <v>-21276000</v>
      </c>
      <c r="V46" s="63">
        <v>-20101000</v>
      </c>
      <c r="W46" s="63">
        <v>-18944000</v>
      </c>
      <c r="X46" s="63">
        <v>-17934000</v>
      </c>
      <c r="Y46" s="63">
        <v>-16728000</v>
      </c>
      <c r="Z46" s="63">
        <v>-15504000</v>
      </c>
      <c r="AA46" s="63">
        <v>-15062000</v>
      </c>
      <c r="AB46" s="63">
        <v>-15146000</v>
      </c>
      <c r="AC46" s="63">
        <v>-14091000</v>
      </c>
      <c r="AD46" s="63">
        <v>-13117000</v>
      </c>
      <c r="AE46" s="63">
        <v>-12388000</v>
      </c>
      <c r="AF46" s="63">
        <v>-11653000</v>
      </c>
      <c r="AG46" s="63">
        <v>-10888000</v>
      </c>
      <c r="AH46" s="63">
        <v>-10494000</v>
      </c>
      <c r="AI46" s="63">
        <v>-9975000</v>
      </c>
      <c r="AJ46" s="63">
        <v>-8805000</v>
      </c>
      <c r="AK46" s="63">
        <v>-11726000</v>
      </c>
      <c r="AL46" s="63">
        <v>-11088000</v>
      </c>
      <c r="AM46" s="63">
        <v>-10290000</v>
      </c>
      <c r="AN46" s="63">
        <v>-9397000</v>
      </c>
      <c r="AO46" s="63">
        <v>-8466000</v>
      </c>
      <c r="AP46" s="63">
        <v>-7649000</v>
      </c>
      <c r="AQ46" s="63">
        <v>-6873300</v>
      </c>
      <c r="AR46" s="63">
        <v>-6186700</v>
      </c>
      <c r="AS46" s="45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</row>
    <row r="47" spans="1:69" outlineLevel="3">
      <c r="A47" s="39"/>
      <c r="B47" s="43"/>
      <c r="C47" s="60" t="s">
        <v>302</v>
      </c>
      <c r="D47" s="61">
        <f t="shared" si="0"/>
        <v>37576500</v>
      </c>
      <c r="E47" s="61">
        <f t="shared" si="1"/>
        <v>49903212.5</v>
      </c>
      <c r="F47" s="61">
        <f t="shared" si="2"/>
        <v>8555000</v>
      </c>
      <c r="G47" s="61">
        <f t="shared" si="3"/>
        <v>156197000</v>
      </c>
      <c r="H47" s="61">
        <f t="shared" si="4"/>
        <v>16190500</v>
      </c>
      <c r="I47" s="61">
        <f t="shared" si="5"/>
        <v>70822750</v>
      </c>
      <c r="J47" s="61">
        <f t="shared" si="6"/>
        <v>41528213.121728584</v>
      </c>
      <c r="K47" s="62">
        <f t="shared" si="7"/>
        <v>0.83217514547241989</v>
      </c>
      <c r="L47" s="41"/>
      <c r="M47" s="63">
        <v>156197000</v>
      </c>
      <c r="N47" s="63">
        <v>138852000</v>
      </c>
      <c r="O47" s="63">
        <v>125776000</v>
      </c>
      <c r="P47" s="63">
        <v>111059000</v>
      </c>
      <c r="Q47" s="63">
        <v>99348000</v>
      </c>
      <c r="R47" s="63">
        <v>91803000</v>
      </c>
      <c r="S47" s="63">
        <v>82010000</v>
      </c>
      <c r="T47" s="63">
        <v>70334000</v>
      </c>
      <c r="U47" s="63">
        <v>72289000</v>
      </c>
      <c r="V47" s="63">
        <v>66912000</v>
      </c>
      <c r="W47" s="63">
        <v>61386000</v>
      </c>
      <c r="X47" s="63">
        <v>55705000</v>
      </c>
      <c r="Y47" s="63">
        <v>52720000</v>
      </c>
      <c r="Z47" s="63">
        <v>49413000</v>
      </c>
      <c r="AA47" s="63">
        <v>42490000</v>
      </c>
      <c r="AB47" s="63">
        <v>39075000</v>
      </c>
      <c r="AC47" s="63">
        <v>36078000</v>
      </c>
      <c r="AD47" s="63">
        <v>32411000</v>
      </c>
      <c r="AE47" s="63">
        <v>28652000</v>
      </c>
      <c r="AF47" s="63">
        <v>24499000</v>
      </c>
      <c r="AG47" s="63">
        <v>22463000</v>
      </c>
      <c r="AH47" s="63">
        <v>21226000</v>
      </c>
      <c r="AI47" s="63">
        <v>20297000</v>
      </c>
      <c r="AJ47" s="63">
        <v>17700000</v>
      </c>
      <c r="AK47" s="63">
        <v>11662000</v>
      </c>
      <c r="AL47" s="63">
        <v>9934000</v>
      </c>
      <c r="AM47" s="63">
        <v>9264000</v>
      </c>
      <c r="AN47" s="63">
        <v>8555000</v>
      </c>
      <c r="AO47" s="63">
        <v>9354000</v>
      </c>
      <c r="AP47" s="63">
        <v>9384000</v>
      </c>
      <c r="AQ47" s="63">
        <v>9852000</v>
      </c>
      <c r="AR47" s="63">
        <v>10202800</v>
      </c>
      <c r="AS47" s="45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</row>
    <row r="48" spans="1:69" outlineLevel="2">
      <c r="A48" s="39"/>
      <c r="B48" s="43"/>
      <c r="C48" s="56" t="s">
        <v>303</v>
      </c>
      <c r="D48" s="57" t="str">
        <f t="shared" si="0"/>
        <v/>
      </c>
      <c r="E48" s="57" t="str">
        <f t="shared" si="1"/>
        <v/>
      </c>
      <c r="F48" s="57" t="str">
        <f t="shared" si="2"/>
        <v/>
      </c>
      <c r="G48" s="57" t="str">
        <f t="shared" si="3"/>
        <v/>
      </c>
      <c r="H48" s="57" t="str">
        <f t="shared" si="4"/>
        <v/>
      </c>
      <c r="I48" s="57" t="str">
        <f t="shared" si="5"/>
        <v/>
      </c>
      <c r="J48" s="57" t="str">
        <f t="shared" si="6"/>
        <v/>
      </c>
      <c r="K48" s="58" t="str">
        <f t="shared" si="7"/>
        <v/>
      </c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45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</row>
    <row r="49" spans="1:69" outlineLevel="3">
      <c r="A49" s="39"/>
      <c r="B49" s="43"/>
      <c r="C49" s="56" t="s">
        <v>304</v>
      </c>
      <c r="D49" s="57" t="str">
        <f t="shared" si="0"/>
        <v/>
      </c>
      <c r="E49" s="57" t="str">
        <f t="shared" si="1"/>
        <v/>
      </c>
      <c r="F49" s="57" t="str">
        <f t="shared" si="2"/>
        <v/>
      </c>
      <c r="G49" s="57" t="str">
        <f t="shared" si="3"/>
        <v/>
      </c>
      <c r="H49" s="57" t="str">
        <f t="shared" si="4"/>
        <v/>
      </c>
      <c r="I49" s="57" t="str">
        <f t="shared" si="5"/>
        <v/>
      </c>
      <c r="J49" s="57" t="str">
        <f t="shared" si="6"/>
        <v/>
      </c>
      <c r="K49" s="58" t="str">
        <f t="shared" si="7"/>
        <v/>
      </c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45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</row>
    <row r="50" spans="1:69" outlineLevel="4">
      <c r="A50" s="39"/>
      <c r="B50" s="43"/>
      <c r="C50" s="56" t="s">
        <v>305</v>
      </c>
      <c r="D50" s="57">
        <f t="shared" si="0"/>
        <v>4844000</v>
      </c>
      <c r="E50" s="57">
        <f t="shared" si="1"/>
        <v>3846333.3333333335</v>
      </c>
      <c r="F50" s="57">
        <f t="shared" si="2"/>
        <v>764000</v>
      </c>
      <c r="G50" s="57">
        <f t="shared" si="3"/>
        <v>5091000</v>
      </c>
      <c r="H50" s="57">
        <f t="shared" si="4"/>
        <v>4204000</v>
      </c>
      <c r="I50" s="57">
        <f t="shared" si="5"/>
        <v>4854000</v>
      </c>
      <c r="J50" s="57">
        <f t="shared" si="6"/>
        <v>1736874.995501979</v>
      </c>
      <c r="K50" s="58">
        <f t="shared" si="7"/>
        <v>0.45156642573064709</v>
      </c>
      <c r="M50" s="59">
        <v>4849000</v>
      </c>
      <c r="N50" s="59">
        <v>4866000</v>
      </c>
      <c r="O50" s="59">
        <v>5091000</v>
      </c>
      <c r="P50" s="59">
        <v>4854000</v>
      </c>
      <c r="Q50" s="59">
        <v>4844000</v>
      </c>
      <c r="R50" s="59">
        <v>4254000</v>
      </c>
      <c r="S50" s="59">
        <v>4204000</v>
      </c>
      <c r="T50" s="59">
        <v>891000</v>
      </c>
      <c r="U50" s="59">
        <v>764000</v>
      </c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45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</row>
    <row r="51" spans="1:69" outlineLevel="4">
      <c r="A51" s="39"/>
      <c r="B51" s="43"/>
      <c r="C51" s="56" t="s">
        <v>306</v>
      </c>
      <c r="D51" s="57" t="str">
        <f t="shared" si="0"/>
        <v/>
      </c>
      <c r="E51" s="57" t="str">
        <f t="shared" si="1"/>
        <v/>
      </c>
      <c r="F51" s="57" t="str">
        <f t="shared" si="2"/>
        <v/>
      </c>
      <c r="G51" s="57" t="str">
        <f t="shared" si="3"/>
        <v/>
      </c>
      <c r="H51" s="57" t="str">
        <f t="shared" si="4"/>
        <v/>
      </c>
      <c r="I51" s="57" t="str">
        <f t="shared" si="5"/>
        <v/>
      </c>
      <c r="J51" s="57" t="str">
        <f t="shared" si="6"/>
        <v/>
      </c>
      <c r="K51" s="58" t="str">
        <f t="shared" si="7"/>
        <v/>
      </c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45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</row>
    <row r="52" spans="1:69" outlineLevel="5">
      <c r="A52" s="39"/>
      <c r="B52" s="43"/>
      <c r="C52" s="56" t="s">
        <v>307</v>
      </c>
      <c r="D52" s="57">
        <f t="shared" si="0"/>
        <v>305000</v>
      </c>
      <c r="E52" s="57">
        <f t="shared" si="1"/>
        <v>421500</v>
      </c>
      <c r="F52" s="57">
        <f t="shared" si="2"/>
        <v>0</v>
      </c>
      <c r="G52" s="57">
        <f t="shared" si="3"/>
        <v>952000</v>
      </c>
      <c r="H52" s="57">
        <f t="shared" si="4"/>
        <v>45250</v>
      </c>
      <c r="I52" s="57">
        <f t="shared" si="5"/>
        <v>832500</v>
      </c>
      <c r="J52" s="57">
        <f t="shared" si="6"/>
        <v>447253.28394546191</v>
      </c>
      <c r="K52" s="58">
        <f t="shared" si="7"/>
        <v>1.0610991315432075</v>
      </c>
      <c r="M52" s="59">
        <v>952000</v>
      </c>
      <c r="N52" s="59">
        <v>933000</v>
      </c>
      <c r="O52" s="59">
        <v>531000</v>
      </c>
      <c r="P52" s="59">
        <v>0</v>
      </c>
      <c r="Q52" s="59"/>
      <c r="R52" s="59"/>
      <c r="S52" s="59"/>
      <c r="T52" s="59">
        <v>34000</v>
      </c>
      <c r="U52" s="59">
        <v>79000</v>
      </c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45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</row>
    <row r="53" spans="1:69" outlineLevel="5">
      <c r="A53" s="39"/>
      <c r="B53" s="43"/>
      <c r="C53" s="56" t="s">
        <v>308</v>
      </c>
      <c r="D53" s="57">
        <f t="shared" si="0"/>
        <v>700000</v>
      </c>
      <c r="E53" s="57">
        <f t="shared" si="1"/>
        <v>700000</v>
      </c>
      <c r="F53" s="57">
        <f t="shared" si="2"/>
        <v>700000</v>
      </c>
      <c r="G53" s="57">
        <f t="shared" si="3"/>
        <v>700000</v>
      </c>
      <c r="H53" s="57">
        <f t="shared" si="4"/>
        <v>700000</v>
      </c>
      <c r="I53" s="57">
        <f t="shared" si="5"/>
        <v>700000</v>
      </c>
      <c r="J53" s="57" t="str">
        <f t="shared" si="6"/>
        <v/>
      </c>
      <c r="K53" s="58" t="str">
        <f t="shared" si="7"/>
        <v/>
      </c>
      <c r="M53" s="59"/>
      <c r="N53" s="59"/>
      <c r="O53" s="59"/>
      <c r="P53" s="59"/>
      <c r="Q53" s="59"/>
      <c r="R53" s="59"/>
      <c r="S53" s="59"/>
      <c r="T53" s="59"/>
      <c r="U53" s="59">
        <v>700000</v>
      </c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45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</row>
    <row r="54" spans="1:69" outlineLevel="5">
      <c r="A54" s="39"/>
      <c r="B54" s="43"/>
      <c r="C54" s="56" t="s">
        <v>309</v>
      </c>
      <c r="D54" s="57">
        <f t="shared" si="0"/>
        <v>830000</v>
      </c>
      <c r="E54" s="57">
        <f t="shared" si="1"/>
        <v>870555.5555555555</v>
      </c>
      <c r="F54" s="57">
        <f t="shared" si="2"/>
        <v>608000</v>
      </c>
      <c r="G54" s="57">
        <f t="shared" si="3"/>
        <v>1311000</v>
      </c>
      <c r="H54" s="57">
        <f t="shared" si="4"/>
        <v>754000</v>
      </c>
      <c r="I54" s="57">
        <f t="shared" si="5"/>
        <v>984000</v>
      </c>
      <c r="J54" s="57">
        <f t="shared" si="6"/>
        <v>220323.6886441806</v>
      </c>
      <c r="K54" s="58">
        <f t="shared" si="7"/>
        <v>0.25308400737685072</v>
      </c>
      <c r="M54" s="59">
        <v>1071000</v>
      </c>
      <c r="N54" s="59">
        <v>984000</v>
      </c>
      <c r="O54" s="59">
        <v>1311000</v>
      </c>
      <c r="P54" s="59">
        <v>858000</v>
      </c>
      <c r="Q54" s="59">
        <v>830000</v>
      </c>
      <c r="R54" s="59">
        <v>754000</v>
      </c>
      <c r="S54" s="59">
        <v>608000</v>
      </c>
      <c r="T54" s="59">
        <v>760000</v>
      </c>
      <c r="U54" s="59">
        <v>659000</v>
      </c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45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</row>
    <row r="55" spans="1:69" outlineLevel="5">
      <c r="A55" s="39"/>
      <c r="B55" s="43"/>
      <c r="C55" s="60" t="s">
        <v>310</v>
      </c>
      <c r="D55" s="61">
        <f t="shared" si="0"/>
        <v>858000</v>
      </c>
      <c r="E55" s="61">
        <f t="shared" si="1"/>
        <v>1229333.3333333333</v>
      </c>
      <c r="F55" s="61">
        <f t="shared" si="2"/>
        <v>608000</v>
      </c>
      <c r="G55" s="61">
        <f t="shared" si="3"/>
        <v>2023000</v>
      </c>
      <c r="H55" s="61">
        <f t="shared" si="4"/>
        <v>794000</v>
      </c>
      <c r="I55" s="61">
        <f t="shared" si="5"/>
        <v>1842000</v>
      </c>
      <c r="J55" s="61">
        <f t="shared" si="6"/>
        <v>572337.53153187502</v>
      </c>
      <c r="K55" s="62">
        <f t="shared" si="7"/>
        <v>0.46556740634371613</v>
      </c>
      <c r="L55" s="41"/>
      <c r="M55" s="63">
        <v>2023000</v>
      </c>
      <c r="N55" s="63">
        <v>1917000</v>
      </c>
      <c r="O55" s="63">
        <v>1842000</v>
      </c>
      <c r="P55" s="63">
        <v>858000</v>
      </c>
      <c r="Q55" s="63">
        <v>830000</v>
      </c>
      <c r="R55" s="63">
        <v>754000</v>
      </c>
      <c r="S55" s="63">
        <v>608000</v>
      </c>
      <c r="T55" s="63">
        <v>794000</v>
      </c>
      <c r="U55" s="63">
        <v>1438000</v>
      </c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45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</row>
    <row r="56" spans="1:69" outlineLevel="4">
      <c r="A56" s="39"/>
      <c r="B56" s="43"/>
      <c r="C56" s="60" t="s">
        <v>311</v>
      </c>
      <c r="D56" s="61">
        <f t="shared" si="0"/>
        <v>5674000</v>
      </c>
      <c r="E56" s="61">
        <f t="shared" si="1"/>
        <v>5075666.666666667</v>
      </c>
      <c r="F56" s="61">
        <f t="shared" si="2"/>
        <v>1685000</v>
      </c>
      <c r="G56" s="61">
        <f t="shared" si="3"/>
        <v>6933000</v>
      </c>
      <c r="H56" s="61">
        <f t="shared" si="4"/>
        <v>4812000</v>
      </c>
      <c r="I56" s="61">
        <f t="shared" si="5"/>
        <v>6783000</v>
      </c>
      <c r="J56" s="61">
        <f t="shared" si="6"/>
        <v>1942391.8888833942</v>
      </c>
      <c r="K56" s="62">
        <f t="shared" si="7"/>
        <v>0.38268704713010981</v>
      </c>
      <c r="L56" s="41"/>
      <c r="M56" s="63">
        <v>6872000</v>
      </c>
      <c r="N56" s="63">
        <v>6783000</v>
      </c>
      <c r="O56" s="63">
        <v>6933000</v>
      </c>
      <c r="P56" s="63">
        <v>5712000</v>
      </c>
      <c r="Q56" s="63">
        <v>5674000</v>
      </c>
      <c r="R56" s="63">
        <v>5008000</v>
      </c>
      <c r="S56" s="63">
        <v>4812000</v>
      </c>
      <c r="T56" s="63">
        <v>1685000</v>
      </c>
      <c r="U56" s="63">
        <v>2202000</v>
      </c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45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</row>
    <row r="57" spans="1:69" outlineLevel="3">
      <c r="A57" s="39"/>
      <c r="B57" s="43"/>
      <c r="C57" s="56" t="s">
        <v>312</v>
      </c>
      <c r="D57" s="57" t="str">
        <f t="shared" si="0"/>
        <v/>
      </c>
      <c r="E57" s="57" t="str">
        <f t="shared" si="1"/>
        <v/>
      </c>
      <c r="F57" s="57" t="str">
        <f t="shared" si="2"/>
        <v/>
      </c>
      <c r="G57" s="57" t="str">
        <f t="shared" si="3"/>
        <v/>
      </c>
      <c r="H57" s="57" t="str">
        <f t="shared" si="4"/>
        <v/>
      </c>
      <c r="I57" s="57" t="str">
        <f t="shared" si="5"/>
        <v/>
      </c>
      <c r="J57" s="57" t="str">
        <f t="shared" si="6"/>
        <v/>
      </c>
      <c r="K57" s="58" t="str">
        <f t="shared" si="7"/>
        <v/>
      </c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45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</row>
    <row r="58" spans="1:69" outlineLevel="4">
      <c r="A58" s="39"/>
      <c r="B58" s="43"/>
      <c r="C58" s="56" t="s">
        <v>313</v>
      </c>
      <c r="D58" s="57" t="str">
        <f t="shared" si="0"/>
        <v/>
      </c>
      <c r="E58" s="57" t="str">
        <f t="shared" si="1"/>
        <v/>
      </c>
      <c r="F58" s="57" t="str">
        <f t="shared" si="2"/>
        <v/>
      </c>
      <c r="G58" s="57" t="str">
        <f t="shared" si="3"/>
        <v/>
      </c>
      <c r="H58" s="57" t="str">
        <f t="shared" si="4"/>
        <v/>
      </c>
      <c r="I58" s="57" t="str">
        <f t="shared" si="5"/>
        <v/>
      </c>
      <c r="J58" s="57" t="str">
        <f t="shared" si="6"/>
        <v/>
      </c>
      <c r="K58" s="58" t="str">
        <f t="shared" si="7"/>
        <v/>
      </c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45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</row>
    <row r="59" spans="1:69" outlineLevel="5">
      <c r="A59" s="39"/>
      <c r="B59" s="43"/>
      <c r="C59" s="56" t="s">
        <v>314</v>
      </c>
      <c r="D59" s="57">
        <f t="shared" si="0"/>
        <v>-99000</v>
      </c>
      <c r="E59" s="57">
        <f t="shared" si="1"/>
        <v>-127666.66666666667</v>
      </c>
      <c r="F59" s="57">
        <f t="shared" si="2"/>
        <v>-256000</v>
      </c>
      <c r="G59" s="57">
        <f t="shared" si="3"/>
        <v>-56000</v>
      </c>
      <c r="H59" s="57">
        <f t="shared" si="4"/>
        <v>-151000</v>
      </c>
      <c r="I59" s="57">
        <f t="shared" si="5"/>
        <v>-86000</v>
      </c>
      <c r="J59" s="57">
        <f t="shared" si="6"/>
        <v>67777.208558629791</v>
      </c>
      <c r="K59" s="58">
        <f t="shared" si="7"/>
        <v>-0.53089197304409752</v>
      </c>
      <c r="M59" s="59">
        <v>-256000</v>
      </c>
      <c r="N59" s="59">
        <v>-202000</v>
      </c>
      <c r="O59" s="59">
        <v>-150000</v>
      </c>
      <c r="P59" s="59">
        <v>-99000</v>
      </c>
      <c r="Q59" s="59">
        <v>-88000</v>
      </c>
      <c r="R59" s="59">
        <v>-61000</v>
      </c>
      <c r="S59" s="59">
        <v>-56000</v>
      </c>
      <c r="T59" s="59">
        <v>-86000</v>
      </c>
      <c r="U59" s="59">
        <v>-151000</v>
      </c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45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</row>
    <row r="60" spans="1:69" outlineLevel="5">
      <c r="A60" s="39"/>
      <c r="B60" s="43"/>
      <c r="C60" s="60" t="s">
        <v>315</v>
      </c>
      <c r="D60" s="61">
        <f t="shared" si="0"/>
        <v>-99000</v>
      </c>
      <c r="E60" s="61">
        <f t="shared" si="1"/>
        <v>-127666.66666666667</v>
      </c>
      <c r="F60" s="61">
        <f t="shared" si="2"/>
        <v>-256000</v>
      </c>
      <c r="G60" s="61">
        <f t="shared" si="3"/>
        <v>-56000</v>
      </c>
      <c r="H60" s="61">
        <f t="shared" si="4"/>
        <v>-151000</v>
      </c>
      <c r="I60" s="61">
        <f t="shared" si="5"/>
        <v>-86000</v>
      </c>
      <c r="J60" s="61">
        <f t="shared" si="6"/>
        <v>67777.208558629791</v>
      </c>
      <c r="K60" s="62">
        <f t="shared" si="7"/>
        <v>-0.53089197304409752</v>
      </c>
      <c r="L60" s="41"/>
      <c r="M60" s="63">
        <v>-256000</v>
      </c>
      <c r="N60" s="63">
        <v>-202000</v>
      </c>
      <c r="O60" s="63">
        <v>-150000</v>
      </c>
      <c r="P60" s="63">
        <v>-99000</v>
      </c>
      <c r="Q60" s="63">
        <v>-88000</v>
      </c>
      <c r="R60" s="63">
        <v>-61000</v>
      </c>
      <c r="S60" s="63">
        <v>-56000</v>
      </c>
      <c r="T60" s="63">
        <v>-86000</v>
      </c>
      <c r="U60" s="63">
        <v>-151000</v>
      </c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45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</row>
    <row r="61" spans="1:69" outlineLevel="4">
      <c r="A61" s="39"/>
      <c r="B61" s="43"/>
      <c r="C61" s="60" t="s">
        <v>316</v>
      </c>
      <c r="D61" s="61">
        <f t="shared" si="0"/>
        <v>-99000</v>
      </c>
      <c r="E61" s="61">
        <f t="shared" si="1"/>
        <v>-127666.66666666667</v>
      </c>
      <c r="F61" s="61">
        <f t="shared" si="2"/>
        <v>-256000</v>
      </c>
      <c r="G61" s="61">
        <f t="shared" si="3"/>
        <v>-56000</v>
      </c>
      <c r="H61" s="61">
        <f t="shared" si="4"/>
        <v>-151000</v>
      </c>
      <c r="I61" s="61">
        <f t="shared" si="5"/>
        <v>-86000</v>
      </c>
      <c r="J61" s="61">
        <f t="shared" si="6"/>
        <v>67777.208558629791</v>
      </c>
      <c r="K61" s="62">
        <f t="shared" si="7"/>
        <v>-0.53089197304409752</v>
      </c>
      <c r="L61" s="41"/>
      <c r="M61" s="63">
        <v>-256000</v>
      </c>
      <c r="N61" s="63">
        <v>-202000</v>
      </c>
      <c r="O61" s="63">
        <v>-150000</v>
      </c>
      <c r="P61" s="63">
        <v>-99000</v>
      </c>
      <c r="Q61" s="63">
        <v>-88000</v>
      </c>
      <c r="R61" s="63">
        <v>-61000</v>
      </c>
      <c r="S61" s="63">
        <v>-56000</v>
      </c>
      <c r="T61" s="63">
        <v>-86000</v>
      </c>
      <c r="U61" s="63">
        <v>-151000</v>
      </c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45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</row>
    <row r="62" spans="1:69" outlineLevel="3">
      <c r="A62" s="39"/>
      <c r="B62" s="43"/>
      <c r="C62" s="60" t="s">
        <v>317</v>
      </c>
      <c r="D62" s="61">
        <f t="shared" si="0"/>
        <v>5586000</v>
      </c>
      <c r="E62" s="61">
        <f t="shared" si="1"/>
        <v>4948000</v>
      </c>
      <c r="F62" s="61">
        <f t="shared" si="2"/>
        <v>1599000</v>
      </c>
      <c r="G62" s="61">
        <f t="shared" si="3"/>
        <v>6783000</v>
      </c>
      <c r="H62" s="61">
        <f t="shared" si="4"/>
        <v>4756000</v>
      </c>
      <c r="I62" s="61">
        <f t="shared" si="5"/>
        <v>6581000</v>
      </c>
      <c r="J62" s="61">
        <f t="shared" si="6"/>
        <v>1914114.7431645785</v>
      </c>
      <c r="K62" s="62">
        <f t="shared" si="7"/>
        <v>0.38684614857812821</v>
      </c>
      <c r="L62" s="41"/>
      <c r="M62" s="63">
        <v>6616000</v>
      </c>
      <c r="N62" s="63">
        <v>6581000</v>
      </c>
      <c r="O62" s="63">
        <v>6783000</v>
      </c>
      <c r="P62" s="63">
        <v>5613000</v>
      </c>
      <c r="Q62" s="63">
        <v>5586000</v>
      </c>
      <c r="R62" s="63">
        <v>4947000</v>
      </c>
      <c r="S62" s="63">
        <v>4756000</v>
      </c>
      <c r="T62" s="63">
        <v>1599000</v>
      </c>
      <c r="U62" s="63">
        <v>2051000</v>
      </c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45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</row>
    <row r="63" spans="1:69" outlineLevel="2">
      <c r="A63" s="39"/>
      <c r="B63" s="43"/>
      <c r="C63" s="56" t="s">
        <v>318</v>
      </c>
      <c r="D63" s="57" t="str">
        <f t="shared" si="0"/>
        <v/>
      </c>
      <c r="E63" s="57" t="str">
        <f t="shared" si="1"/>
        <v/>
      </c>
      <c r="F63" s="57" t="str">
        <f t="shared" si="2"/>
        <v/>
      </c>
      <c r="G63" s="57" t="str">
        <f t="shared" si="3"/>
        <v/>
      </c>
      <c r="H63" s="57" t="str">
        <f t="shared" si="4"/>
        <v/>
      </c>
      <c r="I63" s="57" t="str">
        <f t="shared" si="5"/>
        <v/>
      </c>
      <c r="J63" s="57" t="str">
        <f t="shared" si="6"/>
        <v/>
      </c>
      <c r="K63" s="58" t="str">
        <f t="shared" si="7"/>
        <v/>
      </c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45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</row>
    <row r="64" spans="1:69" outlineLevel="3">
      <c r="A64" s="39"/>
      <c r="B64" s="43"/>
      <c r="C64" s="56" t="s">
        <v>319</v>
      </c>
      <c r="D64" s="57">
        <f t="shared" si="0"/>
        <v>6156000</v>
      </c>
      <c r="E64" s="57">
        <f t="shared" si="1"/>
        <v>5865888.888888889</v>
      </c>
      <c r="F64" s="57">
        <f t="shared" si="2"/>
        <v>2321000</v>
      </c>
      <c r="G64" s="57">
        <f t="shared" si="3"/>
        <v>7453000</v>
      </c>
      <c r="H64" s="57">
        <f t="shared" si="4"/>
        <v>5728000</v>
      </c>
      <c r="I64" s="57">
        <f t="shared" si="5"/>
        <v>6582000</v>
      </c>
      <c r="J64" s="57">
        <f t="shared" si="6"/>
        <v>1446673.5502908421</v>
      </c>
      <c r="K64" s="58">
        <f t="shared" si="7"/>
        <v>0.24662477890283899</v>
      </c>
      <c r="M64" s="59">
        <v>5528000</v>
      </c>
      <c r="N64" s="59">
        <v>6118000</v>
      </c>
      <c r="O64" s="59">
        <v>6156000</v>
      </c>
      <c r="P64" s="59">
        <v>6582000</v>
      </c>
      <c r="Q64" s="59">
        <v>6159000</v>
      </c>
      <c r="R64" s="59">
        <v>5728000</v>
      </c>
      <c r="S64" s="59">
        <v>7453000</v>
      </c>
      <c r="T64" s="59">
        <v>6748000</v>
      </c>
      <c r="U64" s="59">
        <v>2321000</v>
      </c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45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</row>
    <row r="65" spans="1:69" outlineLevel="3">
      <c r="A65" s="39"/>
      <c r="B65" s="43"/>
      <c r="C65" s="56" t="s">
        <v>320</v>
      </c>
      <c r="D65" s="57">
        <f t="shared" si="0"/>
        <v>6954000</v>
      </c>
      <c r="E65" s="57">
        <f t="shared" si="1"/>
        <v>7315866.666666667</v>
      </c>
      <c r="F65" s="57">
        <f t="shared" si="2"/>
        <v>4774000</v>
      </c>
      <c r="G65" s="57">
        <f t="shared" si="3"/>
        <v>10954000</v>
      </c>
      <c r="H65" s="57">
        <f t="shared" si="4"/>
        <v>5952000</v>
      </c>
      <c r="I65" s="57">
        <f t="shared" si="5"/>
        <v>8307000</v>
      </c>
      <c r="J65" s="57">
        <f t="shared" si="6"/>
        <v>1736278.7739739215</v>
      </c>
      <c r="K65" s="58">
        <f t="shared" si="7"/>
        <v>0.23733056561636645</v>
      </c>
      <c r="M65" s="59">
        <v>10954000</v>
      </c>
      <c r="N65" s="59">
        <v>9800000</v>
      </c>
      <c r="O65" s="59">
        <v>8698000</v>
      </c>
      <c r="P65" s="59">
        <v>7496000</v>
      </c>
      <c r="Q65" s="59">
        <v>8922000</v>
      </c>
      <c r="R65" s="59">
        <v>7779000</v>
      </c>
      <c r="S65" s="59">
        <v>6954000</v>
      </c>
      <c r="T65" s="59">
        <v>5886000</v>
      </c>
      <c r="U65" s="59">
        <v>6003000</v>
      </c>
      <c r="V65" s="59">
        <v>7916000</v>
      </c>
      <c r="W65" s="59">
        <v>6924000</v>
      </c>
      <c r="X65" s="59">
        <v>6565000</v>
      </c>
      <c r="Y65" s="59">
        <v>5901000</v>
      </c>
      <c r="Z65" s="59">
        <v>5166000</v>
      </c>
      <c r="AA65" s="59">
        <v>4774000</v>
      </c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45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</row>
    <row r="66" spans="1:69" outlineLevel="3">
      <c r="A66" s="39"/>
      <c r="B66" s="43"/>
      <c r="C66" s="60" t="s">
        <v>321</v>
      </c>
      <c r="D66" s="61">
        <f t="shared" si="0"/>
        <v>8120000</v>
      </c>
      <c r="E66" s="61">
        <f t="shared" si="1"/>
        <v>9746611.1111111119</v>
      </c>
      <c r="F66" s="61">
        <f t="shared" si="2"/>
        <v>3870000</v>
      </c>
      <c r="G66" s="61">
        <f t="shared" si="3"/>
        <v>16482000</v>
      </c>
      <c r="H66" s="61">
        <f t="shared" si="4"/>
        <v>5349750</v>
      </c>
      <c r="I66" s="61">
        <f t="shared" si="5"/>
        <v>14324750</v>
      </c>
      <c r="J66" s="61">
        <f t="shared" si="6"/>
        <v>4691533.7782872729</v>
      </c>
      <c r="K66" s="62">
        <f t="shared" si="7"/>
        <v>0.48135025854667951</v>
      </c>
      <c r="L66" s="41"/>
      <c r="M66" s="63">
        <v>16482000</v>
      </c>
      <c r="N66" s="63">
        <v>15918000</v>
      </c>
      <c r="O66" s="63">
        <v>14854000</v>
      </c>
      <c r="P66" s="63">
        <v>14078000</v>
      </c>
      <c r="Q66" s="63">
        <v>15081000</v>
      </c>
      <c r="R66" s="63">
        <v>13507000</v>
      </c>
      <c r="S66" s="63">
        <v>14407000</v>
      </c>
      <c r="T66" s="63">
        <v>12634000</v>
      </c>
      <c r="U66" s="63">
        <v>8324000</v>
      </c>
      <c r="V66" s="63">
        <v>7916000</v>
      </c>
      <c r="W66" s="63">
        <v>6924000</v>
      </c>
      <c r="X66" s="63">
        <v>6565000</v>
      </c>
      <c r="Y66" s="63">
        <v>5901000</v>
      </c>
      <c r="Z66" s="63">
        <v>5166000</v>
      </c>
      <c r="AA66" s="63">
        <v>4774000</v>
      </c>
      <c r="AB66" s="63">
        <v>4713000</v>
      </c>
      <c r="AC66" s="63">
        <v>4325000</v>
      </c>
      <c r="AD66" s="63">
        <v>3870000</v>
      </c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45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</row>
    <row r="67" spans="1:69" outlineLevel="2">
      <c r="A67" s="39"/>
      <c r="B67" s="43"/>
      <c r="C67" s="56" t="s">
        <v>322</v>
      </c>
      <c r="D67" s="57">
        <f t="shared" si="0"/>
        <v>1350000</v>
      </c>
      <c r="E67" s="57">
        <f t="shared" si="1"/>
        <v>1412666.6666666667</v>
      </c>
      <c r="F67" s="57">
        <f t="shared" si="2"/>
        <v>920000</v>
      </c>
      <c r="G67" s="57">
        <f t="shared" si="3"/>
        <v>1998000</v>
      </c>
      <c r="H67" s="57">
        <f t="shared" si="4"/>
        <v>1149000</v>
      </c>
      <c r="I67" s="57">
        <f t="shared" si="5"/>
        <v>1710500</v>
      </c>
      <c r="J67" s="57">
        <f t="shared" si="6"/>
        <v>357325.51519521204</v>
      </c>
      <c r="K67" s="58">
        <f t="shared" si="7"/>
        <v>0.25294397017122133</v>
      </c>
      <c r="M67" s="59">
        <v>1998000</v>
      </c>
      <c r="N67" s="59">
        <v>1774000</v>
      </c>
      <c r="O67" s="59">
        <v>1790000</v>
      </c>
      <c r="P67" s="59">
        <v>1935000</v>
      </c>
      <c r="Q67" s="59">
        <v>1135000</v>
      </c>
      <c r="R67" s="59">
        <v>1647000</v>
      </c>
      <c r="S67" s="59">
        <v>1624000</v>
      </c>
      <c r="T67" s="59">
        <v>1355000</v>
      </c>
      <c r="U67" s="59">
        <v>1315000</v>
      </c>
      <c r="V67" s="59">
        <v>1350000</v>
      </c>
      <c r="W67" s="59">
        <v>1202000</v>
      </c>
      <c r="X67" s="59">
        <v>1009000</v>
      </c>
      <c r="Y67" s="59">
        <v>1163000</v>
      </c>
      <c r="Z67" s="59">
        <v>920000</v>
      </c>
      <c r="AA67" s="59">
        <v>973000</v>
      </c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45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</row>
    <row r="68" spans="1:69" outlineLevel="2">
      <c r="A68" s="39"/>
      <c r="B68" s="43"/>
      <c r="C68" s="56" t="s">
        <v>323</v>
      </c>
      <c r="D68" s="57" t="str">
        <f t="shared" si="0"/>
        <v/>
      </c>
      <c r="E68" s="57" t="str">
        <f t="shared" si="1"/>
        <v/>
      </c>
      <c r="F68" s="57" t="str">
        <f t="shared" si="2"/>
        <v/>
      </c>
      <c r="G68" s="57" t="str">
        <f t="shared" si="3"/>
        <v/>
      </c>
      <c r="H68" s="57" t="str">
        <f t="shared" si="4"/>
        <v/>
      </c>
      <c r="I68" s="57" t="str">
        <f t="shared" si="5"/>
        <v/>
      </c>
      <c r="J68" s="57" t="str">
        <f t="shared" si="6"/>
        <v/>
      </c>
      <c r="K68" s="58" t="str">
        <f t="shared" si="7"/>
        <v/>
      </c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45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</row>
    <row r="69" spans="1:69" outlineLevel="3">
      <c r="A69" s="39"/>
      <c r="B69" s="43"/>
      <c r="C69" s="56" t="s">
        <v>324</v>
      </c>
      <c r="D69" s="57">
        <f t="shared" si="0"/>
        <v>1355500</v>
      </c>
      <c r="E69" s="57">
        <f t="shared" si="1"/>
        <v>1547055.5555555555</v>
      </c>
      <c r="F69" s="57">
        <f t="shared" si="2"/>
        <v>914000</v>
      </c>
      <c r="G69" s="57">
        <f t="shared" si="3"/>
        <v>2868000</v>
      </c>
      <c r="H69" s="57">
        <f t="shared" si="4"/>
        <v>1178750</v>
      </c>
      <c r="I69" s="57">
        <f t="shared" si="5"/>
        <v>1800750</v>
      </c>
      <c r="J69" s="57">
        <f t="shared" si="6"/>
        <v>553106.99658673874</v>
      </c>
      <c r="K69" s="58">
        <f t="shared" si="7"/>
        <v>0.35752238799731739</v>
      </c>
      <c r="M69" s="59">
        <v>2868000</v>
      </c>
      <c r="N69" s="59">
        <v>2496000</v>
      </c>
      <c r="O69" s="59">
        <v>2112000</v>
      </c>
      <c r="P69" s="59">
        <v>1832000</v>
      </c>
      <c r="Q69" s="59">
        <v>2243000</v>
      </c>
      <c r="R69" s="59">
        <v>1707000</v>
      </c>
      <c r="S69" s="59">
        <v>1437000</v>
      </c>
      <c r="T69" s="59">
        <v>1284000</v>
      </c>
      <c r="U69" s="59">
        <v>1427000</v>
      </c>
      <c r="V69" s="59">
        <v>1177000</v>
      </c>
      <c r="W69" s="59">
        <v>1155000</v>
      </c>
      <c r="X69" s="59">
        <v>1244000</v>
      </c>
      <c r="Y69" s="59">
        <v>1456000</v>
      </c>
      <c r="Z69" s="59">
        <v>1031000</v>
      </c>
      <c r="AA69" s="59">
        <v>1021000</v>
      </c>
      <c r="AB69" s="59">
        <v>1259000</v>
      </c>
      <c r="AC69" s="59">
        <v>1184000</v>
      </c>
      <c r="AD69" s="59">
        <v>914000</v>
      </c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45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</row>
    <row r="70" spans="1:69" outlineLevel="3">
      <c r="A70" s="39"/>
      <c r="B70" s="43"/>
      <c r="C70" s="60" t="s">
        <v>325</v>
      </c>
      <c r="D70" s="61">
        <f t="shared" si="0"/>
        <v>1355500</v>
      </c>
      <c r="E70" s="61">
        <f t="shared" si="1"/>
        <v>1547055.5555555555</v>
      </c>
      <c r="F70" s="61">
        <f t="shared" si="2"/>
        <v>914000</v>
      </c>
      <c r="G70" s="61">
        <f t="shared" si="3"/>
        <v>2868000</v>
      </c>
      <c r="H70" s="61">
        <f t="shared" si="4"/>
        <v>1178750</v>
      </c>
      <c r="I70" s="61">
        <f t="shared" si="5"/>
        <v>1800750</v>
      </c>
      <c r="J70" s="61">
        <f t="shared" si="6"/>
        <v>553106.99658673874</v>
      </c>
      <c r="K70" s="62">
        <f t="shared" si="7"/>
        <v>0.35752238799731739</v>
      </c>
      <c r="L70" s="41"/>
      <c r="M70" s="63">
        <v>2868000</v>
      </c>
      <c r="N70" s="63">
        <v>2496000</v>
      </c>
      <c r="O70" s="63">
        <v>2112000</v>
      </c>
      <c r="P70" s="63">
        <v>1832000</v>
      </c>
      <c r="Q70" s="63">
        <v>2243000</v>
      </c>
      <c r="R70" s="63">
        <v>1707000</v>
      </c>
      <c r="S70" s="63">
        <v>1437000</v>
      </c>
      <c r="T70" s="63">
        <v>1284000</v>
      </c>
      <c r="U70" s="63">
        <v>1427000</v>
      </c>
      <c r="V70" s="63">
        <v>1177000</v>
      </c>
      <c r="W70" s="63">
        <v>1155000</v>
      </c>
      <c r="X70" s="63">
        <v>1244000</v>
      </c>
      <c r="Y70" s="63">
        <v>1456000</v>
      </c>
      <c r="Z70" s="63">
        <v>1031000</v>
      </c>
      <c r="AA70" s="63">
        <v>1021000</v>
      </c>
      <c r="AB70" s="63">
        <v>1259000</v>
      </c>
      <c r="AC70" s="63">
        <v>1184000</v>
      </c>
      <c r="AD70" s="63">
        <v>914000</v>
      </c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45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</row>
    <row r="71" spans="1:69" outlineLevel="2">
      <c r="A71" s="39"/>
      <c r="B71" s="43"/>
      <c r="C71" s="56" t="s">
        <v>326</v>
      </c>
      <c r="D71" s="57">
        <f t="shared" si="0"/>
        <v>3287000</v>
      </c>
      <c r="E71" s="57">
        <f t="shared" si="1"/>
        <v>3079866.6666666665</v>
      </c>
      <c r="F71" s="57">
        <f t="shared" si="2"/>
        <v>798000</v>
      </c>
      <c r="G71" s="57">
        <f t="shared" si="3"/>
        <v>5992000</v>
      </c>
      <c r="H71" s="57">
        <f t="shared" si="4"/>
        <v>1458000</v>
      </c>
      <c r="I71" s="57">
        <f t="shared" si="5"/>
        <v>4689500</v>
      </c>
      <c r="J71" s="57">
        <f t="shared" si="6"/>
        <v>1791088.3709021599</v>
      </c>
      <c r="K71" s="58">
        <f t="shared" si="7"/>
        <v>0.58154737355583364</v>
      </c>
      <c r="M71" s="59">
        <v>5639000</v>
      </c>
      <c r="N71" s="59">
        <v>4828000</v>
      </c>
      <c r="O71" s="59">
        <v>4801000</v>
      </c>
      <c r="P71" s="59">
        <v>5992000</v>
      </c>
      <c r="Q71" s="59">
        <v>4578000</v>
      </c>
      <c r="R71" s="59">
        <v>3712000</v>
      </c>
      <c r="S71" s="59">
        <v>3287000</v>
      </c>
      <c r="T71" s="59">
        <v>3290000</v>
      </c>
      <c r="U71" s="59">
        <v>2469000</v>
      </c>
      <c r="V71" s="59">
        <v>1894000</v>
      </c>
      <c r="W71" s="59">
        <v>1778000</v>
      </c>
      <c r="X71" s="59">
        <v>951000</v>
      </c>
      <c r="Y71" s="59">
        <v>798000</v>
      </c>
      <c r="Z71" s="59">
        <v>1043000</v>
      </c>
      <c r="AA71" s="59">
        <v>1138000</v>
      </c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45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</row>
    <row r="72" spans="1:69" outlineLevel="2">
      <c r="A72" s="39"/>
      <c r="B72" s="43"/>
      <c r="C72" s="56" t="s">
        <v>327</v>
      </c>
      <c r="D72" s="57">
        <f t="shared" si="0"/>
        <v>3109000</v>
      </c>
      <c r="E72" s="57">
        <f t="shared" si="1"/>
        <v>3748096.875</v>
      </c>
      <c r="F72" s="57">
        <f t="shared" si="2"/>
        <v>1426000</v>
      </c>
      <c r="G72" s="57">
        <f t="shared" si="3"/>
        <v>9337000</v>
      </c>
      <c r="H72" s="57">
        <f t="shared" si="4"/>
        <v>2202750</v>
      </c>
      <c r="I72" s="57">
        <f t="shared" si="5"/>
        <v>4669000</v>
      </c>
      <c r="J72" s="57">
        <f t="shared" si="6"/>
        <v>2081369.7006142568</v>
      </c>
      <c r="K72" s="58">
        <f t="shared" si="7"/>
        <v>0.55531374188780991</v>
      </c>
      <c r="M72" s="59">
        <v>9337000</v>
      </c>
      <c r="N72" s="59">
        <v>7744000</v>
      </c>
      <c r="O72" s="59">
        <v>6012000</v>
      </c>
      <c r="P72" s="59">
        <v>4936000</v>
      </c>
      <c r="Q72" s="59">
        <v>3653000</v>
      </c>
      <c r="R72" s="59">
        <v>2979000</v>
      </c>
      <c r="S72" s="59">
        <v>2762000</v>
      </c>
      <c r="T72" s="59">
        <v>6813000</v>
      </c>
      <c r="U72" s="59">
        <v>2907000</v>
      </c>
      <c r="V72" s="59">
        <v>3335000</v>
      </c>
      <c r="W72" s="59">
        <v>3239000</v>
      </c>
      <c r="X72" s="59">
        <v>2187000</v>
      </c>
      <c r="Y72" s="59">
        <v>1426000</v>
      </c>
      <c r="Z72" s="59">
        <v>1629000</v>
      </c>
      <c r="AA72" s="59">
        <v>1920000</v>
      </c>
      <c r="AB72" s="59">
        <v>2689000</v>
      </c>
      <c r="AC72" s="59">
        <v>2534000</v>
      </c>
      <c r="AD72" s="59">
        <v>2234000</v>
      </c>
      <c r="AE72" s="59">
        <v>7692000</v>
      </c>
      <c r="AF72" s="59">
        <v>6493000</v>
      </c>
      <c r="AG72" s="59">
        <v>5554000</v>
      </c>
      <c r="AH72" s="59">
        <v>4580000</v>
      </c>
      <c r="AI72" s="59">
        <v>4168000</v>
      </c>
      <c r="AJ72" s="59">
        <v>3577000</v>
      </c>
      <c r="AK72" s="59">
        <v>4199000</v>
      </c>
      <c r="AL72" s="59">
        <v>3585000</v>
      </c>
      <c r="AM72" s="59">
        <v>2804000</v>
      </c>
      <c r="AN72" s="59">
        <v>2208000</v>
      </c>
      <c r="AO72" s="59">
        <v>1994000</v>
      </c>
      <c r="AP72" s="59">
        <v>1662000</v>
      </c>
      <c r="AQ72" s="59">
        <v>1621900</v>
      </c>
      <c r="AR72" s="59">
        <v>1465200</v>
      </c>
      <c r="AS72" s="45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</row>
    <row r="73" spans="1:69" outlineLevel="2">
      <c r="A73" s="39"/>
      <c r="B73" s="43"/>
      <c r="C73" s="60" t="s">
        <v>328</v>
      </c>
      <c r="D73" s="61">
        <f t="shared" si="0"/>
        <v>45928500</v>
      </c>
      <c r="E73" s="61">
        <f t="shared" si="1"/>
        <v>63501496.875</v>
      </c>
      <c r="F73" s="61">
        <f t="shared" si="2"/>
        <v>10763000</v>
      </c>
      <c r="G73" s="61">
        <f t="shared" si="3"/>
        <v>199137000</v>
      </c>
      <c r="H73" s="61">
        <f t="shared" si="4"/>
        <v>19923000</v>
      </c>
      <c r="I73" s="61">
        <f t="shared" si="5"/>
        <v>92413750</v>
      </c>
      <c r="J73" s="61">
        <f t="shared" si="6"/>
        <v>54076955.760945708</v>
      </c>
      <c r="K73" s="62">
        <f t="shared" si="7"/>
        <v>0.85158552824973399</v>
      </c>
      <c r="L73" s="41"/>
      <c r="M73" s="63">
        <v>199137000</v>
      </c>
      <c r="N73" s="63">
        <v>178193000</v>
      </c>
      <c r="O73" s="63">
        <v>162128000</v>
      </c>
      <c r="P73" s="63">
        <v>145445000</v>
      </c>
      <c r="Q73" s="63">
        <v>131624000</v>
      </c>
      <c r="R73" s="63">
        <v>120302000</v>
      </c>
      <c r="S73" s="63">
        <v>110283000</v>
      </c>
      <c r="T73" s="63">
        <v>97309000</v>
      </c>
      <c r="U73" s="63">
        <v>90782000</v>
      </c>
      <c r="V73" s="63">
        <v>82584000</v>
      </c>
      <c r="W73" s="63">
        <v>75684000</v>
      </c>
      <c r="X73" s="63">
        <v>67661000</v>
      </c>
      <c r="Y73" s="63">
        <v>63464000</v>
      </c>
      <c r="Z73" s="63">
        <v>59202000</v>
      </c>
      <c r="AA73" s="63">
        <v>52316000</v>
      </c>
      <c r="AB73" s="63">
        <v>47736000</v>
      </c>
      <c r="AC73" s="63">
        <v>44121000</v>
      </c>
      <c r="AD73" s="63">
        <v>39429000</v>
      </c>
      <c r="AE73" s="63">
        <v>36344000</v>
      </c>
      <c r="AF73" s="63">
        <v>30992000</v>
      </c>
      <c r="AG73" s="63">
        <v>28017000</v>
      </c>
      <c r="AH73" s="63">
        <v>25806000</v>
      </c>
      <c r="AI73" s="63">
        <v>24465000</v>
      </c>
      <c r="AJ73" s="63">
        <v>21277000</v>
      </c>
      <c r="AK73" s="63">
        <v>15861000</v>
      </c>
      <c r="AL73" s="63">
        <v>13519000</v>
      </c>
      <c r="AM73" s="63">
        <v>12068000</v>
      </c>
      <c r="AN73" s="63">
        <v>10763000</v>
      </c>
      <c r="AO73" s="63">
        <v>11348000</v>
      </c>
      <c r="AP73" s="63">
        <v>11046000</v>
      </c>
      <c r="AQ73" s="63">
        <v>11473900</v>
      </c>
      <c r="AR73" s="63">
        <v>11668000</v>
      </c>
      <c r="AS73" s="45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</row>
    <row r="74" spans="1:69" outlineLevel="1">
      <c r="A74" s="39"/>
      <c r="B74" s="43"/>
      <c r="C74" s="53" t="s">
        <v>329</v>
      </c>
      <c r="D74" s="61">
        <f t="shared" si="0"/>
        <v>50726000</v>
      </c>
      <c r="E74" s="61">
        <f t="shared" si="1"/>
        <v>68965743.75</v>
      </c>
      <c r="F74" s="61">
        <f t="shared" si="2"/>
        <v>12029000</v>
      </c>
      <c r="G74" s="61">
        <f t="shared" si="3"/>
        <v>212721000</v>
      </c>
      <c r="H74" s="61">
        <f t="shared" si="4"/>
        <v>21754500</v>
      </c>
      <c r="I74" s="61">
        <f t="shared" si="5"/>
        <v>99397750</v>
      </c>
      <c r="J74" s="61">
        <f t="shared" si="6"/>
        <v>57842563.075572409</v>
      </c>
      <c r="K74" s="62">
        <f t="shared" si="7"/>
        <v>0.83871440994315982</v>
      </c>
      <c r="L74" s="64"/>
      <c r="M74" s="61">
        <v>212721000</v>
      </c>
      <c r="N74" s="61">
        <v>190144000</v>
      </c>
      <c r="O74" s="61">
        <v>177489000</v>
      </c>
      <c r="P74" s="61">
        <v>158935000</v>
      </c>
      <c r="Q74" s="61">
        <v>140912000</v>
      </c>
      <c r="R74" s="61">
        <v>127684000</v>
      </c>
      <c r="S74" s="61">
        <v>117691000</v>
      </c>
      <c r="T74" s="61">
        <v>103702000</v>
      </c>
      <c r="U74" s="61">
        <v>97963000</v>
      </c>
      <c r="V74" s="61">
        <v>89993000</v>
      </c>
      <c r="W74" s="61">
        <v>82479000</v>
      </c>
      <c r="X74" s="61">
        <v>74605000</v>
      </c>
      <c r="Y74" s="61">
        <v>69306000</v>
      </c>
      <c r="Z74" s="61">
        <v>64439000</v>
      </c>
      <c r="AA74" s="61">
        <v>57188000</v>
      </c>
      <c r="AB74" s="61">
        <v>52994000</v>
      </c>
      <c r="AC74" s="61">
        <v>48458000</v>
      </c>
      <c r="AD74" s="61">
        <v>44821000</v>
      </c>
      <c r="AE74" s="61">
        <v>40123000</v>
      </c>
      <c r="AF74" s="61">
        <v>35822000</v>
      </c>
      <c r="AG74" s="61">
        <v>33004000</v>
      </c>
      <c r="AH74" s="61">
        <v>28333000</v>
      </c>
      <c r="AI74" s="61">
        <v>26935000</v>
      </c>
      <c r="AJ74" s="61">
        <v>23185000</v>
      </c>
      <c r="AK74" s="61">
        <v>17463000</v>
      </c>
      <c r="AL74" s="61">
        <v>15300000</v>
      </c>
      <c r="AM74" s="61">
        <v>13441000</v>
      </c>
      <c r="AN74" s="61">
        <v>12029000</v>
      </c>
      <c r="AO74" s="61">
        <v>12449000</v>
      </c>
      <c r="AP74" s="61">
        <v>12219000</v>
      </c>
      <c r="AQ74" s="61">
        <v>12459200</v>
      </c>
      <c r="AR74" s="61">
        <v>12617600</v>
      </c>
      <c r="AS74" s="45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</row>
    <row r="75" spans="1:69">
      <c r="A75" s="39"/>
      <c r="B75" s="43"/>
      <c r="C75" s="53" t="s">
        <v>330</v>
      </c>
      <c r="D75" s="54" t="str">
        <f t="shared" ref="D75:D138" si="8">IF(COUNT(L75:AR75)&gt;0,MEDIAN(L75:AR75),"")</f>
        <v/>
      </c>
      <c r="E75" s="54" t="str">
        <f t="shared" ref="E75:E138" si="9">IF(COUNT(L75:AR75)&gt;0,AVERAGE(L75:AR75),"")</f>
        <v/>
      </c>
      <c r="F75" s="54" t="str">
        <f t="shared" ref="F75:F138" si="10">IF(COUNT(L75:AR75)&gt;0,MIN(L75:AR75),"")</f>
        <v/>
      </c>
      <c r="G75" s="54" t="str">
        <f t="shared" ref="G75:G138" si="11">IF(COUNT(L75:AR75)&gt;0,MAX(L75:AR75),"")</f>
        <v/>
      </c>
      <c r="H75" s="54" t="str">
        <f t="shared" ref="H75:H138" si="12">IF(COUNT(L75:AR75)&gt;0,QUARTILE(L75:AR75,1),"")</f>
        <v/>
      </c>
      <c r="I75" s="54" t="str">
        <f t="shared" ref="I75:I138" si="13">IF(COUNT(L75:AR75)&gt;0,QUARTILE(L75:AR75,3),"")</f>
        <v/>
      </c>
      <c r="J75" s="54" t="str">
        <f t="shared" ref="J75:J138" si="14">IF(COUNT(L75:AR75)&gt;1,STDEV(L75:AR75),"")</f>
        <v/>
      </c>
      <c r="K75" s="55" t="str">
        <f t="shared" ref="K75:K138" si="15">IF(COUNT(L75:AR75)&gt;1,STDEV(L75:AR75)/AVERAGE(L75:AR75),"")</f>
        <v/>
      </c>
      <c r="L75" s="48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45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</row>
    <row r="76" spans="1:69" outlineLevel="1">
      <c r="A76" s="39"/>
      <c r="B76" s="43"/>
      <c r="C76" s="56" t="s">
        <v>331</v>
      </c>
      <c r="D76" s="57">
        <f t="shared" si="8"/>
        <v>34465500</v>
      </c>
      <c r="E76" s="57">
        <f t="shared" si="9"/>
        <v>35157833.333333336</v>
      </c>
      <c r="F76" s="57">
        <f t="shared" si="10"/>
        <v>28148000</v>
      </c>
      <c r="G76" s="57">
        <f t="shared" si="11"/>
        <v>42175000</v>
      </c>
      <c r="H76" s="57">
        <f t="shared" si="12"/>
        <v>32187500</v>
      </c>
      <c r="I76" s="57">
        <f t="shared" si="13"/>
        <v>38815000</v>
      </c>
      <c r="J76" s="57">
        <f t="shared" si="14"/>
        <v>5239018.8171705017</v>
      </c>
      <c r="K76" s="58">
        <f t="shared" si="15"/>
        <v>0.14901426852727467</v>
      </c>
      <c r="M76" s="59">
        <f t="shared" ref="M76:Q76" si="16">M56+M62+M66+M70+M72</f>
        <v>42175000</v>
      </c>
      <c r="N76" s="59">
        <f t="shared" si="16"/>
        <v>39522000</v>
      </c>
      <c r="O76" s="59">
        <f t="shared" si="16"/>
        <v>36694000</v>
      </c>
      <c r="P76" s="59">
        <f t="shared" si="16"/>
        <v>32171000</v>
      </c>
      <c r="Q76" s="59">
        <f t="shared" si="16"/>
        <v>32237000</v>
      </c>
      <c r="R76" s="59">
        <f>SUM(R56,R62,R66,R70,R72)</f>
        <v>28148000</v>
      </c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45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</row>
    <row r="77" spans="1:69" outlineLevel="2">
      <c r="A77" s="39"/>
      <c r="B77" s="43"/>
      <c r="C77" s="56" t="s">
        <v>332</v>
      </c>
      <c r="D77" s="57" t="str">
        <f t="shared" si="8"/>
        <v/>
      </c>
      <c r="E77" s="57" t="str">
        <f t="shared" si="9"/>
        <v/>
      </c>
      <c r="F77" s="57" t="str">
        <f t="shared" si="10"/>
        <v/>
      </c>
      <c r="G77" s="57" t="str">
        <f t="shared" si="11"/>
        <v/>
      </c>
      <c r="H77" s="57" t="str">
        <f t="shared" si="12"/>
        <v/>
      </c>
      <c r="I77" s="57" t="str">
        <f t="shared" si="13"/>
        <v/>
      </c>
      <c r="J77" s="57" t="str">
        <f t="shared" si="14"/>
        <v/>
      </c>
      <c r="K77" s="58" t="str">
        <f t="shared" si="15"/>
        <v/>
      </c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45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</row>
    <row r="78" spans="1:69" outlineLevel="3">
      <c r="A78" s="39"/>
      <c r="B78" s="43"/>
      <c r="C78" s="56" t="s">
        <v>333</v>
      </c>
      <c r="D78" s="57" t="str">
        <f t="shared" si="8"/>
        <v/>
      </c>
      <c r="E78" s="57" t="str">
        <f t="shared" si="9"/>
        <v/>
      </c>
      <c r="F78" s="57" t="str">
        <f t="shared" si="10"/>
        <v/>
      </c>
      <c r="G78" s="57" t="str">
        <f t="shared" si="11"/>
        <v/>
      </c>
      <c r="H78" s="57" t="str">
        <f t="shared" si="12"/>
        <v/>
      </c>
      <c r="I78" s="57" t="str">
        <f t="shared" si="13"/>
        <v/>
      </c>
      <c r="J78" s="57" t="str">
        <f t="shared" si="14"/>
        <v/>
      </c>
      <c r="K78" s="58" t="str">
        <f t="shared" si="15"/>
        <v/>
      </c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45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</row>
    <row r="79" spans="1:69" outlineLevel="4">
      <c r="A79" s="39"/>
      <c r="B79" s="43"/>
      <c r="C79" s="56" t="s">
        <v>334</v>
      </c>
      <c r="D79" s="57">
        <f t="shared" si="8"/>
        <v>1195500</v>
      </c>
      <c r="E79" s="57">
        <f t="shared" si="9"/>
        <v>2334637.5</v>
      </c>
      <c r="F79" s="57">
        <f t="shared" si="10"/>
        <v>305100</v>
      </c>
      <c r="G79" s="57">
        <f t="shared" si="11"/>
        <v>8504000</v>
      </c>
      <c r="H79" s="57">
        <f t="shared" si="12"/>
        <v>524750</v>
      </c>
      <c r="I79" s="57">
        <f t="shared" si="13"/>
        <v>3288000</v>
      </c>
      <c r="J79" s="57">
        <f t="shared" si="14"/>
        <v>2580388.0521810493</v>
      </c>
      <c r="K79" s="58">
        <f t="shared" si="15"/>
        <v>1.1052628308167967</v>
      </c>
      <c r="M79" s="59">
        <v>7583000</v>
      </c>
      <c r="N79" s="59">
        <v>6982000</v>
      </c>
      <c r="O79" s="59">
        <v>8504000</v>
      </c>
      <c r="P79" s="59">
        <v>8312000</v>
      </c>
      <c r="Q79" s="59">
        <v>6935000</v>
      </c>
      <c r="R79" s="59">
        <v>4615000</v>
      </c>
      <c r="S79" s="59">
        <v>3631000</v>
      </c>
      <c r="T79" s="59">
        <v>2386000</v>
      </c>
      <c r="U79" s="59">
        <v>3235000</v>
      </c>
      <c r="V79" s="59">
        <v>3447000</v>
      </c>
      <c r="W79" s="59">
        <v>2529000</v>
      </c>
      <c r="X79" s="59">
        <v>1354000</v>
      </c>
      <c r="Y79" s="59">
        <v>1200000</v>
      </c>
      <c r="Z79" s="59">
        <v>1281000</v>
      </c>
      <c r="AA79" s="59">
        <v>1191000</v>
      </c>
      <c r="AB79" s="59">
        <v>1124000</v>
      </c>
      <c r="AC79" s="59">
        <v>992000</v>
      </c>
      <c r="AD79" s="59">
        <v>1062000</v>
      </c>
      <c r="AE79" s="59">
        <v>1204000</v>
      </c>
      <c r="AF79" s="59">
        <v>1060000</v>
      </c>
      <c r="AG79" s="59">
        <v>1245000</v>
      </c>
      <c r="AH79" s="59">
        <v>762000</v>
      </c>
      <c r="AI79" s="59">
        <v>542000</v>
      </c>
      <c r="AJ79" s="59">
        <v>458000</v>
      </c>
      <c r="AK79" s="59">
        <v>473000</v>
      </c>
      <c r="AL79" s="59">
        <v>564000</v>
      </c>
      <c r="AM79" s="59">
        <v>407000</v>
      </c>
      <c r="AN79" s="59">
        <v>338000</v>
      </c>
      <c r="AO79" s="59">
        <v>368000</v>
      </c>
      <c r="AP79" s="59">
        <v>308000</v>
      </c>
      <c r="AQ79" s="59">
        <v>305100</v>
      </c>
      <c r="AR79" s="59">
        <v>311300</v>
      </c>
      <c r="AS79" s="45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</row>
    <row r="80" spans="1:69" outlineLevel="4">
      <c r="A80" s="39"/>
      <c r="B80" s="43"/>
      <c r="C80" s="56" t="s">
        <v>335</v>
      </c>
      <c r="D80" s="57">
        <f t="shared" si="8"/>
        <v>519000</v>
      </c>
      <c r="E80" s="57">
        <f t="shared" si="9"/>
        <v>622933.33333333337</v>
      </c>
      <c r="F80" s="57">
        <f t="shared" si="10"/>
        <v>414000</v>
      </c>
      <c r="G80" s="57">
        <f t="shared" si="11"/>
        <v>1185000</v>
      </c>
      <c r="H80" s="57">
        <f t="shared" si="12"/>
        <v>473500</v>
      </c>
      <c r="I80" s="57">
        <f t="shared" si="13"/>
        <v>670000</v>
      </c>
      <c r="J80" s="57">
        <f t="shared" si="14"/>
        <v>240575.34212403235</v>
      </c>
      <c r="K80" s="58">
        <f t="shared" si="15"/>
        <v>0.38619757404328819</v>
      </c>
      <c r="M80" s="59">
        <v>1185000</v>
      </c>
      <c r="N80" s="59">
        <v>1016000</v>
      </c>
      <c r="O80" s="59">
        <v>970000</v>
      </c>
      <c r="P80" s="59">
        <v>719000</v>
      </c>
      <c r="Q80" s="59">
        <v>525000</v>
      </c>
      <c r="R80" s="59">
        <v>519000</v>
      </c>
      <c r="S80" s="59">
        <v>558000</v>
      </c>
      <c r="T80" s="59">
        <v>477000</v>
      </c>
      <c r="U80" s="59">
        <v>621000</v>
      </c>
      <c r="V80" s="59">
        <v>480000</v>
      </c>
      <c r="W80" s="59">
        <v>449000</v>
      </c>
      <c r="X80" s="59">
        <v>474000</v>
      </c>
      <c r="Y80" s="59">
        <v>473000</v>
      </c>
      <c r="Z80" s="59">
        <v>414000</v>
      </c>
      <c r="AA80" s="59">
        <v>464000</v>
      </c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45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</row>
    <row r="81" spans="1:69" outlineLevel="4">
      <c r="A81" s="39"/>
      <c r="B81" s="43"/>
      <c r="C81" s="60" t="s">
        <v>336</v>
      </c>
      <c r="D81" s="61">
        <f t="shared" si="8"/>
        <v>1224500</v>
      </c>
      <c r="E81" s="61">
        <f t="shared" si="9"/>
        <v>2626637.5</v>
      </c>
      <c r="F81" s="61">
        <f t="shared" si="10"/>
        <v>305100</v>
      </c>
      <c r="G81" s="61">
        <f t="shared" si="11"/>
        <v>9474000</v>
      </c>
      <c r="H81" s="61">
        <f t="shared" si="12"/>
        <v>524750</v>
      </c>
      <c r="I81" s="61">
        <f t="shared" si="13"/>
        <v>3873750</v>
      </c>
      <c r="J81" s="61">
        <f t="shared" si="14"/>
        <v>2895358.5431492068</v>
      </c>
      <c r="K81" s="62">
        <f t="shared" si="15"/>
        <v>1.1023061016791265</v>
      </c>
      <c r="L81" s="41"/>
      <c r="M81" s="63">
        <v>8768000</v>
      </c>
      <c r="N81" s="63">
        <v>7998000</v>
      </c>
      <c r="O81" s="63">
        <v>9474000</v>
      </c>
      <c r="P81" s="63">
        <v>9031000</v>
      </c>
      <c r="Q81" s="63">
        <v>7460000</v>
      </c>
      <c r="R81" s="63">
        <v>5134000</v>
      </c>
      <c r="S81" s="63">
        <v>4189000</v>
      </c>
      <c r="T81" s="63">
        <v>2863000</v>
      </c>
      <c r="U81" s="63">
        <v>3856000</v>
      </c>
      <c r="V81" s="63">
        <v>3927000</v>
      </c>
      <c r="W81" s="63">
        <v>2978000</v>
      </c>
      <c r="X81" s="63">
        <v>1828000</v>
      </c>
      <c r="Y81" s="63">
        <v>1673000</v>
      </c>
      <c r="Z81" s="63">
        <v>1695000</v>
      </c>
      <c r="AA81" s="63">
        <v>1655000</v>
      </c>
      <c r="AB81" s="63">
        <v>1124000</v>
      </c>
      <c r="AC81" s="63">
        <v>992000</v>
      </c>
      <c r="AD81" s="63">
        <v>1062000</v>
      </c>
      <c r="AE81" s="63">
        <v>1204000</v>
      </c>
      <c r="AF81" s="63">
        <v>1060000</v>
      </c>
      <c r="AG81" s="63">
        <v>1245000</v>
      </c>
      <c r="AH81" s="63">
        <v>762000</v>
      </c>
      <c r="AI81" s="63">
        <v>542000</v>
      </c>
      <c r="AJ81" s="63">
        <v>458000</v>
      </c>
      <c r="AK81" s="63">
        <v>473000</v>
      </c>
      <c r="AL81" s="63">
        <v>564000</v>
      </c>
      <c r="AM81" s="63">
        <v>407000</v>
      </c>
      <c r="AN81" s="63">
        <v>338000</v>
      </c>
      <c r="AO81" s="63">
        <v>368000</v>
      </c>
      <c r="AP81" s="63">
        <v>308000</v>
      </c>
      <c r="AQ81" s="63">
        <v>305100</v>
      </c>
      <c r="AR81" s="63">
        <v>311300</v>
      </c>
      <c r="AS81" s="45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</row>
    <row r="82" spans="1:69" outlineLevel="3">
      <c r="A82" s="39"/>
      <c r="B82" s="43"/>
      <c r="C82" s="56" t="s">
        <v>337</v>
      </c>
      <c r="D82" s="57">
        <f t="shared" si="8"/>
        <v>1016000</v>
      </c>
      <c r="E82" s="57">
        <f t="shared" si="9"/>
        <v>1282340.625</v>
      </c>
      <c r="F82" s="57">
        <f t="shared" si="10"/>
        <v>374000</v>
      </c>
      <c r="G82" s="57">
        <f t="shared" si="11"/>
        <v>3459000</v>
      </c>
      <c r="H82" s="57">
        <f t="shared" si="12"/>
        <v>827500</v>
      </c>
      <c r="I82" s="57">
        <f t="shared" si="13"/>
        <v>1583000</v>
      </c>
      <c r="J82" s="57">
        <f t="shared" si="14"/>
        <v>731380.3462474338</v>
      </c>
      <c r="K82" s="58">
        <f t="shared" si="15"/>
        <v>0.57034794967010716</v>
      </c>
      <c r="M82" s="59">
        <v>2966000</v>
      </c>
      <c r="N82" s="59">
        <v>2346000</v>
      </c>
      <c r="O82" s="59">
        <v>1861000</v>
      </c>
      <c r="P82" s="59">
        <v>1760000</v>
      </c>
      <c r="Q82" s="59">
        <v>1378000</v>
      </c>
      <c r="R82" s="59">
        <v>991000</v>
      </c>
      <c r="S82" s="59">
        <v>1152000</v>
      </c>
      <c r="T82" s="59">
        <v>1195000</v>
      </c>
      <c r="U82" s="59">
        <v>1033000</v>
      </c>
      <c r="V82" s="59">
        <v>1120000</v>
      </c>
      <c r="W82" s="59">
        <v>921000</v>
      </c>
      <c r="X82" s="59">
        <v>676000</v>
      </c>
      <c r="Y82" s="59">
        <v>839000</v>
      </c>
      <c r="Z82" s="59">
        <v>427000</v>
      </c>
      <c r="AA82" s="59">
        <v>518000</v>
      </c>
      <c r="AB82" s="59">
        <v>833000</v>
      </c>
      <c r="AC82" s="59">
        <v>942000</v>
      </c>
      <c r="AD82" s="59">
        <v>374000</v>
      </c>
      <c r="AE82" s="59">
        <v>2136000</v>
      </c>
      <c r="AF82" s="59">
        <v>2524000</v>
      </c>
      <c r="AG82" s="59">
        <v>3459000</v>
      </c>
      <c r="AH82" s="59">
        <v>1769000</v>
      </c>
      <c r="AI82" s="59">
        <v>1524000</v>
      </c>
      <c r="AJ82" s="59">
        <v>1151000</v>
      </c>
      <c r="AK82" s="59">
        <v>1184000</v>
      </c>
      <c r="AL82" s="59">
        <v>976000</v>
      </c>
      <c r="AM82" s="59">
        <v>999000</v>
      </c>
      <c r="AN82" s="59">
        <v>834000</v>
      </c>
      <c r="AO82" s="59">
        <v>799000</v>
      </c>
      <c r="AP82" s="59">
        <v>811000</v>
      </c>
      <c r="AQ82" s="59">
        <v>808600</v>
      </c>
      <c r="AR82" s="59">
        <v>728300</v>
      </c>
      <c r="AS82" s="45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</row>
    <row r="83" spans="1:69" outlineLevel="3">
      <c r="A83" s="39"/>
      <c r="B83" s="43"/>
      <c r="C83" s="60" t="s">
        <v>338</v>
      </c>
      <c r="D83" s="61">
        <f t="shared" si="8"/>
        <v>2508000</v>
      </c>
      <c r="E83" s="61">
        <f t="shared" si="9"/>
        <v>3908978.125</v>
      </c>
      <c r="F83" s="61">
        <f t="shared" si="10"/>
        <v>1039600</v>
      </c>
      <c r="G83" s="61">
        <f t="shared" si="11"/>
        <v>11734000</v>
      </c>
      <c r="H83" s="61">
        <f t="shared" si="12"/>
        <v>1591750</v>
      </c>
      <c r="I83" s="61">
        <f t="shared" si="13"/>
        <v>4928500</v>
      </c>
      <c r="J83" s="61">
        <f t="shared" si="14"/>
        <v>3263074.3589576217</v>
      </c>
      <c r="K83" s="62">
        <f t="shared" si="15"/>
        <v>0.83476403668992694</v>
      </c>
      <c r="L83" s="41"/>
      <c r="M83" s="63">
        <v>11734000</v>
      </c>
      <c r="N83" s="63">
        <v>10344000</v>
      </c>
      <c r="O83" s="63">
        <v>11335000</v>
      </c>
      <c r="P83" s="63">
        <v>10791000</v>
      </c>
      <c r="Q83" s="63">
        <v>8838000</v>
      </c>
      <c r="R83" s="63">
        <v>6125000</v>
      </c>
      <c r="S83" s="63">
        <v>5341000</v>
      </c>
      <c r="T83" s="63">
        <v>4058000</v>
      </c>
      <c r="U83" s="63">
        <v>4889000</v>
      </c>
      <c r="V83" s="63">
        <v>5047000</v>
      </c>
      <c r="W83" s="63">
        <v>3899000</v>
      </c>
      <c r="X83" s="63">
        <v>2504000</v>
      </c>
      <c r="Y83" s="63">
        <v>2512000</v>
      </c>
      <c r="Z83" s="63">
        <v>2122000</v>
      </c>
      <c r="AA83" s="63">
        <v>2173000</v>
      </c>
      <c r="AB83" s="63">
        <v>1957000</v>
      </c>
      <c r="AC83" s="63">
        <v>1934000</v>
      </c>
      <c r="AD83" s="63">
        <v>1436000</v>
      </c>
      <c r="AE83" s="63">
        <v>3340000</v>
      </c>
      <c r="AF83" s="63">
        <v>3584000</v>
      </c>
      <c r="AG83" s="63">
        <v>4704000</v>
      </c>
      <c r="AH83" s="63">
        <v>2531000</v>
      </c>
      <c r="AI83" s="63">
        <v>2066000</v>
      </c>
      <c r="AJ83" s="63">
        <v>1609000</v>
      </c>
      <c r="AK83" s="63">
        <v>1657000</v>
      </c>
      <c r="AL83" s="63">
        <v>1540000</v>
      </c>
      <c r="AM83" s="63">
        <v>1406000</v>
      </c>
      <c r="AN83" s="63">
        <v>1172000</v>
      </c>
      <c r="AO83" s="63">
        <v>1167000</v>
      </c>
      <c r="AP83" s="63">
        <v>1119000</v>
      </c>
      <c r="AQ83" s="63">
        <v>1113700</v>
      </c>
      <c r="AR83" s="63">
        <v>1039600</v>
      </c>
      <c r="AS83" s="45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</row>
    <row r="84" spans="1:69" outlineLevel="2">
      <c r="A84" s="39"/>
      <c r="B84" s="43"/>
      <c r="C84" s="56" t="s">
        <v>339</v>
      </c>
      <c r="D84" s="57" t="str">
        <f t="shared" si="8"/>
        <v/>
      </c>
      <c r="E84" s="57" t="str">
        <f t="shared" si="9"/>
        <v/>
      </c>
      <c r="F84" s="57" t="str">
        <f t="shared" si="10"/>
        <v/>
      </c>
      <c r="G84" s="57" t="str">
        <f t="shared" si="11"/>
        <v/>
      </c>
      <c r="H84" s="57" t="str">
        <f t="shared" si="12"/>
        <v/>
      </c>
      <c r="I84" s="57" t="str">
        <f t="shared" si="13"/>
        <v/>
      </c>
      <c r="J84" s="57" t="str">
        <f t="shared" si="14"/>
        <v/>
      </c>
      <c r="K84" s="58" t="str">
        <f t="shared" si="15"/>
        <v/>
      </c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45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</row>
    <row r="85" spans="1:69" outlineLevel="3">
      <c r="A85" s="39"/>
      <c r="B85" s="43"/>
      <c r="C85" s="56" t="s">
        <v>340</v>
      </c>
      <c r="D85" s="57" t="str">
        <f t="shared" si="8"/>
        <v/>
      </c>
      <c r="E85" s="57" t="str">
        <f t="shared" si="9"/>
        <v/>
      </c>
      <c r="F85" s="57" t="str">
        <f t="shared" si="10"/>
        <v/>
      </c>
      <c r="G85" s="57" t="str">
        <f t="shared" si="11"/>
        <v/>
      </c>
      <c r="H85" s="57" t="str">
        <f t="shared" si="12"/>
        <v/>
      </c>
      <c r="I85" s="57" t="str">
        <f t="shared" si="13"/>
        <v/>
      </c>
      <c r="J85" s="57" t="str">
        <f t="shared" si="14"/>
        <v/>
      </c>
      <c r="K85" s="58" t="str">
        <f t="shared" si="15"/>
        <v/>
      </c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45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</row>
    <row r="86" spans="1:69" outlineLevel="4">
      <c r="A86" s="39"/>
      <c r="B86" s="43"/>
      <c r="C86" s="56" t="s">
        <v>341</v>
      </c>
      <c r="D86" s="57" t="str">
        <f t="shared" si="8"/>
        <v/>
      </c>
      <c r="E86" s="57" t="str">
        <f t="shared" si="9"/>
        <v/>
      </c>
      <c r="F86" s="57" t="str">
        <f t="shared" si="10"/>
        <v/>
      </c>
      <c r="G86" s="57" t="str">
        <f t="shared" si="11"/>
        <v/>
      </c>
      <c r="H86" s="57" t="str">
        <f t="shared" si="12"/>
        <v/>
      </c>
      <c r="I86" s="57" t="str">
        <f t="shared" si="13"/>
        <v/>
      </c>
      <c r="J86" s="57" t="str">
        <f t="shared" si="14"/>
        <v/>
      </c>
      <c r="K86" s="58" t="str">
        <f t="shared" si="15"/>
        <v/>
      </c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45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</row>
    <row r="87" spans="1:69" outlineLevel="5">
      <c r="A87" s="39"/>
      <c r="B87" s="43"/>
      <c r="C87" s="56" t="s">
        <v>342</v>
      </c>
      <c r="D87" s="57">
        <f t="shared" si="8"/>
        <v>1610500</v>
      </c>
      <c r="E87" s="57">
        <f t="shared" si="9"/>
        <v>1647111.111111111</v>
      </c>
      <c r="F87" s="57">
        <f t="shared" si="10"/>
        <v>268000</v>
      </c>
      <c r="G87" s="57">
        <f t="shared" si="11"/>
        <v>4650000</v>
      </c>
      <c r="H87" s="57">
        <f t="shared" si="12"/>
        <v>1159250</v>
      </c>
      <c r="I87" s="57">
        <f t="shared" si="13"/>
        <v>1925000</v>
      </c>
      <c r="J87" s="57">
        <f t="shared" si="14"/>
        <v>996668.5618711079</v>
      </c>
      <c r="K87" s="58">
        <f t="shared" si="15"/>
        <v>0.60510098872368945</v>
      </c>
      <c r="M87" s="59">
        <v>1955000</v>
      </c>
      <c r="N87" s="59">
        <v>1670000</v>
      </c>
      <c r="O87" s="59">
        <v>4650000</v>
      </c>
      <c r="P87" s="59">
        <v>1709000</v>
      </c>
      <c r="Q87" s="59">
        <v>1382000</v>
      </c>
      <c r="R87" s="59">
        <v>1551000</v>
      </c>
      <c r="S87" s="59">
        <v>2516000</v>
      </c>
      <c r="T87" s="59">
        <v>2749000</v>
      </c>
      <c r="U87" s="59">
        <v>1687000</v>
      </c>
      <c r="V87" s="59">
        <v>268000</v>
      </c>
      <c r="W87" s="59">
        <v>374000</v>
      </c>
      <c r="X87" s="59">
        <v>1142000</v>
      </c>
      <c r="Y87" s="59">
        <v>691000</v>
      </c>
      <c r="Z87" s="59">
        <v>1211000</v>
      </c>
      <c r="AA87" s="59">
        <v>1349000</v>
      </c>
      <c r="AB87" s="59">
        <v>889000</v>
      </c>
      <c r="AC87" s="59">
        <v>2020000</v>
      </c>
      <c r="AD87" s="59">
        <v>1835000</v>
      </c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45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</row>
    <row r="88" spans="1:69" outlineLevel="5">
      <c r="A88" s="39"/>
      <c r="B88" s="43"/>
      <c r="C88" s="56" t="s">
        <v>343</v>
      </c>
      <c r="D88" s="57">
        <f t="shared" si="8"/>
        <v>15000</v>
      </c>
      <c r="E88" s="57">
        <f t="shared" si="9"/>
        <v>15000</v>
      </c>
      <c r="F88" s="57">
        <f t="shared" si="10"/>
        <v>0</v>
      </c>
      <c r="G88" s="57">
        <f t="shared" si="11"/>
        <v>30000</v>
      </c>
      <c r="H88" s="57">
        <f t="shared" si="12"/>
        <v>7500</v>
      </c>
      <c r="I88" s="57">
        <f t="shared" si="13"/>
        <v>22500</v>
      </c>
      <c r="J88" s="57">
        <f t="shared" si="14"/>
        <v>21213.203435596424</v>
      </c>
      <c r="K88" s="58">
        <f t="shared" si="15"/>
        <v>1.4142135623730949</v>
      </c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>
        <v>0</v>
      </c>
      <c r="Y88" s="59"/>
      <c r="Z88" s="59"/>
      <c r="AA88" s="59"/>
      <c r="AB88" s="59"/>
      <c r="AC88" s="59"/>
      <c r="AD88" s="59">
        <v>30000</v>
      </c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45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</row>
    <row r="89" spans="1:69" outlineLevel="5">
      <c r="A89" s="39"/>
      <c r="B89" s="43"/>
      <c r="C89" s="56" t="s">
        <v>344</v>
      </c>
      <c r="D89" s="57">
        <f t="shared" si="8"/>
        <v>435000</v>
      </c>
      <c r="E89" s="57">
        <f t="shared" si="9"/>
        <v>897812.5</v>
      </c>
      <c r="F89" s="57">
        <f t="shared" si="10"/>
        <v>0</v>
      </c>
      <c r="G89" s="57">
        <f t="shared" si="11"/>
        <v>5465000</v>
      </c>
      <c r="H89" s="57">
        <f t="shared" si="12"/>
        <v>245500</v>
      </c>
      <c r="I89" s="57">
        <f t="shared" si="13"/>
        <v>867000</v>
      </c>
      <c r="J89" s="57">
        <f t="shared" si="14"/>
        <v>1327054.0917762169</v>
      </c>
      <c r="K89" s="58">
        <f t="shared" si="15"/>
        <v>1.4780971436421491</v>
      </c>
      <c r="M89" s="59">
        <v>608000</v>
      </c>
      <c r="N89" s="59">
        <v>217000</v>
      </c>
      <c r="O89" s="59">
        <v>255000</v>
      </c>
      <c r="P89" s="59">
        <v>1368000</v>
      </c>
      <c r="Q89" s="59">
        <v>700000</v>
      </c>
      <c r="R89" s="59">
        <v>458000</v>
      </c>
      <c r="S89" s="59">
        <v>400000</v>
      </c>
      <c r="T89" s="59">
        <v>5465000</v>
      </c>
      <c r="U89" s="59">
        <v>255000</v>
      </c>
      <c r="V89" s="59">
        <v>150000</v>
      </c>
      <c r="W89" s="59">
        <v>412000</v>
      </c>
      <c r="X89" s="59"/>
      <c r="Y89" s="59"/>
      <c r="Z89" s="59">
        <v>200000</v>
      </c>
      <c r="AA89" s="59">
        <v>0</v>
      </c>
      <c r="AB89" s="59">
        <v>1920000</v>
      </c>
      <c r="AC89" s="59">
        <v>569000</v>
      </c>
      <c r="AD89" s="59">
        <v>1388000</v>
      </c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45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</row>
    <row r="90" spans="1:69" outlineLevel="5">
      <c r="A90" s="39"/>
      <c r="B90" s="43"/>
      <c r="C90" s="60" t="s">
        <v>345</v>
      </c>
      <c r="D90" s="61">
        <f t="shared" si="8"/>
        <v>1914500</v>
      </c>
      <c r="E90" s="61">
        <f t="shared" si="9"/>
        <v>1944046.875</v>
      </c>
      <c r="F90" s="61">
        <f t="shared" si="10"/>
        <v>122100</v>
      </c>
      <c r="G90" s="61">
        <f t="shared" si="11"/>
        <v>8214000</v>
      </c>
      <c r="H90" s="61">
        <f t="shared" si="12"/>
        <v>762250</v>
      </c>
      <c r="I90" s="61">
        <f t="shared" si="13"/>
        <v>2569500</v>
      </c>
      <c r="J90" s="61">
        <f t="shared" si="14"/>
        <v>1590218.3406556663</v>
      </c>
      <c r="K90" s="62">
        <f t="shared" si="15"/>
        <v>0.81799382571763668</v>
      </c>
      <c r="L90" s="41"/>
      <c r="M90" s="63">
        <v>2563000</v>
      </c>
      <c r="N90" s="63">
        <v>1887000</v>
      </c>
      <c r="O90" s="63">
        <v>4905000</v>
      </c>
      <c r="P90" s="63">
        <v>3077000</v>
      </c>
      <c r="Q90" s="63">
        <v>2082000</v>
      </c>
      <c r="R90" s="63">
        <v>2009000</v>
      </c>
      <c r="S90" s="63">
        <v>2916000</v>
      </c>
      <c r="T90" s="63">
        <v>8214000</v>
      </c>
      <c r="U90" s="63">
        <v>1942000</v>
      </c>
      <c r="V90" s="63">
        <v>418000</v>
      </c>
      <c r="W90" s="63">
        <v>786000</v>
      </c>
      <c r="X90" s="63">
        <v>1142000</v>
      </c>
      <c r="Y90" s="63">
        <v>691000</v>
      </c>
      <c r="Z90" s="63">
        <v>1411000</v>
      </c>
      <c r="AA90" s="63">
        <v>1349000</v>
      </c>
      <c r="AB90" s="63">
        <v>2809000</v>
      </c>
      <c r="AC90" s="63">
        <v>2589000</v>
      </c>
      <c r="AD90" s="63">
        <v>3253000</v>
      </c>
      <c r="AE90" s="63">
        <v>2418000</v>
      </c>
      <c r="AF90" s="63">
        <v>2742000</v>
      </c>
      <c r="AG90" s="63">
        <v>2563000</v>
      </c>
      <c r="AH90" s="63">
        <v>1717000</v>
      </c>
      <c r="AI90" s="63">
        <v>1287000</v>
      </c>
      <c r="AJ90" s="63">
        <v>2302000</v>
      </c>
      <c r="AK90" s="63">
        <v>1982000</v>
      </c>
      <c r="AL90" s="63">
        <v>1223000</v>
      </c>
      <c r="AM90" s="63">
        <v>464000</v>
      </c>
      <c r="AN90" s="63">
        <v>469000</v>
      </c>
      <c r="AO90" s="63">
        <v>332000</v>
      </c>
      <c r="AP90" s="63">
        <v>155000</v>
      </c>
      <c r="AQ90" s="63">
        <v>390400</v>
      </c>
      <c r="AR90" s="63">
        <v>122100</v>
      </c>
      <c r="AS90" s="45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</row>
    <row r="91" spans="1:69" outlineLevel="4">
      <c r="A91" s="39"/>
      <c r="B91" s="43"/>
      <c r="C91" s="56" t="s">
        <v>346</v>
      </c>
      <c r="D91" s="57" t="str">
        <f t="shared" si="8"/>
        <v/>
      </c>
      <c r="E91" s="57" t="str">
        <f t="shared" si="9"/>
        <v/>
      </c>
      <c r="F91" s="57" t="str">
        <f t="shared" si="10"/>
        <v/>
      </c>
      <c r="G91" s="57" t="str">
        <f t="shared" si="11"/>
        <v/>
      </c>
      <c r="H91" s="57" t="str">
        <f t="shared" si="12"/>
        <v/>
      </c>
      <c r="I91" s="57" t="str">
        <f t="shared" si="13"/>
        <v/>
      </c>
      <c r="J91" s="57" t="str">
        <f t="shared" si="14"/>
        <v/>
      </c>
      <c r="K91" s="58" t="str">
        <f t="shared" si="15"/>
        <v/>
      </c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45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</row>
    <row r="92" spans="1:69" outlineLevel="5">
      <c r="A92" s="39"/>
      <c r="B92" s="43"/>
      <c r="C92" s="56" t="s">
        <v>347</v>
      </c>
      <c r="D92" s="57">
        <f t="shared" si="8"/>
        <v>2771000</v>
      </c>
      <c r="E92" s="57">
        <f t="shared" si="9"/>
        <v>3547666.6666666665</v>
      </c>
      <c r="F92" s="57">
        <f t="shared" si="10"/>
        <v>808000</v>
      </c>
      <c r="G92" s="57">
        <f t="shared" si="11"/>
        <v>8061000</v>
      </c>
      <c r="H92" s="57">
        <f t="shared" si="12"/>
        <v>2172000</v>
      </c>
      <c r="I92" s="57">
        <f t="shared" si="13"/>
        <v>3952000</v>
      </c>
      <c r="J92" s="57">
        <f t="shared" si="14"/>
        <v>2098228.1867827256</v>
      </c>
      <c r="K92" s="58">
        <f t="shared" si="15"/>
        <v>0.59143893266449099</v>
      </c>
      <c r="M92" s="59">
        <v>3500000</v>
      </c>
      <c r="N92" s="59">
        <v>8061000</v>
      </c>
      <c r="O92" s="59">
        <v>6901000</v>
      </c>
      <c r="P92" s="59">
        <v>6633000</v>
      </c>
      <c r="Q92" s="59">
        <v>1785000</v>
      </c>
      <c r="R92" s="59">
        <v>4138000</v>
      </c>
      <c r="S92" s="59">
        <v>2124000</v>
      </c>
      <c r="T92" s="59">
        <v>2716000</v>
      </c>
      <c r="U92" s="59">
        <v>1673000</v>
      </c>
      <c r="V92" s="59">
        <v>2604000</v>
      </c>
      <c r="W92" s="59">
        <v>2220000</v>
      </c>
      <c r="X92" s="59">
        <v>3515000</v>
      </c>
      <c r="Y92" s="59">
        <v>3766000</v>
      </c>
      <c r="Z92" s="59">
        <v>2771000</v>
      </c>
      <c r="AA92" s="59">
        <v>808000</v>
      </c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45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</row>
    <row r="93" spans="1:69" outlineLevel="5">
      <c r="A93" s="39"/>
      <c r="B93" s="43"/>
      <c r="C93" s="60" t="s">
        <v>348</v>
      </c>
      <c r="D93" s="61">
        <f t="shared" si="8"/>
        <v>2771000</v>
      </c>
      <c r="E93" s="61">
        <f t="shared" si="9"/>
        <v>3547666.6666666665</v>
      </c>
      <c r="F93" s="61">
        <f t="shared" si="10"/>
        <v>808000</v>
      </c>
      <c r="G93" s="61">
        <f t="shared" si="11"/>
        <v>8061000</v>
      </c>
      <c r="H93" s="61">
        <f t="shared" si="12"/>
        <v>2172000</v>
      </c>
      <c r="I93" s="61">
        <f t="shared" si="13"/>
        <v>3952000</v>
      </c>
      <c r="J93" s="61">
        <f t="shared" si="14"/>
        <v>2098228.1867827256</v>
      </c>
      <c r="K93" s="62">
        <f t="shared" si="15"/>
        <v>0.59143893266449099</v>
      </c>
      <c r="L93" s="41"/>
      <c r="M93" s="63">
        <v>3500000</v>
      </c>
      <c r="N93" s="63">
        <v>8061000</v>
      </c>
      <c r="O93" s="63">
        <v>6901000</v>
      </c>
      <c r="P93" s="63">
        <v>6633000</v>
      </c>
      <c r="Q93" s="63">
        <v>1785000</v>
      </c>
      <c r="R93" s="63">
        <v>4138000</v>
      </c>
      <c r="S93" s="63">
        <v>2124000</v>
      </c>
      <c r="T93" s="63">
        <v>2716000</v>
      </c>
      <c r="U93" s="63">
        <v>1673000</v>
      </c>
      <c r="V93" s="63">
        <v>2604000</v>
      </c>
      <c r="W93" s="63">
        <v>2220000</v>
      </c>
      <c r="X93" s="63">
        <v>3515000</v>
      </c>
      <c r="Y93" s="63">
        <v>3766000</v>
      </c>
      <c r="Z93" s="63">
        <v>2771000</v>
      </c>
      <c r="AA93" s="63">
        <v>808000</v>
      </c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45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</row>
    <row r="94" spans="1:69" outlineLevel="4">
      <c r="A94" s="39"/>
      <c r="B94" s="43"/>
      <c r="C94" s="60" t="s">
        <v>349</v>
      </c>
      <c r="D94" s="61">
        <f t="shared" si="8"/>
        <v>2775500</v>
      </c>
      <c r="E94" s="61">
        <f t="shared" si="9"/>
        <v>3607015.625</v>
      </c>
      <c r="F94" s="61">
        <f t="shared" si="10"/>
        <v>122100</v>
      </c>
      <c r="G94" s="61">
        <f t="shared" si="11"/>
        <v>11806000</v>
      </c>
      <c r="H94" s="61">
        <f t="shared" si="12"/>
        <v>1609500</v>
      </c>
      <c r="I94" s="61">
        <f t="shared" si="13"/>
        <v>4507000</v>
      </c>
      <c r="J94" s="61">
        <f t="shared" si="14"/>
        <v>3145716.2760018301</v>
      </c>
      <c r="K94" s="62">
        <f t="shared" si="15"/>
        <v>0.87211052100774589</v>
      </c>
      <c r="L94" s="41"/>
      <c r="M94" s="63">
        <v>6063000</v>
      </c>
      <c r="N94" s="63">
        <v>9948000</v>
      </c>
      <c r="O94" s="63">
        <v>11806000</v>
      </c>
      <c r="P94" s="63">
        <v>9710000</v>
      </c>
      <c r="Q94" s="63">
        <v>3867000</v>
      </c>
      <c r="R94" s="63">
        <v>6147000</v>
      </c>
      <c r="S94" s="63">
        <v>5040000</v>
      </c>
      <c r="T94" s="63">
        <v>10930000</v>
      </c>
      <c r="U94" s="63">
        <v>3615000</v>
      </c>
      <c r="V94" s="63">
        <v>3022000</v>
      </c>
      <c r="W94" s="63">
        <v>3006000</v>
      </c>
      <c r="X94" s="63">
        <v>4657000</v>
      </c>
      <c r="Y94" s="63">
        <v>4457000</v>
      </c>
      <c r="Z94" s="63">
        <v>4182000</v>
      </c>
      <c r="AA94" s="63">
        <v>2157000</v>
      </c>
      <c r="AB94" s="63">
        <v>2809000</v>
      </c>
      <c r="AC94" s="63">
        <v>2589000</v>
      </c>
      <c r="AD94" s="63">
        <v>3253000</v>
      </c>
      <c r="AE94" s="63">
        <v>2418000</v>
      </c>
      <c r="AF94" s="63">
        <v>2742000</v>
      </c>
      <c r="AG94" s="63">
        <v>2563000</v>
      </c>
      <c r="AH94" s="63">
        <v>1717000</v>
      </c>
      <c r="AI94" s="63">
        <v>1287000</v>
      </c>
      <c r="AJ94" s="63">
        <v>2302000</v>
      </c>
      <c r="AK94" s="63">
        <v>1982000</v>
      </c>
      <c r="AL94" s="63">
        <v>1223000</v>
      </c>
      <c r="AM94" s="63">
        <v>464000</v>
      </c>
      <c r="AN94" s="63">
        <v>469000</v>
      </c>
      <c r="AO94" s="63">
        <v>332000</v>
      </c>
      <c r="AP94" s="63">
        <v>155000</v>
      </c>
      <c r="AQ94" s="63">
        <v>390400</v>
      </c>
      <c r="AR94" s="63">
        <v>122100</v>
      </c>
      <c r="AS94" s="45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</row>
    <row r="95" spans="1:69" outlineLevel="3">
      <c r="A95" s="39"/>
      <c r="B95" s="43"/>
      <c r="C95" s="56" t="s">
        <v>350</v>
      </c>
      <c r="D95" s="57">
        <f t="shared" si="8"/>
        <v>838000</v>
      </c>
      <c r="E95" s="57">
        <f t="shared" si="9"/>
        <v>810588.23529411759</v>
      </c>
      <c r="F95" s="57">
        <f t="shared" si="10"/>
        <v>221000</v>
      </c>
      <c r="G95" s="57">
        <f t="shared" si="11"/>
        <v>2102000</v>
      </c>
      <c r="H95" s="57">
        <f t="shared" si="12"/>
        <v>404000</v>
      </c>
      <c r="I95" s="57">
        <f t="shared" si="13"/>
        <v>1090000</v>
      </c>
      <c r="J95" s="57">
        <f t="shared" si="14"/>
        <v>485090.84958690073</v>
      </c>
      <c r="K95" s="58">
        <f t="shared" si="15"/>
        <v>0.59844299295916636</v>
      </c>
      <c r="M95" s="59">
        <v>1113000</v>
      </c>
      <c r="N95" s="59">
        <v>1073000</v>
      </c>
      <c r="O95" s="59">
        <v>845000</v>
      </c>
      <c r="P95" s="59">
        <v>2102000</v>
      </c>
      <c r="Q95" s="59">
        <v>1263000</v>
      </c>
      <c r="R95" s="59">
        <v>311000</v>
      </c>
      <c r="S95" s="59">
        <v>344000</v>
      </c>
      <c r="T95" s="59">
        <v>675000</v>
      </c>
      <c r="U95" s="59">
        <v>364000</v>
      </c>
      <c r="V95" s="59">
        <v>404000</v>
      </c>
      <c r="W95" s="59">
        <v>882000</v>
      </c>
      <c r="X95" s="59">
        <v>1289000</v>
      </c>
      <c r="Y95" s="59">
        <v>838000</v>
      </c>
      <c r="Z95" s="59">
        <v>430000</v>
      </c>
      <c r="AA95" s="59">
        <v>1090000</v>
      </c>
      <c r="AB95" s="59">
        <v>536000</v>
      </c>
      <c r="AC95" s="59">
        <v>221000</v>
      </c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45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</row>
    <row r="96" spans="1:69" outlineLevel="3">
      <c r="A96" s="39"/>
      <c r="B96" s="43"/>
      <c r="C96" s="60" t="s">
        <v>351</v>
      </c>
      <c r="D96" s="61">
        <f t="shared" si="8"/>
        <v>3250000</v>
      </c>
      <c r="E96" s="61">
        <f t="shared" si="9"/>
        <v>4037640.625</v>
      </c>
      <c r="F96" s="61">
        <f t="shared" si="10"/>
        <v>122100</v>
      </c>
      <c r="G96" s="61">
        <f t="shared" si="11"/>
        <v>12651000</v>
      </c>
      <c r="H96" s="61">
        <f t="shared" si="12"/>
        <v>1609500</v>
      </c>
      <c r="I96" s="61">
        <f t="shared" si="13"/>
        <v>5317250</v>
      </c>
      <c r="J96" s="61">
        <f t="shared" si="14"/>
        <v>3529101.3954354036</v>
      </c>
      <c r="K96" s="62">
        <f t="shared" si="15"/>
        <v>0.87405039804289253</v>
      </c>
      <c r="L96" s="41"/>
      <c r="M96" s="63">
        <v>7176000</v>
      </c>
      <c r="N96" s="63">
        <v>11021000</v>
      </c>
      <c r="O96" s="63">
        <v>12651000</v>
      </c>
      <c r="P96" s="63">
        <v>11812000</v>
      </c>
      <c r="Q96" s="63">
        <v>5130000</v>
      </c>
      <c r="R96" s="63">
        <v>6458000</v>
      </c>
      <c r="S96" s="63">
        <v>5384000</v>
      </c>
      <c r="T96" s="63">
        <v>11605000</v>
      </c>
      <c r="U96" s="63">
        <v>3979000</v>
      </c>
      <c r="V96" s="63">
        <v>3426000</v>
      </c>
      <c r="W96" s="63">
        <v>3888000</v>
      </c>
      <c r="X96" s="63">
        <v>5946000</v>
      </c>
      <c r="Y96" s="63">
        <v>5295000</v>
      </c>
      <c r="Z96" s="63">
        <v>4612000</v>
      </c>
      <c r="AA96" s="63">
        <v>3247000</v>
      </c>
      <c r="AB96" s="63">
        <v>3345000</v>
      </c>
      <c r="AC96" s="63">
        <v>2810000</v>
      </c>
      <c r="AD96" s="63">
        <v>3253000</v>
      </c>
      <c r="AE96" s="63">
        <v>2418000</v>
      </c>
      <c r="AF96" s="63">
        <v>2742000</v>
      </c>
      <c r="AG96" s="63">
        <v>2563000</v>
      </c>
      <c r="AH96" s="63">
        <v>1717000</v>
      </c>
      <c r="AI96" s="63">
        <v>1287000</v>
      </c>
      <c r="AJ96" s="63">
        <v>2302000</v>
      </c>
      <c r="AK96" s="63">
        <v>1982000</v>
      </c>
      <c r="AL96" s="63">
        <v>1223000</v>
      </c>
      <c r="AM96" s="63">
        <v>464000</v>
      </c>
      <c r="AN96" s="63">
        <v>469000</v>
      </c>
      <c r="AO96" s="63">
        <v>332000</v>
      </c>
      <c r="AP96" s="63">
        <v>155000</v>
      </c>
      <c r="AQ96" s="63">
        <v>390400</v>
      </c>
      <c r="AR96" s="63">
        <v>122100</v>
      </c>
      <c r="AS96" s="45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</row>
    <row r="97" spans="1:69" outlineLevel="2">
      <c r="A97" s="39"/>
      <c r="B97" s="43"/>
      <c r="C97" s="56" t="s">
        <v>352</v>
      </c>
      <c r="D97" s="57" t="str">
        <f t="shared" si="8"/>
        <v/>
      </c>
      <c r="E97" s="57" t="str">
        <f t="shared" si="9"/>
        <v/>
      </c>
      <c r="F97" s="57" t="str">
        <f t="shared" si="10"/>
        <v/>
      </c>
      <c r="G97" s="57" t="str">
        <f t="shared" si="11"/>
        <v/>
      </c>
      <c r="H97" s="57" t="str">
        <f t="shared" si="12"/>
        <v/>
      </c>
      <c r="I97" s="57" t="str">
        <f t="shared" si="13"/>
        <v/>
      </c>
      <c r="J97" s="57" t="str">
        <f t="shared" si="14"/>
        <v/>
      </c>
      <c r="K97" s="58" t="str">
        <f t="shared" si="15"/>
        <v/>
      </c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45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</row>
    <row r="98" spans="1:69" outlineLevel="3">
      <c r="A98" s="39"/>
      <c r="B98" s="43"/>
      <c r="C98" s="56" t="s">
        <v>353</v>
      </c>
      <c r="D98" s="57">
        <f t="shared" si="8"/>
        <v>474000</v>
      </c>
      <c r="E98" s="57">
        <f t="shared" si="9"/>
        <v>487529.4117647059</v>
      </c>
      <c r="F98" s="57">
        <f t="shared" si="10"/>
        <v>47000</v>
      </c>
      <c r="G98" s="57">
        <f t="shared" si="11"/>
        <v>709000</v>
      </c>
      <c r="H98" s="57">
        <f t="shared" si="12"/>
        <v>452000</v>
      </c>
      <c r="I98" s="57">
        <f t="shared" si="13"/>
        <v>547000</v>
      </c>
      <c r="J98" s="57">
        <f t="shared" si="14"/>
        <v>144900.01623837851</v>
      </c>
      <c r="K98" s="58">
        <f t="shared" si="15"/>
        <v>0.29721287114532269</v>
      </c>
      <c r="M98" s="59">
        <v>709000</v>
      </c>
      <c r="N98" s="59">
        <v>694000</v>
      </c>
      <c r="O98" s="59">
        <v>638000</v>
      </c>
      <c r="P98" s="59">
        <v>560000</v>
      </c>
      <c r="Q98" s="59">
        <v>485000</v>
      </c>
      <c r="R98" s="59">
        <v>474000</v>
      </c>
      <c r="S98" s="59">
        <v>499000</v>
      </c>
      <c r="T98" s="59">
        <v>445000</v>
      </c>
      <c r="U98" s="59">
        <v>448000</v>
      </c>
      <c r="V98" s="59">
        <v>470000</v>
      </c>
      <c r="W98" s="59">
        <v>473000</v>
      </c>
      <c r="X98" s="59">
        <v>462000</v>
      </c>
      <c r="Y98" s="59">
        <v>452000</v>
      </c>
      <c r="Z98" s="59">
        <v>508000</v>
      </c>
      <c r="AA98" s="59">
        <v>547000</v>
      </c>
      <c r="AB98" s="59">
        <v>47000</v>
      </c>
      <c r="AC98" s="59">
        <v>377000</v>
      </c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45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</row>
    <row r="99" spans="1:69" outlineLevel="3">
      <c r="A99" s="39"/>
      <c r="B99" s="43"/>
      <c r="C99" s="60" t="s">
        <v>354</v>
      </c>
      <c r="D99" s="61">
        <f t="shared" si="8"/>
        <v>474000</v>
      </c>
      <c r="E99" s="61">
        <f t="shared" si="9"/>
        <v>487529.4117647059</v>
      </c>
      <c r="F99" s="61">
        <f t="shared" si="10"/>
        <v>47000</v>
      </c>
      <c r="G99" s="61">
        <f t="shared" si="11"/>
        <v>709000</v>
      </c>
      <c r="H99" s="61">
        <f t="shared" si="12"/>
        <v>452000</v>
      </c>
      <c r="I99" s="61">
        <f t="shared" si="13"/>
        <v>547000</v>
      </c>
      <c r="J99" s="61">
        <f t="shared" si="14"/>
        <v>144900.01623837851</v>
      </c>
      <c r="K99" s="62">
        <f t="shared" si="15"/>
        <v>0.29721287114532269</v>
      </c>
      <c r="L99" s="41"/>
      <c r="M99" s="63">
        <v>709000</v>
      </c>
      <c r="N99" s="63">
        <v>694000</v>
      </c>
      <c r="O99" s="63">
        <v>638000</v>
      </c>
      <c r="P99" s="63">
        <v>560000</v>
      </c>
      <c r="Q99" s="63">
        <v>485000</v>
      </c>
      <c r="R99" s="63">
        <v>474000</v>
      </c>
      <c r="S99" s="63">
        <v>499000</v>
      </c>
      <c r="T99" s="63">
        <v>445000</v>
      </c>
      <c r="U99" s="63">
        <v>448000</v>
      </c>
      <c r="V99" s="63">
        <v>470000</v>
      </c>
      <c r="W99" s="63">
        <v>473000</v>
      </c>
      <c r="X99" s="63">
        <v>462000</v>
      </c>
      <c r="Y99" s="63">
        <v>452000</v>
      </c>
      <c r="Z99" s="63">
        <v>508000</v>
      </c>
      <c r="AA99" s="63">
        <v>547000</v>
      </c>
      <c r="AB99" s="63">
        <v>47000</v>
      </c>
      <c r="AC99" s="63">
        <v>377000</v>
      </c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45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</row>
    <row r="100" spans="1:69" outlineLevel="2">
      <c r="A100" s="39"/>
      <c r="B100" s="43"/>
      <c r="C100" s="56" t="s">
        <v>355</v>
      </c>
      <c r="D100" s="57">
        <f t="shared" si="8"/>
        <v>320000</v>
      </c>
      <c r="E100" s="57">
        <f t="shared" si="9"/>
        <v>287545.45454545453</v>
      </c>
      <c r="F100" s="57">
        <f t="shared" si="10"/>
        <v>14000</v>
      </c>
      <c r="G100" s="57">
        <f t="shared" si="11"/>
        <v>356000</v>
      </c>
      <c r="H100" s="57">
        <f t="shared" si="12"/>
        <v>284000</v>
      </c>
      <c r="I100" s="57">
        <f t="shared" si="13"/>
        <v>343000</v>
      </c>
      <c r="J100" s="57">
        <f t="shared" si="14"/>
        <v>96981.816477485772</v>
      </c>
      <c r="K100" s="58">
        <f t="shared" si="15"/>
        <v>0.33727473324449686</v>
      </c>
      <c r="M100" s="59">
        <v>356000</v>
      </c>
      <c r="N100" s="59">
        <v>279000</v>
      </c>
      <c r="O100" s="59">
        <v>340000</v>
      </c>
      <c r="P100" s="59">
        <v>350000</v>
      </c>
      <c r="Q100" s="59">
        <v>289000</v>
      </c>
      <c r="R100" s="59">
        <v>245000</v>
      </c>
      <c r="S100" s="59">
        <v>320000</v>
      </c>
      <c r="T100" s="59">
        <v>325000</v>
      </c>
      <c r="U100" s="59">
        <v>346000</v>
      </c>
      <c r="V100" s="59">
        <v>299000</v>
      </c>
      <c r="W100" s="59">
        <v>14000</v>
      </c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45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</row>
    <row r="101" spans="1:69" outlineLevel="2">
      <c r="A101" s="39"/>
      <c r="B101" s="43"/>
      <c r="C101" s="56" t="s">
        <v>356</v>
      </c>
      <c r="D101" s="57">
        <f t="shared" si="8"/>
        <v>451000</v>
      </c>
      <c r="E101" s="57">
        <f t="shared" si="9"/>
        <v>435200</v>
      </c>
      <c r="F101" s="57">
        <f t="shared" si="10"/>
        <v>0</v>
      </c>
      <c r="G101" s="57">
        <f t="shared" si="11"/>
        <v>992000</v>
      </c>
      <c r="H101" s="57">
        <f t="shared" si="12"/>
        <v>0</v>
      </c>
      <c r="I101" s="57">
        <f t="shared" si="13"/>
        <v>733000</v>
      </c>
      <c r="J101" s="57">
        <f t="shared" si="14"/>
        <v>440953.1721169494</v>
      </c>
      <c r="K101" s="58">
        <f t="shared" si="15"/>
        <v>1.0132196050481375</v>
      </c>
      <c r="M101" s="59"/>
      <c r="N101" s="59"/>
      <c r="O101" s="59"/>
      <c r="P101" s="59"/>
      <c r="Q101" s="59"/>
      <c r="R101" s="59"/>
      <c r="S101" s="59"/>
      <c r="T101" s="59"/>
      <c r="U101" s="59"/>
      <c r="V101" s="59">
        <v>451000</v>
      </c>
      <c r="W101" s="59">
        <v>992000</v>
      </c>
      <c r="X101" s="59">
        <v>0</v>
      </c>
      <c r="Y101" s="59"/>
      <c r="Z101" s="59">
        <v>733000</v>
      </c>
      <c r="AA101" s="59">
        <v>0</v>
      </c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45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</row>
    <row r="102" spans="1:69" outlineLevel="2">
      <c r="A102" s="39"/>
      <c r="B102" s="43"/>
      <c r="C102" s="56" t="s">
        <v>357</v>
      </c>
      <c r="D102" s="57">
        <f t="shared" si="8"/>
        <v>1555000</v>
      </c>
      <c r="E102" s="57">
        <f t="shared" si="9"/>
        <v>1752521.0526315789</v>
      </c>
      <c r="F102" s="57">
        <f t="shared" si="10"/>
        <v>-100</v>
      </c>
      <c r="G102" s="57">
        <f t="shared" si="11"/>
        <v>3182000</v>
      </c>
      <c r="H102" s="57">
        <f t="shared" si="12"/>
        <v>917000</v>
      </c>
      <c r="I102" s="57">
        <f t="shared" si="13"/>
        <v>2768500</v>
      </c>
      <c r="J102" s="57">
        <f t="shared" si="14"/>
        <v>989028.62703145214</v>
      </c>
      <c r="K102" s="58">
        <f t="shared" si="15"/>
        <v>0.56434621743706337</v>
      </c>
      <c r="M102" s="59">
        <v>2842000</v>
      </c>
      <c r="N102" s="59">
        <v>3017000</v>
      </c>
      <c r="O102" s="59">
        <v>2999000</v>
      </c>
      <c r="P102" s="59">
        <v>3182000</v>
      </c>
      <c r="Q102" s="59">
        <v>2695000</v>
      </c>
      <c r="R102" s="59">
        <v>2256000</v>
      </c>
      <c r="S102" s="59">
        <v>2309000</v>
      </c>
      <c r="T102" s="59">
        <v>1130000</v>
      </c>
      <c r="U102" s="59">
        <v>1581000</v>
      </c>
      <c r="V102" s="59">
        <v>1226000</v>
      </c>
      <c r="W102" s="59">
        <v>841000</v>
      </c>
      <c r="X102" s="59">
        <v>751000</v>
      </c>
      <c r="Y102" s="59">
        <v>930000</v>
      </c>
      <c r="Z102" s="59">
        <v>904000</v>
      </c>
      <c r="AA102" s="59">
        <v>752000</v>
      </c>
      <c r="AB102" s="59">
        <v>1555000</v>
      </c>
      <c r="AC102" s="59">
        <v>1328000</v>
      </c>
      <c r="AD102" s="59">
        <v>3000000</v>
      </c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>
        <v>-100</v>
      </c>
      <c r="AS102" s="45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</row>
    <row r="103" spans="1:69" outlineLevel="2">
      <c r="A103" s="39"/>
      <c r="B103" s="43"/>
      <c r="C103" s="60" t="s">
        <v>358</v>
      </c>
      <c r="D103" s="61">
        <f t="shared" si="8"/>
        <v>7085500</v>
      </c>
      <c r="E103" s="61">
        <f t="shared" si="9"/>
        <v>9413021.875</v>
      </c>
      <c r="F103" s="61">
        <f t="shared" si="10"/>
        <v>1161600</v>
      </c>
      <c r="G103" s="61">
        <f t="shared" si="11"/>
        <v>27963000</v>
      </c>
      <c r="H103" s="61">
        <f t="shared" si="12"/>
        <v>3567500</v>
      </c>
      <c r="I103" s="61">
        <f t="shared" si="13"/>
        <v>11895500</v>
      </c>
      <c r="J103" s="61">
        <f t="shared" si="14"/>
        <v>7771355.7254472356</v>
      </c>
      <c r="K103" s="62">
        <f t="shared" si="15"/>
        <v>0.82559626745234094</v>
      </c>
      <c r="L103" s="41"/>
      <c r="M103" s="63">
        <v>22817000</v>
      </c>
      <c r="N103" s="63">
        <v>25355000</v>
      </c>
      <c r="O103" s="63">
        <v>27963000</v>
      </c>
      <c r="P103" s="63">
        <v>26695000</v>
      </c>
      <c r="Q103" s="63">
        <v>17437000</v>
      </c>
      <c r="R103" s="63">
        <v>15558000</v>
      </c>
      <c r="S103" s="63">
        <v>13853000</v>
      </c>
      <c r="T103" s="63">
        <v>17563000</v>
      </c>
      <c r="U103" s="63">
        <v>11243000</v>
      </c>
      <c r="V103" s="63">
        <v>10919000</v>
      </c>
      <c r="W103" s="63">
        <v>10107000</v>
      </c>
      <c r="X103" s="63">
        <v>9663000</v>
      </c>
      <c r="Y103" s="63">
        <v>9189000</v>
      </c>
      <c r="Z103" s="63">
        <v>8879000</v>
      </c>
      <c r="AA103" s="63">
        <v>6719000</v>
      </c>
      <c r="AB103" s="63">
        <v>6904000</v>
      </c>
      <c r="AC103" s="63">
        <v>6449000</v>
      </c>
      <c r="AD103" s="63">
        <v>7689000</v>
      </c>
      <c r="AE103" s="63">
        <v>5758000</v>
      </c>
      <c r="AF103" s="63">
        <v>6326000</v>
      </c>
      <c r="AG103" s="63">
        <v>7267000</v>
      </c>
      <c r="AH103" s="63">
        <v>4248000</v>
      </c>
      <c r="AI103" s="63">
        <v>3353000</v>
      </c>
      <c r="AJ103" s="63">
        <v>3911000</v>
      </c>
      <c r="AK103" s="63">
        <v>3639000</v>
      </c>
      <c r="AL103" s="63">
        <v>2763000</v>
      </c>
      <c r="AM103" s="63">
        <v>1870000</v>
      </c>
      <c r="AN103" s="63">
        <v>1641000</v>
      </c>
      <c r="AO103" s="63">
        <v>1499000</v>
      </c>
      <c r="AP103" s="63">
        <v>1274000</v>
      </c>
      <c r="AQ103" s="63">
        <v>1504100</v>
      </c>
      <c r="AR103" s="63">
        <v>1161600</v>
      </c>
      <c r="AS103" s="45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</row>
    <row r="104" spans="1:69" outlineLevel="1">
      <c r="A104" s="39"/>
      <c r="B104" s="43"/>
      <c r="C104" s="56" t="s">
        <v>359</v>
      </c>
      <c r="D104" s="57" t="str">
        <f t="shared" si="8"/>
        <v/>
      </c>
      <c r="E104" s="57" t="str">
        <f t="shared" si="9"/>
        <v/>
      </c>
      <c r="F104" s="57" t="str">
        <f t="shared" si="10"/>
        <v/>
      </c>
      <c r="G104" s="57" t="str">
        <f t="shared" si="11"/>
        <v/>
      </c>
      <c r="H104" s="57" t="str">
        <f t="shared" si="12"/>
        <v/>
      </c>
      <c r="I104" s="57" t="str">
        <f t="shared" si="13"/>
        <v/>
      </c>
      <c r="J104" s="57" t="str">
        <f t="shared" si="14"/>
        <v/>
      </c>
      <c r="K104" s="58" t="str">
        <f t="shared" si="15"/>
        <v/>
      </c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45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</row>
    <row r="105" spans="1:69" outlineLevel="2">
      <c r="A105" s="39"/>
      <c r="B105" s="43"/>
      <c r="C105" s="56" t="s">
        <v>360</v>
      </c>
      <c r="D105" s="57" t="str">
        <f t="shared" si="8"/>
        <v/>
      </c>
      <c r="E105" s="57" t="str">
        <f t="shared" si="9"/>
        <v/>
      </c>
      <c r="F105" s="57" t="str">
        <f t="shared" si="10"/>
        <v/>
      </c>
      <c r="G105" s="57" t="str">
        <f t="shared" si="11"/>
        <v/>
      </c>
      <c r="H105" s="57" t="str">
        <f t="shared" si="12"/>
        <v/>
      </c>
      <c r="I105" s="57" t="str">
        <f t="shared" si="13"/>
        <v/>
      </c>
      <c r="J105" s="57" t="str">
        <f t="shared" si="14"/>
        <v/>
      </c>
      <c r="K105" s="58" t="str">
        <f t="shared" si="15"/>
        <v/>
      </c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45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</row>
    <row r="106" spans="1:69" outlineLevel="3">
      <c r="A106" s="39"/>
      <c r="B106" s="43"/>
      <c r="C106" s="56" t="s">
        <v>361</v>
      </c>
      <c r="D106" s="57" t="str">
        <f t="shared" si="8"/>
        <v/>
      </c>
      <c r="E106" s="57" t="str">
        <f t="shared" si="9"/>
        <v/>
      </c>
      <c r="F106" s="57" t="str">
        <f t="shared" si="10"/>
        <v/>
      </c>
      <c r="G106" s="57" t="str">
        <f t="shared" si="11"/>
        <v/>
      </c>
      <c r="H106" s="57" t="str">
        <f t="shared" si="12"/>
        <v/>
      </c>
      <c r="I106" s="57" t="str">
        <f t="shared" si="13"/>
        <v/>
      </c>
      <c r="J106" s="57" t="str">
        <f t="shared" si="14"/>
        <v/>
      </c>
      <c r="K106" s="58" t="str">
        <f t="shared" si="15"/>
        <v/>
      </c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45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</row>
    <row r="107" spans="1:69" outlineLevel="4">
      <c r="A107" s="39"/>
      <c r="B107" s="43"/>
      <c r="C107" s="56" t="s">
        <v>362</v>
      </c>
      <c r="D107" s="57">
        <f t="shared" si="8"/>
        <v>17156500</v>
      </c>
      <c r="E107" s="57">
        <f t="shared" si="9"/>
        <v>23166534.375</v>
      </c>
      <c r="F107" s="57">
        <f t="shared" si="10"/>
        <v>2347000</v>
      </c>
      <c r="G107" s="57">
        <f t="shared" si="11"/>
        <v>89556000</v>
      </c>
      <c r="H107" s="57">
        <f t="shared" si="12"/>
        <v>5557000</v>
      </c>
      <c r="I107" s="57">
        <f t="shared" si="13"/>
        <v>28716000</v>
      </c>
      <c r="J107" s="57">
        <f t="shared" si="14"/>
        <v>22237075.143793434</v>
      </c>
      <c r="K107" s="58">
        <f t="shared" si="15"/>
        <v>0.95987922853883634</v>
      </c>
      <c r="M107" s="59">
        <v>89556000</v>
      </c>
      <c r="N107" s="59">
        <v>72385000</v>
      </c>
      <c r="O107" s="59">
        <v>61405000</v>
      </c>
      <c r="P107" s="59">
        <v>55256000</v>
      </c>
      <c r="Q107" s="59">
        <v>50960000</v>
      </c>
      <c r="R107" s="59">
        <v>41944000</v>
      </c>
      <c r="S107" s="59">
        <v>37543000</v>
      </c>
      <c r="T107" s="59">
        <v>26782000</v>
      </c>
      <c r="U107" s="59">
        <v>31410000</v>
      </c>
      <c r="V107" s="59">
        <v>27818000</v>
      </c>
      <c r="W107" s="59">
        <v>26681000</v>
      </c>
      <c r="X107" s="59">
        <v>24044000</v>
      </c>
      <c r="Y107" s="59">
        <v>23969000</v>
      </c>
      <c r="Z107" s="59">
        <v>23177000</v>
      </c>
      <c r="AA107" s="59">
        <v>20810000</v>
      </c>
      <c r="AB107" s="59">
        <v>18013000</v>
      </c>
      <c r="AC107" s="59">
        <v>16300000</v>
      </c>
      <c r="AD107" s="59">
        <v>13833000</v>
      </c>
      <c r="AE107" s="59">
        <v>11280000</v>
      </c>
      <c r="AF107" s="59">
        <v>9591000</v>
      </c>
      <c r="AG107" s="59">
        <v>8039000</v>
      </c>
      <c r="AH107" s="59">
        <v>8027000</v>
      </c>
      <c r="AI107" s="59">
        <v>8723000</v>
      </c>
      <c r="AJ107" s="59">
        <v>5790000</v>
      </c>
      <c r="AK107" s="59">
        <v>4858000</v>
      </c>
      <c r="AL107" s="59">
        <v>3976000</v>
      </c>
      <c r="AM107" s="59">
        <v>3478000</v>
      </c>
      <c r="AN107" s="59">
        <v>2347000</v>
      </c>
      <c r="AO107" s="59">
        <v>2949000</v>
      </c>
      <c r="AP107" s="59">
        <v>3144000</v>
      </c>
      <c r="AQ107" s="59">
        <v>3376600</v>
      </c>
      <c r="AR107" s="59">
        <v>3864500</v>
      </c>
      <c r="AS107" s="45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</row>
    <row r="108" spans="1:69" outlineLevel="4">
      <c r="A108" s="39"/>
      <c r="B108" s="43"/>
      <c r="C108" s="60" t="s">
        <v>363</v>
      </c>
      <c r="D108" s="61">
        <f t="shared" si="8"/>
        <v>17156500</v>
      </c>
      <c r="E108" s="61">
        <f t="shared" si="9"/>
        <v>23166534.375</v>
      </c>
      <c r="F108" s="61">
        <f t="shared" si="10"/>
        <v>2347000</v>
      </c>
      <c r="G108" s="61">
        <f t="shared" si="11"/>
        <v>89556000</v>
      </c>
      <c r="H108" s="61">
        <f t="shared" si="12"/>
        <v>5557000</v>
      </c>
      <c r="I108" s="61">
        <f t="shared" si="13"/>
        <v>28716000</v>
      </c>
      <c r="J108" s="61">
        <f t="shared" si="14"/>
        <v>22237075.143793434</v>
      </c>
      <c r="K108" s="62">
        <f t="shared" si="15"/>
        <v>0.95987922853883634</v>
      </c>
      <c r="L108" s="41"/>
      <c r="M108" s="63">
        <v>89556000</v>
      </c>
      <c r="N108" s="63">
        <v>72385000</v>
      </c>
      <c r="O108" s="63">
        <v>61405000</v>
      </c>
      <c r="P108" s="63">
        <v>55256000</v>
      </c>
      <c r="Q108" s="63">
        <v>50960000</v>
      </c>
      <c r="R108" s="63">
        <v>41944000</v>
      </c>
      <c r="S108" s="63">
        <v>37543000</v>
      </c>
      <c r="T108" s="63">
        <v>26782000</v>
      </c>
      <c r="U108" s="63">
        <v>31410000</v>
      </c>
      <c r="V108" s="63">
        <v>27818000</v>
      </c>
      <c r="W108" s="63">
        <v>26681000</v>
      </c>
      <c r="X108" s="63">
        <v>24044000</v>
      </c>
      <c r="Y108" s="63">
        <v>23969000</v>
      </c>
      <c r="Z108" s="63">
        <v>23177000</v>
      </c>
      <c r="AA108" s="63">
        <v>20810000</v>
      </c>
      <c r="AB108" s="63">
        <v>18013000</v>
      </c>
      <c r="AC108" s="63">
        <v>16300000</v>
      </c>
      <c r="AD108" s="63">
        <v>13833000</v>
      </c>
      <c r="AE108" s="63">
        <v>11280000</v>
      </c>
      <c r="AF108" s="63">
        <v>9591000</v>
      </c>
      <c r="AG108" s="63">
        <v>8039000</v>
      </c>
      <c r="AH108" s="63">
        <v>8027000</v>
      </c>
      <c r="AI108" s="63">
        <v>8723000</v>
      </c>
      <c r="AJ108" s="63">
        <v>5790000</v>
      </c>
      <c r="AK108" s="63">
        <v>4858000</v>
      </c>
      <c r="AL108" s="63">
        <v>3976000</v>
      </c>
      <c r="AM108" s="63">
        <v>3478000</v>
      </c>
      <c r="AN108" s="63">
        <v>2347000</v>
      </c>
      <c r="AO108" s="63">
        <v>2949000</v>
      </c>
      <c r="AP108" s="63">
        <v>3144000</v>
      </c>
      <c r="AQ108" s="63">
        <v>3376600</v>
      </c>
      <c r="AR108" s="63">
        <v>3864500</v>
      </c>
      <c r="AS108" s="45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</row>
    <row r="109" spans="1:69" outlineLevel="3">
      <c r="A109" s="39"/>
      <c r="B109" s="43"/>
      <c r="C109" s="56" t="s">
        <v>364</v>
      </c>
      <c r="D109" s="57">
        <f t="shared" si="8"/>
        <v>538000</v>
      </c>
      <c r="E109" s="57">
        <f t="shared" si="9"/>
        <v>1018722.2222222222</v>
      </c>
      <c r="F109" s="57">
        <f t="shared" si="10"/>
        <v>170000</v>
      </c>
      <c r="G109" s="57">
        <f t="shared" si="11"/>
        <v>2909000</v>
      </c>
      <c r="H109" s="57">
        <f t="shared" si="12"/>
        <v>474000</v>
      </c>
      <c r="I109" s="57">
        <f t="shared" si="13"/>
        <v>1584500</v>
      </c>
      <c r="J109" s="57">
        <f t="shared" si="14"/>
        <v>885579.82372172782</v>
      </c>
      <c r="K109" s="58">
        <f t="shared" si="15"/>
        <v>0.86930451147903698</v>
      </c>
      <c r="M109" s="59">
        <v>2148000</v>
      </c>
      <c r="N109" s="59">
        <v>2008000</v>
      </c>
      <c r="O109" s="59">
        <v>2741000</v>
      </c>
      <c r="P109" s="59">
        <v>2909000</v>
      </c>
      <c r="Q109" s="59">
        <v>1713000</v>
      </c>
      <c r="R109" s="59">
        <v>1199000</v>
      </c>
      <c r="S109" s="59">
        <v>863000</v>
      </c>
      <c r="T109" s="59">
        <v>516000</v>
      </c>
      <c r="U109" s="59">
        <v>535000</v>
      </c>
      <c r="V109" s="59">
        <v>477000</v>
      </c>
      <c r="W109" s="59">
        <v>530000</v>
      </c>
      <c r="X109" s="59">
        <v>466000</v>
      </c>
      <c r="Y109" s="59">
        <v>473000</v>
      </c>
      <c r="Z109" s="59">
        <v>587000</v>
      </c>
      <c r="AA109" s="59">
        <v>541000</v>
      </c>
      <c r="AB109" s="59">
        <v>243000</v>
      </c>
      <c r="AC109" s="59">
        <v>170000</v>
      </c>
      <c r="AD109" s="59">
        <v>218000</v>
      </c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45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</row>
    <row r="110" spans="1:69" outlineLevel="3">
      <c r="A110" s="39"/>
      <c r="B110" s="43"/>
      <c r="C110" s="60" t="s">
        <v>365</v>
      </c>
      <c r="D110" s="61">
        <f t="shared" si="8"/>
        <v>17363000</v>
      </c>
      <c r="E110" s="61">
        <f t="shared" si="9"/>
        <v>23739565.625</v>
      </c>
      <c r="F110" s="61">
        <f t="shared" si="10"/>
        <v>2347000</v>
      </c>
      <c r="G110" s="61">
        <f t="shared" si="11"/>
        <v>91704000</v>
      </c>
      <c r="H110" s="61">
        <f t="shared" si="12"/>
        <v>5557000</v>
      </c>
      <c r="I110" s="61">
        <f t="shared" si="13"/>
        <v>29207500</v>
      </c>
      <c r="J110" s="61">
        <f t="shared" si="14"/>
        <v>23004709.108923756</v>
      </c>
      <c r="K110" s="62">
        <f t="shared" si="15"/>
        <v>0.96904507320460942</v>
      </c>
      <c r="L110" s="41"/>
      <c r="M110" s="63">
        <v>91704000</v>
      </c>
      <c r="N110" s="63">
        <v>74393000</v>
      </c>
      <c r="O110" s="63">
        <v>64146000</v>
      </c>
      <c r="P110" s="63">
        <v>58165000</v>
      </c>
      <c r="Q110" s="63">
        <v>52673000</v>
      </c>
      <c r="R110" s="63">
        <v>43143000</v>
      </c>
      <c r="S110" s="63">
        <v>38406000</v>
      </c>
      <c r="T110" s="63">
        <v>27298000</v>
      </c>
      <c r="U110" s="63">
        <v>31945000</v>
      </c>
      <c r="V110" s="63">
        <v>28295000</v>
      </c>
      <c r="W110" s="63">
        <v>27211000</v>
      </c>
      <c r="X110" s="63">
        <v>24510000</v>
      </c>
      <c r="Y110" s="63">
        <v>24442000</v>
      </c>
      <c r="Z110" s="63">
        <v>23764000</v>
      </c>
      <c r="AA110" s="63">
        <v>21351000</v>
      </c>
      <c r="AB110" s="63">
        <v>18256000</v>
      </c>
      <c r="AC110" s="63">
        <v>16470000</v>
      </c>
      <c r="AD110" s="63">
        <v>14051000</v>
      </c>
      <c r="AE110" s="63">
        <v>11280000</v>
      </c>
      <c r="AF110" s="63">
        <v>9591000</v>
      </c>
      <c r="AG110" s="63">
        <v>8039000</v>
      </c>
      <c r="AH110" s="63">
        <v>8027000</v>
      </c>
      <c r="AI110" s="63">
        <v>8723000</v>
      </c>
      <c r="AJ110" s="63">
        <v>5790000</v>
      </c>
      <c r="AK110" s="63">
        <v>4858000</v>
      </c>
      <c r="AL110" s="63">
        <v>3976000</v>
      </c>
      <c r="AM110" s="63">
        <v>3478000</v>
      </c>
      <c r="AN110" s="63">
        <v>2347000</v>
      </c>
      <c r="AO110" s="63">
        <v>2949000</v>
      </c>
      <c r="AP110" s="63">
        <v>3144000</v>
      </c>
      <c r="AQ110" s="63">
        <v>3376600</v>
      </c>
      <c r="AR110" s="63">
        <v>3864500</v>
      </c>
      <c r="AS110" s="45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</row>
    <row r="111" spans="1:69" outlineLevel="2">
      <c r="A111" s="39"/>
      <c r="B111" s="43"/>
      <c r="C111" s="56" t="s">
        <v>366</v>
      </c>
      <c r="D111" s="57" t="str">
        <f t="shared" si="8"/>
        <v/>
      </c>
      <c r="E111" s="57" t="str">
        <f t="shared" si="9"/>
        <v/>
      </c>
      <c r="F111" s="57" t="str">
        <f t="shared" si="10"/>
        <v/>
      </c>
      <c r="G111" s="57" t="str">
        <f t="shared" si="11"/>
        <v/>
      </c>
      <c r="H111" s="57" t="str">
        <f t="shared" si="12"/>
        <v/>
      </c>
      <c r="I111" s="57" t="str">
        <f t="shared" si="13"/>
        <v/>
      </c>
      <c r="J111" s="57" t="str">
        <f t="shared" si="14"/>
        <v/>
      </c>
      <c r="K111" s="58" t="str">
        <f t="shared" si="15"/>
        <v/>
      </c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45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</row>
    <row r="112" spans="1:69" outlineLevel="3">
      <c r="A112" s="39"/>
      <c r="B112" s="43"/>
      <c r="C112" s="56" t="s">
        <v>367</v>
      </c>
      <c r="D112" s="57">
        <f t="shared" si="8"/>
        <v>3245000</v>
      </c>
      <c r="E112" s="57">
        <f t="shared" si="9"/>
        <v>3174470.588235294</v>
      </c>
      <c r="F112" s="57">
        <f t="shared" si="10"/>
        <v>1639000</v>
      </c>
      <c r="G112" s="57">
        <f t="shared" si="11"/>
        <v>4243000</v>
      </c>
      <c r="H112" s="57">
        <f t="shared" si="12"/>
        <v>3031000</v>
      </c>
      <c r="I112" s="57">
        <f t="shared" si="13"/>
        <v>3528000</v>
      </c>
      <c r="J112" s="57">
        <f t="shared" si="14"/>
        <v>619421.31437809183</v>
      </c>
      <c r="K112" s="58">
        <f t="shared" si="15"/>
        <v>0.19512586340339402</v>
      </c>
      <c r="M112" s="59">
        <v>3669000</v>
      </c>
      <c r="N112" s="59">
        <v>3671000</v>
      </c>
      <c r="O112" s="59">
        <v>3403000</v>
      </c>
      <c r="P112" s="59">
        <v>3245000</v>
      </c>
      <c r="Q112" s="59">
        <v>3082000</v>
      </c>
      <c r="R112" s="59">
        <v>3057000</v>
      </c>
      <c r="S112" s="59">
        <v>3457000</v>
      </c>
      <c r="T112" s="59">
        <v>3135000</v>
      </c>
      <c r="U112" s="59">
        <v>3031000</v>
      </c>
      <c r="V112" s="59">
        <v>2736000</v>
      </c>
      <c r="W112" s="59">
        <v>2469000</v>
      </c>
      <c r="X112" s="59">
        <v>4243000</v>
      </c>
      <c r="Y112" s="59">
        <v>3932000</v>
      </c>
      <c r="Z112" s="59">
        <v>3528000</v>
      </c>
      <c r="AA112" s="59">
        <v>3251000</v>
      </c>
      <c r="AB112" s="59">
        <v>1639000</v>
      </c>
      <c r="AC112" s="59">
        <v>2418000</v>
      </c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45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</row>
    <row r="113" spans="1:69" outlineLevel="3">
      <c r="A113" s="39"/>
      <c r="B113" s="43"/>
      <c r="C113" s="60" t="s">
        <v>368</v>
      </c>
      <c r="D113" s="61">
        <f t="shared" si="8"/>
        <v>3245000</v>
      </c>
      <c r="E113" s="61">
        <f t="shared" si="9"/>
        <v>3174470.588235294</v>
      </c>
      <c r="F113" s="61">
        <f t="shared" si="10"/>
        <v>1639000</v>
      </c>
      <c r="G113" s="61">
        <f t="shared" si="11"/>
        <v>4243000</v>
      </c>
      <c r="H113" s="61">
        <f t="shared" si="12"/>
        <v>3031000</v>
      </c>
      <c r="I113" s="61">
        <f t="shared" si="13"/>
        <v>3528000</v>
      </c>
      <c r="J113" s="61">
        <f t="shared" si="14"/>
        <v>619421.31437809183</v>
      </c>
      <c r="K113" s="62">
        <f t="shared" si="15"/>
        <v>0.19512586340339402</v>
      </c>
      <c r="L113" s="41"/>
      <c r="M113" s="63">
        <v>3669000</v>
      </c>
      <c r="N113" s="63">
        <v>3671000</v>
      </c>
      <c r="O113" s="63">
        <v>3403000</v>
      </c>
      <c r="P113" s="63">
        <v>3245000</v>
      </c>
      <c r="Q113" s="63">
        <v>3082000</v>
      </c>
      <c r="R113" s="63">
        <v>3057000</v>
      </c>
      <c r="S113" s="63">
        <v>3457000</v>
      </c>
      <c r="T113" s="63">
        <v>3135000</v>
      </c>
      <c r="U113" s="63">
        <v>3031000</v>
      </c>
      <c r="V113" s="63">
        <v>2736000</v>
      </c>
      <c r="W113" s="63">
        <v>2469000</v>
      </c>
      <c r="X113" s="63">
        <v>4243000</v>
      </c>
      <c r="Y113" s="63">
        <v>3932000</v>
      </c>
      <c r="Z113" s="63">
        <v>3528000</v>
      </c>
      <c r="AA113" s="63">
        <v>3251000</v>
      </c>
      <c r="AB113" s="63">
        <v>1639000</v>
      </c>
      <c r="AC113" s="63">
        <v>2418000</v>
      </c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45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</row>
    <row r="114" spans="1:69" outlineLevel="2">
      <c r="A114" s="39"/>
      <c r="B114" s="43"/>
      <c r="C114" s="56" t="s">
        <v>369</v>
      </c>
      <c r="D114" s="57" t="str">
        <f t="shared" si="8"/>
        <v/>
      </c>
      <c r="E114" s="57" t="str">
        <f t="shared" si="9"/>
        <v/>
      </c>
      <c r="F114" s="57" t="str">
        <f t="shared" si="10"/>
        <v/>
      </c>
      <c r="G114" s="57" t="str">
        <f t="shared" si="11"/>
        <v/>
      </c>
      <c r="H114" s="57" t="str">
        <f t="shared" si="12"/>
        <v/>
      </c>
      <c r="I114" s="57" t="str">
        <f t="shared" si="13"/>
        <v/>
      </c>
      <c r="J114" s="57" t="str">
        <f t="shared" si="14"/>
        <v/>
      </c>
      <c r="K114" s="58" t="str">
        <f t="shared" si="15"/>
        <v/>
      </c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45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</row>
    <row r="115" spans="1:69" outlineLevel="3">
      <c r="A115" s="39"/>
      <c r="B115" s="43"/>
      <c r="C115" s="56" t="s">
        <v>370</v>
      </c>
      <c r="D115" s="57">
        <f t="shared" si="8"/>
        <v>4984500</v>
      </c>
      <c r="E115" s="57">
        <f t="shared" si="9"/>
        <v>5456621.875</v>
      </c>
      <c r="F115" s="57">
        <f t="shared" si="10"/>
        <v>1079000</v>
      </c>
      <c r="G115" s="57">
        <f t="shared" si="11"/>
        <v>12359000</v>
      </c>
      <c r="H115" s="57">
        <f t="shared" si="12"/>
        <v>1808425</v>
      </c>
      <c r="I115" s="57">
        <f t="shared" si="13"/>
        <v>8322750</v>
      </c>
      <c r="J115" s="57">
        <f t="shared" si="14"/>
        <v>3587598.7855779305</v>
      </c>
      <c r="K115" s="58">
        <f t="shared" si="15"/>
        <v>0.65747615791646374</v>
      </c>
      <c r="M115" s="59">
        <v>12359000</v>
      </c>
      <c r="N115" s="59">
        <v>11749000</v>
      </c>
      <c r="O115" s="59">
        <v>10142000</v>
      </c>
      <c r="P115" s="59">
        <v>9072000</v>
      </c>
      <c r="Q115" s="59">
        <v>8310000</v>
      </c>
      <c r="R115" s="59">
        <v>8020000</v>
      </c>
      <c r="S115" s="59">
        <v>8361000</v>
      </c>
      <c r="T115" s="59">
        <v>7367000</v>
      </c>
      <c r="U115" s="59">
        <v>5764000</v>
      </c>
      <c r="V115" s="59">
        <v>11101000</v>
      </c>
      <c r="W115" s="59">
        <v>9827000</v>
      </c>
      <c r="X115" s="59">
        <v>9261000</v>
      </c>
      <c r="Y115" s="59">
        <v>8144000</v>
      </c>
      <c r="Z115" s="59">
        <v>6703000</v>
      </c>
      <c r="AA115" s="59">
        <v>5681000</v>
      </c>
      <c r="AB115" s="59">
        <v>5109000</v>
      </c>
      <c r="AC115" s="59">
        <v>4860000</v>
      </c>
      <c r="AD115" s="59">
        <v>4231000</v>
      </c>
      <c r="AE115" s="59">
        <v>3821000</v>
      </c>
      <c r="AF115" s="59">
        <v>3432000</v>
      </c>
      <c r="AG115" s="59">
        <v>3077000</v>
      </c>
      <c r="AH115" s="59">
        <v>2766000</v>
      </c>
      <c r="AI115" s="59">
        <v>2255000</v>
      </c>
      <c r="AJ115" s="59">
        <v>1547000</v>
      </c>
      <c r="AK115" s="59">
        <v>1442000</v>
      </c>
      <c r="AL115" s="59">
        <v>1378000</v>
      </c>
      <c r="AM115" s="59">
        <v>1079000</v>
      </c>
      <c r="AN115" s="59">
        <v>1255000</v>
      </c>
      <c r="AO115" s="59">
        <v>1473000</v>
      </c>
      <c r="AP115" s="59">
        <v>1531000</v>
      </c>
      <c r="AQ115" s="59">
        <v>1869400</v>
      </c>
      <c r="AR115" s="59">
        <v>1625500</v>
      </c>
      <c r="AS115" s="45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</row>
    <row r="116" spans="1:69" outlineLevel="3">
      <c r="A116" s="39"/>
      <c r="B116" s="43"/>
      <c r="C116" s="60" t="s">
        <v>371</v>
      </c>
      <c r="D116" s="61">
        <f t="shared" si="8"/>
        <v>4984500</v>
      </c>
      <c r="E116" s="61">
        <f t="shared" si="9"/>
        <v>5456621.875</v>
      </c>
      <c r="F116" s="61">
        <f t="shared" si="10"/>
        <v>1079000</v>
      </c>
      <c r="G116" s="61">
        <f t="shared" si="11"/>
        <v>12359000</v>
      </c>
      <c r="H116" s="61">
        <f t="shared" si="12"/>
        <v>1808425</v>
      </c>
      <c r="I116" s="61">
        <f t="shared" si="13"/>
        <v>8322750</v>
      </c>
      <c r="J116" s="61">
        <f t="shared" si="14"/>
        <v>3587598.7855779305</v>
      </c>
      <c r="K116" s="62">
        <f t="shared" si="15"/>
        <v>0.65747615791646374</v>
      </c>
      <c r="L116" s="41"/>
      <c r="M116" s="63">
        <v>12359000</v>
      </c>
      <c r="N116" s="63">
        <v>11749000</v>
      </c>
      <c r="O116" s="63">
        <v>10142000</v>
      </c>
      <c r="P116" s="63">
        <v>9072000</v>
      </c>
      <c r="Q116" s="63">
        <v>8310000</v>
      </c>
      <c r="R116" s="63">
        <v>8020000</v>
      </c>
      <c r="S116" s="63">
        <v>8361000</v>
      </c>
      <c r="T116" s="63">
        <v>7367000</v>
      </c>
      <c r="U116" s="63">
        <v>5764000</v>
      </c>
      <c r="V116" s="63">
        <v>11101000</v>
      </c>
      <c r="W116" s="63">
        <v>9827000</v>
      </c>
      <c r="X116" s="63">
        <v>9261000</v>
      </c>
      <c r="Y116" s="63">
        <v>8144000</v>
      </c>
      <c r="Z116" s="63">
        <v>6703000</v>
      </c>
      <c r="AA116" s="63">
        <v>5681000</v>
      </c>
      <c r="AB116" s="63">
        <v>5109000</v>
      </c>
      <c r="AC116" s="63">
        <v>4860000</v>
      </c>
      <c r="AD116" s="63">
        <v>4231000</v>
      </c>
      <c r="AE116" s="63">
        <v>3821000</v>
      </c>
      <c r="AF116" s="63">
        <v>3432000</v>
      </c>
      <c r="AG116" s="63">
        <v>3077000</v>
      </c>
      <c r="AH116" s="63">
        <v>2766000</v>
      </c>
      <c r="AI116" s="63">
        <v>2255000</v>
      </c>
      <c r="AJ116" s="63">
        <v>1547000</v>
      </c>
      <c r="AK116" s="63">
        <v>1442000</v>
      </c>
      <c r="AL116" s="63">
        <v>1378000</v>
      </c>
      <c r="AM116" s="63">
        <v>1079000</v>
      </c>
      <c r="AN116" s="63">
        <v>1255000</v>
      </c>
      <c r="AO116" s="63">
        <v>1473000</v>
      </c>
      <c r="AP116" s="63">
        <v>1531000</v>
      </c>
      <c r="AQ116" s="63">
        <v>1869400</v>
      </c>
      <c r="AR116" s="63">
        <v>1625500</v>
      </c>
      <c r="AS116" s="45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</row>
    <row r="117" spans="1:69" outlineLevel="2">
      <c r="A117" s="39"/>
      <c r="B117" s="43"/>
      <c r="C117" s="56" t="s">
        <v>372</v>
      </c>
      <c r="D117" s="57">
        <f t="shared" si="8"/>
        <v>1076000</v>
      </c>
      <c r="E117" s="57">
        <f t="shared" si="9"/>
        <v>842685.71428571432</v>
      </c>
      <c r="F117" s="57">
        <f t="shared" si="10"/>
        <v>-3015000</v>
      </c>
      <c r="G117" s="57">
        <f t="shared" si="11"/>
        <v>5403000</v>
      </c>
      <c r="H117" s="57">
        <f t="shared" si="12"/>
        <v>-1516050</v>
      </c>
      <c r="I117" s="57">
        <f t="shared" si="13"/>
        <v>2528250</v>
      </c>
      <c r="J117" s="57">
        <f t="shared" si="14"/>
        <v>2678918.2773469025</v>
      </c>
      <c r="K117" s="58">
        <f t="shared" si="15"/>
        <v>3.1790241983841319</v>
      </c>
      <c r="M117" s="59"/>
      <c r="N117" s="59"/>
      <c r="O117" s="59"/>
      <c r="P117" s="59"/>
      <c r="Q117" s="59"/>
      <c r="R117" s="59"/>
      <c r="S117" s="59"/>
      <c r="T117" s="59"/>
      <c r="U117" s="59">
        <v>5403000</v>
      </c>
      <c r="V117" s="59">
        <v>4656000</v>
      </c>
      <c r="W117" s="59">
        <v>3142000</v>
      </c>
      <c r="X117" s="59">
        <v>2704000</v>
      </c>
      <c r="Y117" s="59">
        <v>2001000</v>
      </c>
      <c r="Z117" s="59">
        <v>1784000</v>
      </c>
      <c r="AA117" s="59">
        <v>1203000</v>
      </c>
      <c r="AB117" s="59">
        <v>949000</v>
      </c>
      <c r="AC117" s="59">
        <v>700000</v>
      </c>
      <c r="AD117" s="59"/>
      <c r="AE117" s="59"/>
      <c r="AF117" s="59"/>
      <c r="AG117" s="59">
        <v>-3015000</v>
      </c>
      <c r="AH117" s="59">
        <v>-2685000</v>
      </c>
      <c r="AI117" s="59">
        <v>-2155000</v>
      </c>
      <c r="AJ117" s="59"/>
      <c r="AK117" s="59">
        <v>-1302000</v>
      </c>
      <c r="AL117" s="59"/>
      <c r="AM117" s="59"/>
      <c r="AN117" s="59"/>
      <c r="AO117" s="59"/>
      <c r="AP117" s="59"/>
      <c r="AQ117" s="59">
        <v>-1587400</v>
      </c>
      <c r="AR117" s="59"/>
      <c r="AS117" s="45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</row>
    <row r="118" spans="1:69" outlineLevel="2">
      <c r="A118" s="39"/>
      <c r="B118" s="43"/>
      <c r="C118" s="56" t="s">
        <v>373</v>
      </c>
      <c r="D118" s="57" t="str">
        <f t="shared" si="8"/>
        <v/>
      </c>
      <c r="E118" s="57" t="str">
        <f t="shared" si="9"/>
        <v/>
      </c>
      <c r="F118" s="57" t="str">
        <f t="shared" si="10"/>
        <v/>
      </c>
      <c r="G118" s="57" t="str">
        <f t="shared" si="11"/>
        <v/>
      </c>
      <c r="H118" s="57" t="str">
        <f t="shared" si="12"/>
        <v/>
      </c>
      <c r="I118" s="57" t="str">
        <f t="shared" si="13"/>
        <v/>
      </c>
      <c r="J118" s="57" t="str">
        <f t="shared" si="14"/>
        <v/>
      </c>
      <c r="K118" s="58" t="str">
        <f t="shared" si="15"/>
        <v/>
      </c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45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</row>
    <row r="119" spans="1:69" outlineLevel="3">
      <c r="A119" s="39"/>
      <c r="B119" s="43"/>
      <c r="C119" s="56" t="s">
        <v>374</v>
      </c>
      <c r="D119" s="57">
        <f t="shared" si="8"/>
        <v>1927000</v>
      </c>
      <c r="E119" s="57">
        <f t="shared" si="9"/>
        <v>1972500</v>
      </c>
      <c r="F119" s="57">
        <f t="shared" si="10"/>
        <v>1839000</v>
      </c>
      <c r="G119" s="57">
        <f t="shared" si="11"/>
        <v>2197000</v>
      </c>
      <c r="H119" s="57">
        <f t="shared" si="12"/>
        <v>1887750</v>
      </c>
      <c r="I119" s="57">
        <f t="shared" si="13"/>
        <v>2011750</v>
      </c>
      <c r="J119" s="57">
        <f t="shared" si="14"/>
        <v>156440.61706176779</v>
      </c>
      <c r="K119" s="58">
        <f t="shared" si="15"/>
        <v>7.9310832477448814E-2</v>
      </c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>
        <v>1904000</v>
      </c>
      <c r="Y119" s="59">
        <v>1839000</v>
      </c>
      <c r="Z119" s="59">
        <v>1950000</v>
      </c>
      <c r="AA119" s="59">
        <v>2197000</v>
      </c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45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</row>
    <row r="120" spans="1:69" outlineLevel="3">
      <c r="A120" s="39"/>
      <c r="B120" s="43"/>
      <c r="C120" s="60" t="s">
        <v>375</v>
      </c>
      <c r="D120" s="61">
        <f t="shared" si="8"/>
        <v>1927000</v>
      </c>
      <c r="E120" s="61">
        <f t="shared" si="9"/>
        <v>1972500</v>
      </c>
      <c r="F120" s="61">
        <f t="shared" si="10"/>
        <v>1839000</v>
      </c>
      <c r="G120" s="61">
        <f t="shared" si="11"/>
        <v>2197000</v>
      </c>
      <c r="H120" s="61">
        <f t="shared" si="12"/>
        <v>1887750</v>
      </c>
      <c r="I120" s="61">
        <f t="shared" si="13"/>
        <v>2011750</v>
      </c>
      <c r="J120" s="61">
        <f t="shared" si="14"/>
        <v>156440.61706176779</v>
      </c>
      <c r="K120" s="62">
        <f t="shared" si="15"/>
        <v>7.9310832477448814E-2</v>
      </c>
      <c r="L120" s="41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>
        <v>1904000</v>
      </c>
      <c r="Y120" s="63">
        <v>1839000</v>
      </c>
      <c r="Z120" s="63">
        <v>1950000</v>
      </c>
      <c r="AA120" s="63">
        <v>2197000</v>
      </c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45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</row>
    <row r="121" spans="1:69" outlineLevel="2">
      <c r="A121" s="39"/>
      <c r="B121" s="43"/>
      <c r="C121" s="56" t="s">
        <v>376</v>
      </c>
      <c r="D121" s="57">
        <f t="shared" si="8"/>
        <v>9009000</v>
      </c>
      <c r="E121" s="57">
        <f t="shared" si="9"/>
        <v>6845333.333333333</v>
      </c>
      <c r="F121" s="57">
        <f t="shared" si="10"/>
        <v>309000</v>
      </c>
      <c r="G121" s="57">
        <f t="shared" si="11"/>
        <v>11474000</v>
      </c>
      <c r="H121" s="57">
        <f t="shared" si="12"/>
        <v>2541000</v>
      </c>
      <c r="I121" s="57">
        <f t="shared" si="13"/>
        <v>10342000</v>
      </c>
      <c r="J121" s="57">
        <f t="shared" si="14"/>
        <v>4476499.2806347925</v>
      </c>
      <c r="K121" s="58">
        <f t="shared" si="15"/>
        <v>0.65394905735802389</v>
      </c>
      <c r="M121" s="59">
        <v>11474000</v>
      </c>
      <c r="N121" s="59">
        <v>10635000</v>
      </c>
      <c r="O121" s="59">
        <v>10049000</v>
      </c>
      <c r="P121" s="59">
        <v>9626000</v>
      </c>
      <c r="Q121" s="59">
        <v>11273000</v>
      </c>
      <c r="R121" s="59">
        <v>10735000</v>
      </c>
      <c r="S121" s="59">
        <v>9936000</v>
      </c>
      <c r="T121" s="59">
        <v>9009000</v>
      </c>
      <c r="U121" s="59">
        <v>8765000</v>
      </c>
      <c r="V121" s="59">
        <v>4906000</v>
      </c>
      <c r="W121" s="59">
        <v>4606000</v>
      </c>
      <c r="X121" s="59">
        <v>476000</v>
      </c>
      <c r="Y121" s="59">
        <v>462000</v>
      </c>
      <c r="Z121" s="59">
        <v>309000</v>
      </c>
      <c r="AA121" s="59">
        <v>419000</v>
      </c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45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</row>
    <row r="122" spans="1:69" outlineLevel="2">
      <c r="A122" s="39"/>
      <c r="B122" s="43"/>
      <c r="C122" s="56" t="s">
        <v>377</v>
      </c>
      <c r="D122" s="57">
        <f t="shared" si="8"/>
        <v>2242000</v>
      </c>
      <c r="E122" s="57">
        <f t="shared" si="9"/>
        <v>2562529.411764706</v>
      </c>
      <c r="F122" s="57">
        <f t="shared" si="10"/>
        <v>1257000</v>
      </c>
      <c r="G122" s="57">
        <f t="shared" si="11"/>
        <v>5676000</v>
      </c>
      <c r="H122" s="57">
        <f t="shared" si="12"/>
        <v>1676000</v>
      </c>
      <c r="I122" s="57">
        <f t="shared" si="13"/>
        <v>2762000</v>
      </c>
      <c r="J122" s="57">
        <f t="shared" si="14"/>
        <v>1250495.3577306406</v>
      </c>
      <c r="K122" s="58">
        <f t="shared" si="15"/>
        <v>0.48799258731999379</v>
      </c>
      <c r="M122" s="59">
        <v>4219000</v>
      </c>
      <c r="N122" s="59">
        <v>3480000</v>
      </c>
      <c r="O122" s="59">
        <v>2762000</v>
      </c>
      <c r="P122" s="59">
        <v>2696000</v>
      </c>
      <c r="Q122" s="59">
        <v>2468000</v>
      </c>
      <c r="R122" s="59">
        <v>2242000</v>
      </c>
      <c r="S122" s="59">
        <v>1831000</v>
      </c>
      <c r="T122" s="59">
        <v>1449000</v>
      </c>
      <c r="U122" s="59">
        <v>2281000</v>
      </c>
      <c r="V122" s="59">
        <v>2049000</v>
      </c>
      <c r="W122" s="59">
        <v>2005000</v>
      </c>
      <c r="X122" s="59">
        <v>1676000</v>
      </c>
      <c r="Y122" s="59">
        <v>1257000</v>
      </c>
      <c r="Z122" s="59">
        <v>1454000</v>
      </c>
      <c r="AA122" s="59">
        <v>1424000</v>
      </c>
      <c r="AB122" s="59">
        <v>5676000</v>
      </c>
      <c r="AC122" s="59">
        <v>4594000</v>
      </c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45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</row>
    <row r="123" spans="1:69" outlineLevel="2">
      <c r="A123" s="39"/>
      <c r="B123" s="43"/>
      <c r="C123" s="60" t="s">
        <v>378</v>
      </c>
      <c r="D123" s="61">
        <f t="shared" si="8"/>
        <v>53743000</v>
      </c>
      <c r="E123" s="61">
        <f t="shared" si="9"/>
        <v>61096647.058823526</v>
      </c>
      <c r="F123" s="61">
        <f t="shared" si="10"/>
        <v>29042000</v>
      </c>
      <c r="G123" s="61">
        <f t="shared" si="11"/>
        <v>123425000</v>
      </c>
      <c r="H123" s="61">
        <f t="shared" si="12"/>
        <v>42077000</v>
      </c>
      <c r="I123" s="61">
        <f t="shared" si="13"/>
        <v>77806000</v>
      </c>
      <c r="J123" s="61">
        <f t="shared" si="14"/>
        <v>26682589.182698283</v>
      </c>
      <c r="K123" s="62">
        <f t="shared" si="15"/>
        <v>0.43672755326504953</v>
      </c>
      <c r="L123" s="41"/>
      <c r="M123" s="63">
        <v>123425000</v>
      </c>
      <c r="N123" s="63">
        <v>103928000</v>
      </c>
      <c r="O123" s="63">
        <v>90502000</v>
      </c>
      <c r="P123" s="63">
        <v>82804000</v>
      </c>
      <c r="Q123" s="63">
        <v>77806000</v>
      </c>
      <c r="R123" s="63">
        <v>67197000</v>
      </c>
      <c r="S123" s="63">
        <v>61991000</v>
      </c>
      <c r="T123" s="63">
        <v>48258000</v>
      </c>
      <c r="U123" s="63">
        <v>57189000</v>
      </c>
      <c r="V123" s="63">
        <v>53743000</v>
      </c>
      <c r="W123" s="63">
        <v>49260000</v>
      </c>
      <c r="X123" s="63">
        <v>44774000</v>
      </c>
      <c r="Y123" s="63">
        <v>42077000</v>
      </c>
      <c r="Z123" s="63">
        <v>39492000</v>
      </c>
      <c r="AA123" s="63">
        <v>35526000</v>
      </c>
      <c r="AB123" s="63">
        <v>31629000</v>
      </c>
      <c r="AC123" s="63">
        <v>29042000</v>
      </c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45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</row>
    <row r="124" spans="1:69" outlineLevel="1">
      <c r="A124" s="39"/>
      <c r="B124" s="43"/>
      <c r="C124" s="53" t="s">
        <v>379</v>
      </c>
      <c r="D124" s="61">
        <f t="shared" si="8"/>
        <v>37012000</v>
      </c>
      <c r="E124" s="61">
        <f t="shared" si="9"/>
        <v>47553412.5</v>
      </c>
      <c r="F124" s="61">
        <f t="shared" si="10"/>
        <v>6677000</v>
      </c>
      <c r="G124" s="61">
        <f t="shared" si="11"/>
        <v>146242000</v>
      </c>
      <c r="H124" s="61">
        <f t="shared" si="12"/>
        <v>15232250</v>
      </c>
      <c r="I124" s="61">
        <f t="shared" si="13"/>
        <v>66473750</v>
      </c>
      <c r="J124" s="61">
        <f t="shared" si="14"/>
        <v>39146240.25813438</v>
      </c>
      <c r="K124" s="62">
        <f t="shared" si="15"/>
        <v>0.823205700708322</v>
      </c>
      <c r="L124" s="64"/>
      <c r="M124" s="61">
        <v>146242000</v>
      </c>
      <c r="N124" s="61">
        <v>129283000</v>
      </c>
      <c r="O124" s="61">
        <v>118465000</v>
      </c>
      <c r="P124" s="61">
        <v>109499000</v>
      </c>
      <c r="Q124" s="61">
        <v>95243000</v>
      </c>
      <c r="R124" s="61">
        <v>82755000</v>
      </c>
      <c r="S124" s="61">
        <v>75844000</v>
      </c>
      <c r="T124" s="61">
        <v>65821000</v>
      </c>
      <c r="U124" s="61">
        <v>68432000</v>
      </c>
      <c r="V124" s="61">
        <v>64662000</v>
      </c>
      <c r="W124" s="61">
        <v>59367000</v>
      </c>
      <c r="X124" s="61">
        <v>54437000</v>
      </c>
      <c r="Y124" s="61">
        <v>51266000</v>
      </c>
      <c r="Z124" s="61">
        <v>48371000</v>
      </c>
      <c r="AA124" s="61">
        <v>42245000</v>
      </c>
      <c r="AB124" s="61">
        <v>38533000</v>
      </c>
      <c r="AC124" s="61">
        <v>35491000</v>
      </c>
      <c r="AD124" s="61">
        <v>33140000</v>
      </c>
      <c r="AE124" s="61">
        <v>29388000</v>
      </c>
      <c r="AF124" s="61">
        <v>25892000</v>
      </c>
      <c r="AG124" s="61">
        <v>24505000</v>
      </c>
      <c r="AH124" s="61">
        <v>20796000</v>
      </c>
      <c r="AI124" s="61">
        <v>19963000</v>
      </c>
      <c r="AJ124" s="61">
        <v>16569000</v>
      </c>
      <c r="AK124" s="61">
        <v>11222000</v>
      </c>
      <c r="AL124" s="61">
        <v>9481000</v>
      </c>
      <c r="AM124" s="61">
        <v>7845000</v>
      </c>
      <c r="AN124" s="61">
        <v>6677000</v>
      </c>
      <c r="AO124" s="61">
        <v>7378000</v>
      </c>
      <c r="AP124" s="61">
        <v>7295000</v>
      </c>
      <c r="AQ124" s="61">
        <v>7727100</v>
      </c>
      <c r="AR124" s="61">
        <v>7875100</v>
      </c>
      <c r="AS124" s="45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</row>
    <row r="125" spans="1:69">
      <c r="A125" s="39"/>
      <c r="B125" s="43"/>
      <c r="C125" s="53" t="s">
        <v>380</v>
      </c>
      <c r="D125" s="54" t="str">
        <f t="shared" si="8"/>
        <v/>
      </c>
      <c r="E125" s="54" t="str">
        <f t="shared" si="9"/>
        <v/>
      </c>
      <c r="F125" s="54" t="str">
        <f t="shared" si="10"/>
        <v/>
      </c>
      <c r="G125" s="54" t="str">
        <f t="shared" si="11"/>
        <v/>
      </c>
      <c r="H125" s="54" t="str">
        <f t="shared" si="12"/>
        <v/>
      </c>
      <c r="I125" s="54" t="str">
        <f t="shared" si="13"/>
        <v/>
      </c>
      <c r="J125" s="54" t="str">
        <f t="shared" si="14"/>
        <v/>
      </c>
      <c r="K125" s="55" t="str">
        <f t="shared" si="15"/>
        <v/>
      </c>
      <c r="L125" s="48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45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</row>
    <row r="126" spans="1:69" outlineLevel="1">
      <c r="A126" s="39"/>
      <c r="B126" s="43"/>
      <c r="C126" s="56" t="s">
        <v>381</v>
      </c>
      <c r="D126" s="57" t="str">
        <f t="shared" si="8"/>
        <v/>
      </c>
      <c r="E126" s="57" t="str">
        <f t="shared" si="9"/>
        <v/>
      </c>
      <c r="F126" s="57" t="str">
        <f t="shared" si="10"/>
        <v/>
      </c>
      <c r="G126" s="57" t="str">
        <f t="shared" si="11"/>
        <v/>
      </c>
      <c r="H126" s="57" t="str">
        <f t="shared" si="12"/>
        <v/>
      </c>
      <c r="I126" s="57" t="str">
        <f t="shared" si="13"/>
        <v/>
      </c>
      <c r="J126" s="57" t="str">
        <f t="shared" si="14"/>
        <v/>
      </c>
      <c r="K126" s="58" t="str">
        <f t="shared" si="15"/>
        <v/>
      </c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45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</row>
    <row r="127" spans="1:69" outlineLevel="2">
      <c r="A127" s="39"/>
      <c r="B127" s="43"/>
      <c r="C127" s="56" t="s">
        <v>382</v>
      </c>
      <c r="D127" s="57" t="str">
        <f t="shared" si="8"/>
        <v/>
      </c>
      <c r="E127" s="57" t="str">
        <f t="shared" si="9"/>
        <v/>
      </c>
      <c r="F127" s="57" t="str">
        <f t="shared" si="10"/>
        <v/>
      </c>
      <c r="G127" s="57" t="str">
        <f t="shared" si="11"/>
        <v/>
      </c>
      <c r="H127" s="57" t="str">
        <f t="shared" si="12"/>
        <v/>
      </c>
      <c r="I127" s="57" t="str">
        <f t="shared" si="13"/>
        <v/>
      </c>
      <c r="J127" s="57" t="str">
        <f t="shared" si="14"/>
        <v/>
      </c>
      <c r="K127" s="58" t="str">
        <f t="shared" si="15"/>
        <v/>
      </c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45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</row>
    <row r="128" spans="1:69" outlineLevel="3">
      <c r="A128" s="39"/>
      <c r="B128" s="43"/>
      <c r="C128" s="56" t="s">
        <v>383</v>
      </c>
      <c r="D128" s="57" t="str">
        <f t="shared" si="8"/>
        <v/>
      </c>
      <c r="E128" s="57" t="str">
        <f t="shared" si="9"/>
        <v/>
      </c>
      <c r="F128" s="57" t="str">
        <f t="shared" si="10"/>
        <v/>
      </c>
      <c r="G128" s="57" t="str">
        <f t="shared" si="11"/>
        <v/>
      </c>
      <c r="H128" s="57" t="str">
        <f t="shared" si="12"/>
        <v/>
      </c>
      <c r="I128" s="57" t="str">
        <f t="shared" si="13"/>
        <v/>
      </c>
      <c r="J128" s="57" t="str">
        <f t="shared" si="14"/>
        <v/>
      </c>
      <c r="K128" s="58" t="str">
        <f t="shared" si="15"/>
        <v/>
      </c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45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</row>
    <row r="129" spans="1:69" outlineLevel="4">
      <c r="A129" s="39"/>
      <c r="B129" s="43"/>
      <c r="C129" s="56" t="s">
        <v>384</v>
      </c>
      <c r="D129" s="57">
        <f t="shared" si="8"/>
        <v>4000</v>
      </c>
      <c r="E129" s="57">
        <f t="shared" si="9"/>
        <v>7742.8571428571431</v>
      </c>
      <c r="F129" s="57">
        <f t="shared" si="10"/>
        <v>1800</v>
      </c>
      <c r="G129" s="57">
        <f t="shared" si="11"/>
        <v>21000</v>
      </c>
      <c r="H129" s="57">
        <f t="shared" si="12"/>
        <v>3500</v>
      </c>
      <c r="I129" s="57">
        <f t="shared" si="13"/>
        <v>8750</v>
      </c>
      <c r="J129" s="57">
        <f t="shared" si="14"/>
        <v>7531.6334646278856</v>
      </c>
      <c r="K129" s="58">
        <f t="shared" si="15"/>
        <v>0.97272018915858294</v>
      </c>
      <c r="M129" s="59">
        <v>21000</v>
      </c>
      <c r="N129" s="59">
        <v>21000</v>
      </c>
      <c r="O129" s="59">
        <v>21000</v>
      </c>
      <c r="P129" s="59">
        <v>20000</v>
      </c>
      <c r="Q129" s="59">
        <v>20000</v>
      </c>
      <c r="R129" s="59">
        <v>20000</v>
      </c>
      <c r="S129" s="59">
        <v>20000</v>
      </c>
      <c r="T129" s="59">
        <v>5000</v>
      </c>
      <c r="U129" s="59">
        <v>5000</v>
      </c>
      <c r="V129" s="59">
        <v>5000</v>
      </c>
      <c r="W129" s="59">
        <v>5000</v>
      </c>
      <c r="X129" s="59">
        <v>4000</v>
      </c>
      <c r="Y129" s="59">
        <v>4000</v>
      </c>
      <c r="Z129" s="59">
        <v>4000</v>
      </c>
      <c r="AA129" s="59">
        <v>4000</v>
      </c>
      <c r="AB129" s="59">
        <v>4000</v>
      </c>
      <c r="AC129" s="59">
        <v>4000</v>
      </c>
      <c r="AD129" s="59">
        <v>4000</v>
      </c>
      <c r="AE129" s="59">
        <v>4000</v>
      </c>
      <c r="AF129" s="59">
        <v>4000</v>
      </c>
      <c r="AG129" s="59">
        <v>4000</v>
      </c>
      <c r="AH129" s="59">
        <v>2000</v>
      </c>
      <c r="AI129" s="59">
        <v>2000</v>
      </c>
      <c r="AJ129" s="59">
        <v>2000</v>
      </c>
      <c r="AK129" s="59">
        <v>2000</v>
      </c>
      <c r="AL129" s="59">
        <v>2000</v>
      </c>
      <c r="AM129" s="59"/>
      <c r="AN129" s="59"/>
      <c r="AO129" s="59">
        <v>2000</v>
      </c>
      <c r="AP129" s="59"/>
      <c r="AQ129" s="59">
        <v>1800</v>
      </c>
      <c r="AR129" s="59"/>
      <c r="AS129" s="45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</row>
    <row r="130" spans="1:69" outlineLevel="4">
      <c r="A130" s="39"/>
      <c r="B130" s="43"/>
      <c r="C130" s="56" t="s">
        <v>385</v>
      </c>
      <c r="D130" s="57">
        <f t="shared" si="8"/>
        <v>226000</v>
      </c>
      <c r="E130" s="57">
        <f t="shared" si="9"/>
        <v>257790</v>
      </c>
      <c r="F130" s="57">
        <f t="shared" si="10"/>
        <v>5000</v>
      </c>
      <c r="G130" s="57">
        <f t="shared" si="11"/>
        <v>545300</v>
      </c>
      <c r="H130" s="57">
        <f t="shared" si="12"/>
        <v>226000</v>
      </c>
      <c r="I130" s="57">
        <f t="shared" si="13"/>
        <v>305500</v>
      </c>
      <c r="J130" s="57">
        <f t="shared" si="14"/>
        <v>135330.2171234003</v>
      </c>
      <c r="K130" s="58">
        <f t="shared" si="15"/>
        <v>0.52496302076651657</v>
      </c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>
        <v>5000</v>
      </c>
      <c r="AJ130" s="59">
        <v>226000</v>
      </c>
      <c r="AK130" s="59">
        <v>226000</v>
      </c>
      <c r="AL130" s="59">
        <v>226000</v>
      </c>
      <c r="AM130" s="59">
        <v>226000</v>
      </c>
      <c r="AN130" s="59">
        <v>226000</v>
      </c>
      <c r="AO130" s="59">
        <v>226000</v>
      </c>
      <c r="AP130" s="59">
        <v>332000</v>
      </c>
      <c r="AQ130" s="59">
        <v>339600</v>
      </c>
      <c r="AR130" s="59">
        <v>545300</v>
      </c>
      <c r="AS130" s="45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</row>
    <row r="131" spans="1:69" outlineLevel="4">
      <c r="A131" s="39"/>
      <c r="B131" s="43"/>
      <c r="C131" s="56" t="s">
        <v>386</v>
      </c>
      <c r="D131" s="57">
        <f t="shared" si="8"/>
        <v>5477000</v>
      </c>
      <c r="E131" s="57">
        <f t="shared" si="9"/>
        <v>7639235.7142857146</v>
      </c>
      <c r="F131" s="57">
        <f t="shared" si="10"/>
        <v>2788000</v>
      </c>
      <c r="G131" s="57">
        <f t="shared" si="11"/>
        <v>19494000</v>
      </c>
      <c r="H131" s="57">
        <f t="shared" si="12"/>
        <v>4031250</v>
      </c>
      <c r="I131" s="57">
        <f t="shared" si="13"/>
        <v>10673000</v>
      </c>
      <c r="J131" s="57">
        <f t="shared" si="14"/>
        <v>4758001.4743365059</v>
      </c>
      <c r="K131" s="58">
        <f t="shared" si="15"/>
        <v>0.62283736911518894</v>
      </c>
      <c r="M131" s="59">
        <v>19494000</v>
      </c>
      <c r="N131" s="59">
        <v>17260000</v>
      </c>
      <c r="O131" s="59">
        <v>17365000</v>
      </c>
      <c r="P131" s="59">
        <v>12720000</v>
      </c>
      <c r="Q131" s="59">
        <v>11271000</v>
      </c>
      <c r="R131" s="59">
        <v>11222000</v>
      </c>
      <c r="S131" s="59">
        <v>11955000</v>
      </c>
      <c r="T131" s="59">
        <v>10490000</v>
      </c>
      <c r="U131" s="59">
        <v>9100000</v>
      </c>
      <c r="V131" s="59">
        <v>8948000</v>
      </c>
      <c r="W131" s="59">
        <v>8596000</v>
      </c>
      <c r="X131" s="59">
        <v>7179000</v>
      </c>
      <c r="Y131" s="59">
        <v>6411000</v>
      </c>
      <c r="Z131" s="59">
        <v>5536000</v>
      </c>
      <c r="AA131" s="59">
        <v>5217000</v>
      </c>
      <c r="AB131" s="59">
        <v>5418000</v>
      </c>
      <c r="AC131" s="59">
        <v>5055000</v>
      </c>
      <c r="AD131" s="59">
        <v>4905000</v>
      </c>
      <c r="AE131" s="59">
        <v>4670000</v>
      </c>
      <c r="AF131" s="59">
        <v>4555000</v>
      </c>
      <c r="AG131" s="59">
        <v>4182000</v>
      </c>
      <c r="AH131" s="59">
        <v>3579000</v>
      </c>
      <c r="AI131" s="59">
        <v>3216000</v>
      </c>
      <c r="AJ131" s="59">
        <v>3284000</v>
      </c>
      <c r="AK131" s="59">
        <v>3025000</v>
      </c>
      <c r="AL131" s="59">
        <v>2788000</v>
      </c>
      <c r="AM131" s="59"/>
      <c r="AN131" s="59"/>
      <c r="AO131" s="59">
        <v>3038000</v>
      </c>
      <c r="AP131" s="59"/>
      <c r="AQ131" s="59">
        <v>3419600</v>
      </c>
      <c r="AR131" s="59"/>
      <c r="AS131" s="45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</row>
    <row r="132" spans="1:69" outlineLevel="4">
      <c r="A132" s="39"/>
      <c r="B132" s="43"/>
      <c r="C132" s="60" t="s">
        <v>387</v>
      </c>
      <c r="D132" s="61">
        <f t="shared" si="8"/>
        <v>5140000</v>
      </c>
      <c r="E132" s="61">
        <f t="shared" si="9"/>
        <v>6771665.625</v>
      </c>
      <c r="F132" s="61">
        <f t="shared" si="10"/>
        <v>226000</v>
      </c>
      <c r="G132" s="61">
        <f t="shared" si="11"/>
        <v>19515000</v>
      </c>
      <c r="H132" s="61">
        <f t="shared" si="12"/>
        <v>3450500</v>
      </c>
      <c r="I132" s="61">
        <f t="shared" si="13"/>
        <v>9452500</v>
      </c>
      <c r="J132" s="61">
        <f t="shared" si="14"/>
        <v>5053297.2286456991</v>
      </c>
      <c r="K132" s="62">
        <f t="shared" si="15"/>
        <v>0.74624139886495044</v>
      </c>
      <c r="L132" s="41"/>
      <c r="M132" s="63">
        <v>19515000</v>
      </c>
      <c r="N132" s="63">
        <v>17281000</v>
      </c>
      <c r="O132" s="63">
        <v>17386000</v>
      </c>
      <c r="P132" s="63">
        <v>12740000</v>
      </c>
      <c r="Q132" s="63">
        <v>11291000</v>
      </c>
      <c r="R132" s="63">
        <v>11242000</v>
      </c>
      <c r="S132" s="63">
        <v>11975000</v>
      </c>
      <c r="T132" s="63">
        <v>10495000</v>
      </c>
      <c r="U132" s="63">
        <v>9105000</v>
      </c>
      <c r="V132" s="63">
        <v>8953000</v>
      </c>
      <c r="W132" s="63">
        <v>8601000</v>
      </c>
      <c r="X132" s="63">
        <v>7183000</v>
      </c>
      <c r="Y132" s="63">
        <v>6415000</v>
      </c>
      <c r="Z132" s="63">
        <v>5540000</v>
      </c>
      <c r="AA132" s="63">
        <v>5221000</v>
      </c>
      <c r="AB132" s="63">
        <v>5422000</v>
      </c>
      <c r="AC132" s="63">
        <v>5059000</v>
      </c>
      <c r="AD132" s="63">
        <v>4909000</v>
      </c>
      <c r="AE132" s="63">
        <v>4674000</v>
      </c>
      <c r="AF132" s="63">
        <v>4559000</v>
      </c>
      <c r="AG132" s="63">
        <v>4186000</v>
      </c>
      <c r="AH132" s="63">
        <v>3581000</v>
      </c>
      <c r="AI132" s="63">
        <v>3223000</v>
      </c>
      <c r="AJ132" s="63">
        <v>3512000</v>
      </c>
      <c r="AK132" s="63">
        <v>3253000</v>
      </c>
      <c r="AL132" s="63">
        <v>3016000</v>
      </c>
      <c r="AM132" s="63">
        <v>226000</v>
      </c>
      <c r="AN132" s="63">
        <v>226000</v>
      </c>
      <c r="AO132" s="63">
        <v>3266000</v>
      </c>
      <c r="AP132" s="63">
        <v>332000</v>
      </c>
      <c r="AQ132" s="63">
        <v>3761000</v>
      </c>
      <c r="AR132" s="63">
        <v>545300</v>
      </c>
      <c r="AS132" s="45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</row>
    <row r="133" spans="1:69" outlineLevel="3">
      <c r="A133" s="39"/>
      <c r="B133" s="43"/>
      <c r="C133" s="60" t="s">
        <v>388</v>
      </c>
      <c r="D133" s="61">
        <f t="shared" si="8"/>
        <v>5140000</v>
      </c>
      <c r="E133" s="61">
        <f t="shared" si="9"/>
        <v>6771665.625</v>
      </c>
      <c r="F133" s="61">
        <f t="shared" si="10"/>
        <v>226000</v>
      </c>
      <c r="G133" s="61">
        <f t="shared" si="11"/>
        <v>19515000</v>
      </c>
      <c r="H133" s="61">
        <f t="shared" si="12"/>
        <v>3450500</v>
      </c>
      <c r="I133" s="61">
        <f t="shared" si="13"/>
        <v>9452500</v>
      </c>
      <c r="J133" s="61">
        <f t="shared" si="14"/>
        <v>5053297.2286456991</v>
      </c>
      <c r="K133" s="62">
        <f t="shared" si="15"/>
        <v>0.74624139886495044</v>
      </c>
      <c r="L133" s="41"/>
      <c r="M133" s="63">
        <v>19515000</v>
      </c>
      <c r="N133" s="63">
        <v>17281000</v>
      </c>
      <c r="O133" s="63">
        <v>17386000</v>
      </c>
      <c r="P133" s="63">
        <v>12740000</v>
      </c>
      <c r="Q133" s="63">
        <v>11291000</v>
      </c>
      <c r="R133" s="63">
        <v>11242000</v>
      </c>
      <c r="S133" s="63">
        <v>11975000</v>
      </c>
      <c r="T133" s="63">
        <v>10495000</v>
      </c>
      <c r="U133" s="63">
        <v>9105000</v>
      </c>
      <c r="V133" s="63">
        <v>8953000</v>
      </c>
      <c r="W133" s="63">
        <v>8601000</v>
      </c>
      <c r="X133" s="63">
        <v>7183000</v>
      </c>
      <c r="Y133" s="63">
        <v>6415000</v>
      </c>
      <c r="Z133" s="63">
        <v>5540000</v>
      </c>
      <c r="AA133" s="63">
        <v>5221000</v>
      </c>
      <c r="AB133" s="63">
        <v>5422000</v>
      </c>
      <c r="AC133" s="63">
        <v>5059000</v>
      </c>
      <c r="AD133" s="63">
        <v>4909000</v>
      </c>
      <c r="AE133" s="63">
        <v>4674000</v>
      </c>
      <c r="AF133" s="63">
        <v>4559000</v>
      </c>
      <c r="AG133" s="63">
        <v>4186000</v>
      </c>
      <c r="AH133" s="63">
        <v>3581000</v>
      </c>
      <c r="AI133" s="63">
        <v>3223000</v>
      </c>
      <c r="AJ133" s="63">
        <v>3512000</v>
      </c>
      <c r="AK133" s="63">
        <v>3253000</v>
      </c>
      <c r="AL133" s="63">
        <v>3016000</v>
      </c>
      <c r="AM133" s="63">
        <v>226000</v>
      </c>
      <c r="AN133" s="63">
        <v>226000</v>
      </c>
      <c r="AO133" s="63">
        <v>3266000</v>
      </c>
      <c r="AP133" s="63">
        <v>332000</v>
      </c>
      <c r="AQ133" s="63">
        <v>3761000</v>
      </c>
      <c r="AR133" s="63">
        <v>545300</v>
      </c>
      <c r="AS133" s="45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</row>
    <row r="134" spans="1:69" outlineLevel="2">
      <c r="A134" s="39"/>
      <c r="B134" s="43"/>
      <c r="C134" s="56" t="s">
        <v>389</v>
      </c>
      <c r="D134" s="57">
        <f t="shared" si="8"/>
        <v>-100000</v>
      </c>
      <c r="E134" s="57">
        <f t="shared" si="9"/>
        <v>-100000</v>
      </c>
      <c r="F134" s="57">
        <f t="shared" si="10"/>
        <v>-100000</v>
      </c>
      <c r="G134" s="57">
        <f t="shared" si="11"/>
        <v>-100000</v>
      </c>
      <c r="H134" s="57">
        <f t="shared" si="12"/>
        <v>-100000</v>
      </c>
      <c r="I134" s="57">
        <f t="shared" si="13"/>
        <v>-100000</v>
      </c>
      <c r="J134" s="57" t="str">
        <f t="shared" si="14"/>
        <v/>
      </c>
      <c r="K134" s="58" t="str">
        <f t="shared" si="15"/>
        <v/>
      </c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>
        <v>-100000</v>
      </c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45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</row>
    <row r="135" spans="1:69" outlineLevel="2">
      <c r="A135" s="39"/>
      <c r="B135" s="43"/>
      <c r="C135" s="56" t="s">
        <v>390</v>
      </c>
      <c r="D135" s="57">
        <f t="shared" si="8"/>
        <v>10329500</v>
      </c>
      <c r="E135" s="57">
        <f t="shared" si="9"/>
        <v>13513803.571428571</v>
      </c>
      <c r="F135" s="57">
        <f t="shared" si="10"/>
        <v>1258500</v>
      </c>
      <c r="G135" s="57">
        <f t="shared" si="11"/>
        <v>35102000</v>
      </c>
      <c r="H135" s="57">
        <f t="shared" si="12"/>
        <v>4421000</v>
      </c>
      <c r="I135" s="57">
        <f t="shared" si="13"/>
        <v>24177500</v>
      </c>
      <c r="J135" s="57">
        <f t="shared" si="14"/>
        <v>10532643.942225071</v>
      </c>
      <c r="K135" s="58">
        <f t="shared" si="15"/>
        <v>0.77939892248349762</v>
      </c>
      <c r="M135" s="59">
        <v>35102000</v>
      </c>
      <c r="N135" s="59">
        <v>32946000</v>
      </c>
      <c r="O135" s="59">
        <v>30235000</v>
      </c>
      <c r="P135" s="59">
        <v>26707000</v>
      </c>
      <c r="Q135" s="59">
        <v>25911000</v>
      </c>
      <c r="R135" s="59">
        <v>25363000</v>
      </c>
      <c r="S135" s="59">
        <v>25199000</v>
      </c>
      <c r="T135" s="59">
        <v>23837000</v>
      </c>
      <c r="U135" s="59">
        <v>19020000</v>
      </c>
      <c r="V135" s="59">
        <v>15458000</v>
      </c>
      <c r="W135" s="59">
        <v>14140000</v>
      </c>
      <c r="X135" s="59">
        <v>12773000</v>
      </c>
      <c r="Y135" s="59">
        <v>11569000</v>
      </c>
      <c r="Z135" s="59">
        <v>10783000</v>
      </c>
      <c r="AA135" s="59">
        <v>9876000</v>
      </c>
      <c r="AB135" s="59">
        <v>8873000</v>
      </c>
      <c r="AC135" s="59">
        <v>7739000</v>
      </c>
      <c r="AD135" s="59">
        <v>6885000</v>
      </c>
      <c r="AE135" s="59">
        <v>5945000</v>
      </c>
      <c r="AF135" s="59">
        <v>5256000</v>
      </c>
      <c r="AG135" s="59">
        <v>4506000</v>
      </c>
      <c r="AH135" s="59">
        <v>4166000</v>
      </c>
      <c r="AI135" s="59">
        <v>3745000</v>
      </c>
      <c r="AJ135" s="59">
        <v>3280000</v>
      </c>
      <c r="AK135" s="59">
        <v>3207000</v>
      </c>
      <c r="AL135" s="59">
        <v>2803000</v>
      </c>
      <c r="AM135" s="59"/>
      <c r="AN135" s="59"/>
      <c r="AO135" s="59">
        <v>1804000</v>
      </c>
      <c r="AP135" s="59"/>
      <c r="AQ135" s="59">
        <v>1258500</v>
      </c>
      <c r="AR135" s="59"/>
      <c r="AS135" s="45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</row>
    <row r="136" spans="1:69" outlineLevel="2">
      <c r="A136" s="39"/>
      <c r="B136" s="43"/>
      <c r="C136" s="56" t="s">
        <v>391</v>
      </c>
      <c r="D136" s="57" t="str">
        <f t="shared" si="8"/>
        <v/>
      </c>
      <c r="E136" s="57" t="str">
        <f t="shared" si="9"/>
        <v/>
      </c>
      <c r="F136" s="57" t="str">
        <f t="shared" si="10"/>
        <v/>
      </c>
      <c r="G136" s="57" t="str">
        <f t="shared" si="11"/>
        <v/>
      </c>
      <c r="H136" s="57" t="str">
        <f t="shared" si="12"/>
        <v/>
      </c>
      <c r="I136" s="57" t="str">
        <f t="shared" si="13"/>
        <v/>
      </c>
      <c r="J136" s="57" t="str">
        <f t="shared" si="14"/>
        <v/>
      </c>
      <c r="K136" s="58" t="str">
        <f t="shared" si="15"/>
        <v/>
      </c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45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</row>
    <row r="137" spans="1:69" outlineLevel="3">
      <c r="A137" s="39"/>
      <c r="B137" s="43"/>
      <c r="C137" s="56" t="s">
        <v>392</v>
      </c>
      <c r="D137" s="57">
        <f t="shared" si="8"/>
        <v>-126000</v>
      </c>
      <c r="E137" s="57">
        <f t="shared" si="9"/>
        <v>-98266.666666666672</v>
      </c>
      <c r="F137" s="57">
        <f t="shared" si="10"/>
        <v>-255000</v>
      </c>
      <c r="G137" s="57">
        <f t="shared" si="11"/>
        <v>111000</v>
      </c>
      <c r="H137" s="57">
        <f>IF(COUNT(L137:AR137)&gt;0,QUARTILE(L137:AR137,1),"")</f>
        <v>-168000</v>
      </c>
      <c r="I137" s="57">
        <f t="shared" si="13"/>
        <v>-24500</v>
      </c>
      <c r="J137" s="57">
        <f t="shared" si="14"/>
        <v>104540.12672289094</v>
      </c>
      <c r="K137" s="58">
        <f t="shared" si="15"/>
        <v>-1.0638411810334898</v>
      </c>
      <c r="M137" s="59">
        <v>-9000</v>
      </c>
      <c r="N137" s="59">
        <v>-126000</v>
      </c>
      <c r="O137" s="59">
        <v>-153000</v>
      </c>
      <c r="P137" s="59">
        <v>-218000</v>
      </c>
      <c r="Q137" s="59">
        <v>0</v>
      </c>
      <c r="R137" s="59">
        <v>-92000</v>
      </c>
      <c r="S137" s="59">
        <v>-169000</v>
      </c>
      <c r="T137" s="59">
        <v>-188000</v>
      </c>
      <c r="U137" s="59">
        <v>111000</v>
      </c>
      <c r="V137" s="59">
        <v>-70000</v>
      </c>
      <c r="W137" s="59">
        <v>-167000</v>
      </c>
      <c r="X137" s="59">
        <v>-40000</v>
      </c>
      <c r="Y137" s="59">
        <v>56000</v>
      </c>
      <c r="Z137" s="59">
        <v>-255000</v>
      </c>
      <c r="AA137" s="59">
        <v>-154000</v>
      </c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45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</row>
    <row r="138" spans="1:69" outlineLevel="3">
      <c r="A138" s="39"/>
      <c r="B138" s="43"/>
      <c r="C138" s="60" t="s">
        <v>393</v>
      </c>
      <c r="D138" s="61">
        <f t="shared" si="8"/>
        <v>-40000</v>
      </c>
      <c r="E138" s="61">
        <f t="shared" si="9"/>
        <v>557570.96774193551</v>
      </c>
      <c r="F138" s="61">
        <f t="shared" si="10"/>
        <v>-287500</v>
      </c>
      <c r="G138" s="61">
        <f t="shared" si="11"/>
        <v>5370000</v>
      </c>
      <c r="H138" s="61">
        <f t="shared" si="12"/>
        <v>-172500</v>
      </c>
      <c r="I138" s="61">
        <f t="shared" si="13"/>
        <v>113000</v>
      </c>
      <c r="J138" s="61">
        <f t="shared" si="14"/>
        <v>1681285.5615457969</v>
      </c>
      <c r="K138" s="62">
        <f t="shared" si="15"/>
        <v>3.0153750084132036</v>
      </c>
      <c r="L138" s="41"/>
      <c r="M138" s="63">
        <v>-9000</v>
      </c>
      <c r="N138" s="63">
        <v>-126000</v>
      </c>
      <c r="O138" s="63">
        <v>-153000</v>
      </c>
      <c r="P138" s="63">
        <v>-218000</v>
      </c>
      <c r="Q138" s="63">
        <v>0</v>
      </c>
      <c r="R138" s="63">
        <v>-92000</v>
      </c>
      <c r="S138" s="63">
        <v>-169000</v>
      </c>
      <c r="T138" s="63">
        <v>-188000</v>
      </c>
      <c r="U138" s="63">
        <v>111000</v>
      </c>
      <c r="V138" s="63">
        <v>-70000</v>
      </c>
      <c r="W138" s="63">
        <v>-167000</v>
      </c>
      <c r="X138" s="63">
        <v>-40000</v>
      </c>
      <c r="Y138" s="63">
        <v>56000</v>
      </c>
      <c r="Z138" s="63">
        <v>-255000</v>
      </c>
      <c r="AA138" s="63">
        <v>-154000</v>
      </c>
      <c r="AB138" s="63">
        <v>166000</v>
      </c>
      <c r="AC138" s="63">
        <v>169000</v>
      </c>
      <c r="AD138" s="63">
        <v>-13000</v>
      </c>
      <c r="AE138" s="63">
        <v>116000</v>
      </c>
      <c r="AF138" s="63">
        <v>115000</v>
      </c>
      <c r="AG138" s="63">
        <v>-193000</v>
      </c>
      <c r="AH138" s="63">
        <v>-209000</v>
      </c>
      <c r="AI138" s="63">
        <v>4000</v>
      </c>
      <c r="AJ138" s="63">
        <v>-176000</v>
      </c>
      <c r="AK138" s="63">
        <v>-219000</v>
      </c>
      <c r="AL138" s="63"/>
      <c r="AM138" s="63">
        <v>5370000</v>
      </c>
      <c r="AN138" s="63">
        <v>5126000</v>
      </c>
      <c r="AO138" s="63">
        <v>1000</v>
      </c>
      <c r="AP138" s="63">
        <v>4592000</v>
      </c>
      <c r="AQ138" s="63">
        <v>-287500</v>
      </c>
      <c r="AR138" s="63">
        <v>4197200</v>
      </c>
      <c r="AS138" s="45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</row>
    <row r="139" spans="1:69" outlineLevel="2">
      <c r="A139" s="39"/>
      <c r="B139" s="43"/>
      <c r="C139" s="56" t="s">
        <v>394</v>
      </c>
      <c r="D139" s="57">
        <f t="shared" ref="D139:D195" si="17">IF(COUNT(L139:AR139)&gt;0,MEDIAN(L139:AR139),"")</f>
        <v>-450</v>
      </c>
      <c r="E139" s="57">
        <f t="shared" ref="E139:E195" si="18">IF(COUNT(L139:AR139)&gt;0,AVERAGE(L139:AR139),"")</f>
        <v>-450</v>
      </c>
      <c r="F139" s="57">
        <f t="shared" ref="F139:F195" si="19">IF(COUNT(L139:AR139)&gt;0,MIN(L139:AR139),"")</f>
        <v>-1000</v>
      </c>
      <c r="G139" s="57">
        <f t="shared" ref="G139:G195" si="20">IF(COUNT(L139:AR139)&gt;0,MAX(L139:AR139),"")</f>
        <v>100</v>
      </c>
      <c r="H139" s="57">
        <f t="shared" ref="H139:H195" si="21">IF(COUNT(L139:AR139)&gt;0,QUARTILE(L139:AR139,1),"")</f>
        <v>-725</v>
      </c>
      <c r="I139" s="57">
        <f t="shared" ref="I139:I195" si="22">IF(COUNT(L139:AR139)&gt;0,QUARTILE(L139:AR139,3),"")</f>
        <v>-175</v>
      </c>
      <c r="J139" s="57">
        <f t="shared" ref="J139:J195" si="23">IF(COUNT(L139:AR139)&gt;1,STDEV(L139:AR139),"")</f>
        <v>777.81745930520231</v>
      </c>
      <c r="K139" s="58">
        <f t="shared" ref="K139:K195" si="24">IF(COUNT(L139:AR139)&gt;1,STDEV(L139:AR139)/AVERAGE(L139:AR139),"")</f>
        <v>-1.7284832429004495</v>
      </c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>
        <v>-1000</v>
      </c>
      <c r="AI139" s="59"/>
      <c r="AJ139" s="59"/>
      <c r="AK139" s="59"/>
      <c r="AL139" s="59"/>
      <c r="AM139" s="59"/>
      <c r="AN139" s="59"/>
      <c r="AO139" s="59"/>
      <c r="AP139" s="59"/>
      <c r="AQ139" s="59">
        <v>100</v>
      </c>
      <c r="AR139" s="59"/>
      <c r="AS139" s="45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</row>
    <row r="140" spans="1:69" outlineLevel="2">
      <c r="A140" s="39"/>
      <c r="B140" s="43"/>
      <c r="C140" s="60" t="s">
        <v>395</v>
      </c>
      <c r="D140" s="61">
        <f t="shared" si="17"/>
        <v>13714000</v>
      </c>
      <c r="E140" s="61">
        <f t="shared" si="18"/>
        <v>19133237.5</v>
      </c>
      <c r="F140" s="61">
        <f t="shared" si="19"/>
        <v>4732100</v>
      </c>
      <c r="G140" s="61">
        <f t="shared" si="20"/>
        <v>54608000</v>
      </c>
      <c r="H140" s="61">
        <f t="shared" si="21"/>
        <v>6522250</v>
      </c>
      <c r="I140" s="61">
        <f t="shared" si="22"/>
        <v>29713000</v>
      </c>
      <c r="J140" s="61">
        <f t="shared" si="23"/>
        <v>15135461.603258412</v>
      </c>
      <c r="K140" s="62">
        <f t="shared" si="24"/>
        <v>0.79105596234084341</v>
      </c>
      <c r="L140" s="41"/>
      <c r="M140" s="63">
        <v>54608000</v>
      </c>
      <c r="N140" s="63">
        <v>50101000</v>
      </c>
      <c r="O140" s="63">
        <v>47468000</v>
      </c>
      <c r="P140" s="63">
        <v>39229000</v>
      </c>
      <c r="Q140" s="63">
        <v>37202000</v>
      </c>
      <c r="R140" s="63">
        <v>36513000</v>
      </c>
      <c r="S140" s="63">
        <v>37005000</v>
      </c>
      <c r="T140" s="63">
        <v>34144000</v>
      </c>
      <c r="U140" s="63">
        <v>28236000</v>
      </c>
      <c r="V140" s="63">
        <v>24341000</v>
      </c>
      <c r="W140" s="63">
        <v>22574000</v>
      </c>
      <c r="X140" s="63">
        <v>19916000</v>
      </c>
      <c r="Y140" s="63">
        <v>18040000</v>
      </c>
      <c r="Z140" s="63">
        <v>16068000</v>
      </c>
      <c r="AA140" s="63">
        <v>14943000</v>
      </c>
      <c r="AB140" s="63">
        <v>14461000</v>
      </c>
      <c r="AC140" s="63">
        <v>12967000</v>
      </c>
      <c r="AD140" s="63">
        <v>11681000</v>
      </c>
      <c r="AE140" s="63">
        <v>10735000</v>
      </c>
      <c r="AF140" s="63">
        <v>9930000</v>
      </c>
      <c r="AG140" s="63">
        <v>8499000</v>
      </c>
      <c r="AH140" s="63">
        <v>7537000</v>
      </c>
      <c r="AI140" s="63">
        <v>6972000</v>
      </c>
      <c r="AJ140" s="63">
        <v>6616000</v>
      </c>
      <c r="AK140" s="63">
        <v>6241000</v>
      </c>
      <c r="AL140" s="63">
        <v>5819000</v>
      </c>
      <c r="AM140" s="63">
        <v>5596000</v>
      </c>
      <c r="AN140" s="63">
        <v>5352000</v>
      </c>
      <c r="AO140" s="63">
        <v>5071000</v>
      </c>
      <c r="AP140" s="63">
        <v>4924000</v>
      </c>
      <c r="AQ140" s="63">
        <v>4732100</v>
      </c>
      <c r="AR140" s="63">
        <v>4742500</v>
      </c>
      <c r="AS140" s="45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</row>
    <row r="141" spans="1:69" outlineLevel="1">
      <c r="A141" s="39"/>
      <c r="B141" s="43"/>
      <c r="C141" s="56" t="s">
        <v>396</v>
      </c>
      <c r="D141" s="57">
        <f t="shared" si="17"/>
        <v>4842000</v>
      </c>
      <c r="E141" s="57">
        <f t="shared" si="18"/>
        <v>5610076.923076923</v>
      </c>
      <c r="F141" s="57">
        <f t="shared" si="19"/>
        <v>0</v>
      </c>
      <c r="G141" s="57">
        <f t="shared" si="20"/>
        <v>11871000</v>
      </c>
      <c r="H141" s="57">
        <f t="shared" si="21"/>
        <v>990000</v>
      </c>
      <c r="I141" s="57">
        <f t="shared" si="22"/>
        <v>10207000</v>
      </c>
      <c r="J141" s="57">
        <f t="shared" si="23"/>
        <v>4727693.7376402756</v>
      </c>
      <c r="K141" s="58">
        <f t="shared" si="24"/>
        <v>0.84271460132623421</v>
      </c>
      <c r="M141" s="59">
        <v>11871000</v>
      </c>
      <c r="N141" s="59">
        <v>10760000</v>
      </c>
      <c r="O141" s="59">
        <v>11556000</v>
      </c>
      <c r="P141" s="59">
        <v>10207000</v>
      </c>
      <c r="Q141" s="59">
        <v>8467000</v>
      </c>
      <c r="R141" s="59">
        <v>8416000</v>
      </c>
      <c r="S141" s="59">
        <v>4842000</v>
      </c>
      <c r="T141" s="59">
        <v>3737000</v>
      </c>
      <c r="U141" s="59">
        <v>1295000</v>
      </c>
      <c r="V141" s="59">
        <v>990000</v>
      </c>
      <c r="W141" s="59">
        <v>538000</v>
      </c>
      <c r="X141" s="59">
        <v>252000</v>
      </c>
      <c r="Y141" s="59">
        <v>0</v>
      </c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45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</row>
    <row r="142" spans="1:69" outlineLevel="1">
      <c r="A142" s="39"/>
      <c r="B142" s="43"/>
      <c r="C142" s="53" t="s">
        <v>397</v>
      </c>
      <c r="D142" s="61">
        <f t="shared" si="17"/>
        <v>13714000</v>
      </c>
      <c r="E142" s="61">
        <f t="shared" si="18"/>
        <v>21412331.25</v>
      </c>
      <c r="F142" s="61">
        <f t="shared" si="19"/>
        <v>4732100</v>
      </c>
      <c r="G142" s="61">
        <f t="shared" si="20"/>
        <v>66479000</v>
      </c>
      <c r="H142" s="61">
        <f t="shared" si="21"/>
        <v>6522250</v>
      </c>
      <c r="I142" s="61">
        <f t="shared" si="22"/>
        <v>31618500</v>
      </c>
      <c r="J142" s="61">
        <f t="shared" si="23"/>
        <v>18929603.53072945</v>
      </c>
      <c r="K142" s="62">
        <f t="shared" si="24"/>
        <v>0.88405149863023202</v>
      </c>
      <c r="L142" s="64"/>
      <c r="M142" s="61">
        <v>66479000</v>
      </c>
      <c r="N142" s="61">
        <v>60861000</v>
      </c>
      <c r="O142" s="61">
        <v>59024000</v>
      </c>
      <c r="P142" s="61">
        <v>49436000</v>
      </c>
      <c r="Q142" s="61">
        <v>45669000</v>
      </c>
      <c r="R142" s="61">
        <v>44929000</v>
      </c>
      <c r="S142" s="61">
        <v>41847000</v>
      </c>
      <c r="T142" s="61">
        <v>37881000</v>
      </c>
      <c r="U142" s="61">
        <v>29531000</v>
      </c>
      <c r="V142" s="61">
        <v>25331000</v>
      </c>
      <c r="W142" s="61">
        <v>23112000</v>
      </c>
      <c r="X142" s="61">
        <v>20168000</v>
      </c>
      <c r="Y142" s="61">
        <v>18040000</v>
      </c>
      <c r="Z142" s="61">
        <v>16068000</v>
      </c>
      <c r="AA142" s="61">
        <v>14943000</v>
      </c>
      <c r="AB142" s="61">
        <v>14461000</v>
      </c>
      <c r="AC142" s="61">
        <v>12967000</v>
      </c>
      <c r="AD142" s="61">
        <v>11681000</v>
      </c>
      <c r="AE142" s="61">
        <v>10735000</v>
      </c>
      <c r="AF142" s="61">
        <v>9930000</v>
      </c>
      <c r="AG142" s="61">
        <v>8499000</v>
      </c>
      <c r="AH142" s="61">
        <v>7537000</v>
      </c>
      <c r="AI142" s="61">
        <v>6972000</v>
      </c>
      <c r="AJ142" s="61">
        <v>6616000</v>
      </c>
      <c r="AK142" s="61">
        <v>6241000</v>
      </c>
      <c r="AL142" s="61">
        <v>5819000</v>
      </c>
      <c r="AM142" s="61">
        <v>5596000</v>
      </c>
      <c r="AN142" s="61">
        <v>5352000</v>
      </c>
      <c r="AO142" s="61">
        <v>5071000</v>
      </c>
      <c r="AP142" s="61">
        <v>4924000</v>
      </c>
      <c r="AQ142" s="61">
        <v>4732100</v>
      </c>
      <c r="AR142" s="61">
        <v>4742500</v>
      </c>
      <c r="AS142" s="45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</row>
    <row r="143" spans="1:69">
      <c r="A143" s="39"/>
      <c r="B143" s="43"/>
      <c r="C143" s="53" t="s">
        <v>398</v>
      </c>
      <c r="D143" s="66" t="str">
        <f t="shared" si="17"/>
        <v/>
      </c>
      <c r="E143" s="66" t="str">
        <f t="shared" si="18"/>
        <v/>
      </c>
      <c r="F143" s="66" t="str">
        <f t="shared" si="19"/>
        <v/>
      </c>
      <c r="G143" s="66" t="str">
        <f t="shared" si="20"/>
        <v/>
      </c>
      <c r="H143" s="66" t="str">
        <f t="shared" si="21"/>
        <v/>
      </c>
      <c r="I143" s="66" t="str">
        <f t="shared" si="22"/>
        <v/>
      </c>
      <c r="J143" s="66" t="str">
        <f t="shared" si="23"/>
        <v/>
      </c>
      <c r="K143" s="55" t="str">
        <f t="shared" si="24"/>
        <v/>
      </c>
      <c r="L143" s="48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66"/>
      <c r="AL143" s="66"/>
      <c r="AM143" s="66"/>
      <c r="AN143" s="66"/>
      <c r="AO143" s="66"/>
      <c r="AP143" s="66"/>
      <c r="AQ143" s="66"/>
      <c r="AR143" s="66"/>
      <c r="AS143" s="45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</row>
    <row r="144" spans="1:69" outlineLevel="1">
      <c r="A144" s="39"/>
      <c r="B144" s="43"/>
      <c r="C144" s="56" t="s">
        <v>399</v>
      </c>
      <c r="D144" s="57" t="str">
        <f t="shared" si="17"/>
        <v/>
      </c>
      <c r="E144" s="57" t="str">
        <f t="shared" si="18"/>
        <v/>
      </c>
      <c r="F144" s="57" t="str">
        <f t="shared" si="19"/>
        <v/>
      </c>
      <c r="G144" s="57" t="str">
        <f t="shared" si="20"/>
        <v/>
      </c>
      <c r="H144" s="57" t="str">
        <f t="shared" si="21"/>
        <v/>
      </c>
      <c r="I144" s="57" t="str">
        <f t="shared" si="22"/>
        <v/>
      </c>
      <c r="J144" s="57" t="str">
        <f t="shared" si="23"/>
        <v/>
      </c>
      <c r="K144" s="58" t="str">
        <f t="shared" si="24"/>
        <v/>
      </c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45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</row>
    <row r="145" spans="1:69" outlineLevel="2">
      <c r="A145" s="39"/>
      <c r="B145" s="43"/>
      <c r="C145" s="56" t="s">
        <v>400</v>
      </c>
      <c r="D145" s="57">
        <f t="shared" si="17"/>
        <v>1660000000</v>
      </c>
      <c r="E145" s="57">
        <f t="shared" si="18"/>
        <v>1695186354</v>
      </c>
      <c r="F145" s="57">
        <f t="shared" si="19"/>
        <v>1406129720</v>
      </c>
      <c r="G145" s="57">
        <f t="shared" si="20"/>
        <v>2083000000</v>
      </c>
      <c r="H145" s="57">
        <f t="shared" si="21"/>
        <v>1475606254</v>
      </c>
      <c r="I145" s="57">
        <f t="shared" si="22"/>
        <v>1891000000</v>
      </c>
      <c r="J145" s="57">
        <f t="shared" si="23"/>
        <v>221676594.67876136</v>
      </c>
      <c r="K145" s="58">
        <f t="shared" si="24"/>
        <v>0.13076827462401894</v>
      </c>
      <c r="M145" s="59">
        <v>2083000000</v>
      </c>
      <c r="N145" s="59">
        <v>2057000000</v>
      </c>
      <c r="O145" s="59">
        <v>2052000000</v>
      </c>
      <c r="P145" s="59">
        <v>1987000000</v>
      </c>
      <c r="Q145" s="59">
        <v>1963000000</v>
      </c>
      <c r="R145" s="59">
        <v>1960000000</v>
      </c>
      <c r="S145" s="59">
        <v>1956000000</v>
      </c>
      <c r="T145" s="59">
        <v>1912000000</v>
      </c>
      <c r="U145" s="59">
        <v>1884000000</v>
      </c>
      <c r="V145" s="59">
        <v>1872000000</v>
      </c>
      <c r="W145" s="59">
        <v>1844000000</v>
      </c>
      <c r="X145" s="59">
        <v>1772000000</v>
      </c>
      <c r="Y145" s="59">
        <v>1740000000</v>
      </c>
      <c r="Z145" s="59">
        <v>1696000000</v>
      </c>
      <c r="AA145" s="59">
        <v>1664000000</v>
      </c>
      <c r="AB145" s="59">
        <v>1684000000</v>
      </c>
      <c r="AC145" s="59">
        <v>1656000000</v>
      </c>
      <c r="AD145" s="59">
        <v>1634906576</v>
      </c>
      <c r="AE145" s="59">
        <v>1629379888</v>
      </c>
      <c r="AF145" s="59">
        <v>1621617752</v>
      </c>
      <c r="AG145" s="59">
        <v>1579417664</v>
      </c>
      <c r="AH145" s="59">
        <v>1489407024</v>
      </c>
      <c r="AI145" s="59">
        <v>1474113016</v>
      </c>
      <c r="AJ145" s="59">
        <v>1462039240</v>
      </c>
      <c r="AK145" s="59">
        <v>1406832448</v>
      </c>
      <c r="AL145" s="59">
        <v>1406129720</v>
      </c>
      <c r="AM145" s="59">
        <v>1433128000</v>
      </c>
      <c r="AN145" s="59">
        <v>1445696000</v>
      </c>
      <c r="AO145" s="59">
        <v>1454096000</v>
      </c>
      <c r="AP145" s="59">
        <v>1459552000</v>
      </c>
      <c r="AQ145" s="59">
        <v>1476104000</v>
      </c>
      <c r="AR145" s="59">
        <v>1491544000</v>
      </c>
      <c r="AS145" s="45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</row>
    <row r="146" spans="1:69" outlineLevel="2">
      <c r="A146" s="39"/>
      <c r="B146" s="43"/>
      <c r="C146" s="60" t="s">
        <v>401</v>
      </c>
      <c r="D146" s="61">
        <f t="shared" si="17"/>
        <v>1660000000</v>
      </c>
      <c r="E146" s="61">
        <f t="shared" si="18"/>
        <v>1695186354</v>
      </c>
      <c r="F146" s="61">
        <f t="shared" si="19"/>
        <v>1406129720</v>
      </c>
      <c r="G146" s="61">
        <f t="shared" si="20"/>
        <v>2083000000</v>
      </c>
      <c r="H146" s="61">
        <f t="shared" si="21"/>
        <v>1475606254</v>
      </c>
      <c r="I146" s="61">
        <f t="shared" si="22"/>
        <v>1891000000</v>
      </c>
      <c r="J146" s="61">
        <f t="shared" si="23"/>
        <v>221676594.67876136</v>
      </c>
      <c r="K146" s="62">
        <f t="shared" si="24"/>
        <v>0.13076827462401894</v>
      </c>
      <c r="L146" s="41"/>
      <c r="M146" s="63">
        <v>2083000000</v>
      </c>
      <c r="N146" s="63">
        <v>2057000000</v>
      </c>
      <c r="O146" s="63">
        <v>2052000000</v>
      </c>
      <c r="P146" s="63">
        <v>1987000000</v>
      </c>
      <c r="Q146" s="63">
        <v>1963000000</v>
      </c>
      <c r="R146" s="63">
        <v>1960000000</v>
      </c>
      <c r="S146" s="63">
        <v>1956000000</v>
      </c>
      <c r="T146" s="63">
        <v>1912000000</v>
      </c>
      <c r="U146" s="63">
        <v>1884000000</v>
      </c>
      <c r="V146" s="63">
        <v>1872000000</v>
      </c>
      <c r="W146" s="63">
        <v>1844000000</v>
      </c>
      <c r="X146" s="63">
        <v>1772000000</v>
      </c>
      <c r="Y146" s="63">
        <v>1740000000</v>
      </c>
      <c r="Z146" s="63">
        <v>1696000000</v>
      </c>
      <c r="AA146" s="63">
        <v>1664000000</v>
      </c>
      <c r="AB146" s="63">
        <v>1684000000</v>
      </c>
      <c r="AC146" s="63">
        <v>1656000000</v>
      </c>
      <c r="AD146" s="63">
        <v>1634906576</v>
      </c>
      <c r="AE146" s="63">
        <v>1629379888</v>
      </c>
      <c r="AF146" s="63">
        <v>1621617752</v>
      </c>
      <c r="AG146" s="63">
        <v>1579417664</v>
      </c>
      <c r="AH146" s="63">
        <v>1489407024</v>
      </c>
      <c r="AI146" s="63">
        <v>1474113016</v>
      </c>
      <c r="AJ146" s="63">
        <v>1462039240</v>
      </c>
      <c r="AK146" s="63">
        <v>1406832448</v>
      </c>
      <c r="AL146" s="63">
        <v>1406129720</v>
      </c>
      <c r="AM146" s="63">
        <v>1433128000</v>
      </c>
      <c r="AN146" s="63">
        <v>1445696000</v>
      </c>
      <c r="AO146" s="63">
        <v>1454096000</v>
      </c>
      <c r="AP146" s="63">
        <v>1459552000</v>
      </c>
      <c r="AQ146" s="63">
        <v>1476104000</v>
      </c>
      <c r="AR146" s="63">
        <v>1491544000</v>
      </c>
      <c r="AS146" s="45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</row>
    <row r="147" spans="1:69">
      <c r="A147" s="39"/>
      <c r="B147" s="43"/>
      <c r="C147" s="53" t="s">
        <v>402</v>
      </c>
      <c r="D147" s="66" t="str">
        <f t="shared" si="17"/>
        <v/>
      </c>
      <c r="E147" s="66" t="str">
        <f t="shared" si="18"/>
        <v/>
      </c>
      <c r="F147" s="66" t="str">
        <f t="shared" si="19"/>
        <v/>
      </c>
      <c r="G147" s="66" t="str">
        <f t="shared" si="20"/>
        <v/>
      </c>
      <c r="H147" s="66" t="str">
        <f t="shared" si="21"/>
        <v/>
      </c>
      <c r="I147" s="66" t="str">
        <f t="shared" si="22"/>
        <v/>
      </c>
      <c r="J147" s="66" t="str">
        <f t="shared" si="23"/>
        <v/>
      </c>
      <c r="K147" s="55" t="str">
        <f t="shared" si="24"/>
        <v/>
      </c>
      <c r="L147" s="48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45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</row>
    <row r="148" spans="1:69" outlineLevel="1">
      <c r="A148" s="39"/>
      <c r="B148" s="43"/>
      <c r="C148" s="56" t="s">
        <v>403</v>
      </c>
      <c r="D148" s="57" t="str">
        <f t="shared" si="17"/>
        <v/>
      </c>
      <c r="E148" s="57" t="str">
        <f t="shared" si="18"/>
        <v/>
      </c>
      <c r="F148" s="57" t="str">
        <f t="shared" si="19"/>
        <v/>
      </c>
      <c r="G148" s="57" t="str">
        <f t="shared" si="20"/>
        <v/>
      </c>
      <c r="H148" s="57" t="str">
        <f t="shared" si="21"/>
        <v/>
      </c>
      <c r="I148" s="57" t="str">
        <f t="shared" si="22"/>
        <v/>
      </c>
      <c r="J148" s="57" t="str">
        <f t="shared" si="23"/>
        <v/>
      </c>
      <c r="K148" s="58" t="str">
        <f t="shared" si="24"/>
        <v/>
      </c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45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</row>
    <row r="149" spans="1:69" outlineLevel="2">
      <c r="A149" s="39"/>
      <c r="B149" s="43"/>
      <c r="C149" s="56" t="s">
        <v>404</v>
      </c>
      <c r="D149" s="57">
        <f t="shared" si="17"/>
        <v>7567500</v>
      </c>
      <c r="E149" s="57">
        <f t="shared" si="18"/>
        <v>7561428.5714285718</v>
      </c>
      <c r="F149" s="57">
        <f t="shared" si="19"/>
        <v>2321000</v>
      </c>
      <c r="G149" s="57">
        <f t="shared" si="20"/>
        <v>11835000</v>
      </c>
      <c r="H149" s="57">
        <f t="shared" si="21"/>
        <v>5825500</v>
      </c>
      <c r="I149" s="57">
        <f t="shared" si="22"/>
        <v>9432250</v>
      </c>
      <c r="J149" s="57">
        <f t="shared" si="23"/>
        <v>3063658.1882621124</v>
      </c>
      <c r="K149" s="58">
        <f t="shared" si="24"/>
        <v>0.40516922950755313</v>
      </c>
      <c r="M149" s="59">
        <v>3499000</v>
      </c>
      <c r="N149" s="59">
        <v>11454000</v>
      </c>
      <c r="O149" s="59">
        <v>11806000</v>
      </c>
      <c r="P149" s="59">
        <v>8180000</v>
      </c>
      <c r="Q149" s="59">
        <v>2321000</v>
      </c>
      <c r="R149" s="59"/>
      <c r="S149" s="59">
        <v>6526000</v>
      </c>
      <c r="T149" s="59">
        <v>11835000</v>
      </c>
      <c r="U149" s="59">
        <v>5617000</v>
      </c>
      <c r="V149" s="59">
        <v>6955000</v>
      </c>
      <c r="W149" s="59">
        <v>6451000</v>
      </c>
      <c r="X149" s="59">
        <v>9385000</v>
      </c>
      <c r="Y149" s="59">
        <v>9448000</v>
      </c>
      <c r="Z149" s="59">
        <v>8330000</v>
      </c>
      <c r="AA149" s="59">
        <v>4053000</v>
      </c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45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</row>
    <row r="150" spans="1:69" outlineLevel="2">
      <c r="A150" s="39"/>
      <c r="B150" s="43"/>
      <c r="C150" s="56" t="s">
        <v>405</v>
      </c>
      <c r="D150" s="57">
        <f t="shared" si="17"/>
        <v>3962000</v>
      </c>
      <c r="E150" s="57">
        <f t="shared" si="18"/>
        <v>5219357.1428571427</v>
      </c>
      <c r="F150" s="57">
        <f t="shared" si="19"/>
        <v>1886000</v>
      </c>
      <c r="G150" s="57">
        <f t="shared" si="20"/>
        <v>10343000</v>
      </c>
      <c r="H150" s="57">
        <f t="shared" si="21"/>
        <v>3401000</v>
      </c>
      <c r="I150" s="57">
        <f t="shared" si="22"/>
        <v>7457500</v>
      </c>
      <c r="J150" s="57">
        <f t="shared" si="23"/>
        <v>2927666.5322703375</v>
      </c>
      <c r="K150" s="58">
        <f t="shared" si="24"/>
        <v>0.56092473692415223</v>
      </c>
      <c r="M150" s="59">
        <v>10343000</v>
      </c>
      <c r="N150" s="59">
        <v>3999000</v>
      </c>
      <c r="O150" s="59">
        <v>8037000</v>
      </c>
      <c r="P150" s="59">
        <v>9348000</v>
      </c>
      <c r="Q150" s="59">
        <v>9942000</v>
      </c>
      <c r="R150" s="59"/>
      <c r="S150" s="59">
        <v>5719000</v>
      </c>
      <c r="T150" s="59">
        <v>2991000</v>
      </c>
      <c r="U150" s="59">
        <v>1886000</v>
      </c>
      <c r="V150" s="59">
        <v>3377000</v>
      </c>
      <c r="W150" s="59">
        <v>4032000</v>
      </c>
      <c r="X150" s="59">
        <v>2414000</v>
      </c>
      <c r="Y150" s="59">
        <v>3585000</v>
      </c>
      <c r="Z150" s="59">
        <v>3925000</v>
      </c>
      <c r="AA150" s="59">
        <v>3473000</v>
      </c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45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</row>
    <row r="151" spans="1:69" outlineLevel="2">
      <c r="A151" s="39"/>
      <c r="B151" s="43"/>
      <c r="C151" s="56" t="s">
        <v>406</v>
      </c>
      <c r="D151" s="57">
        <f t="shared" si="17"/>
        <v>3717000</v>
      </c>
      <c r="E151" s="57">
        <f t="shared" si="18"/>
        <v>4588428.5714285718</v>
      </c>
      <c r="F151" s="57">
        <f t="shared" si="19"/>
        <v>1874000</v>
      </c>
      <c r="G151" s="57">
        <f t="shared" si="20"/>
        <v>11847000</v>
      </c>
      <c r="H151" s="57">
        <f t="shared" si="21"/>
        <v>2920000</v>
      </c>
      <c r="I151" s="57">
        <f t="shared" si="22"/>
        <v>4311750</v>
      </c>
      <c r="J151" s="57">
        <f t="shared" si="23"/>
        <v>2951846.4029846112</v>
      </c>
      <c r="K151" s="58">
        <f t="shared" si="24"/>
        <v>0.6433240393814339</v>
      </c>
      <c r="M151" s="59">
        <v>10588000</v>
      </c>
      <c r="N151" s="59">
        <v>11847000</v>
      </c>
      <c r="O151" s="59">
        <v>1874000</v>
      </c>
      <c r="P151" s="59">
        <v>2918000</v>
      </c>
      <c r="Q151" s="59">
        <v>4318000</v>
      </c>
      <c r="R151" s="59"/>
      <c r="S151" s="59">
        <v>5416000</v>
      </c>
      <c r="T151" s="59">
        <v>4293000</v>
      </c>
      <c r="U151" s="59">
        <v>2524000</v>
      </c>
      <c r="V151" s="59">
        <v>3774000</v>
      </c>
      <c r="W151" s="59">
        <v>3900000</v>
      </c>
      <c r="X151" s="59">
        <v>3660000</v>
      </c>
      <c r="Y151" s="59">
        <v>2842000</v>
      </c>
      <c r="Z151" s="59">
        <v>3358000</v>
      </c>
      <c r="AA151" s="59">
        <v>2926000</v>
      </c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45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</row>
    <row r="152" spans="1:69" outlineLevel="2">
      <c r="A152" s="39"/>
      <c r="B152" s="43"/>
      <c r="C152" s="56" t="s">
        <v>407</v>
      </c>
      <c r="D152" s="57">
        <f t="shared" si="17"/>
        <v>2919000</v>
      </c>
      <c r="E152" s="57">
        <f t="shared" si="18"/>
        <v>4220085.7142857146</v>
      </c>
      <c r="F152" s="57">
        <f t="shared" si="19"/>
        <v>1218200</v>
      </c>
      <c r="G152" s="57">
        <f t="shared" si="20"/>
        <v>9916000</v>
      </c>
      <c r="H152" s="57">
        <f t="shared" si="21"/>
        <v>2271500</v>
      </c>
      <c r="I152" s="57">
        <f t="shared" si="22"/>
        <v>6559500</v>
      </c>
      <c r="J152" s="57">
        <f t="shared" si="23"/>
        <v>3099857.1696269992</v>
      </c>
      <c r="K152" s="58">
        <f t="shared" si="24"/>
        <v>0.73454839060103694</v>
      </c>
      <c r="M152" s="59">
        <v>9916000</v>
      </c>
      <c r="N152" s="59">
        <v>9349000</v>
      </c>
      <c r="O152" s="59">
        <v>7731000</v>
      </c>
      <c r="P152" s="59">
        <v>1218200</v>
      </c>
      <c r="Q152" s="59">
        <v>8236000</v>
      </c>
      <c r="R152" s="59"/>
      <c r="S152" s="59">
        <v>2894000</v>
      </c>
      <c r="T152" s="59">
        <v>2225000</v>
      </c>
      <c r="U152" s="59">
        <v>1409000</v>
      </c>
      <c r="V152" s="59">
        <v>2944000</v>
      </c>
      <c r="W152" s="59">
        <v>3013000</v>
      </c>
      <c r="X152" s="59">
        <v>2411000</v>
      </c>
      <c r="Y152" s="59">
        <v>3045000</v>
      </c>
      <c r="Z152" s="59">
        <v>1963000</v>
      </c>
      <c r="AA152" s="59">
        <v>2727000</v>
      </c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45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</row>
    <row r="153" spans="1:69" outlineLevel="2">
      <c r="A153" s="39"/>
      <c r="B153" s="43"/>
      <c r="C153" s="56" t="s">
        <v>408</v>
      </c>
      <c r="D153" s="57">
        <f t="shared" si="17"/>
        <v>2881500</v>
      </c>
      <c r="E153" s="57">
        <f t="shared" si="18"/>
        <v>4261085.7142857146</v>
      </c>
      <c r="F153" s="57">
        <f t="shared" si="19"/>
        <v>1322200</v>
      </c>
      <c r="G153" s="57">
        <f t="shared" si="20"/>
        <v>10867000</v>
      </c>
      <c r="H153" s="57">
        <f t="shared" si="21"/>
        <v>2333500</v>
      </c>
      <c r="I153" s="57">
        <f t="shared" si="22"/>
        <v>6578500</v>
      </c>
      <c r="J153" s="57">
        <f t="shared" si="23"/>
        <v>2926946.4442439885</v>
      </c>
      <c r="K153" s="58">
        <f t="shared" si="24"/>
        <v>0.68690156464844365</v>
      </c>
      <c r="M153" s="59">
        <v>7270000</v>
      </c>
      <c r="N153" s="59">
        <v>10867000</v>
      </c>
      <c r="O153" s="59">
        <v>7685000</v>
      </c>
      <c r="P153" s="59">
        <v>7657000</v>
      </c>
      <c r="Q153" s="59">
        <v>1322200</v>
      </c>
      <c r="R153" s="59"/>
      <c r="S153" s="59">
        <v>4504000</v>
      </c>
      <c r="T153" s="59">
        <v>2648000</v>
      </c>
      <c r="U153" s="59">
        <v>1946000</v>
      </c>
      <c r="V153" s="59">
        <v>3706000</v>
      </c>
      <c r="W153" s="59">
        <v>2524000</v>
      </c>
      <c r="X153" s="59">
        <v>2820000</v>
      </c>
      <c r="Y153" s="59">
        <v>2270000</v>
      </c>
      <c r="Z153" s="59">
        <v>2943000</v>
      </c>
      <c r="AA153" s="59">
        <v>1493000</v>
      </c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45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</row>
    <row r="154" spans="1:69" outlineLevel="2">
      <c r="A154" s="39"/>
      <c r="B154" s="43"/>
      <c r="C154" s="56" t="s">
        <v>409</v>
      </c>
      <c r="D154" s="57">
        <f t="shared" si="17"/>
        <v>33804000</v>
      </c>
      <c r="E154" s="57">
        <f t="shared" si="18"/>
        <v>34047444.444444448</v>
      </c>
      <c r="F154" s="57">
        <f t="shared" si="19"/>
        <v>24941000</v>
      </c>
      <c r="G154" s="57">
        <f t="shared" si="20"/>
        <v>46194000</v>
      </c>
      <c r="H154" s="57">
        <f t="shared" si="21"/>
        <v>31901000</v>
      </c>
      <c r="I154" s="57">
        <f t="shared" si="22"/>
        <v>34852000</v>
      </c>
      <c r="J154" s="57">
        <f t="shared" si="23"/>
        <v>5645782.6098582428</v>
      </c>
      <c r="K154" s="58">
        <f t="shared" si="24"/>
        <v>0.1658210389055931</v>
      </c>
      <c r="M154" s="59"/>
      <c r="N154" s="59"/>
      <c r="O154" s="59"/>
      <c r="P154" s="59"/>
      <c r="Q154" s="59"/>
      <c r="R154" s="59"/>
      <c r="S154" s="59">
        <v>46194000</v>
      </c>
      <c r="T154" s="59">
        <v>36357000</v>
      </c>
      <c r="U154" s="59">
        <v>24941000</v>
      </c>
      <c r="V154" s="59">
        <v>34852000</v>
      </c>
      <c r="W154" s="59">
        <v>33567000</v>
      </c>
      <c r="X154" s="59">
        <v>33804000</v>
      </c>
      <c r="Y154" s="59">
        <v>34438000</v>
      </c>
      <c r="Z154" s="59">
        <v>31901000</v>
      </c>
      <c r="AA154" s="59">
        <v>30373000</v>
      </c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45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</row>
    <row r="155" spans="1:69" outlineLevel="2">
      <c r="A155" s="39"/>
      <c r="B155" s="43"/>
      <c r="C155" s="56" t="s">
        <v>410</v>
      </c>
      <c r="D155" s="57">
        <f t="shared" si="17"/>
        <v>-178000</v>
      </c>
      <c r="E155" s="57">
        <f t="shared" si="18"/>
        <v>-2920220</v>
      </c>
      <c r="F155" s="57">
        <f t="shared" si="19"/>
        <v>-28670000</v>
      </c>
      <c r="G155" s="57">
        <f t="shared" si="20"/>
        <v>35644800</v>
      </c>
      <c r="H155" s="57">
        <f t="shared" si="21"/>
        <v>-9708750</v>
      </c>
      <c r="I155" s="57">
        <f t="shared" si="22"/>
        <v>-12250</v>
      </c>
      <c r="J155" s="57">
        <f t="shared" si="23"/>
        <v>17270143.239308186</v>
      </c>
      <c r="K155" s="58">
        <f t="shared" si="24"/>
        <v>-5.9139870418352682</v>
      </c>
      <c r="M155" s="59"/>
      <c r="N155" s="59"/>
      <c r="O155" s="59"/>
      <c r="P155" s="59">
        <v>35644800</v>
      </c>
      <c r="Q155" s="59"/>
      <c r="R155" s="59"/>
      <c r="S155" s="59">
        <v>-28670000</v>
      </c>
      <c r="T155" s="59">
        <v>-22637000</v>
      </c>
      <c r="U155" s="59">
        <v>-12822000</v>
      </c>
      <c r="V155" s="59">
        <v>-369000</v>
      </c>
      <c r="W155" s="59">
        <v>-315000</v>
      </c>
      <c r="X155" s="59">
        <v>-25000</v>
      </c>
      <c r="Y155" s="59">
        <v>-41000</v>
      </c>
      <c r="Z155" s="59">
        <v>40000</v>
      </c>
      <c r="AA155" s="59">
        <v>-8000</v>
      </c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45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</row>
    <row r="156" spans="1:69" outlineLevel="2">
      <c r="A156" s="39"/>
      <c r="B156" s="43"/>
      <c r="C156" s="60" t="s">
        <v>411</v>
      </c>
      <c r="D156" s="61">
        <f t="shared" si="17"/>
        <v>46276500</v>
      </c>
      <c r="E156" s="61">
        <f t="shared" si="18"/>
        <v>45652157.142857142</v>
      </c>
      <c r="F156" s="61">
        <f t="shared" si="19"/>
        <v>25501000</v>
      </c>
      <c r="G156" s="61">
        <f t="shared" si="20"/>
        <v>64966000</v>
      </c>
      <c r="H156" s="61">
        <f t="shared" si="21"/>
        <v>38688000</v>
      </c>
      <c r="I156" s="61">
        <f t="shared" si="22"/>
        <v>54144750</v>
      </c>
      <c r="J156" s="61">
        <f t="shared" si="23"/>
        <v>11422898.886057723</v>
      </c>
      <c r="K156" s="62">
        <f t="shared" si="24"/>
        <v>0.25021597227733589</v>
      </c>
      <c r="L156" s="41"/>
      <c r="M156" s="63">
        <v>41616000</v>
      </c>
      <c r="N156" s="63">
        <v>47516000</v>
      </c>
      <c r="O156" s="63">
        <v>37133000</v>
      </c>
      <c r="P156" s="63">
        <v>64966000</v>
      </c>
      <c r="Q156" s="63">
        <v>26139200</v>
      </c>
      <c r="R156" s="63"/>
      <c r="S156" s="63">
        <v>42583000</v>
      </c>
      <c r="T156" s="63">
        <v>37712000</v>
      </c>
      <c r="U156" s="63">
        <v>25501000</v>
      </c>
      <c r="V156" s="63">
        <v>55239000</v>
      </c>
      <c r="W156" s="63">
        <v>53172000</v>
      </c>
      <c r="X156" s="63">
        <v>54469000</v>
      </c>
      <c r="Y156" s="63">
        <v>55587000</v>
      </c>
      <c r="Z156" s="63">
        <v>52460000</v>
      </c>
      <c r="AA156" s="63">
        <v>45037000</v>
      </c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  <c r="AO156" s="63"/>
      <c r="AP156" s="63"/>
      <c r="AQ156" s="63"/>
      <c r="AR156" s="63"/>
      <c r="AS156" s="45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</row>
    <row r="157" spans="1:69" outlineLevel="1">
      <c r="A157" s="39"/>
      <c r="B157" s="43"/>
      <c r="C157" s="56" t="s">
        <v>412</v>
      </c>
      <c r="D157" s="57" t="str">
        <f t="shared" si="17"/>
        <v/>
      </c>
      <c r="E157" s="57" t="str">
        <f t="shared" si="18"/>
        <v/>
      </c>
      <c r="F157" s="57" t="str">
        <f t="shared" si="19"/>
        <v/>
      </c>
      <c r="G157" s="57" t="str">
        <f t="shared" si="20"/>
        <v/>
      </c>
      <c r="H157" s="57" t="str">
        <f t="shared" si="21"/>
        <v/>
      </c>
      <c r="I157" s="57" t="str">
        <f t="shared" si="22"/>
        <v/>
      </c>
      <c r="J157" s="57" t="str">
        <f t="shared" si="23"/>
        <v/>
      </c>
      <c r="K157" s="58" t="str">
        <f t="shared" si="24"/>
        <v/>
      </c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45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</row>
    <row r="158" spans="1:69" outlineLevel="2">
      <c r="A158" s="39"/>
      <c r="B158" s="43"/>
      <c r="C158" s="56" t="s">
        <v>413</v>
      </c>
      <c r="D158" s="57">
        <f t="shared" si="17"/>
        <v>8640500</v>
      </c>
      <c r="E158" s="57">
        <f t="shared" si="18"/>
        <v>9032500</v>
      </c>
      <c r="F158" s="57">
        <f t="shared" si="19"/>
        <v>6189000</v>
      </c>
      <c r="G158" s="57">
        <f t="shared" si="20"/>
        <v>13857000</v>
      </c>
      <c r="H158" s="57">
        <f t="shared" si="21"/>
        <v>7285250</v>
      </c>
      <c r="I158" s="57">
        <f t="shared" si="22"/>
        <v>9768500</v>
      </c>
      <c r="J158" s="57">
        <f t="shared" si="23"/>
        <v>2557516.5409324057</v>
      </c>
      <c r="K158" s="58">
        <f t="shared" si="24"/>
        <v>0.28314603276306732</v>
      </c>
      <c r="M158" s="59"/>
      <c r="N158" s="59"/>
      <c r="O158" s="59"/>
      <c r="P158" s="59"/>
      <c r="Q158" s="59"/>
      <c r="R158" s="59"/>
      <c r="S158" s="59">
        <v>11543000</v>
      </c>
      <c r="T158" s="59">
        <v>13857000</v>
      </c>
      <c r="U158" s="59">
        <v>8396000</v>
      </c>
      <c r="V158" s="59">
        <v>8885000</v>
      </c>
      <c r="W158" s="59">
        <v>9177000</v>
      </c>
      <c r="X158" s="59">
        <v>7464000</v>
      </c>
      <c r="Y158" s="59">
        <v>6749000</v>
      </c>
      <c r="Z158" s="59">
        <v>6189000</v>
      </c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45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</row>
    <row r="159" spans="1:69" outlineLevel="2">
      <c r="A159" s="39"/>
      <c r="B159" s="43"/>
      <c r="C159" s="56" t="s">
        <v>414</v>
      </c>
      <c r="D159" s="57">
        <f t="shared" si="17"/>
        <v>5794500</v>
      </c>
      <c r="E159" s="57">
        <f t="shared" si="18"/>
        <v>5874000</v>
      </c>
      <c r="F159" s="57">
        <f t="shared" si="19"/>
        <v>4088000</v>
      </c>
      <c r="G159" s="57">
        <f t="shared" si="20"/>
        <v>8584000</v>
      </c>
      <c r="H159" s="57">
        <f t="shared" si="21"/>
        <v>5092250</v>
      </c>
      <c r="I159" s="57">
        <f t="shared" si="22"/>
        <v>6297000</v>
      </c>
      <c r="J159" s="57">
        <f t="shared" si="23"/>
        <v>1355191.288553549</v>
      </c>
      <c r="K159" s="58">
        <f t="shared" si="24"/>
        <v>0.23071012743506111</v>
      </c>
      <c r="M159" s="59"/>
      <c r="N159" s="59"/>
      <c r="O159" s="59"/>
      <c r="P159" s="59"/>
      <c r="Q159" s="59"/>
      <c r="R159" s="59"/>
      <c r="S159" s="59">
        <v>8584000</v>
      </c>
      <c r="T159" s="59">
        <v>6229000</v>
      </c>
      <c r="U159" s="59">
        <v>5160000</v>
      </c>
      <c r="V159" s="59">
        <v>6253000</v>
      </c>
      <c r="W159" s="59">
        <v>5360000</v>
      </c>
      <c r="X159" s="59">
        <v>6429000</v>
      </c>
      <c r="Y159" s="59">
        <v>4088000</v>
      </c>
      <c r="Z159" s="59">
        <v>4889000</v>
      </c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45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</row>
    <row r="160" spans="1:69" outlineLevel="2">
      <c r="A160" s="39"/>
      <c r="B160" s="43"/>
      <c r="C160" s="56" t="s">
        <v>415</v>
      </c>
      <c r="D160" s="57">
        <f t="shared" si="17"/>
        <v>5193000</v>
      </c>
      <c r="E160" s="57">
        <f t="shared" si="18"/>
        <v>5321250</v>
      </c>
      <c r="F160" s="57">
        <f t="shared" si="19"/>
        <v>3328000</v>
      </c>
      <c r="G160" s="57">
        <f t="shared" si="20"/>
        <v>8086000</v>
      </c>
      <c r="H160" s="57">
        <f t="shared" si="21"/>
        <v>4306750</v>
      </c>
      <c r="I160" s="57">
        <f t="shared" si="22"/>
        <v>5988250</v>
      </c>
      <c r="J160" s="57">
        <f t="shared" si="23"/>
        <v>1572378.97558354</v>
      </c>
      <c r="K160" s="58">
        <f t="shared" si="24"/>
        <v>0.29549052865088843</v>
      </c>
      <c r="M160" s="59"/>
      <c r="N160" s="59"/>
      <c r="O160" s="59"/>
      <c r="P160" s="59"/>
      <c r="Q160" s="59"/>
      <c r="R160" s="59"/>
      <c r="S160" s="59">
        <v>8086000</v>
      </c>
      <c r="T160" s="59">
        <v>6787000</v>
      </c>
      <c r="U160" s="59">
        <v>5556000</v>
      </c>
      <c r="V160" s="59">
        <v>5722000</v>
      </c>
      <c r="W160" s="59">
        <v>4830000</v>
      </c>
      <c r="X160" s="59">
        <v>4483000</v>
      </c>
      <c r="Y160" s="59">
        <v>3778000</v>
      </c>
      <c r="Z160" s="59">
        <v>3328000</v>
      </c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45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</row>
    <row r="161" spans="1:69" outlineLevel="2">
      <c r="A161" s="39"/>
      <c r="B161" s="43"/>
      <c r="C161" s="56" t="s">
        <v>416</v>
      </c>
      <c r="D161" s="57">
        <f t="shared" si="17"/>
        <v>4617500</v>
      </c>
      <c r="E161" s="57">
        <f t="shared" si="18"/>
        <v>4869875</v>
      </c>
      <c r="F161" s="57">
        <f t="shared" si="19"/>
        <v>2934000</v>
      </c>
      <c r="G161" s="57">
        <f t="shared" si="20"/>
        <v>7815000</v>
      </c>
      <c r="H161" s="57">
        <f t="shared" si="21"/>
        <v>3930500</v>
      </c>
      <c r="I161" s="57">
        <f t="shared" si="22"/>
        <v>5731250</v>
      </c>
      <c r="J161" s="57">
        <f t="shared" si="23"/>
        <v>1562947.9872069594</v>
      </c>
      <c r="K161" s="58">
        <f t="shared" si="24"/>
        <v>0.32094211601056688</v>
      </c>
      <c r="M161" s="59"/>
      <c r="N161" s="59"/>
      <c r="O161" s="59"/>
      <c r="P161" s="59"/>
      <c r="Q161" s="59"/>
      <c r="R161" s="59"/>
      <c r="S161" s="59">
        <v>7815000</v>
      </c>
      <c r="T161" s="59">
        <v>5822000</v>
      </c>
      <c r="U161" s="59">
        <v>5701000</v>
      </c>
      <c r="V161" s="59">
        <v>4650000</v>
      </c>
      <c r="W161" s="59">
        <v>4585000</v>
      </c>
      <c r="X161" s="59">
        <v>4135000</v>
      </c>
      <c r="Y161" s="59">
        <v>3317000</v>
      </c>
      <c r="Z161" s="59">
        <v>2934000</v>
      </c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45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</row>
    <row r="162" spans="1:69" outlineLevel="2">
      <c r="A162" s="39"/>
      <c r="B162" s="43"/>
      <c r="C162" s="56" t="s">
        <v>417</v>
      </c>
      <c r="D162" s="57">
        <f t="shared" si="17"/>
        <v>5121500</v>
      </c>
      <c r="E162" s="57">
        <f t="shared" si="18"/>
        <v>5640500</v>
      </c>
      <c r="F162" s="57">
        <f t="shared" si="19"/>
        <v>2754000</v>
      </c>
      <c r="G162" s="57">
        <f t="shared" si="20"/>
        <v>10182000</v>
      </c>
      <c r="H162" s="57">
        <f t="shared" si="21"/>
        <v>4246500</v>
      </c>
      <c r="I162" s="57">
        <f t="shared" si="22"/>
        <v>6283250</v>
      </c>
      <c r="J162" s="57">
        <f t="shared" si="23"/>
        <v>2412192.8375887126</v>
      </c>
      <c r="K162" s="58">
        <f t="shared" si="24"/>
        <v>0.42765585277700779</v>
      </c>
      <c r="M162" s="59"/>
      <c r="N162" s="59"/>
      <c r="O162" s="59"/>
      <c r="P162" s="59"/>
      <c r="Q162" s="59"/>
      <c r="R162" s="59"/>
      <c r="S162" s="59">
        <v>8114000</v>
      </c>
      <c r="T162" s="59">
        <v>5207000</v>
      </c>
      <c r="U162" s="59">
        <v>5673000</v>
      </c>
      <c r="V162" s="59">
        <v>5036000</v>
      </c>
      <c r="W162" s="59">
        <v>4414000</v>
      </c>
      <c r="X162" s="59">
        <v>3744000</v>
      </c>
      <c r="Y162" s="59">
        <v>10182000</v>
      </c>
      <c r="Z162" s="59">
        <v>2754000</v>
      </c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45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</row>
    <row r="163" spans="1:69" outlineLevel="2">
      <c r="A163" s="39"/>
      <c r="B163" s="43"/>
      <c r="C163" s="56" t="s">
        <v>418</v>
      </c>
      <c r="D163" s="57">
        <f t="shared" si="17"/>
        <v>33557500</v>
      </c>
      <c r="E163" s="57">
        <f t="shared" si="18"/>
        <v>32813250</v>
      </c>
      <c r="F163" s="57">
        <f t="shared" si="19"/>
        <v>28941000</v>
      </c>
      <c r="G163" s="57">
        <f t="shared" si="20"/>
        <v>35169000</v>
      </c>
      <c r="H163" s="57">
        <f t="shared" si="21"/>
        <v>31667250</v>
      </c>
      <c r="I163" s="57">
        <f t="shared" si="22"/>
        <v>34619500</v>
      </c>
      <c r="J163" s="57">
        <f t="shared" si="23"/>
        <v>2409611.8092814391</v>
      </c>
      <c r="K163" s="58">
        <f t="shared" si="24"/>
        <v>7.3434109979396714E-2</v>
      </c>
      <c r="M163" s="59"/>
      <c r="N163" s="59"/>
      <c r="O163" s="59"/>
      <c r="P163" s="59"/>
      <c r="Q163" s="59"/>
      <c r="R163" s="59"/>
      <c r="S163" s="59">
        <v>34550000</v>
      </c>
      <c r="T163" s="59">
        <v>32892000</v>
      </c>
      <c r="U163" s="59">
        <v>32383000</v>
      </c>
      <c r="V163" s="59">
        <v>34223000</v>
      </c>
      <c r="W163" s="59">
        <v>34828000</v>
      </c>
      <c r="X163" s="59">
        <v>35169000</v>
      </c>
      <c r="Y163" s="59">
        <v>28941000</v>
      </c>
      <c r="Z163" s="59">
        <v>29520000</v>
      </c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45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</row>
    <row r="164" spans="1:69" outlineLevel="2">
      <c r="A164" s="39"/>
      <c r="B164" s="43"/>
      <c r="C164" s="60" t="s">
        <v>419</v>
      </c>
      <c r="D164" s="61">
        <f t="shared" si="17"/>
        <v>63031500</v>
      </c>
      <c r="E164" s="61">
        <f t="shared" si="18"/>
        <v>63551375</v>
      </c>
      <c r="F164" s="61">
        <f t="shared" si="19"/>
        <v>49614000</v>
      </c>
      <c r="G164" s="61">
        <f t="shared" si="20"/>
        <v>78692000</v>
      </c>
      <c r="H164" s="61">
        <f t="shared" si="21"/>
        <v>60331750</v>
      </c>
      <c r="I164" s="61">
        <f t="shared" si="22"/>
        <v>66275250</v>
      </c>
      <c r="J164" s="61">
        <f t="shared" si="23"/>
        <v>8658184.731182728</v>
      </c>
      <c r="K164" s="62">
        <f t="shared" si="24"/>
        <v>0.13623914087118852</v>
      </c>
      <c r="L164" s="41"/>
      <c r="M164" s="63"/>
      <c r="N164" s="63"/>
      <c r="O164" s="63"/>
      <c r="P164" s="63"/>
      <c r="Q164" s="63"/>
      <c r="R164" s="63"/>
      <c r="S164" s="63">
        <v>78692000</v>
      </c>
      <c r="T164" s="63">
        <v>70794000</v>
      </c>
      <c r="U164" s="63">
        <v>62869000</v>
      </c>
      <c r="V164" s="63">
        <v>64769000</v>
      </c>
      <c r="W164" s="63">
        <v>63194000</v>
      </c>
      <c r="X164" s="63">
        <v>61424000</v>
      </c>
      <c r="Y164" s="63">
        <v>57055000</v>
      </c>
      <c r="Z164" s="63">
        <v>49614000</v>
      </c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  <c r="AS164" s="45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</row>
    <row r="165" spans="1:69" outlineLevel="1">
      <c r="A165" s="39"/>
      <c r="B165" s="43"/>
      <c r="C165" s="56" t="s">
        <v>420</v>
      </c>
      <c r="D165" s="57" t="str">
        <f t="shared" si="17"/>
        <v/>
      </c>
      <c r="E165" s="57" t="str">
        <f t="shared" si="18"/>
        <v/>
      </c>
      <c r="F165" s="57" t="str">
        <f t="shared" si="19"/>
        <v/>
      </c>
      <c r="G165" s="57" t="str">
        <f t="shared" si="20"/>
        <v/>
      </c>
      <c r="H165" s="57" t="str">
        <f t="shared" si="21"/>
        <v/>
      </c>
      <c r="I165" s="57" t="str">
        <f t="shared" si="22"/>
        <v/>
      </c>
      <c r="J165" s="57" t="str">
        <f t="shared" si="23"/>
        <v/>
      </c>
      <c r="K165" s="58" t="str">
        <f t="shared" si="24"/>
        <v/>
      </c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45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9"/>
      <c r="BP165" s="39"/>
      <c r="BQ165" s="39"/>
    </row>
    <row r="166" spans="1:69" outlineLevel="2">
      <c r="A166" s="39"/>
      <c r="B166" s="43"/>
      <c r="C166" s="56" t="s">
        <v>421</v>
      </c>
      <c r="D166" s="57">
        <f t="shared" si="17"/>
        <v>11630000</v>
      </c>
      <c r="E166" s="57">
        <f t="shared" si="18"/>
        <v>11651285.714285715</v>
      </c>
      <c r="F166" s="57">
        <f t="shared" si="19"/>
        <v>2321000</v>
      </c>
      <c r="G166" s="57">
        <f t="shared" si="20"/>
        <v>25692000</v>
      </c>
      <c r="H166" s="57">
        <f t="shared" si="21"/>
        <v>7643000</v>
      </c>
      <c r="I166" s="57">
        <f t="shared" si="22"/>
        <v>15787000</v>
      </c>
      <c r="J166" s="57">
        <f t="shared" si="23"/>
        <v>6516644.1980819851</v>
      </c>
      <c r="K166" s="58">
        <f t="shared" si="24"/>
        <v>0.55930687461314987</v>
      </c>
      <c r="M166" s="59">
        <v>3499000</v>
      </c>
      <c r="N166" s="59">
        <v>11454000</v>
      </c>
      <c r="O166" s="59">
        <v>11806000</v>
      </c>
      <c r="P166" s="59">
        <v>8180000</v>
      </c>
      <c r="Q166" s="59">
        <v>2321000</v>
      </c>
      <c r="R166" s="59"/>
      <c r="S166" s="59">
        <v>18069000</v>
      </c>
      <c r="T166" s="59">
        <v>25692000</v>
      </c>
      <c r="U166" s="59">
        <v>8396000</v>
      </c>
      <c r="V166" s="59">
        <v>15840000</v>
      </c>
      <c r="W166" s="59">
        <v>15628000</v>
      </c>
      <c r="X166" s="59">
        <v>7464000</v>
      </c>
      <c r="Y166" s="59">
        <v>16197000</v>
      </c>
      <c r="Z166" s="59">
        <v>14519000</v>
      </c>
      <c r="AA166" s="59">
        <v>4053000</v>
      </c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45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9"/>
      <c r="BI166" s="39"/>
      <c r="BJ166" s="39"/>
      <c r="BK166" s="39"/>
      <c r="BL166" s="39"/>
      <c r="BM166" s="39"/>
      <c r="BN166" s="39"/>
      <c r="BO166" s="39"/>
      <c r="BP166" s="39"/>
      <c r="BQ166" s="39"/>
    </row>
    <row r="167" spans="1:69" outlineLevel="2">
      <c r="A167" s="39"/>
      <c r="B167" s="43"/>
      <c r="C167" s="56" t="s">
        <v>422</v>
      </c>
      <c r="D167" s="57">
        <f t="shared" si="17"/>
        <v>9017000</v>
      </c>
      <c r="E167" s="57">
        <f t="shared" si="18"/>
        <v>8268785.7142857146</v>
      </c>
      <c r="F167" s="57">
        <f t="shared" si="19"/>
        <v>3473000</v>
      </c>
      <c r="G167" s="57">
        <f t="shared" si="20"/>
        <v>14303000</v>
      </c>
      <c r="H167" s="57">
        <f t="shared" si="21"/>
        <v>6740000</v>
      </c>
      <c r="I167" s="57">
        <f t="shared" si="22"/>
        <v>9570500</v>
      </c>
      <c r="J167" s="57">
        <f t="shared" si="23"/>
        <v>2824122.9320206367</v>
      </c>
      <c r="K167" s="58">
        <f t="shared" si="24"/>
        <v>0.34154022484117474</v>
      </c>
      <c r="M167" s="59">
        <v>10343000</v>
      </c>
      <c r="N167" s="59">
        <v>3999000</v>
      </c>
      <c r="O167" s="59">
        <v>8037000</v>
      </c>
      <c r="P167" s="59">
        <v>9348000</v>
      </c>
      <c r="Q167" s="59">
        <v>9942000</v>
      </c>
      <c r="R167" s="59"/>
      <c r="S167" s="59">
        <v>14303000</v>
      </c>
      <c r="T167" s="59">
        <v>9220000</v>
      </c>
      <c r="U167" s="59">
        <v>5160000</v>
      </c>
      <c r="V167" s="59">
        <v>9630000</v>
      </c>
      <c r="W167" s="59">
        <v>9392000</v>
      </c>
      <c r="X167" s="59">
        <v>6429000</v>
      </c>
      <c r="Y167" s="59">
        <v>7673000</v>
      </c>
      <c r="Z167" s="59">
        <v>8814000</v>
      </c>
      <c r="AA167" s="59">
        <v>3473000</v>
      </c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45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/>
      <c r="BI167" s="39"/>
      <c r="BJ167" s="39"/>
      <c r="BK167" s="39"/>
      <c r="BL167" s="39"/>
      <c r="BM167" s="39"/>
      <c r="BN167" s="39"/>
      <c r="BO167" s="39"/>
      <c r="BP167" s="39"/>
      <c r="BQ167" s="39"/>
    </row>
    <row r="168" spans="1:69" outlineLevel="2">
      <c r="A168" s="39"/>
      <c r="B168" s="43"/>
      <c r="C168" s="56" t="s">
        <v>423</v>
      </c>
      <c r="D168" s="57">
        <f t="shared" si="17"/>
        <v>6653000</v>
      </c>
      <c r="E168" s="57">
        <f t="shared" si="18"/>
        <v>7187428.5714285718</v>
      </c>
      <c r="F168" s="57">
        <f t="shared" si="19"/>
        <v>1874000</v>
      </c>
      <c r="G168" s="57">
        <f t="shared" si="20"/>
        <v>13502000</v>
      </c>
      <c r="H168" s="57">
        <f t="shared" si="21"/>
        <v>4359250</v>
      </c>
      <c r="I168" s="57">
        <f t="shared" si="22"/>
        <v>10315000</v>
      </c>
      <c r="J168" s="57">
        <f t="shared" si="23"/>
        <v>3714972.6309020966</v>
      </c>
      <c r="K168" s="58">
        <f t="shared" si="24"/>
        <v>0.51687089394805763</v>
      </c>
      <c r="M168" s="59">
        <v>10588000</v>
      </c>
      <c r="N168" s="59">
        <v>11847000</v>
      </c>
      <c r="O168" s="59">
        <v>1874000</v>
      </c>
      <c r="P168" s="59">
        <v>2918000</v>
      </c>
      <c r="Q168" s="59">
        <v>4318000</v>
      </c>
      <c r="R168" s="59"/>
      <c r="S168" s="59">
        <v>13502000</v>
      </c>
      <c r="T168" s="59">
        <v>11080000</v>
      </c>
      <c r="U168" s="59">
        <v>5556000</v>
      </c>
      <c r="V168" s="59">
        <v>9496000</v>
      </c>
      <c r="W168" s="59">
        <v>8730000</v>
      </c>
      <c r="X168" s="59">
        <v>4483000</v>
      </c>
      <c r="Y168" s="59">
        <v>6620000</v>
      </c>
      <c r="Z168" s="59">
        <v>6686000</v>
      </c>
      <c r="AA168" s="59">
        <v>2926000</v>
      </c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45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/>
      <c r="BM168" s="39"/>
      <c r="BN168" s="39"/>
      <c r="BO168" s="39"/>
      <c r="BP168" s="39"/>
      <c r="BQ168" s="39"/>
    </row>
    <row r="169" spans="1:69" outlineLevel="2">
      <c r="A169" s="39"/>
      <c r="B169" s="43"/>
      <c r="C169" s="56" t="s">
        <v>424</v>
      </c>
      <c r="D169" s="57">
        <f t="shared" si="17"/>
        <v>7596000</v>
      </c>
      <c r="E169" s="57">
        <f t="shared" si="18"/>
        <v>6730014.2857142854</v>
      </c>
      <c r="F169" s="57">
        <f t="shared" si="19"/>
        <v>1218200</v>
      </c>
      <c r="G169" s="57">
        <f t="shared" si="20"/>
        <v>10709000</v>
      </c>
      <c r="H169" s="57">
        <f t="shared" si="21"/>
        <v>5098000</v>
      </c>
      <c r="I169" s="57">
        <f t="shared" si="22"/>
        <v>8188750</v>
      </c>
      <c r="J169" s="57">
        <f t="shared" si="23"/>
        <v>2732127.5344309253</v>
      </c>
      <c r="K169" s="58">
        <f t="shared" si="24"/>
        <v>0.40596162481116527</v>
      </c>
      <c r="M169" s="59">
        <v>9916000</v>
      </c>
      <c r="N169" s="59">
        <v>9349000</v>
      </c>
      <c r="O169" s="59">
        <v>7731000</v>
      </c>
      <c r="P169" s="59">
        <v>1218200</v>
      </c>
      <c r="Q169" s="59">
        <v>8236000</v>
      </c>
      <c r="R169" s="59"/>
      <c r="S169" s="59">
        <v>10709000</v>
      </c>
      <c r="T169" s="59">
        <v>8047000</v>
      </c>
      <c r="U169" s="59">
        <v>5701000</v>
      </c>
      <c r="V169" s="59">
        <v>7594000</v>
      </c>
      <c r="W169" s="59">
        <v>7598000</v>
      </c>
      <c r="X169" s="59">
        <v>4135000</v>
      </c>
      <c r="Y169" s="59">
        <v>6362000</v>
      </c>
      <c r="Z169" s="59">
        <v>4897000</v>
      </c>
      <c r="AA169" s="59">
        <v>2727000</v>
      </c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45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  <c r="BH169" s="39"/>
      <c r="BI169" s="39"/>
      <c r="BJ169" s="39"/>
      <c r="BK169" s="39"/>
      <c r="BL169" s="39"/>
      <c r="BM169" s="39"/>
      <c r="BN169" s="39"/>
      <c r="BO169" s="39"/>
      <c r="BP169" s="39"/>
      <c r="BQ169" s="39"/>
    </row>
    <row r="170" spans="1:69" outlineLevel="2">
      <c r="A170" s="39"/>
      <c r="B170" s="43"/>
      <c r="C170" s="56" t="s">
        <v>425</v>
      </c>
      <c r="D170" s="57">
        <f t="shared" si="17"/>
        <v>7463500</v>
      </c>
      <c r="E170" s="57">
        <f t="shared" si="18"/>
        <v>7143800</v>
      </c>
      <c r="F170" s="57">
        <f t="shared" si="19"/>
        <v>1322200</v>
      </c>
      <c r="G170" s="57">
        <f t="shared" si="20"/>
        <v>12618000</v>
      </c>
      <c r="H170" s="57">
        <f t="shared" si="21"/>
        <v>5679000</v>
      </c>
      <c r="I170" s="57">
        <f t="shared" si="22"/>
        <v>8520250</v>
      </c>
      <c r="J170" s="57">
        <f t="shared" si="23"/>
        <v>3478708.4437939143</v>
      </c>
      <c r="K170" s="58">
        <f t="shared" si="24"/>
        <v>0.48695490408380893</v>
      </c>
      <c r="M170" s="59">
        <v>7270000</v>
      </c>
      <c r="N170" s="59">
        <v>10867000</v>
      </c>
      <c r="O170" s="59">
        <v>7685000</v>
      </c>
      <c r="P170" s="59">
        <v>7657000</v>
      </c>
      <c r="Q170" s="59">
        <v>1322200</v>
      </c>
      <c r="R170" s="59"/>
      <c r="S170" s="59">
        <v>12618000</v>
      </c>
      <c r="T170" s="59">
        <v>7855000</v>
      </c>
      <c r="U170" s="59">
        <v>5673000</v>
      </c>
      <c r="V170" s="59">
        <v>8742000</v>
      </c>
      <c r="W170" s="59">
        <v>6938000</v>
      </c>
      <c r="X170" s="59">
        <v>3744000</v>
      </c>
      <c r="Y170" s="59">
        <v>12452000</v>
      </c>
      <c r="Z170" s="59">
        <v>5697000</v>
      </c>
      <c r="AA170" s="59">
        <v>1493000</v>
      </c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45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  <c r="BH170" s="39"/>
      <c r="BI170" s="39"/>
      <c r="BJ170" s="39"/>
      <c r="BK170" s="39"/>
      <c r="BL170" s="39"/>
      <c r="BM170" s="39"/>
      <c r="BN170" s="39"/>
      <c r="BO170" s="39"/>
      <c r="BP170" s="39"/>
      <c r="BQ170" s="39"/>
    </row>
    <row r="171" spans="1:69" outlineLevel="2">
      <c r="A171" s="39"/>
      <c r="B171" s="43"/>
      <c r="C171" s="56" t="s">
        <v>426</v>
      </c>
      <c r="D171" s="57">
        <f t="shared" si="17"/>
        <v>63379000</v>
      </c>
      <c r="E171" s="57">
        <f t="shared" si="18"/>
        <v>56687555.555555552</v>
      </c>
      <c r="F171" s="57">
        <f t="shared" si="19"/>
        <v>30373000</v>
      </c>
      <c r="G171" s="57">
        <f t="shared" si="20"/>
        <v>80744000</v>
      </c>
      <c r="H171" s="57">
        <f t="shared" si="21"/>
        <v>35169000</v>
      </c>
      <c r="I171" s="57">
        <f t="shared" si="22"/>
        <v>69075000</v>
      </c>
      <c r="J171" s="57">
        <f t="shared" si="23"/>
        <v>18842809.816420108</v>
      </c>
      <c r="K171" s="58">
        <f t="shared" si="24"/>
        <v>0.33239764233533714</v>
      </c>
      <c r="M171" s="59"/>
      <c r="N171" s="59"/>
      <c r="O171" s="59"/>
      <c r="P171" s="59"/>
      <c r="Q171" s="59"/>
      <c r="R171" s="59"/>
      <c r="S171" s="59">
        <v>80744000</v>
      </c>
      <c r="T171" s="59">
        <v>69249000</v>
      </c>
      <c r="U171" s="59">
        <v>32383000</v>
      </c>
      <c r="V171" s="59">
        <v>69075000</v>
      </c>
      <c r="W171" s="59">
        <v>68395000</v>
      </c>
      <c r="X171" s="59">
        <v>35169000</v>
      </c>
      <c r="Y171" s="59">
        <v>63379000</v>
      </c>
      <c r="Z171" s="59">
        <v>61421000</v>
      </c>
      <c r="AA171" s="59">
        <v>30373000</v>
      </c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45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  <c r="BH171" s="39"/>
      <c r="BI171" s="39"/>
      <c r="BJ171" s="39"/>
      <c r="BK171" s="39"/>
      <c r="BL171" s="39"/>
      <c r="BM171" s="39"/>
      <c r="BN171" s="39"/>
      <c r="BO171" s="39"/>
      <c r="BP171" s="39"/>
      <c r="BQ171" s="39"/>
    </row>
    <row r="172" spans="1:69" outlineLevel="2">
      <c r="A172" s="39"/>
      <c r="B172" s="43"/>
      <c r="C172" s="56" t="s">
        <v>427</v>
      </c>
      <c r="D172" s="57">
        <f t="shared" si="17"/>
        <v>-178000</v>
      </c>
      <c r="E172" s="57">
        <f t="shared" si="18"/>
        <v>-2044400</v>
      </c>
      <c r="F172" s="57">
        <f t="shared" si="19"/>
        <v>-28670000</v>
      </c>
      <c r="G172" s="57">
        <f t="shared" si="20"/>
        <v>35644800</v>
      </c>
      <c r="H172" s="57">
        <f t="shared" si="21"/>
        <v>-5936000</v>
      </c>
      <c r="I172" s="57">
        <f t="shared" si="22"/>
        <v>4000</v>
      </c>
      <c r="J172" s="57">
        <f t="shared" si="23"/>
        <v>19167519.387010634</v>
      </c>
      <c r="K172" s="58">
        <f t="shared" si="24"/>
        <v>-9.3756209093184477</v>
      </c>
      <c r="M172" s="59"/>
      <c r="N172" s="59"/>
      <c r="O172" s="59"/>
      <c r="P172" s="59">
        <v>35644800</v>
      </c>
      <c r="Q172" s="59"/>
      <c r="R172" s="59"/>
      <c r="S172" s="59">
        <v>-28670000</v>
      </c>
      <c r="T172" s="59">
        <v>-22637000</v>
      </c>
      <c r="U172" s="59"/>
      <c r="V172" s="59">
        <v>-369000</v>
      </c>
      <c r="W172" s="59">
        <v>-315000</v>
      </c>
      <c r="X172" s="59"/>
      <c r="Y172" s="59">
        <v>-41000</v>
      </c>
      <c r="Z172" s="59">
        <v>40000</v>
      </c>
      <c r="AA172" s="59">
        <v>-8000</v>
      </c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45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  <c r="BF172" s="39"/>
      <c r="BG172" s="39"/>
      <c r="BH172" s="39"/>
      <c r="BI172" s="39"/>
      <c r="BJ172" s="39"/>
      <c r="BK172" s="39"/>
      <c r="BL172" s="39"/>
      <c r="BM172" s="39"/>
      <c r="BN172" s="39"/>
      <c r="BO172" s="39"/>
      <c r="BP172" s="39"/>
      <c r="BQ172" s="39"/>
    </row>
    <row r="173" spans="1:69" outlineLevel="2">
      <c r="A173" s="39"/>
      <c r="B173" s="43"/>
      <c r="C173" s="60" t="s">
        <v>428</v>
      </c>
      <c r="D173" s="61">
        <f t="shared" si="17"/>
        <v>63917500</v>
      </c>
      <c r="E173" s="61">
        <f t="shared" si="18"/>
        <v>76255085.714285716</v>
      </c>
      <c r="F173" s="61">
        <f t="shared" si="19"/>
        <v>26139200</v>
      </c>
      <c r="G173" s="61">
        <f t="shared" si="20"/>
        <v>121275000</v>
      </c>
      <c r="H173" s="61">
        <f t="shared" si="21"/>
        <v>45656750</v>
      </c>
      <c r="I173" s="61">
        <f t="shared" si="22"/>
        <v>111608000</v>
      </c>
      <c r="J173" s="61">
        <f t="shared" si="23"/>
        <v>35246213.761237621</v>
      </c>
      <c r="K173" s="62">
        <f t="shared" si="24"/>
        <v>0.46221459763744721</v>
      </c>
      <c r="L173" s="41"/>
      <c r="M173" s="63">
        <v>41616000</v>
      </c>
      <c r="N173" s="63">
        <v>47516000</v>
      </c>
      <c r="O173" s="63">
        <v>37133000</v>
      </c>
      <c r="P173" s="63">
        <v>64966000</v>
      </c>
      <c r="Q173" s="63">
        <v>26139200</v>
      </c>
      <c r="R173" s="63"/>
      <c r="S173" s="63">
        <v>121275000</v>
      </c>
      <c r="T173" s="63">
        <v>108506000</v>
      </c>
      <c r="U173" s="63">
        <v>62869000</v>
      </c>
      <c r="V173" s="63">
        <v>120008000</v>
      </c>
      <c r="W173" s="63">
        <v>116366000</v>
      </c>
      <c r="X173" s="63">
        <v>61424000</v>
      </c>
      <c r="Y173" s="63">
        <v>112642000</v>
      </c>
      <c r="Z173" s="63">
        <v>102074000</v>
      </c>
      <c r="AA173" s="63">
        <v>45037000</v>
      </c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45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39"/>
      <c r="BG173" s="39"/>
      <c r="BH173" s="39"/>
      <c r="BI173" s="39"/>
      <c r="BJ173" s="39"/>
      <c r="BK173" s="39"/>
      <c r="BL173" s="39"/>
      <c r="BM173" s="39"/>
      <c r="BN173" s="39"/>
      <c r="BO173" s="39"/>
      <c r="BP173" s="39"/>
      <c r="BQ173" s="39"/>
    </row>
    <row r="174" spans="1:69">
      <c r="A174" s="39"/>
      <c r="B174" s="43"/>
      <c r="C174" s="53" t="s">
        <v>429</v>
      </c>
      <c r="D174" s="66" t="str">
        <f t="shared" si="17"/>
        <v/>
      </c>
      <c r="E174" s="66" t="str">
        <f t="shared" si="18"/>
        <v/>
      </c>
      <c r="F174" s="66" t="str">
        <f t="shared" si="19"/>
        <v/>
      </c>
      <c r="G174" s="66" t="str">
        <f t="shared" si="20"/>
        <v/>
      </c>
      <c r="H174" s="66" t="str">
        <f t="shared" si="21"/>
        <v/>
      </c>
      <c r="I174" s="66" t="str">
        <f t="shared" si="22"/>
        <v/>
      </c>
      <c r="J174" s="66" t="str">
        <f t="shared" si="23"/>
        <v/>
      </c>
      <c r="K174" s="55" t="str">
        <f t="shared" si="24"/>
        <v/>
      </c>
      <c r="L174" s="48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66"/>
      <c r="AL174" s="66"/>
      <c r="AM174" s="66"/>
      <c r="AN174" s="66"/>
      <c r="AO174" s="66"/>
      <c r="AP174" s="66"/>
      <c r="AQ174" s="66"/>
      <c r="AR174" s="66"/>
      <c r="AS174" s="45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  <c r="BH174" s="39"/>
      <c r="BI174" s="39"/>
      <c r="BJ174" s="39"/>
      <c r="BK174" s="39"/>
      <c r="BL174" s="39"/>
      <c r="BM174" s="39"/>
      <c r="BN174" s="39"/>
      <c r="BO174" s="39"/>
      <c r="BP174" s="39"/>
      <c r="BQ174" s="39"/>
    </row>
    <row r="175" spans="1:69" outlineLevel="1">
      <c r="A175" s="39"/>
      <c r="B175" s="43"/>
      <c r="C175" s="56" t="s">
        <v>430</v>
      </c>
      <c r="D175" s="57">
        <f t="shared" si="17"/>
        <v>19855500</v>
      </c>
      <c r="E175" s="57">
        <f t="shared" si="18"/>
        <v>26773550</v>
      </c>
      <c r="F175" s="57">
        <f t="shared" si="19"/>
        <v>2816000</v>
      </c>
      <c r="G175" s="57">
        <f t="shared" si="20"/>
        <v>95619000</v>
      </c>
      <c r="H175" s="57">
        <f t="shared" si="21"/>
        <v>7779000</v>
      </c>
      <c r="I175" s="57">
        <f t="shared" si="22"/>
        <v>35696750</v>
      </c>
      <c r="J175" s="57">
        <f t="shared" si="23"/>
        <v>24775823.617233355</v>
      </c>
      <c r="K175" s="58">
        <f t="shared" si="24"/>
        <v>0.92538432958025196</v>
      </c>
      <c r="M175" s="59">
        <v>95619000</v>
      </c>
      <c r="N175" s="59">
        <v>82333000</v>
      </c>
      <c r="O175" s="59">
        <v>73211000</v>
      </c>
      <c r="P175" s="59">
        <v>64966000</v>
      </c>
      <c r="Q175" s="59">
        <v>54827000</v>
      </c>
      <c r="R175" s="59">
        <v>48091000</v>
      </c>
      <c r="S175" s="59">
        <v>42583000</v>
      </c>
      <c r="T175" s="59">
        <v>37712000</v>
      </c>
      <c r="U175" s="59">
        <v>35025000</v>
      </c>
      <c r="V175" s="59">
        <v>30840000</v>
      </c>
      <c r="W175" s="59">
        <v>29687000</v>
      </c>
      <c r="X175" s="59">
        <v>28701000</v>
      </c>
      <c r="Y175" s="59">
        <v>28426000</v>
      </c>
      <c r="Z175" s="59">
        <v>27359000</v>
      </c>
      <c r="AA175" s="59">
        <v>22967000</v>
      </c>
      <c r="AB175" s="59">
        <v>20822000</v>
      </c>
      <c r="AC175" s="59">
        <v>18889000</v>
      </c>
      <c r="AD175" s="59">
        <v>17086000</v>
      </c>
      <c r="AE175" s="59">
        <v>13698000</v>
      </c>
      <c r="AF175" s="59">
        <v>12333000</v>
      </c>
      <c r="AG175" s="59">
        <v>10602000</v>
      </c>
      <c r="AH175" s="59">
        <v>9744000</v>
      </c>
      <c r="AI175" s="59">
        <v>10010000</v>
      </c>
      <c r="AJ175" s="59">
        <v>8092000</v>
      </c>
      <c r="AK175" s="59">
        <v>6840000</v>
      </c>
      <c r="AL175" s="59">
        <v>5199000</v>
      </c>
      <c r="AM175" s="59">
        <v>3942000</v>
      </c>
      <c r="AN175" s="59">
        <v>2816000</v>
      </c>
      <c r="AO175" s="59">
        <v>3281000</v>
      </c>
      <c r="AP175" s="59">
        <v>3299000</v>
      </c>
      <c r="AQ175" s="59">
        <v>3767000</v>
      </c>
      <c r="AR175" s="59">
        <v>3986600</v>
      </c>
      <c r="AS175" s="45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39"/>
      <c r="BG175" s="39"/>
      <c r="BH175" s="39"/>
      <c r="BI175" s="39"/>
      <c r="BJ175" s="39"/>
      <c r="BK175" s="39"/>
      <c r="BL175" s="39"/>
      <c r="BM175" s="39"/>
      <c r="BN175" s="39"/>
      <c r="BO175" s="39"/>
      <c r="BP175" s="39"/>
      <c r="BQ175" s="39"/>
    </row>
    <row r="176" spans="1:69" outlineLevel="1">
      <c r="A176" s="39"/>
      <c r="B176" s="43"/>
      <c r="C176" s="56" t="s">
        <v>431</v>
      </c>
      <c r="D176" s="57">
        <f t="shared" si="17"/>
        <v>19585500</v>
      </c>
      <c r="E176" s="57">
        <f t="shared" si="18"/>
        <v>26112737.5</v>
      </c>
      <c r="F176" s="57">
        <f t="shared" si="19"/>
        <v>2629000</v>
      </c>
      <c r="G176" s="57">
        <f t="shared" si="20"/>
        <v>92807000</v>
      </c>
      <c r="H176" s="57">
        <f t="shared" si="21"/>
        <v>7559000</v>
      </c>
      <c r="I176" s="57">
        <f t="shared" si="22"/>
        <v>34251750</v>
      </c>
      <c r="J176" s="57">
        <f t="shared" si="23"/>
        <v>24160267.996454094</v>
      </c>
      <c r="K176" s="58">
        <f t="shared" si="24"/>
        <v>0.92522922946910846</v>
      </c>
      <c r="M176" s="59">
        <v>92807000</v>
      </c>
      <c r="N176" s="59">
        <v>80846000</v>
      </c>
      <c r="O176" s="59">
        <v>70521000</v>
      </c>
      <c r="P176" s="59">
        <v>63365000</v>
      </c>
      <c r="Q176" s="59">
        <v>54188000</v>
      </c>
      <c r="R176" s="59">
        <v>46986000</v>
      </c>
      <c r="S176" s="59">
        <v>41983000</v>
      </c>
      <c r="T176" s="59">
        <v>37074000</v>
      </c>
      <c r="U176" s="59">
        <v>33311000</v>
      </c>
      <c r="V176" s="59">
        <v>29548000</v>
      </c>
      <c r="W176" s="59">
        <v>29116000</v>
      </c>
      <c r="X176" s="59">
        <v>28124000</v>
      </c>
      <c r="Y176" s="59">
        <v>27988000</v>
      </c>
      <c r="Z176" s="59">
        <v>27030000</v>
      </c>
      <c r="AA176" s="59">
        <v>22590000</v>
      </c>
      <c r="AB176" s="59">
        <v>20520000</v>
      </c>
      <c r="AC176" s="59">
        <v>18651000</v>
      </c>
      <c r="AD176" s="59">
        <v>16551000</v>
      </c>
      <c r="AE176" s="59">
        <v>13408000</v>
      </c>
      <c r="AF176" s="59">
        <v>11713000</v>
      </c>
      <c r="AG176" s="59">
        <v>10072000</v>
      </c>
      <c r="AH176" s="59">
        <v>9519000</v>
      </c>
      <c r="AI176" s="59">
        <v>9881000</v>
      </c>
      <c r="AJ176" s="59">
        <v>7826000</v>
      </c>
      <c r="AK176" s="59">
        <v>6758000</v>
      </c>
      <c r="AL176" s="59">
        <v>5070000</v>
      </c>
      <c r="AM176" s="59">
        <v>3581000</v>
      </c>
      <c r="AN176" s="59">
        <v>2629000</v>
      </c>
      <c r="AO176" s="59">
        <v>3227000</v>
      </c>
      <c r="AP176" s="59">
        <v>3103000</v>
      </c>
      <c r="AQ176" s="59">
        <v>3720800</v>
      </c>
      <c r="AR176" s="59">
        <v>3900800</v>
      </c>
      <c r="AS176" s="45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/>
      <c r="BH176" s="39"/>
      <c r="BI176" s="39"/>
      <c r="BJ176" s="39"/>
      <c r="BK176" s="39"/>
      <c r="BL176" s="39"/>
      <c r="BM176" s="39"/>
      <c r="BN176" s="39"/>
      <c r="BO176" s="39"/>
      <c r="BP176" s="39"/>
      <c r="BQ176" s="39"/>
    </row>
    <row r="177" spans="1:69" outlineLevel="1">
      <c r="A177" s="39"/>
      <c r="B177" s="43"/>
      <c r="C177" s="56" t="s">
        <v>432</v>
      </c>
      <c r="D177" s="57">
        <f t="shared" si="17"/>
        <v>13714000</v>
      </c>
      <c r="E177" s="57">
        <f t="shared" si="18"/>
        <v>19055803.125</v>
      </c>
      <c r="F177" s="57">
        <f t="shared" si="19"/>
        <v>4197200</v>
      </c>
      <c r="G177" s="57">
        <f t="shared" si="20"/>
        <v>54608000</v>
      </c>
      <c r="H177" s="57">
        <f t="shared" si="21"/>
        <v>6296250</v>
      </c>
      <c r="I177" s="57">
        <f t="shared" si="22"/>
        <v>29713000</v>
      </c>
      <c r="J177" s="57">
        <f t="shared" si="23"/>
        <v>15210294.40919886</v>
      </c>
      <c r="K177" s="58">
        <f t="shared" si="24"/>
        <v>0.79819749970254061</v>
      </c>
      <c r="M177" s="59">
        <v>54608000</v>
      </c>
      <c r="N177" s="59">
        <v>50101000</v>
      </c>
      <c r="O177" s="59">
        <v>47468000</v>
      </c>
      <c r="P177" s="59">
        <v>39229000</v>
      </c>
      <c r="Q177" s="59">
        <v>37202000</v>
      </c>
      <c r="R177" s="59">
        <v>36513000</v>
      </c>
      <c r="S177" s="59">
        <v>37005000</v>
      </c>
      <c r="T177" s="59">
        <v>34144000</v>
      </c>
      <c r="U177" s="59">
        <v>28236000</v>
      </c>
      <c r="V177" s="59">
        <v>24341000</v>
      </c>
      <c r="W177" s="59">
        <v>22574000</v>
      </c>
      <c r="X177" s="59">
        <v>19916000</v>
      </c>
      <c r="Y177" s="59">
        <v>18040000</v>
      </c>
      <c r="Z177" s="59">
        <v>16068000</v>
      </c>
      <c r="AA177" s="59">
        <v>14943000</v>
      </c>
      <c r="AB177" s="59">
        <v>14461000</v>
      </c>
      <c r="AC177" s="59">
        <v>12967000</v>
      </c>
      <c r="AD177" s="59">
        <v>11781000</v>
      </c>
      <c r="AE177" s="59">
        <v>10735000</v>
      </c>
      <c r="AF177" s="59">
        <v>9930000</v>
      </c>
      <c r="AG177" s="59">
        <v>8499000</v>
      </c>
      <c r="AH177" s="59">
        <v>7537000</v>
      </c>
      <c r="AI177" s="59">
        <v>6967000</v>
      </c>
      <c r="AJ177" s="59">
        <v>6390000</v>
      </c>
      <c r="AK177" s="59">
        <v>6015000</v>
      </c>
      <c r="AL177" s="59">
        <v>5593000</v>
      </c>
      <c r="AM177" s="59">
        <v>5370000</v>
      </c>
      <c r="AN177" s="59">
        <v>5126000</v>
      </c>
      <c r="AO177" s="59">
        <v>4845000</v>
      </c>
      <c r="AP177" s="59">
        <v>4592000</v>
      </c>
      <c r="AQ177" s="59">
        <v>4392500</v>
      </c>
      <c r="AR177" s="59">
        <v>4197200</v>
      </c>
      <c r="AS177" s="45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  <c r="BH177" s="39"/>
      <c r="BI177" s="39"/>
      <c r="BJ177" s="39"/>
      <c r="BK177" s="39"/>
      <c r="BL177" s="39"/>
      <c r="BM177" s="39"/>
      <c r="BN177" s="39"/>
      <c r="BO177" s="39"/>
      <c r="BP177" s="39"/>
      <c r="BQ177" s="39"/>
    </row>
    <row r="178" spans="1:69" outlineLevel="1">
      <c r="A178" s="39"/>
      <c r="B178" s="43"/>
      <c r="C178" s="56" t="s">
        <v>433</v>
      </c>
      <c r="D178" s="57">
        <f t="shared" si="17"/>
        <v>50726000</v>
      </c>
      <c r="E178" s="57">
        <f t="shared" si="18"/>
        <v>68965743.75</v>
      </c>
      <c r="F178" s="57">
        <f t="shared" si="19"/>
        <v>12029000</v>
      </c>
      <c r="G178" s="57">
        <f t="shared" si="20"/>
        <v>212721000</v>
      </c>
      <c r="H178" s="57">
        <f t="shared" si="21"/>
        <v>21754500</v>
      </c>
      <c r="I178" s="57">
        <f t="shared" si="22"/>
        <v>99397750</v>
      </c>
      <c r="J178" s="57">
        <f t="shared" si="23"/>
        <v>57842563.075572409</v>
      </c>
      <c r="K178" s="58">
        <f t="shared" si="24"/>
        <v>0.83871440994315982</v>
      </c>
      <c r="M178" s="59">
        <v>212721000</v>
      </c>
      <c r="N178" s="59">
        <v>190144000</v>
      </c>
      <c r="O178" s="59">
        <v>177489000</v>
      </c>
      <c r="P178" s="59">
        <v>158935000</v>
      </c>
      <c r="Q178" s="59">
        <v>140912000</v>
      </c>
      <c r="R178" s="59">
        <v>127684000</v>
      </c>
      <c r="S178" s="59">
        <v>117691000</v>
      </c>
      <c r="T178" s="59">
        <v>103702000</v>
      </c>
      <c r="U178" s="59">
        <v>97963000</v>
      </c>
      <c r="V178" s="59">
        <v>89993000</v>
      </c>
      <c r="W178" s="59">
        <v>82479000</v>
      </c>
      <c r="X178" s="59">
        <v>74605000</v>
      </c>
      <c r="Y178" s="59">
        <v>69306000</v>
      </c>
      <c r="Z178" s="59">
        <v>64439000</v>
      </c>
      <c r="AA178" s="59">
        <v>57188000</v>
      </c>
      <c r="AB178" s="59">
        <v>52994000</v>
      </c>
      <c r="AC178" s="59">
        <v>48458000</v>
      </c>
      <c r="AD178" s="59">
        <v>44821000</v>
      </c>
      <c r="AE178" s="59">
        <v>40123000</v>
      </c>
      <c r="AF178" s="59">
        <v>35822000</v>
      </c>
      <c r="AG178" s="59">
        <v>33004000</v>
      </c>
      <c r="AH178" s="59">
        <v>28333000</v>
      </c>
      <c r="AI178" s="59">
        <v>26935000</v>
      </c>
      <c r="AJ178" s="59">
        <v>23185000</v>
      </c>
      <c r="AK178" s="59">
        <v>17463000</v>
      </c>
      <c r="AL178" s="59">
        <v>15300000</v>
      </c>
      <c r="AM178" s="59">
        <v>13441000</v>
      </c>
      <c r="AN178" s="59">
        <v>12029000</v>
      </c>
      <c r="AO178" s="59">
        <v>12449000</v>
      </c>
      <c r="AP178" s="59">
        <v>12219000</v>
      </c>
      <c r="AQ178" s="59">
        <v>12459200</v>
      </c>
      <c r="AR178" s="59">
        <v>12617600</v>
      </c>
      <c r="AS178" s="45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  <c r="BH178" s="39"/>
      <c r="BI178" s="39"/>
      <c r="BJ178" s="39"/>
      <c r="BK178" s="39"/>
      <c r="BL178" s="39"/>
      <c r="BM178" s="39"/>
      <c r="BN178" s="39"/>
      <c r="BO178" s="39"/>
      <c r="BP178" s="39"/>
      <c r="BQ178" s="39"/>
    </row>
    <row r="179" spans="1:69" outlineLevel="1">
      <c r="A179" s="39"/>
      <c r="B179" s="43"/>
      <c r="C179" s="56" t="s">
        <v>434</v>
      </c>
      <c r="D179" s="57">
        <f t="shared" si="17"/>
        <v>50726000</v>
      </c>
      <c r="E179" s="57">
        <f t="shared" si="18"/>
        <v>67574118.75</v>
      </c>
      <c r="F179" s="57">
        <f t="shared" si="19"/>
        <v>12029000</v>
      </c>
      <c r="G179" s="57">
        <f t="shared" si="20"/>
        <v>206105000</v>
      </c>
      <c r="H179" s="57">
        <f t="shared" si="21"/>
        <v>21754500</v>
      </c>
      <c r="I179" s="57">
        <f t="shared" si="22"/>
        <v>97459750</v>
      </c>
      <c r="J179" s="57">
        <f t="shared" si="23"/>
        <v>55604803.492477663</v>
      </c>
      <c r="K179" s="58">
        <f t="shared" si="24"/>
        <v>0.82287130814381004</v>
      </c>
      <c r="M179" s="59">
        <v>206105000</v>
      </c>
      <c r="N179" s="59">
        <v>183563000</v>
      </c>
      <c r="O179" s="59">
        <v>170706000</v>
      </c>
      <c r="P179" s="59">
        <v>153322000</v>
      </c>
      <c r="Q179" s="59">
        <v>135326000</v>
      </c>
      <c r="R179" s="59">
        <v>122737000</v>
      </c>
      <c r="S179" s="59">
        <v>112935000</v>
      </c>
      <c r="T179" s="59">
        <v>102103000</v>
      </c>
      <c r="U179" s="59">
        <v>95912000</v>
      </c>
      <c r="V179" s="59">
        <v>89993000</v>
      </c>
      <c r="W179" s="59">
        <v>82479000</v>
      </c>
      <c r="X179" s="59">
        <v>74605000</v>
      </c>
      <c r="Y179" s="59">
        <v>69306000</v>
      </c>
      <c r="Z179" s="59">
        <v>64439000</v>
      </c>
      <c r="AA179" s="59">
        <v>57188000</v>
      </c>
      <c r="AB179" s="59">
        <v>52994000</v>
      </c>
      <c r="AC179" s="59">
        <v>48458000</v>
      </c>
      <c r="AD179" s="59">
        <v>44821000</v>
      </c>
      <c r="AE179" s="59">
        <v>40123000</v>
      </c>
      <c r="AF179" s="59">
        <v>35822000</v>
      </c>
      <c r="AG179" s="59">
        <v>33004000</v>
      </c>
      <c r="AH179" s="59">
        <v>28333000</v>
      </c>
      <c r="AI179" s="59">
        <v>26935000</v>
      </c>
      <c r="AJ179" s="59">
        <v>23185000</v>
      </c>
      <c r="AK179" s="59">
        <v>17463000</v>
      </c>
      <c r="AL179" s="59">
        <v>15300000</v>
      </c>
      <c r="AM179" s="59">
        <v>13441000</v>
      </c>
      <c r="AN179" s="59">
        <v>12029000</v>
      </c>
      <c r="AO179" s="59">
        <v>12449000</v>
      </c>
      <c r="AP179" s="59">
        <v>12219000</v>
      </c>
      <c r="AQ179" s="59">
        <v>12459200</v>
      </c>
      <c r="AR179" s="59">
        <v>12617600</v>
      </c>
      <c r="AS179" s="45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  <c r="BH179" s="39"/>
      <c r="BI179" s="39"/>
      <c r="BJ179" s="39"/>
      <c r="BK179" s="39"/>
      <c r="BL179" s="39"/>
      <c r="BM179" s="39"/>
      <c r="BN179" s="39"/>
      <c r="BO179" s="39"/>
      <c r="BP179" s="39"/>
      <c r="BQ179" s="39"/>
    </row>
    <row r="180" spans="1:69" outlineLevel="1">
      <c r="A180" s="39"/>
      <c r="B180" s="43"/>
      <c r="C180" s="56" t="s">
        <v>435</v>
      </c>
      <c r="D180" s="57">
        <f t="shared" si="17"/>
        <v>13714000</v>
      </c>
      <c r="E180" s="57">
        <f t="shared" si="18"/>
        <v>20020706.25</v>
      </c>
      <c r="F180" s="57">
        <f t="shared" si="19"/>
        <v>4732100</v>
      </c>
      <c r="G180" s="57">
        <f t="shared" si="20"/>
        <v>59863000</v>
      </c>
      <c r="H180" s="57">
        <f t="shared" si="21"/>
        <v>6522250</v>
      </c>
      <c r="I180" s="57">
        <f t="shared" si="22"/>
        <v>29680500</v>
      </c>
      <c r="J180" s="57">
        <f t="shared" si="23"/>
        <v>16628305.677367123</v>
      </c>
      <c r="K180" s="58">
        <f t="shared" si="24"/>
        <v>0.83055539948133061</v>
      </c>
      <c r="M180" s="59">
        <v>59863000</v>
      </c>
      <c r="N180" s="59">
        <v>54280000</v>
      </c>
      <c r="O180" s="59">
        <v>52241000</v>
      </c>
      <c r="P180" s="59">
        <v>43823000</v>
      </c>
      <c r="Q180" s="59">
        <v>40083000</v>
      </c>
      <c r="R180" s="59">
        <v>39982000</v>
      </c>
      <c r="S180" s="59">
        <v>37091000</v>
      </c>
      <c r="T180" s="59">
        <v>36282000</v>
      </c>
      <c r="U180" s="59">
        <v>27480000</v>
      </c>
      <c r="V180" s="59">
        <v>25331000</v>
      </c>
      <c r="W180" s="59">
        <v>23112000</v>
      </c>
      <c r="X180" s="59">
        <v>20168000</v>
      </c>
      <c r="Y180" s="59">
        <v>18040000</v>
      </c>
      <c r="Z180" s="59">
        <v>16068000</v>
      </c>
      <c r="AA180" s="59">
        <v>14943000</v>
      </c>
      <c r="AB180" s="59">
        <v>14461000</v>
      </c>
      <c r="AC180" s="59">
        <v>12967000</v>
      </c>
      <c r="AD180" s="59">
        <v>11681000</v>
      </c>
      <c r="AE180" s="59">
        <v>10735000</v>
      </c>
      <c r="AF180" s="59">
        <v>9930000</v>
      </c>
      <c r="AG180" s="59">
        <v>8499000</v>
      </c>
      <c r="AH180" s="59">
        <v>7537000</v>
      </c>
      <c r="AI180" s="59">
        <v>6972000</v>
      </c>
      <c r="AJ180" s="59">
        <v>6616000</v>
      </c>
      <c r="AK180" s="59">
        <v>6241000</v>
      </c>
      <c r="AL180" s="59">
        <v>5819000</v>
      </c>
      <c r="AM180" s="59">
        <v>5596000</v>
      </c>
      <c r="AN180" s="59">
        <v>5352000</v>
      </c>
      <c r="AO180" s="59">
        <v>5071000</v>
      </c>
      <c r="AP180" s="59">
        <v>4924000</v>
      </c>
      <c r="AQ180" s="59">
        <v>4732100</v>
      </c>
      <c r="AR180" s="59">
        <v>4742500</v>
      </c>
      <c r="AS180" s="45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  <c r="BF180" s="39"/>
      <c r="BG180" s="39"/>
      <c r="BH180" s="39"/>
      <c r="BI180" s="39"/>
      <c r="BJ180" s="39"/>
      <c r="BK180" s="39"/>
      <c r="BL180" s="39"/>
      <c r="BM180" s="39"/>
      <c r="BN180" s="39"/>
      <c r="BO180" s="39"/>
      <c r="BP180" s="39"/>
      <c r="BQ180" s="39"/>
    </row>
    <row r="181" spans="1:69" outlineLevel="1">
      <c r="A181" s="39"/>
      <c r="B181" s="43"/>
      <c r="C181" s="56" t="s">
        <v>436</v>
      </c>
      <c r="D181" s="57">
        <f t="shared" si="17"/>
        <v>-2196000</v>
      </c>
      <c r="E181" s="57">
        <f t="shared" si="18"/>
        <v>-3948775</v>
      </c>
      <c r="F181" s="57">
        <f t="shared" si="19"/>
        <v>-13404000</v>
      </c>
      <c r="G181" s="57">
        <f t="shared" si="20"/>
        <v>-101000</v>
      </c>
      <c r="H181" s="57">
        <f t="shared" si="21"/>
        <v>-4657750</v>
      </c>
      <c r="I181" s="57">
        <f t="shared" si="22"/>
        <v>-1367500</v>
      </c>
      <c r="J181" s="57">
        <f t="shared" si="23"/>
        <v>4061163.0044892631</v>
      </c>
      <c r="K181" s="58">
        <f t="shared" si="24"/>
        <v>-1.0284614860277588</v>
      </c>
      <c r="M181" s="59">
        <v>-9233000</v>
      </c>
      <c r="N181" s="59">
        <v>-13404000</v>
      </c>
      <c r="O181" s="59">
        <v>-12602000</v>
      </c>
      <c r="P181" s="59">
        <v>-13205000</v>
      </c>
      <c r="Q181" s="59">
        <v>-8149000</v>
      </c>
      <c r="R181" s="59">
        <v>-8176000</v>
      </c>
      <c r="S181" s="59">
        <v>-6445000</v>
      </c>
      <c r="T181" s="59">
        <v>-11170000</v>
      </c>
      <c r="U181" s="59">
        <v>-4062000</v>
      </c>
      <c r="V181" s="59">
        <v>-3510000</v>
      </c>
      <c r="W181" s="59">
        <v>-3312000</v>
      </c>
      <c r="X181" s="59">
        <v>-2719000</v>
      </c>
      <c r="Y181" s="59">
        <v>-3347000</v>
      </c>
      <c r="Z181" s="59">
        <v>-3642000</v>
      </c>
      <c r="AA181" s="59">
        <v>-1847000</v>
      </c>
      <c r="AB181" s="59">
        <v>-1646000</v>
      </c>
      <c r="AC181" s="59">
        <v>-2112000</v>
      </c>
      <c r="AD181" s="59">
        <v>-2297000</v>
      </c>
      <c r="AE181" s="59">
        <v>-1979000</v>
      </c>
      <c r="AF181" s="59">
        <v>-1496000</v>
      </c>
      <c r="AG181" s="59">
        <v>-2280000</v>
      </c>
      <c r="AH181" s="59">
        <v>-1721000</v>
      </c>
      <c r="AI181" s="59">
        <v>-883000</v>
      </c>
      <c r="AJ181" s="59">
        <v>-2003000</v>
      </c>
      <c r="AK181" s="59">
        <v>-2037000</v>
      </c>
      <c r="AL181" s="59">
        <v>-982000</v>
      </c>
      <c r="AM181" s="59">
        <v>-497000</v>
      </c>
      <c r="AN181" s="59">
        <v>-375000</v>
      </c>
      <c r="AO181" s="59">
        <v>-398000</v>
      </c>
      <c r="AP181" s="59">
        <v>-101000</v>
      </c>
      <c r="AQ181" s="59">
        <v>-518800</v>
      </c>
      <c r="AR181" s="59">
        <v>-212000</v>
      </c>
      <c r="AS181" s="45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39"/>
      <c r="BG181" s="39"/>
      <c r="BH181" s="39"/>
      <c r="BI181" s="39"/>
      <c r="BJ181" s="39"/>
      <c r="BK181" s="39"/>
      <c r="BL181" s="39"/>
      <c r="BM181" s="39"/>
      <c r="BN181" s="39"/>
      <c r="BO181" s="39"/>
      <c r="BP181" s="39"/>
      <c r="BQ181" s="39"/>
    </row>
    <row r="182" spans="1:69" outlineLevel="1">
      <c r="A182" s="39"/>
      <c r="B182" s="43"/>
      <c r="C182" s="56" t="s">
        <v>437</v>
      </c>
      <c r="D182" s="57">
        <f t="shared" si="17"/>
        <v>33569500</v>
      </c>
      <c r="E182" s="57">
        <f t="shared" si="18"/>
        <v>48185881.25</v>
      </c>
      <c r="F182" s="57">
        <f t="shared" si="19"/>
        <v>8168000</v>
      </c>
      <c r="G182" s="57">
        <f t="shared" si="20"/>
        <v>162098000</v>
      </c>
      <c r="H182" s="57">
        <f t="shared" si="21"/>
        <v>14301250</v>
      </c>
      <c r="I182" s="57">
        <f t="shared" si="22"/>
        <v>67315250</v>
      </c>
      <c r="J182" s="57">
        <f t="shared" si="23"/>
        <v>43520012.561804682</v>
      </c>
      <c r="K182" s="58">
        <f t="shared" si="24"/>
        <v>0.90316938142134073</v>
      </c>
      <c r="M182" s="59">
        <v>162098000</v>
      </c>
      <c r="N182" s="59">
        <v>143194000</v>
      </c>
      <c r="O182" s="59">
        <v>132235000</v>
      </c>
      <c r="P182" s="59">
        <v>114402000</v>
      </c>
      <c r="Q182" s="59">
        <v>100496000</v>
      </c>
      <c r="R182" s="59">
        <v>93020000</v>
      </c>
      <c r="S182" s="59">
        <v>84430000</v>
      </c>
      <c r="T182" s="59">
        <v>75593000</v>
      </c>
      <c r="U182" s="59">
        <v>64556000</v>
      </c>
      <c r="V182" s="59">
        <v>56171000</v>
      </c>
      <c r="W182" s="59">
        <v>52799000</v>
      </c>
      <c r="X182" s="59">
        <v>48869000</v>
      </c>
      <c r="Y182" s="59">
        <v>46466000</v>
      </c>
      <c r="Z182" s="59">
        <v>43427000</v>
      </c>
      <c r="AA182" s="59">
        <v>37910000</v>
      </c>
      <c r="AB182" s="59">
        <v>35283000</v>
      </c>
      <c r="AC182" s="59">
        <v>31856000</v>
      </c>
      <c r="AD182" s="59">
        <v>28767000</v>
      </c>
      <c r="AE182" s="59">
        <v>24433000</v>
      </c>
      <c r="AF182" s="59">
        <v>22263000</v>
      </c>
      <c r="AG182" s="59">
        <v>19101000</v>
      </c>
      <c r="AH182" s="59">
        <v>17281000</v>
      </c>
      <c r="AI182" s="59">
        <v>16982000</v>
      </c>
      <c r="AJ182" s="59">
        <v>14708000</v>
      </c>
      <c r="AK182" s="59">
        <v>13081000</v>
      </c>
      <c r="AL182" s="59">
        <v>11018000</v>
      </c>
      <c r="AM182" s="59">
        <v>9538000</v>
      </c>
      <c r="AN182" s="59">
        <v>8168000</v>
      </c>
      <c r="AO182" s="59">
        <v>8352000</v>
      </c>
      <c r="AP182" s="59">
        <v>8223000</v>
      </c>
      <c r="AQ182" s="59">
        <v>8499100</v>
      </c>
      <c r="AR182" s="59">
        <v>8729100</v>
      </c>
      <c r="AS182" s="45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  <c r="BH182" s="39"/>
      <c r="BI182" s="39"/>
      <c r="BJ182" s="39"/>
      <c r="BK182" s="39"/>
      <c r="BL182" s="39"/>
      <c r="BM182" s="39"/>
      <c r="BN182" s="39"/>
      <c r="BO182" s="39"/>
      <c r="BP182" s="39"/>
      <c r="BQ182" s="39"/>
    </row>
    <row r="183" spans="1:69" outlineLevel="1">
      <c r="A183" s="39"/>
      <c r="B183" s="43"/>
      <c r="C183" s="56" t="s">
        <v>438</v>
      </c>
      <c r="D183" s="57">
        <f t="shared" si="17"/>
        <v>1670000000</v>
      </c>
      <c r="E183" s="57">
        <f t="shared" si="18"/>
        <v>1693968212.03125</v>
      </c>
      <c r="F183" s="57">
        <f t="shared" si="19"/>
        <v>1406832448</v>
      </c>
      <c r="G183" s="57">
        <f t="shared" si="20"/>
        <v>2083000000</v>
      </c>
      <c r="H183" s="57">
        <f t="shared" si="21"/>
        <v>1471094572</v>
      </c>
      <c r="I183" s="57">
        <f t="shared" si="22"/>
        <v>1889192743</v>
      </c>
      <c r="J183" s="57">
        <f t="shared" si="23"/>
        <v>223446002.85380343</v>
      </c>
      <c r="K183" s="58">
        <f t="shared" si="24"/>
        <v>0.13190684528009392</v>
      </c>
      <c r="M183" s="59">
        <v>2083000000</v>
      </c>
      <c r="N183" s="59">
        <v>2057000000</v>
      </c>
      <c r="O183" s="59">
        <v>2051707741</v>
      </c>
      <c r="P183" s="59">
        <v>1987163652</v>
      </c>
      <c r="Q183" s="59">
        <v>1963000000</v>
      </c>
      <c r="R183" s="59">
        <v>1960000000</v>
      </c>
      <c r="S183" s="59">
        <v>1956000000</v>
      </c>
      <c r="T183" s="59">
        <v>1912000000</v>
      </c>
      <c r="U183" s="59">
        <v>1881590324</v>
      </c>
      <c r="V183" s="59">
        <v>1869071908</v>
      </c>
      <c r="W183" s="59">
        <v>1844000000</v>
      </c>
      <c r="X183" s="59">
        <v>1772000000</v>
      </c>
      <c r="Y183" s="59">
        <v>1740000000</v>
      </c>
      <c r="Z183" s="59">
        <v>1696000000</v>
      </c>
      <c r="AA183" s="59">
        <v>1690144776</v>
      </c>
      <c r="AB183" s="59">
        <v>1684000000</v>
      </c>
      <c r="AC183" s="59">
        <v>1656000000</v>
      </c>
      <c r="AD183" s="59">
        <v>1634906576</v>
      </c>
      <c r="AE183" s="59">
        <v>1629379888</v>
      </c>
      <c r="AF183" s="59">
        <v>1618986684</v>
      </c>
      <c r="AG183" s="59">
        <v>1579425196</v>
      </c>
      <c r="AH183" s="59">
        <v>1489407024</v>
      </c>
      <c r="AI183" s="59">
        <v>1474113016</v>
      </c>
      <c r="AJ183" s="59">
        <v>1462039240</v>
      </c>
      <c r="AK183" s="59">
        <v>1406832448</v>
      </c>
      <c r="AL183" s="59">
        <v>1415086312</v>
      </c>
      <c r="AM183" s="59">
        <v>1433128000</v>
      </c>
      <c r="AN183" s="59">
        <v>1445696000</v>
      </c>
      <c r="AO183" s="59">
        <v>1454096000</v>
      </c>
      <c r="AP183" s="59">
        <v>1459552000</v>
      </c>
      <c r="AQ183" s="59">
        <v>1484032000</v>
      </c>
      <c r="AR183" s="59">
        <v>1417624000</v>
      </c>
      <c r="AS183" s="45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  <c r="BH183" s="39"/>
      <c r="BI183" s="39"/>
      <c r="BJ183" s="39"/>
      <c r="BK183" s="39"/>
      <c r="BL183" s="39"/>
      <c r="BM183" s="39"/>
      <c r="BN183" s="39"/>
      <c r="BO183" s="39"/>
      <c r="BP183" s="39"/>
      <c r="BQ183" s="39"/>
    </row>
    <row r="184" spans="1:69" outlineLevel="1">
      <c r="A184" s="39"/>
      <c r="B184" s="43"/>
      <c r="C184" s="56" t="s">
        <v>439</v>
      </c>
      <c r="D184" s="57">
        <f t="shared" si="17"/>
        <v>13400</v>
      </c>
      <c r="E184" s="57">
        <f t="shared" si="18"/>
        <v>12714.4375</v>
      </c>
      <c r="F184" s="57">
        <f t="shared" si="19"/>
        <v>9588</v>
      </c>
      <c r="G184" s="57">
        <f t="shared" si="20"/>
        <v>17400</v>
      </c>
      <c r="H184" s="57">
        <f t="shared" si="21"/>
        <v>10425</v>
      </c>
      <c r="I184" s="57">
        <f t="shared" si="22"/>
        <v>14692.5</v>
      </c>
      <c r="J184" s="57">
        <f t="shared" si="23"/>
        <v>2419.9933742577919</v>
      </c>
      <c r="K184" s="58">
        <f t="shared" si="24"/>
        <v>0.19033428527670154</v>
      </c>
      <c r="M184" s="59">
        <v>17400</v>
      </c>
      <c r="N184" s="59">
        <v>16800</v>
      </c>
      <c r="O184" s="59">
        <v>15200</v>
      </c>
      <c r="P184" s="59">
        <v>15000</v>
      </c>
      <c r="Q184" s="59">
        <v>15000</v>
      </c>
      <c r="R184" s="59">
        <v>14900</v>
      </c>
      <c r="S184" s="59">
        <v>14800</v>
      </c>
      <c r="T184" s="59">
        <v>14300</v>
      </c>
      <c r="U184" s="59">
        <v>14700</v>
      </c>
      <c r="V184" s="59">
        <v>14300</v>
      </c>
      <c r="W184" s="59">
        <v>14300</v>
      </c>
      <c r="X184" s="59">
        <v>13400</v>
      </c>
      <c r="Y184" s="59">
        <v>13400</v>
      </c>
      <c r="Z184" s="59">
        <v>14400</v>
      </c>
      <c r="AA184" s="59">
        <v>14690</v>
      </c>
      <c r="AB184" s="59">
        <v>14690</v>
      </c>
      <c r="AC184" s="59">
        <v>10500</v>
      </c>
      <c r="AD184" s="59">
        <v>10700</v>
      </c>
      <c r="AE184" s="59">
        <v>10500</v>
      </c>
      <c r="AF184" s="59">
        <v>10200</v>
      </c>
      <c r="AG184" s="59">
        <v>10000</v>
      </c>
      <c r="AH184" s="59">
        <v>10000</v>
      </c>
      <c r="AI184" s="59">
        <v>9600</v>
      </c>
      <c r="AJ184" s="59">
        <v>9612</v>
      </c>
      <c r="AK184" s="59">
        <v>10992</v>
      </c>
      <c r="AL184" s="59">
        <v>10717</v>
      </c>
      <c r="AM184" s="59">
        <v>10717</v>
      </c>
      <c r="AN184" s="59">
        <v>9845</v>
      </c>
      <c r="AO184" s="59">
        <v>9588</v>
      </c>
      <c r="AP184" s="59">
        <v>10011</v>
      </c>
      <c r="AQ184" s="59">
        <v>12100</v>
      </c>
      <c r="AR184" s="59">
        <v>14500</v>
      </c>
      <c r="AS184" s="45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  <c r="BH184" s="39"/>
      <c r="BI184" s="39"/>
      <c r="BJ184" s="39"/>
      <c r="BK184" s="39"/>
      <c r="BL184" s="39"/>
      <c r="BM184" s="39"/>
      <c r="BN184" s="39"/>
      <c r="BO184" s="39"/>
      <c r="BP184" s="39"/>
      <c r="BQ184" s="39"/>
    </row>
    <row r="185" spans="1:69">
      <c r="A185" s="39"/>
      <c r="B185" s="43"/>
      <c r="C185" s="53" t="s">
        <v>440</v>
      </c>
      <c r="D185" s="66" t="str">
        <f t="shared" si="17"/>
        <v/>
      </c>
      <c r="E185" s="66" t="str">
        <f t="shared" si="18"/>
        <v/>
      </c>
      <c r="F185" s="66" t="str">
        <f t="shared" si="19"/>
        <v/>
      </c>
      <c r="G185" s="66" t="str">
        <f t="shared" si="20"/>
        <v/>
      </c>
      <c r="H185" s="66" t="str">
        <f t="shared" si="21"/>
        <v/>
      </c>
      <c r="I185" s="66" t="str">
        <f t="shared" si="22"/>
        <v/>
      </c>
      <c r="J185" s="66" t="str">
        <f t="shared" si="23"/>
        <v/>
      </c>
      <c r="K185" s="55" t="str">
        <f t="shared" si="24"/>
        <v/>
      </c>
      <c r="L185" s="48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66"/>
      <c r="AL185" s="66"/>
      <c r="AM185" s="66"/>
      <c r="AN185" s="66"/>
      <c r="AO185" s="66"/>
      <c r="AP185" s="66"/>
      <c r="AQ185" s="66"/>
      <c r="AR185" s="66"/>
      <c r="AS185" s="45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  <c r="BH185" s="39"/>
      <c r="BI185" s="39"/>
      <c r="BJ185" s="39"/>
      <c r="BK185" s="39"/>
      <c r="BL185" s="39"/>
      <c r="BM185" s="39"/>
      <c r="BN185" s="39"/>
      <c r="BO185" s="39"/>
      <c r="BP185" s="39"/>
      <c r="BQ185" s="39"/>
    </row>
    <row r="186" spans="1:69" outlineLevel="1">
      <c r="A186" s="39"/>
      <c r="B186" s="43"/>
      <c r="C186" s="56" t="s">
        <v>441</v>
      </c>
      <c r="D186" s="58">
        <f t="shared" si="17"/>
        <v>8.208803085591013</v>
      </c>
      <c r="E186" s="58">
        <f t="shared" si="18"/>
        <v>10.368298588146816</v>
      </c>
      <c r="F186" s="58">
        <f t="shared" si="19"/>
        <v>2.8139967711311233</v>
      </c>
      <c r="G186" s="58">
        <f t="shared" si="20"/>
        <v>26.216034565530485</v>
      </c>
      <c r="H186" s="58">
        <f t="shared" si="21"/>
        <v>4.3468464101084479</v>
      </c>
      <c r="I186" s="58">
        <f t="shared" si="22"/>
        <v>15.704881006316127</v>
      </c>
      <c r="J186" s="58">
        <f t="shared" si="23"/>
        <v>7.0904714319063027</v>
      </c>
      <c r="K186" s="58">
        <f t="shared" si="24"/>
        <v>0.68386065193109202</v>
      </c>
      <c r="M186" s="65">
        <v>26.216034565530485</v>
      </c>
      <c r="N186" s="65">
        <v>24.356344190568791</v>
      </c>
      <c r="O186" s="65">
        <v>23.132553606237817</v>
      </c>
      <c r="P186" s="65">
        <v>19.742828384499244</v>
      </c>
      <c r="Q186" s="65">
        <v>18.951604686704023</v>
      </c>
      <c r="R186" s="65">
        <v>18.629081632653062</v>
      </c>
      <c r="S186" s="65">
        <v>18.918711656441719</v>
      </c>
      <c r="T186" s="65">
        <v>17.85774058577406</v>
      </c>
      <c r="U186" s="65">
        <v>14.987261146496815</v>
      </c>
      <c r="V186" s="65">
        <v>13.00267094017094</v>
      </c>
      <c r="W186" s="65">
        <v>12.241865509761388</v>
      </c>
      <c r="X186" s="65">
        <v>11.239277652370204</v>
      </c>
      <c r="Y186" s="65">
        <v>10.367816091954023</v>
      </c>
      <c r="Z186" s="65">
        <v>9.4740566037735849</v>
      </c>
      <c r="AA186" s="65">
        <v>8.9801682692307701</v>
      </c>
      <c r="AB186" s="65">
        <v>8.5872921615201907</v>
      </c>
      <c r="AC186" s="65">
        <v>7.8303140096618353</v>
      </c>
      <c r="AD186" s="65">
        <v>7.2059163336559973</v>
      </c>
      <c r="AE186" s="65">
        <v>6.5883960389229994</v>
      </c>
      <c r="AF186" s="65">
        <v>6.123514612338802</v>
      </c>
      <c r="AG186" s="65">
        <v>5.3810972193862963</v>
      </c>
      <c r="AH186" s="65">
        <v>5.0604031527650433</v>
      </c>
      <c r="AI186" s="65">
        <v>4.7262319268470527</v>
      </c>
      <c r="AJ186" s="65">
        <v>4.3706077273274824</v>
      </c>
      <c r="AK186" s="65">
        <v>4.2755624584513425</v>
      </c>
      <c r="AL186" s="65">
        <v>3.977584656983141</v>
      </c>
      <c r="AM186" s="65">
        <v>3.7470484143775016</v>
      </c>
      <c r="AN186" s="65">
        <v>3.5456970206737792</v>
      </c>
      <c r="AO186" s="65">
        <v>3.3319670778270485</v>
      </c>
      <c r="AP186" s="65">
        <v>3.1461708798316197</v>
      </c>
      <c r="AQ186" s="65">
        <v>2.9757388368299251</v>
      </c>
      <c r="AR186" s="65">
        <v>2.8139967711311233</v>
      </c>
      <c r="AS186" s="45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  <c r="BH186" s="39"/>
      <c r="BI186" s="39"/>
      <c r="BJ186" s="39"/>
      <c r="BK186" s="39"/>
      <c r="BL186" s="39"/>
      <c r="BM186" s="39"/>
      <c r="BN186" s="39"/>
      <c r="BO186" s="39"/>
      <c r="BP186" s="39"/>
      <c r="BQ186" s="39"/>
    </row>
    <row r="187" spans="1:69" outlineLevel="1">
      <c r="A187" s="39"/>
      <c r="B187" s="43"/>
      <c r="C187" s="56" t="s">
        <v>442</v>
      </c>
      <c r="D187" s="58">
        <f t="shared" si="17"/>
        <v>0.25181034434636251</v>
      </c>
      <c r="E187" s="58">
        <f t="shared" si="18"/>
        <v>0.35577962496373522</v>
      </c>
      <c r="F187" s="58">
        <f t="shared" si="19"/>
        <v>3.1298607686179293E-2</v>
      </c>
      <c r="G187" s="58">
        <f t="shared" si="20"/>
        <v>1.3499759961593856</v>
      </c>
      <c r="H187" s="58">
        <f t="shared" si="21"/>
        <v>0.14136180043652069</v>
      </c>
      <c r="I187" s="58">
        <f t="shared" si="22"/>
        <v>0.34725859903810213</v>
      </c>
      <c r="J187" s="58">
        <f t="shared" si="23"/>
        <v>0.33979756897045987</v>
      </c>
      <c r="K187" s="58">
        <f t="shared" si="24"/>
        <v>0.95507877665871277</v>
      </c>
      <c r="M187" s="65">
        <v>1.3499759961593856</v>
      </c>
      <c r="N187" s="65">
        <v>0.72289742343218277</v>
      </c>
      <c r="O187" s="65">
        <v>1.3109161793372319</v>
      </c>
      <c r="P187" s="65">
        <v>0.80573729240060388</v>
      </c>
      <c r="Q187" s="65">
        <v>0.32552215995924605</v>
      </c>
      <c r="R187" s="65">
        <v>0.56377551020408168</v>
      </c>
      <c r="S187" s="65">
        <v>0.30674846625766872</v>
      </c>
      <c r="T187" s="65">
        <v>0.33368200836820083</v>
      </c>
      <c r="U187" s="65">
        <v>0.90976645435244163</v>
      </c>
      <c r="V187" s="65">
        <v>0.69017094017094016</v>
      </c>
      <c r="W187" s="65">
        <v>0.3096529284164859</v>
      </c>
      <c r="X187" s="65">
        <v>0.32562076749435664</v>
      </c>
      <c r="Y187" s="65">
        <v>0.25172413793103449</v>
      </c>
      <c r="Z187" s="65">
        <v>0.19398584905660377</v>
      </c>
      <c r="AA187" s="65">
        <v>0.2265625</v>
      </c>
      <c r="AB187" s="65">
        <v>0.17933491686460806</v>
      </c>
      <c r="AC187" s="65">
        <v>0.14371980676328502</v>
      </c>
      <c r="AD187" s="65">
        <v>0.32723582365724119</v>
      </c>
      <c r="AE187" s="65">
        <v>0.17798182126573542</v>
      </c>
      <c r="AF187" s="65">
        <v>0.38233424568479935</v>
      </c>
      <c r="AG187" s="65">
        <v>0.33556671682253641</v>
      </c>
      <c r="AH187" s="65">
        <v>0.15106683154731784</v>
      </c>
      <c r="AI187" s="65">
        <v>8.7510250977934523E-2</v>
      </c>
      <c r="AJ187" s="65">
        <v>0.18193766126277158</v>
      </c>
      <c r="AK187" s="65">
        <v>5.8286969508397353E-2</v>
      </c>
      <c r="AL187" s="65">
        <v>9.1741180180730408E-2</v>
      </c>
      <c r="AM187" s="65">
        <v>0.25189655076169049</v>
      </c>
      <c r="AN187" s="65">
        <v>0.12934946212758422</v>
      </c>
      <c r="AO187" s="65">
        <v>3.7136475170827785E-2</v>
      </c>
      <c r="AP187" s="65">
        <v>0.13428778145622766</v>
      </c>
      <c r="AQ187" s="65">
        <v>3.1298607686179293E-2</v>
      </c>
      <c r="AR187" s="65">
        <v>5.7524283561195648E-2</v>
      </c>
      <c r="AS187" s="45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  <c r="BH187" s="39"/>
      <c r="BI187" s="39"/>
      <c r="BJ187" s="39"/>
      <c r="BK187" s="39"/>
      <c r="BL187" s="39"/>
      <c r="BM187" s="39"/>
      <c r="BN187" s="39"/>
      <c r="BO187" s="39"/>
      <c r="BP187" s="39"/>
      <c r="BQ187" s="39"/>
    </row>
    <row r="188" spans="1:69" outlineLevel="1">
      <c r="A188" s="39"/>
      <c r="B188" s="43"/>
      <c r="C188" s="56" t="s">
        <v>443</v>
      </c>
      <c r="D188" s="58">
        <f t="shared" si="17"/>
        <v>0.25181034434636251</v>
      </c>
      <c r="E188" s="58">
        <f t="shared" si="18"/>
        <v>0.35577962496373522</v>
      </c>
      <c r="F188" s="58">
        <f t="shared" si="19"/>
        <v>3.1298607686179293E-2</v>
      </c>
      <c r="G188" s="58">
        <f t="shared" si="20"/>
        <v>1.3499759961593856</v>
      </c>
      <c r="H188" s="58">
        <f t="shared" si="21"/>
        <v>0.14136180043652069</v>
      </c>
      <c r="I188" s="58">
        <f t="shared" si="22"/>
        <v>0.34725859903810213</v>
      </c>
      <c r="J188" s="58">
        <f t="shared" si="23"/>
        <v>0.33979756897045987</v>
      </c>
      <c r="K188" s="58">
        <f t="shared" si="24"/>
        <v>0.95507877665871277</v>
      </c>
      <c r="M188" s="65">
        <v>1.3499759961593856</v>
      </c>
      <c r="N188" s="65">
        <v>0.72289742343218277</v>
      </c>
      <c r="O188" s="65">
        <v>1.3109161793372319</v>
      </c>
      <c r="P188" s="65">
        <v>0.80573729240060388</v>
      </c>
      <c r="Q188" s="65">
        <v>0.32552215995924605</v>
      </c>
      <c r="R188" s="65">
        <v>0.56377551020408168</v>
      </c>
      <c r="S188" s="65">
        <v>0.30674846625766872</v>
      </c>
      <c r="T188" s="65">
        <v>0.33368200836820083</v>
      </c>
      <c r="U188" s="65">
        <v>0.90976645435244163</v>
      </c>
      <c r="V188" s="65">
        <v>0.69017094017094016</v>
      </c>
      <c r="W188" s="65">
        <v>0.3096529284164859</v>
      </c>
      <c r="X188" s="65">
        <v>0.32562076749435664</v>
      </c>
      <c r="Y188" s="65">
        <v>0.25172413793103449</v>
      </c>
      <c r="Z188" s="65">
        <v>0.19398584905660377</v>
      </c>
      <c r="AA188" s="65">
        <v>0.2265625</v>
      </c>
      <c r="AB188" s="65">
        <v>0.17933491686460806</v>
      </c>
      <c r="AC188" s="65">
        <v>0.14371980676328502</v>
      </c>
      <c r="AD188" s="65">
        <v>0.32723582365724119</v>
      </c>
      <c r="AE188" s="65">
        <v>0.17798182126573542</v>
      </c>
      <c r="AF188" s="65">
        <v>0.38233424568479935</v>
      </c>
      <c r="AG188" s="65">
        <v>0.33556671682253641</v>
      </c>
      <c r="AH188" s="65">
        <v>0.15106683154731784</v>
      </c>
      <c r="AI188" s="65">
        <v>8.7510250977934523E-2</v>
      </c>
      <c r="AJ188" s="65">
        <v>0.18193766126277158</v>
      </c>
      <c r="AK188" s="65">
        <v>5.8286969508397353E-2</v>
      </c>
      <c r="AL188" s="65">
        <v>9.1741180180730408E-2</v>
      </c>
      <c r="AM188" s="65">
        <v>0.25189655076169049</v>
      </c>
      <c r="AN188" s="65">
        <v>0.12934946212758422</v>
      </c>
      <c r="AO188" s="65">
        <v>3.7136475170827785E-2</v>
      </c>
      <c r="AP188" s="65">
        <v>0.13428778145622766</v>
      </c>
      <c r="AQ188" s="65">
        <v>3.1298607686179293E-2</v>
      </c>
      <c r="AR188" s="65">
        <v>5.7524283561195648E-2</v>
      </c>
      <c r="AS188" s="45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/>
      <c r="BI188" s="39"/>
      <c r="BJ188" s="39"/>
      <c r="BK188" s="39"/>
      <c r="BL188" s="39"/>
      <c r="BM188" s="39"/>
      <c r="BN188" s="39"/>
      <c r="BO188" s="39"/>
      <c r="BP188" s="39"/>
      <c r="BQ188" s="39"/>
    </row>
    <row r="189" spans="1:69" outlineLevel="1">
      <c r="A189" s="39"/>
      <c r="B189" s="43"/>
      <c r="C189" s="56" t="s">
        <v>444</v>
      </c>
      <c r="D189" s="58">
        <f t="shared" si="17"/>
        <v>2.8248616004026168</v>
      </c>
      <c r="E189" s="58">
        <f t="shared" si="18"/>
        <v>2.4702199843904666</v>
      </c>
      <c r="F189" s="58">
        <f t="shared" si="19"/>
        <v>0.83629707112970708</v>
      </c>
      <c r="G189" s="58">
        <f t="shared" si="20"/>
        <v>3.3055555555555554</v>
      </c>
      <c r="H189" s="58">
        <f t="shared" si="21"/>
        <v>2.4314928425357873</v>
      </c>
      <c r="I189" s="58">
        <f t="shared" si="22"/>
        <v>3.1761881901104179</v>
      </c>
      <c r="J189" s="58">
        <f t="shared" si="23"/>
        <v>0.90673388482080219</v>
      </c>
      <c r="K189" s="58">
        <f t="shared" si="24"/>
        <v>0.36706604697174011</v>
      </c>
      <c r="M189" s="65">
        <v>3.1761881901104179</v>
      </c>
      <c r="N189" s="65">
        <v>3.1993193971803597</v>
      </c>
      <c r="O189" s="65">
        <v>3.3055555555555554</v>
      </c>
      <c r="P189" s="65">
        <v>2.8248616004026168</v>
      </c>
      <c r="Q189" s="65">
        <v>2.8456444218033621</v>
      </c>
      <c r="R189" s="65">
        <v>2.5239795918367345</v>
      </c>
      <c r="S189" s="65">
        <v>2.4314928425357873</v>
      </c>
      <c r="T189" s="65">
        <v>0.83629707112970708</v>
      </c>
      <c r="U189" s="65">
        <v>1.0886411889596603</v>
      </c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45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</row>
    <row r="190" spans="1:69" outlineLevel="1">
      <c r="A190" s="39"/>
      <c r="B190" s="43"/>
      <c r="C190" s="56" t="s">
        <v>445</v>
      </c>
      <c r="D190" s="58">
        <f t="shared" si="17"/>
        <v>30.365599217414257</v>
      </c>
      <c r="E190" s="58">
        <f t="shared" si="18"/>
        <v>37.350310672684799</v>
      </c>
      <c r="F190" s="58">
        <f t="shared" si="19"/>
        <v>8.3205597857364211</v>
      </c>
      <c r="G190" s="58">
        <f t="shared" si="20"/>
        <v>102.12241958713395</v>
      </c>
      <c r="H190" s="58">
        <f t="shared" si="21"/>
        <v>14.996738642679698</v>
      </c>
      <c r="I190" s="58">
        <f t="shared" si="22"/>
        <v>52.557371478826319</v>
      </c>
      <c r="J190" s="58">
        <f t="shared" si="23"/>
        <v>27.215984596314595</v>
      </c>
      <c r="K190" s="58">
        <f t="shared" si="24"/>
        <v>0.7286682254083181</v>
      </c>
      <c r="M190" s="65">
        <v>102.12241958713395</v>
      </c>
      <c r="N190" s="65">
        <v>92.437530384054455</v>
      </c>
      <c r="O190" s="65">
        <v>86.495614035087726</v>
      </c>
      <c r="P190" s="65">
        <v>79.987418218419734</v>
      </c>
      <c r="Q190" s="65">
        <v>71.784004075394805</v>
      </c>
      <c r="R190" s="65">
        <v>65.14489795918368</v>
      </c>
      <c r="S190" s="65">
        <v>60.169222903885483</v>
      </c>
      <c r="T190" s="65">
        <v>54.237447698744766</v>
      </c>
      <c r="U190" s="65">
        <v>51.997346072186836</v>
      </c>
      <c r="V190" s="65">
        <v>48.073183760683762</v>
      </c>
      <c r="W190" s="65">
        <v>44.728308026030369</v>
      </c>
      <c r="X190" s="65">
        <v>42.10214446952596</v>
      </c>
      <c r="Y190" s="65">
        <v>39.831034482758618</v>
      </c>
      <c r="Z190" s="65">
        <v>37.994693396226417</v>
      </c>
      <c r="AA190" s="65">
        <v>34.36778846153846</v>
      </c>
      <c r="AB190" s="65">
        <v>31.469121140142519</v>
      </c>
      <c r="AC190" s="65">
        <v>29.262077294685991</v>
      </c>
      <c r="AD190" s="65">
        <v>27.415022153534967</v>
      </c>
      <c r="AE190" s="65">
        <v>24.624705567741731</v>
      </c>
      <c r="AF190" s="65">
        <v>22.090286046646582</v>
      </c>
      <c r="AG190" s="65">
        <v>20.896309286813192</v>
      </c>
      <c r="AH190" s="65">
        <v>19.023006836578475</v>
      </c>
      <c r="AI190" s="65">
        <v>18.27200472938501</v>
      </c>
      <c r="AJ190" s="65">
        <v>15.857987505178041</v>
      </c>
      <c r="AK190" s="65">
        <v>12.41299205518467</v>
      </c>
      <c r="AL190" s="65">
        <v>10.880930672598257</v>
      </c>
      <c r="AM190" s="65">
        <v>9.3787854260052139</v>
      </c>
      <c r="AN190" s="65">
        <v>8.3205597857364211</v>
      </c>
      <c r="AO190" s="65">
        <v>8.5613329518821324</v>
      </c>
      <c r="AP190" s="65">
        <v>8.3717469470083969</v>
      </c>
      <c r="AQ190" s="65">
        <v>8.4405976814641779</v>
      </c>
      <c r="AR190" s="65">
        <v>8.4594219144725198</v>
      </c>
      <c r="AS190" s="45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</row>
    <row r="191" spans="1:69">
      <c r="A191" s="39"/>
      <c r="B191" s="43"/>
      <c r="C191" s="53" t="s">
        <v>255</v>
      </c>
      <c r="D191" s="66" t="str">
        <f t="shared" si="17"/>
        <v/>
      </c>
      <c r="E191" s="66" t="str">
        <f t="shared" si="18"/>
        <v/>
      </c>
      <c r="F191" s="66" t="str">
        <f t="shared" si="19"/>
        <v/>
      </c>
      <c r="G191" s="66" t="str">
        <f t="shared" si="20"/>
        <v/>
      </c>
      <c r="H191" s="66" t="str">
        <f t="shared" si="21"/>
        <v/>
      </c>
      <c r="I191" s="66" t="str">
        <f t="shared" si="22"/>
        <v/>
      </c>
      <c r="J191" s="66" t="str">
        <f t="shared" si="23"/>
        <v/>
      </c>
      <c r="K191" s="55" t="str">
        <f t="shared" si="24"/>
        <v/>
      </c>
      <c r="L191" s="48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6"/>
      <c r="AL191" s="66"/>
      <c r="AM191" s="66"/>
      <c r="AN191" s="66"/>
      <c r="AO191" s="66"/>
      <c r="AP191" s="66"/>
      <c r="AQ191" s="66"/>
      <c r="AR191" s="66"/>
      <c r="AS191" s="45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</row>
    <row r="192" spans="1:69" outlineLevel="1">
      <c r="A192" s="39"/>
      <c r="B192" s="43"/>
      <c r="C192" s="56" t="s">
        <v>256</v>
      </c>
      <c r="D192" s="67" t="str">
        <f t="shared" si="17"/>
        <v/>
      </c>
      <c r="E192" s="67" t="str">
        <f t="shared" si="18"/>
        <v/>
      </c>
      <c r="F192" s="67" t="str">
        <f t="shared" si="19"/>
        <v/>
      </c>
      <c r="G192" s="67" t="str">
        <f t="shared" si="20"/>
        <v/>
      </c>
      <c r="H192" s="67" t="str">
        <f t="shared" si="21"/>
        <v/>
      </c>
      <c r="I192" s="67" t="str">
        <f t="shared" si="22"/>
        <v/>
      </c>
      <c r="J192" s="67" t="str">
        <f t="shared" si="23"/>
        <v/>
      </c>
      <c r="K192" s="58" t="str">
        <f t="shared" si="24"/>
        <v/>
      </c>
      <c r="M192" s="68" t="s">
        <v>257</v>
      </c>
      <c r="N192" s="68" t="s">
        <v>257</v>
      </c>
      <c r="O192" s="68" t="s">
        <v>257</v>
      </c>
      <c r="P192" s="68" t="s">
        <v>257</v>
      </c>
      <c r="Q192" s="68" t="s">
        <v>257</v>
      </c>
      <c r="R192" s="68" t="s">
        <v>257</v>
      </c>
      <c r="S192" s="68" t="s">
        <v>257</v>
      </c>
      <c r="T192" s="68" t="s">
        <v>257</v>
      </c>
      <c r="U192" s="68" t="s">
        <v>257</v>
      </c>
      <c r="V192" s="68" t="s">
        <v>257</v>
      </c>
      <c r="W192" s="68" t="s">
        <v>257</v>
      </c>
      <c r="X192" s="68" t="s">
        <v>257</v>
      </c>
      <c r="Y192" s="68" t="s">
        <v>257</v>
      </c>
      <c r="Z192" s="68" t="s">
        <v>257</v>
      </c>
      <c r="AA192" s="68" t="s">
        <v>257</v>
      </c>
      <c r="AB192" s="68" t="s">
        <v>257</v>
      </c>
      <c r="AC192" s="68" t="s">
        <v>257</v>
      </c>
      <c r="AD192" s="68" t="s">
        <v>257</v>
      </c>
      <c r="AE192" s="68" t="s">
        <v>257</v>
      </c>
      <c r="AF192" s="68" t="s">
        <v>257</v>
      </c>
      <c r="AG192" s="68" t="s">
        <v>257</v>
      </c>
      <c r="AH192" s="68" t="s">
        <v>257</v>
      </c>
      <c r="AI192" s="68" t="s">
        <v>257</v>
      </c>
      <c r="AJ192" s="68" t="s">
        <v>257</v>
      </c>
      <c r="AK192" s="68" t="s">
        <v>257</v>
      </c>
      <c r="AL192" s="68" t="s">
        <v>257</v>
      </c>
      <c r="AM192" s="68" t="s">
        <v>257</v>
      </c>
      <c r="AN192" s="68" t="s">
        <v>257</v>
      </c>
      <c r="AO192" s="68" t="s">
        <v>257</v>
      </c>
      <c r="AP192" s="68" t="s">
        <v>257</v>
      </c>
      <c r="AQ192" s="68" t="s">
        <v>257</v>
      </c>
      <c r="AR192" s="68" t="s">
        <v>257</v>
      </c>
      <c r="AS192" s="45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</row>
    <row r="193" spans="1:69" outlineLevel="1">
      <c r="A193" s="39"/>
      <c r="B193" s="43"/>
      <c r="C193" s="56" t="s">
        <v>258</v>
      </c>
      <c r="D193" s="67" t="str">
        <f t="shared" si="17"/>
        <v/>
      </c>
      <c r="E193" s="67" t="str">
        <f t="shared" si="18"/>
        <v/>
      </c>
      <c r="F193" s="67" t="str">
        <f t="shared" si="19"/>
        <v/>
      </c>
      <c r="G193" s="67" t="str">
        <f t="shared" si="20"/>
        <v/>
      </c>
      <c r="H193" s="67" t="str">
        <f t="shared" si="21"/>
        <v/>
      </c>
      <c r="I193" s="67" t="str">
        <f t="shared" si="22"/>
        <v/>
      </c>
      <c r="J193" s="67" t="str">
        <f t="shared" si="23"/>
        <v/>
      </c>
      <c r="K193" s="58" t="str">
        <f t="shared" si="24"/>
        <v/>
      </c>
      <c r="M193" s="68" t="s">
        <v>257</v>
      </c>
      <c r="N193" s="68" t="s">
        <v>257</v>
      </c>
      <c r="O193" s="68" t="s">
        <v>257</v>
      </c>
      <c r="P193" s="68" t="s">
        <v>257</v>
      </c>
      <c r="Q193" s="68" t="s">
        <v>257</v>
      </c>
      <c r="R193" s="68" t="s">
        <v>257</v>
      </c>
      <c r="S193" s="68" t="s">
        <v>257</v>
      </c>
      <c r="T193" s="68" t="s">
        <v>257</v>
      </c>
      <c r="U193" s="68" t="s">
        <v>257</v>
      </c>
      <c r="V193" s="68" t="s">
        <v>257</v>
      </c>
      <c r="W193" s="68" t="s">
        <v>257</v>
      </c>
      <c r="X193" s="68" t="s">
        <v>257</v>
      </c>
      <c r="Y193" s="68" t="s">
        <v>257</v>
      </c>
      <c r="Z193" s="68" t="s">
        <v>257</v>
      </c>
      <c r="AA193" s="68" t="s">
        <v>257</v>
      </c>
      <c r="AB193" s="68" t="s">
        <v>257</v>
      </c>
      <c r="AC193" s="68" t="s">
        <v>257</v>
      </c>
      <c r="AD193" s="68" t="s">
        <v>257</v>
      </c>
      <c r="AE193" s="68" t="s">
        <v>257</v>
      </c>
      <c r="AF193" s="68" t="s">
        <v>257</v>
      </c>
      <c r="AG193" s="68" t="s">
        <v>257</v>
      </c>
      <c r="AH193" s="68" t="s">
        <v>257</v>
      </c>
      <c r="AI193" s="68" t="s">
        <v>257</v>
      </c>
      <c r="AJ193" s="68" t="s">
        <v>257</v>
      </c>
      <c r="AK193" s="68" t="s">
        <v>257</v>
      </c>
      <c r="AL193" s="68" t="s">
        <v>257</v>
      </c>
      <c r="AM193" s="68" t="s">
        <v>257</v>
      </c>
      <c r="AN193" s="68" t="s">
        <v>257</v>
      </c>
      <c r="AO193" s="68" t="s">
        <v>257</v>
      </c>
      <c r="AP193" s="68" t="s">
        <v>257</v>
      </c>
      <c r="AQ193" s="68" t="s">
        <v>257</v>
      </c>
      <c r="AR193" s="68" t="s">
        <v>257</v>
      </c>
      <c r="AS193" s="45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</row>
    <row r="194" spans="1:69" outlineLevel="1">
      <c r="A194" s="39"/>
      <c r="B194" s="43"/>
      <c r="C194" s="56" t="s">
        <v>259</v>
      </c>
      <c r="D194" s="67" t="str">
        <f t="shared" si="17"/>
        <v/>
      </c>
      <c r="E194" s="67" t="str">
        <f t="shared" si="18"/>
        <v/>
      </c>
      <c r="F194" s="67" t="str">
        <f t="shared" si="19"/>
        <v/>
      </c>
      <c r="G194" s="67" t="str">
        <f t="shared" si="20"/>
        <v/>
      </c>
      <c r="H194" s="67" t="str">
        <f t="shared" si="21"/>
        <v/>
      </c>
      <c r="I194" s="67" t="str">
        <f t="shared" si="22"/>
        <v/>
      </c>
      <c r="J194" s="67" t="str">
        <f t="shared" si="23"/>
        <v/>
      </c>
      <c r="K194" s="58" t="str">
        <f t="shared" si="24"/>
        <v/>
      </c>
      <c r="M194" s="68" t="s">
        <v>260</v>
      </c>
      <c r="N194" s="68" t="s">
        <v>260</v>
      </c>
      <c r="O194" s="68" t="s">
        <v>260</v>
      </c>
      <c r="P194" s="68" t="s">
        <v>260</v>
      </c>
      <c r="Q194" s="68" t="s">
        <v>260</v>
      </c>
      <c r="R194" s="68" t="s">
        <v>260</v>
      </c>
      <c r="S194" s="68" t="s">
        <v>260</v>
      </c>
      <c r="T194" s="68" t="s">
        <v>260</v>
      </c>
      <c r="U194" s="68" t="s">
        <v>260</v>
      </c>
      <c r="V194" s="68" t="s">
        <v>260</v>
      </c>
      <c r="W194" s="68" t="s">
        <v>260</v>
      </c>
      <c r="X194" s="68" t="s">
        <v>260</v>
      </c>
      <c r="Y194" s="68" t="s">
        <v>260</v>
      </c>
      <c r="Z194" s="68" t="s">
        <v>260</v>
      </c>
      <c r="AA194" s="68" t="s">
        <v>260</v>
      </c>
      <c r="AB194" s="68" t="s">
        <v>260</v>
      </c>
      <c r="AC194" s="68" t="s">
        <v>260</v>
      </c>
      <c r="AD194" s="68" t="s">
        <v>260</v>
      </c>
      <c r="AE194" s="68" t="s">
        <v>260</v>
      </c>
      <c r="AF194" s="68" t="s">
        <v>260</v>
      </c>
      <c r="AG194" s="68" t="s">
        <v>260</v>
      </c>
      <c r="AH194" s="68" t="s">
        <v>260</v>
      </c>
      <c r="AI194" s="68" t="s">
        <v>260</v>
      </c>
      <c r="AJ194" s="68" t="s">
        <v>260</v>
      </c>
      <c r="AK194" s="68" t="s">
        <v>260</v>
      </c>
      <c r="AL194" s="68" t="s">
        <v>260</v>
      </c>
      <c r="AM194" s="68" t="s">
        <v>260</v>
      </c>
      <c r="AN194" s="68" t="s">
        <v>260</v>
      </c>
      <c r="AO194" s="68" t="s">
        <v>260</v>
      </c>
      <c r="AP194" s="68" t="s">
        <v>260</v>
      </c>
      <c r="AQ194" s="68" t="s">
        <v>260</v>
      </c>
      <c r="AR194" s="68" t="s">
        <v>260</v>
      </c>
      <c r="AS194" s="45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</row>
    <row r="195" spans="1:69" outlineLevel="1">
      <c r="A195" s="39"/>
      <c r="B195" s="43"/>
      <c r="C195" s="56" t="s">
        <v>261</v>
      </c>
      <c r="D195" s="67" t="str">
        <f t="shared" si="17"/>
        <v/>
      </c>
      <c r="E195" s="67" t="str">
        <f t="shared" si="18"/>
        <v/>
      </c>
      <c r="F195" s="67" t="str">
        <f t="shared" si="19"/>
        <v/>
      </c>
      <c r="G195" s="67" t="str">
        <f t="shared" si="20"/>
        <v/>
      </c>
      <c r="H195" s="67" t="str">
        <f t="shared" si="21"/>
        <v/>
      </c>
      <c r="I195" s="67" t="str">
        <f t="shared" si="22"/>
        <v/>
      </c>
      <c r="J195" s="67" t="str">
        <f t="shared" si="23"/>
        <v/>
      </c>
      <c r="K195" s="58" t="str">
        <f t="shared" si="24"/>
        <v/>
      </c>
      <c r="M195" s="68" t="s">
        <v>257</v>
      </c>
      <c r="N195" s="68" t="s">
        <v>257</v>
      </c>
      <c r="O195" s="68" t="s">
        <v>257</v>
      </c>
      <c r="P195" s="68" t="s">
        <v>257</v>
      </c>
      <c r="Q195" s="68" t="s">
        <v>257</v>
      </c>
      <c r="R195" s="68" t="s">
        <v>257</v>
      </c>
      <c r="S195" s="68" t="s">
        <v>257</v>
      </c>
      <c r="T195" s="68" t="s">
        <v>257</v>
      </c>
      <c r="U195" s="68" t="s">
        <v>257</v>
      </c>
      <c r="V195" s="68" t="s">
        <v>257</v>
      </c>
      <c r="W195" s="68" t="s">
        <v>257</v>
      </c>
      <c r="X195" s="68" t="s">
        <v>257</v>
      </c>
      <c r="Y195" s="68" t="s">
        <v>257</v>
      </c>
      <c r="Z195" s="68" t="s">
        <v>257</v>
      </c>
      <c r="AA195" s="68" t="s">
        <v>257</v>
      </c>
      <c r="AB195" s="68" t="s">
        <v>257</v>
      </c>
      <c r="AC195" s="68" t="s">
        <v>257</v>
      </c>
      <c r="AD195" s="68" t="s">
        <v>257</v>
      </c>
      <c r="AE195" s="68" t="s">
        <v>257</v>
      </c>
      <c r="AF195" s="68" t="s">
        <v>257</v>
      </c>
      <c r="AG195" s="68" t="s">
        <v>257</v>
      </c>
      <c r="AH195" s="68" t="s">
        <v>257</v>
      </c>
      <c r="AI195" s="68" t="s">
        <v>257</v>
      </c>
      <c r="AJ195" s="68" t="s">
        <v>257</v>
      </c>
      <c r="AK195" s="68" t="s">
        <v>257</v>
      </c>
      <c r="AL195" s="68" t="s">
        <v>257</v>
      </c>
      <c r="AM195" s="68" t="s">
        <v>257</v>
      </c>
      <c r="AN195" s="68" t="s">
        <v>257</v>
      </c>
      <c r="AO195" s="68" t="s">
        <v>257</v>
      </c>
      <c r="AP195" s="68" t="s">
        <v>257</v>
      </c>
      <c r="AQ195" s="68" t="s">
        <v>257</v>
      </c>
      <c r="AR195" s="68" t="s">
        <v>257</v>
      </c>
      <c r="AS195" s="45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</row>
    <row r="196" spans="1:69">
      <c r="A196" s="39"/>
      <c r="B196" s="43"/>
      <c r="AS196" s="45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</row>
    <row r="197" spans="1:69">
      <c r="A197" s="39"/>
      <c r="B197" s="43"/>
      <c r="C197" s="46" t="s">
        <v>262</v>
      </c>
      <c r="AS197" s="45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</row>
    <row r="198" spans="1:69">
      <c r="A198" s="39"/>
      <c r="B198" s="43"/>
      <c r="AS198" s="45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</row>
    <row r="199" spans="1:69">
      <c r="A199" s="39"/>
      <c r="B199" s="43"/>
      <c r="AS199" s="45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</row>
    <row r="200" spans="1:69">
      <c r="A200" s="39"/>
      <c r="B200" s="71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  <c r="AR200" s="72"/>
      <c r="AS200" s="73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</row>
    <row r="201" spans="1:69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</row>
  </sheetData>
  <mergeCells count="8">
    <mergeCell ref="J5:J6"/>
    <mergeCell ref="K5:K6"/>
    <mergeCell ref="D5:D6"/>
    <mergeCell ref="E5:E6"/>
    <mergeCell ref="F5:F6"/>
    <mergeCell ref="G5:G6"/>
    <mergeCell ref="H5:H6"/>
    <mergeCell ref="I5:I6"/>
  </mergeCells>
  <hyperlinks>
    <hyperlink ref="M5" r:id="rId1" xr:uid="{11A36EE3-5937-CA4A-A36D-4641C78D8CB2}"/>
    <hyperlink ref="N5" r:id="rId2" xr:uid="{487E84D6-130E-8F4D-9150-2BDB14242A9D}"/>
    <hyperlink ref="O5" r:id="rId3" xr:uid="{2C93EDF8-6654-EC4C-BCCF-DFA55F71AA8D}"/>
    <hyperlink ref="P5" r:id="rId4" xr:uid="{A866A4D3-49D3-5D4D-A63D-289FF60E71FB}"/>
    <hyperlink ref="Q5" r:id="rId5" xr:uid="{CB683561-7320-AA48-961F-CE3D894FEB9D}"/>
    <hyperlink ref="R5" r:id="rId6" xr:uid="{2C64FA84-C602-B148-94AB-83DDA493A8C7}"/>
    <hyperlink ref="S5" r:id="rId7" xr:uid="{EBCD5DF2-92AC-C441-96AB-75A9E6800590}"/>
    <hyperlink ref="T5" r:id="rId8" xr:uid="{DE0ECA83-4E5E-A242-8DC6-13F85113C631}"/>
    <hyperlink ref="U5" r:id="rId9" xr:uid="{56F09C96-9A5F-254E-92D4-103787FC7E04}"/>
    <hyperlink ref="V5" r:id="rId10" xr:uid="{E0ECB650-4ED4-4841-B18B-E92A86F0ECDB}"/>
    <hyperlink ref="W5" r:id="rId11" xr:uid="{30F56A89-A5AC-C245-9AD7-CD9A01C564DD}"/>
    <hyperlink ref="X5" r:id="rId12" xr:uid="{6BA87C5A-4B6C-0648-ADFD-ED9680B5B9A4}"/>
    <hyperlink ref="Y5" r:id="rId13" xr:uid="{428DA780-3742-A34E-8B35-32E6BD067AE5}"/>
    <hyperlink ref="Z5" r:id="rId14" xr:uid="{7F23AAFA-1DB5-DF49-8A46-3ABE6C3EB121}"/>
    <hyperlink ref="AA5" r:id="rId15" xr:uid="{B3F66D60-24C1-0648-A32D-252C2893E691}"/>
    <hyperlink ref="AB5" r:id="rId16" xr:uid="{616AE084-B7A8-B143-B40F-F1805290C901}"/>
    <hyperlink ref="AC5" r:id="rId17" xr:uid="{3306F8FE-87D1-3E4A-8ABB-B873CE9A33BB}"/>
    <hyperlink ref="AD5" r:id="rId18" xr:uid="{B41B7ACD-0311-984C-AE60-D9A9E501D945}"/>
    <hyperlink ref="AE5" r:id="rId19" xr:uid="{960DEE81-5A68-614B-92CA-CA0373723E5B}"/>
    <hyperlink ref="AF5" r:id="rId20" xr:uid="{18A08D59-60FB-764F-B7AA-AAE16032A868}"/>
    <hyperlink ref="AG5" r:id="rId21" xr:uid="{A7300D85-7166-1942-A95B-DB9F4C2EA1A6}"/>
    <hyperlink ref="AH5" r:id="rId22" xr:uid="{1A7BDE43-6EC3-C748-ACCC-F657E45B2190}"/>
    <hyperlink ref="AI5" r:id="rId23" xr:uid="{A8BF8F84-8BF0-AA42-B67E-1E010899E5A8}"/>
    <hyperlink ref="AJ5" r:id="rId24" xr:uid="{C0F2606C-D8AC-0B43-B6C6-D3D2C65D9B5F}"/>
    <hyperlink ref="AK5" r:id="rId25" xr:uid="{630035CA-6C9D-194F-BA56-FF5375212A08}"/>
    <hyperlink ref="AL5" r:id="rId26" xr:uid="{537693F2-38AB-C34A-90E4-3AA31C39F621}"/>
    <hyperlink ref="AM5" r:id="rId27" xr:uid="{7673A027-2E69-DA44-804B-9B1237EB80F7}"/>
    <hyperlink ref="AN5" r:id="rId28" xr:uid="{C71382B1-7015-DD4A-86C4-38D630E894F3}"/>
    <hyperlink ref="AO5" r:id="rId29" xr:uid="{9C79440B-E1DB-8545-B3F4-56797D6E35A0}"/>
    <hyperlink ref="AP5" r:id="rId30" xr:uid="{D37EEB4B-183E-8848-8FCF-1516050CE8D0}"/>
    <hyperlink ref="AQ5" r:id="rId31" xr:uid="{2BFCDB6F-CD07-2D45-B4DD-B8D956C3B4F9}"/>
    <hyperlink ref="AR5" r:id="rId32" xr:uid="{AB31F1EE-8864-7E4D-B4C9-B88C60A79453}"/>
    <hyperlink ref="M10" r:id="rId33" xr:uid="{4FBD76CA-4AF7-AE41-B7D2-8CEA51E717EF}"/>
    <hyperlink ref="N10" r:id="rId34" xr:uid="{87F4CD33-8E30-AB47-A727-C3D7B12DD45D}"/>
    <hyperlink ref="O10" r:id="rId35" xr:uid="{0F31F243-C0BD-9E4B-B0DC-2B93F8D777DD}"/>
    <hyperlink ref="P10" r:id="rId36" xr:uid="{01763EFC-9EF6-7548-BA92-D6D3A65BFF5D}"/>
    <hyperlink ref="Q10" r:id="rId37" xr:uid="{291C1D88-D464-1E47-ABD2-4C8685903027}"/>
    <hyperlink ref="R10" r:id="rId38" xr:uid="{87C6E972-A327-024B-982C-1423A835021C}"/>
    <hyperlink ref="S10" r:id="rId39" xr:uid="{058E7CF9-C311-0E48-8B1C-DB2837A59FF7}"/>
    <hyperlink ref="T10" r:id="rId40" xr:uid="{590BEB40-6F9C-0C4D-B758-5CFD8955B00E}"/>
    <hyperlink ref="U10" r:id="rId41" xr:uid="{BD04315B-E753-AB4C-B3C2-C2DFA2424FCB}"/>
    <hyperlink ref="V10" r:id="rId42" xr:uid="{8E17F071-39F7-244B-848A-5BB1C30EBFA0}"/>
    <hyperlink ref="W10" r:id="rId43" xr:uid="{77795EE6-E231-B04D-B173-2697C7EA7782}"/>
    <hyperlink ref="X10" r:id="rId44" xr:uid="{AA69660C-B623-744A-A889-845413E56868}"/>
    <hyperlink ref="Y10" r:id="rId45" xr:uid="{0F8A6D15-E2C6-5E42-B3A1-984EF75BADED}"/>
    <hyperlink ref="Z10" r:id="rId46" xr:uid="{F27633AC-F175-3F49-A5BC-4E388D0A6C36}"/>
    <hyperlink ref="AA10" r:id="rId47" xr:uid="{F618A85F-04CA-9D41-8B56-93CA73F9F373}"/>
    <hyperlink ref="AB10" r:id="rId48" xr:uid="{E57EA25C-613B-3845-A780-26CF32001405}"/>
    <hyperlink ref="AC10" r:id="rId49" xr:uid="{DFC16DEA-B7BE-5E42-B22C-AD0145FE0650}"/>
    <hyperlink ref="AD10" r:id="rId50" xr:uid="{5866B0C8-F7DD-CC41-8375-39E10193844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A931-C7D4-5C4F-8E64-5B8962048F5D}">
  <dimension ref="A1:BQ148"/>
  <sheetViews>
    <sheetView workbookViewId="0">
      <selection activeCell="S25" sqref="S25"/>
    </sheetView>
  </sheetViews>
  <sheetFormatPr baseColWidth="10" defaultColWidth="8.83203125" defaultRowHeight="15" outlineLevelRow="6" outlineLevelCol="1"/>
  <cols>
    <col min="1" max="1" width="1.1640625" customWidth="1"/>
    <col min="2" max="2" width="1.83203125" customWidth="1"/>
    <col min="3" max="3" width="50.6640625" customWidth="1"/>
    <col min="4" max="11" width="12.6640625" customWidth="1" outlineLevel="1"/>
    <col min="12" max="12" width="2.5" customWidth="1"/>
    <col min="13" max="44" width="12.6640625" customWidth="1"/>
    <col min="45" max="45" width="1.83203125" customWidth="1"/>
  </cols>
  <sheetData>
    <row r="1" spans="1:69" ht="6.5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</row>
    <row r="2" spans="1:69" ht="40" customHeight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2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</row>
    <row r="3" spans="1:69" ht="20">
      <c r="A3" s="39"/>
      <c r="B3" s="43"/>
      <c r="C3" s="44" t="s">
        <v>446</v>
      </c>
      <c r="AS3" s="45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</row>
    <row r="4" spans="1:69" ht="23">
      <c r="A4" s="39"/>
      <c r="B4" s="43"/>
      <c r="C4" s="46" t="s">
        <v>46</v>
      </c>
      <c r="D4" s="47" t="s">
        <v>47</v>
      </c>
      <c r="E4" s="48"/>
      <c r="F4" s="48"/>
      <c r="G4" s="48"/>
      <c r="H4" s="48"/>
      <c r="I4" s="48"/>
      <c r="J4" s="48"/>
      <c r="K4" s="48"/>
      <c r="AS4" s="45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</row>
    <row r="5" spans="1:69">
      <c r="A5" s="39"/>
      <c r="B5" s="43"/>
      <c r="C5" s="46" t="s">
        <v>48</v>
      </c>
      <c r="D5" s="154" t="s">
        <v>49</v>
      </c>
      <c r="E5" s="154" t="s">
        <v>50</v>
      </c>
      <c r="F5" s="154" t="s">
        <v>51</v>
      </c>
      <c r="G5" s="154" t="s">
        <v>52</v>
      </c>
      <c r="H5" s="154" t="s">
        <v>53</v>
      </c>
      <c r="I5" s="154" t="s">
        <v>54</v>
      </c>
      <c r="J5" s="154" t="s">
        <v>55</v>
      </c>
      <c r="K5" s="154" t="s">
        <v>56</v>
      </c>
      <c r="M5" s="49" t="s">
        <v>57</v>
      </c>
      <c r="N5" s="49" t="s">
        <v>58</v>
      </c>
      <c r="O5" s="49" t="s">
        <v>59</v>
      </c>
      <c r="P5" s="49" t="s">
        <v>60</v>
      </c>
      <c r="Q5" s="49" t="s">
        <v>61</v>
      </c>
      <c r="R5" s="49" t="s">
        <v>62</v>
      </c>
      <c r="S5" s="49" t="s">
        <v>63</v>
      </c>
      <c r="T5" s="49" t="s">
        <v>64</v>
      </c>
      <c r="U5" s="49" t="s">
        <v>65</v>
      </c>
      <c r="V5" s="49" t="s">
        <v>66</v>
      </c>
      <c r="W5" s="49" t="s">
        <v>67</v>
      </c>
      <c r="X5" s="49" t="s">
        <v>68</v>
      </c>
      <c r="Y5" s="49" t="s">
        <v>69</v>
      </c>
      <c r="Z5" s="49" t="s">
        <v>70</v>
      </c>
      <c r="AA5" s="49" t="s">
        <v>71</v>
      </c>
      <c r="AB5" s="49" t="s">
        <v>72</v>
      </c>
      <c r="AC5" s="49" t="s">
        <v>73</v>
      </c>
      <c r="AD5" s="49" t="s">
        <v>74</v>
      </c>
      <c r="AE5" s="49" t="s">
        <v>75</v>
      </c>
      <c r="AF5" s="49" t="s">
        <v>76</v>
      </c>
      <c r="AG5" s="49" t="s">
        <v>77</v>
      </c>
      <c r="AH5" s="49" t="s">
        <v>78</v>
      </c>
      <c r="AI5" s="49" t="s">
        <v>79</v>
      </c>
      <c r="AJ5" s="49" t="s">
        <v>80</v>
      </c>
      <c r="AK5" s="49" t="s">
        <v>81</v>
      </c>
      <c r="AL5" s="49" t="s">
        <v>82</v>
      </c>
      <c r="AM5" s="49" t="s">
        <v>83</v>
      </c>
      <c r="AN5" s="49" t="s">
        <v>84</v>
      </c>
      <c r="AO5" s="49" t="s">
        <v>85</v>
      </c>
      <c r="AP5" s="49" t="s">
        <v>86</v>
      </c>
      <c r="AQ5" s="49" t="s">
        <v>87</v>
      </c>
      <c r="AR5" s="49" t="s">
        <v>88</v>
      </c>
      <c r="AS5" s="45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</row>
    <row r="6" spans="1:69">
      <c r="A6" s="39"/>
      <c r="B6" s="43"/>
      <c r="D6" s="154"/>
      <c r="E6" s="154"/>
      <c r="F6" s="154"/>
      <c r="G6" s="154"/>
      <c r="H6" s="154"/>
      <c r="I6" s="154"/>
      <c r="J6" s="154"/>
      <c r="K6" s="154"/>
      <c r="AS6" s="45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</row>
    <row r="7" spans="1:69">
      <c r="A7" s="39"/>
      <c r="B7" s="43"/>
      <c r="C7" s="46" t="s">
        <v>104</v>
      </c>
      <c r="D7" s="48"/>
      <c r="E7" s="48"/>
      <c r="F7" s="48"/>
      <c r="G7" s="48"/>
      <c r="H7" s="48"/>
      <c r="I7" s="48"/>
      <c r="J7" s="48"/>
      <c r="K7" s="48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45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</row>
    <row r="8" spans="1:69">
      <c r="A8" s="39"/>
      <c r="B8" s="43"/>
      <c r="D8" s="48"/>
      <c r="E8" s="48"/>
      <c r="F8" s="48"/>
      <c r="G8" s="48"/>
      <c r="H8" s="48"/>
      <c r="I8" s="48"/>
      <c r="J8" s="48"/>
      <c r="K8" s="48"/>
      <c r="AS8" s="45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</row>
    <row r="9" spans="1:69">
      <c r="A9" s="39"/>
      <c r="B9" s="43"/>
      <c r="D9" s="48"/>
      <c r="E9" s="48"/>
      <c r="F9" s="48"/>
      <c r="G9" s="48"/>
      <c r="H9" s="48"/>
      <c r="I9" s="48"/>
      <c r="J9" s="48"/>
      <c r="K9" s="48"/>
      <c r="M9" s="51" t="s">
        <v>105</v>
      </c>
      <c r="N9" s="51" t="s">
        <v>105</v>
      </c>
      <c r="O9" s="51" t="s">
        <v>105</v>
      </c>
      <c r="P9" s="51" t="s">
        <v>106</v>
      </c>
      <c r="Q9" s="51" t="s">
        <v>107</v>
      </c>
      <c r="R9" s="51" t="s">
        <v>108</v>
      </c>
      <c r="S9" s="51" t="s">
        <v>108</v>
      </c>
      <c r="T9" s="51" t="s">
        <v>109</v>
      </c>
      <c r="U9" s="51" t="s">
        <v>110</v>
      </c>
      <c r="V9" s="51" t="s">
        <v>111</v>
      </c>
      <c r="W9" s="51" t="s">
        <v>265</v>
      </c>
      <c r="X9" s="51" t="s">
        <v>112</v>
      </c>
      <c r="Y9" s="51" t="s">
        <v>113</v>
      </c>
      <c r="Z9" s="51" t="s">
        <v>114</v>
      </c>
      <c r="AA9" s="51" t="s">
        <v>115</v>
      </c>
      <c r="AB9" s="51" t="s">
        <v>116</v>
      </c>
      <c r="AC9" s="51" t="s">
        <v>117</v>
      </c>
      <c r="AD9" s="51" t="s">
        <v>118</v>
      </c>
      <c r="AE9" s="51" t="s">
        <v>119</v>
      </c>
      <c r="AF9" s="51" t="s">
        <v>120</v>
      </c>
      <c r="AG9" s="51" t="s">
        <v>121</v>
      </c>
      <c r="AH9" s="51" t="s">
        <v>122</v>
      </c>
      <c r="AI9" s="51" t="s">
        <v>123</v>
      </c>
      <c r="AJ9" s="51" t="s">
        <v>124</v>
      </c>
      <c r="AK9" s="51" t="s">
        <v>125</v>
      </c>
      <c r="AL9" s="51" t="s">
        <v>126</v>
      </c>
      <c r="AM9" s="51" t="s">
        <v>127</v>
      </c>
      <c r="AN9" s="51" t="s">
        <v>128</v>
      </c>
      <c r="AO9" s="51" t="s">
        <v>129</v>
      </c>
      <c r="AP9" s="51" t="s">
        <v>130</v>
      </c>
      <c r="AQ9" s="51" t="s">
        <v>131</v>
      </c>
      <c r="AR9" s="51" t="s">
        <v>132</v>
      </c>
      <c r="AS9" s="45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</row>
    <row r="10" spans="1:69">
      <c r="A10" s="39"/>
      <c r="B10" s="43"/>
      <c r="D10" s="48"/>
      <c r="E10" s="48"/>
      <c r="F10" s="48"/>
      <c r="G10" s="48"/>
      <c r="H10" s="48"/>
      <c r="I10" s="48"/>
      <c r="J10" s="48"/>
      <c r="K10" s="48"/>
      <c r="M10" s="52" t="s">
        <v>148</v>
      </c>
      <c r="N10" s="52" t="s">
        <v>148</v>
      </c>
      <c r="O10" s="52" t="s">
        <v>148</v>
      </c>
      <c r="P10" s="52" t="s">
        <v>148</v>
      </c>
      <c r="Q10" s="52" t="s">
        <v>148</v>
      </c>
      <c r="R10" s="52" t="s">
        <v>148</v>
      </c>
      <c r="S10" s="52" t="s">
        <v>148</v>
      </c>
      <c r="T10" s="52" t="s">
        <v>148</v>
      </c>
      <c r="U10" s="52" t="s">
        <v>148</v>
      </c>
      <c r="V10" s="52" t="s">
        <v>148</v>
      </c>
      <c r="W10" s="52" t="s">
        <v>148</v>
      </c>
      <c r="X10" s="52" t="s">
        <v>148</v>
      </c>
      <c r="Y10" s="52" t="s">
        <v>148</v>
      </c>
      <c r="Z10" s="52" t="s">
        <v>148</v>
      </c>
      <c r="AA10" s="52" t="s">
        <v>148</v>
      </c>
      <c r="AB10" s="52" t="s">
        <v>148</v>
      </c>
      <c r="AC10" s="52" t="s">
        <v>148</v>
      </c>
      <c r="AD10" s="52" t="s">
        <v>148</v>
      </c>
      <c r="AS10" s="45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</row>
    <row r="11" spans="1:69">
      <c r="A11" s="39"/>
      <c r="B11" s="43"/>
      <c r="C11" s="53" t="s">
        <v>447</v>
      </c>
      <c r="D11" s="54" t="str">
        <f t="shared" ref="D11:D74" si="0">IF(COUNT(L11:AR11)&gt;0,MEDIAN(L11:AR11),"")</f>
        <v/>
      </c>
      <c r="E11" s="54" t="str">
        <f t="shared" ref="E11:E74" si="1">IF(COUNT(L11:AR11)&gt;0,AVERAGE(L11:AR11),"")</f>
        <v/>
      </c>
      <c r="F11" s="54" t="str">
        <f t="shared" ref="F11:F74" si="2">IF(COUNT(L11:AR11)&gt;0,MIN(L11:AR11),"")</f>
        <v/>
      </c>
      <c r="G11" s="54" t="str">
        <f t="shared" ref="G11:G74" si="3">IF(COUNT(L11:AR11)&gt;0,MAX(L11:AR11),"")</f>
        <v/>
      </c>
      <c r="H11" s="54" t="str">
        <f t="shared" ref="H11:H74" si="4">IF(COUNT(L11:AR11)&gt;0,QUARTILE(L11:AR11,1),"")</f>
        <v/>
      </c>
      <c r="I11" s="54" t="str">
        <f t="shared" ref="I11:I74" si="5">IF(COUNT(L11:AR11)&gt;0,QUARTILE(L11:AR11,3),"")</f>
        <v/>
      </c>
      <c r="J11" s="54" t="str">
        <f t="shared" ref="J11:J74" si="6">IF(COUNT(L11:AR11)&gt;1,STDEV(L11:AR11),"")</f>
        <v/>
      </c>
      <c r="K11" s="55" t="str">
        <f t="shared" ref="K11:K74" si="7">IF(COUNT(L11:AR11)&gt;1,STDEV(L11:AR11)/AVERAGE(L11:AR11),"")</f>
        <v/>
      </c>
      <c r="L11" s="48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45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</row>
    <row r="12" spans="1:69" outlineLevel="1">
      <c r="A12" s="39"/>
      <c r="B12" s="43"/>
      <c r="C12" s="56" t="s">
        <v>448</v>
      </c>
      <c r="D12" s="57" t="str">
        <f t="shared" si="0"/>
        <v/>
      </c>
      <c r="E12" s="57" t="str">
        <f t="shared" si="1"/>
        <v/>
      </c>
      <c r="F12" s="57" t="str">
        <f t="shared" si="2"/>
        <v/>
      </c>
      <c r="G12" s="57" t="str">
        <f t="shared" si="3"/>
        <v/>
      </c>
      <c r="H12" s="57" t="str">
        <f t="shared" si="4"/>
        <v/>
      </c>
      <c r="I12" s="57" t="str">
        <f t="shared" si="5"/>
        <v/>
      </c>
      <c r="J12" s="57" t="str">
        <f t="shared" si="6"/>
        <v/>
      </c>
      <c r="K12" s="58" t="str">
        <f t="shared" si="7"/>
        <v/>
      </c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45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</row>
    <row r="13" spans="1:69" outlineLevel="2">
      <c r="A13" s="39"/>
      <c r="B13" s="43"/>
      <c r="C13" s="56" t="s">
        <v>449</v>
      </c>
      <c r="D13" s="57" t="str">
        <f t="shared" si="0"/>
        <v/>
      </c>
      <c r="E13" s="57" t="str">
        <f t="shared" si="1"/>
        <v/>
      </c>
      <c r="F13" s="57" t="str">
        <f t="shared" si="2"/>
        <v/>
      </c>
      <c r="G13" s="57" t="str">
        <f t="shared" si="3"/>
        <v/>
      </c>
      <c r="H13" s="57" t="str">
        <f t="shared" si="4"/>
        <v/>
      </c>
      <c r="I13" s="57" t="str">
        <f t="shared" si="5"/>
        <v/>
      </c>
      <c r="J13" s="57" t="str">
        <f t="shared" si="6"/>
        <v/>
      </c>
      <c r="K13" s="58" t="str">
        <f t="shared" si="7"/>
        <v/>
      </c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45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</row>
    <row r="14" spans="1:69" outlineLevel="3">
      <c r="A14" s="39"/>
      <c r="B14" s="43"/>
      <c r="C14" s="56" t="s">
        <v>450</v>
      </c>
      <c r="D14" s="57">
        <f t="shared" si="0"/>
        <v>1658000</v>
      </c>
      <c r="E14" s="57">
        <f t="shared" si="1"/>
        <v>2189115.625</v>
      </c>
      <c r="F14" s="57">
        <f t="shared" si="2"/>
        <v>473000</v>
      </c>
      <c r="G14" s="57">
        <f t="shared" si="3"/>
        <v>6282000</v>
      </c>
      <c r="H14" s="57">
        <f t="shared" si="4"/>
        <v>761750</v>
      </c>
      <c r="I14" s="57">
        <f t="shared" si="5"/>
        <v>2870000</v>
      </c>
      <c r="J14" s="57">
        <f t="shared" si="6"/>
        <v>1756384.9021745471</v>
      </c>
      <c r="K14" s="58">
        <f t="shared" si="7"/>
        <v>0.8023262371874702</v>
      </c>
      <c r="M14" s="59">
        <v>5332000</v>
      </c>
      <c r="N14" s="59">
        <v>5698000</v>
      </c>
      <c r="O14" s="59">
        <v>6282000</v>
      </c>
      <c r="P14" s="59">
        <v>3246000</v>
      </c>
      <c r="Q14" s="59">
        <v>2827000</v>
      </c>
      <c r="R14" s="59">
        <v>2369000</v>
      </c>
      <c r="S14" s="59">
        <v>3388000</v>
      </c>
      <c r="T14" s="59">
        <v>5776000</v>
      </c>
      <c r="U14" s="59">
        <v>5323000</v>
      </c>
      <c r="V14" s="59">
        <v>2999000</v>
      </c>
      <c r="W14" s="59">
        <v>2762000</v>
      </c>
      <c r="X14" s="59">
        <v>2469000</v>
      </c>
      <c r="Y14" s="59">
        <v>1677000</v>
      </c>
      <c r="Z14" s="59">
        <v>1911000</v>
      </c>
      <c r="AA14" s="59">
        <v>1923000</v>
      </c>
      <c r="AB14" s="59">
        <v>1957000</v>
      </c>
      <c r="AC14" s="59">
        <v>1615000</v>
      </c>
      <c r="AD14" s="59">
        <v>1639000</v>
      </c>
      <c r="AE14" s="59">
        <v>1312000</v>
      </c>
      <c r="AF14" s="59">
        <v>1281000</v>
      </c>
      <c r="AG14" s="59">
        <v>901000</v>
      </c>
      <c r="AH14" s="59">
        <v>887000</v>
      </c>
      <c r="AI14" s="59">
        <v>890000</v>
      </c>
      <c r="AJ14" s="59">
        <v>473000</v>
      </c>
      <c r="AK14" s="59">
        <v>781000</v>
      </c>
      <c r="AL14" s="59">
        <v>704000</v>
      </c>
      <c r="AM14" s="59">
        <v>697000</v>
      </c>
      <c r="AN14" s="59">
        <v>664000</v>
      </c>
      <c r="AO14" s="59">
        <v>618000</v>
      </c>
      <c r="AP14" s="59">
        <v>579000</v>
      </c>
      <c r="AQ14" s="59">
        <v>553000</v>
      </c>
      <c r="AR14" s="59">
        <v>518700</v>
      </c>
      <c r="AS14" s="45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</row>
    <row r="15" spans="1:69" outlineLevel="3">
      <c r="A15" s="39"/>
      <c r="B15" s="43"/>
      <c r="C15" s="56" t="s">
        <v>451</v>
      </c>
      <c r="D15" s="57" t="str">
        <f t="shared" si="0"/>
        <v/>
      </c>
      <c r="E15" s="57" t="str">
        <f t="shared" si="1"/>
        <v/>
      </c>
      <c r="F15" s="57" t="str">
        <f t="shared" si="2"/>
        <v/>
      </c>
      <c r="G15" s="57" t="str">
        <f t="shared" si="3"/>
        <v/>
      </c>
      <c r="H15" s="57" t="str">
        <f t="shared" si="4"/>
        <v/>
      </c>
      <c r="I15" s="57" t="str">
        <f t="shared" si="5"/>
        <v/>
      </c>
      <c r="J15" s="57" t="str">
        <f t="shared" si="6"/>
        <v/>
      </c>
      <c r="K15" s="58" t="str">
        <f t="shared" si="7"/>
        <v/>
      </c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45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</row>
    <row r="16" spans="1:69" outlineLevel="4">
      <c r="A16" s="39"/>
      <c r="B16" s="43"/>
      <c r="C16" s="56" t="s">
        <v>452</v>
      </c>
      <c r="D16" s="57" t="str">
        <f t="shared" si="0"/>
        <v/>
      </c>
      <c r="E16" s="57" t="str">
        <f t="shared" si="1"/>
        <v/>
      </c>
      <c r="F16" s="57" t="str">
        <f t="shared" si="2"/>
        <v/>
      </c>
      <c r="G16" s="57" t="str">
        <f t="shared" si="3"/>
        <v/>
      </c>
      <c r="H16" s="57" t="str">
        <f t="shared" si="4"/>
        <v/>
      </c>
      <c r="I16" s="57" t="str">
        <f t="shared" si="5"/>
        <v/>
      </c>
      <c r="J16" s="57" t="str">
        <f t="shared" si="6"/>
        <v/>
      </c>
      <c r="K16" s="58" t="str">
        <f t="shared" si="7"/>
        <v/>
      </c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45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</row>
    <row r="17" spans="1:69" outlineLevel="5">
      <c r="A17" s="39"/>
      <c r="B17" s="43"/>
      <c r="C17" s="56" t="s">
        <v>453</v>
      </c>
      <c r="D17" s="57" t="str">
        <f t="shared" si="0"/>
        <v/>
      </c>
      <c r="E17" s="57" t="str">
        <f t="shared" si="1"/>
        <v/>
      </c>
      <c r="F17" s="57" t="str">
        <f t="shared" si="2"/>
        <v/>
      </c>
      <c r="G17" s="57" t="str">
        <f t="shared" si="3"/>
        <v/>
      </c>
      <c r="H17" s="57" t="str">
        <f t="shared" si="4"/>
        <v/>
      </c>
      <c r="I17" s="57" t="str">
        <f t="shared" si="5"/>
        <v/>
      </c>
      <c r="J17" s="57" t="str">
        <f t="shared" si="6"/>
        <v/>
      </c>
      <c r="K17" s="58" t="str">
        <f t="shared" si="7"/>
        <v/>
      </c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45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</row>
    <row r="18" spans="1:69" outlineLevel="6">
      <c r="A18" s="39"/>
      <c r="B18" s="43"/>
      <c r="C18" s="56" t="s">
        <v>454</v>
      </c>
      <c r="D18" s="57">
        <f t="shared" si="0"/>
        <v>3315500</v>
      </c>
      <c r="E18" s="57">
        <f t="shared" si="1"/>
        <v>3601611.111111111</v>
      </c>
      <c r="F18" s="57">
        <f t="shared" si="2"/>
        <v>1643000</v>
      </c>
      <c r="G18" s="57">
        <f t="shared" si="3"/>
        <v>6941000</v>
      </c>
      <c r="H18" s="57">
        <f t="shared" si="4"/>
        <v>2185000</v>
      </c>
      <c r="I18" s="57">
        <f t="shared" si="5"/>
        <v>4437250</v>
      </c>
      <c r="J18" s="57">
        <f t="shared" si="6"/>
        <v>1601190.5180719122</v>
      </c>
      <c r="K18" s="58">
        <f t="shared" si="7"/>
        <v>0.44457618234577767</v>
      </c>
      <c r="M18" s="59">
        <v>6941000</v>
      </c>
      <c r="N18" s="59">
        <v>5761000</v>
      </c>
      <c r="O18" s="59">
        <v>6151000</v>
      </c>
      <c r="P18" s="59">
        <v>4790000</v>
      </c>
      <c r="Q18" s="59">
        <v>4214000</v>
      </c>
      <c r="R18" s="59">
        <v>4315000</v>
      </c>
      <c r="S18" s="59">
        <v>4478000</v>
      </c>
      <c r="T18" s="59">
        <v>4147000</v>
      </c>
      <c r="U18" s="59">
        <v>2638000</v>
      </c>
      <c r="V18" s="59">
        <v>3428000</v>
      </c>
      <c r="W18" s="59">
        <v>3203000</v>
      </c>
      <c r="X18" s="59">
        <v>2896000</v>
      </c>
      <c r="Y18" s="59">
        <v>2521000</v>
      </c>
      <c r="Z18" s="59">
        <v>1777000</v>
      </c>
      <c r="AA18" s="59">
        <v>1849000</v>
      </c>
      <c r="AB18" s="59">
        <v>2073000</v>
      </c>
      <c r="AC18" s="59">
        <v>2004000</v>
      </c>
      <c r="AD18" s="59">
        <v>1643000</v>
      </c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45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</row>
    <row r="19" spans="1:69" outlineLevel="6">
      <c r="A19" s="39"/>
      <c r="B19" s="43"/>
      <c r="C19" s="60" t="s">
        <v>455</v>
      </c>
      <c r="D19" s="61">
        <f t="shared" si="0"/>
        <v>3315500</v>
      </c>
      <c r="E19" s="61">
        <f t="shared" si="1"/>
        <v>3601611.111111111</v>
      </c>
      <c r="F19" s="61">
        <f t="shared" si="2"/>
        <v>1643000</v>
      </c>
      <c r="G19" s="61">
        <f t="shared" si="3"/>
        <v>6941000</v>
      </c>
      <c r="H19" s="61">
        <f t="shared" si="4"/>
        <v>2185000</v>
      </c>
      <c r="I19" s="61">
        <f t="shared" si="5"/>
        <v>4437250</v>
      </c>
      <c r="J19" s="61">
        <f t="shared" si="6"/>
        <v>1601190.5180719122</v>
      </c>
      <c r="K19" s="62">
        <f t="shared" si="7"/>
        <v>0.44457618234577767</v>
      </c>
      <c r="L19" s="41"/>
      <c r="M19" s="63">
        <v>6941000</v>
      </c>
      <c r="N19" s="63">
        <v>5761000</v>
      </c>
      <c r="O19" s="63">
        <v>6151000</v>
      </c>
      <c r="P19" s="63">
        <v>4790000</v>
      </c>
      <c r="Q19" s="63">
        <v>4214000</v>
      </c>
      <c r="R19" s="63">
        <v>4315000</v>
      </c>
      <c r="S19" s="63">
        <v>4478000</v>
      </c>
      <c r="T19" s="63">
        <v>4147000</v>
      </c>
      <c r="U19" s="63">
        <v>2638000</v>
      </c>
      <c r="V19" s="63">
        <v>3428000</v>
      </c>
      <c r="W19" s="63">
        <v>3203000</v>
      </c>
      <c r="X19" s="63">
        <v>2896000</v>
      </c>
      <c r="Y19" s="63">
        <v>2521000</v>
      </c>
      <c r="Z19" s="63">
        <v>1777000</v>
      </c>
      <c r="AA19" s="63">
        <v>1849000</v>
      </c>
      <c r="AB19" s="63">
        <v>2073000</v>
      </c>
      <c r="AC19" s="63">
        <v>2004000</v>
      </c>
      <c r="AD19" s="63">
        <v>1643000</v>
      </c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45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</row>
    <row r="20" spans="1:69" outlineLevel="5">
      <c r="A20" s="39"/>
      <c r="B20" s="43"/>
      <c r="C20" s="60" t="s">
        <v>456</v>
      </c>
      <c r="D20" s="61">
        <f t="shared" si="0"/>
        <v>2297000</v>
      </c>
      <c r="E20" s="61">
        <f t="shared" si="1"/>
        <v>2865846.153846154</v>
      </c>
      <c r="F20" s="61">
        <f t="shared" si="2"/>
        <v>908000</v>
      </c>
      <c r="G20" s="61">
        <f t="shared" si="3"/>
        <v>6941000</v>
      </c>
      <c r="H20" s="61">
        <f t="shared" si="4"/>
        <v>1483250</v>
      </c>
      <c r="I20" s="61">
        <f t="shared" si="5"/>
        <v>4197250</v>
      </c>
      <c r="J20" s="61">
        <f t="shared" si="6"/>
        <v>1739386.3444860706</v>
      </c>
      <c r="K20" s="62">
        <f t="shared" si="7"/>
        <v>0.60693639892417106</v>
      </c>
      <c r="L20" s="41"/>
      <c r="M20" s="63">
        <v>6941000</v>
      </c>
      <c r="N20" s="63">
        <v>5761000</v>
      </c>
      <c r="O20" s="63">
        <v>6151000</v>
      </c>
      <c r="P20" s="63">
        <v>4790000</v>
      </c>
      <c r="Q20" s="63">
        <v>4214000</v>
      </c>
      <c r="R20" s="63">
        <v>4315000</v>
      </c>
      <c r="S20" s="63">
        <v>4478000</v>
      </c>
      <c r="T20" s="63">
        <v>4147000</v>
      </c>
      <c r="U20" s="63">
        <v>2638000</v>
      </c>
      <c r="V20" s="63">
        <v>3428000</v>
      </c>
      <c r="W20" s="63">
        <v>3203000</v>
      </c>
      <c r="X20" s="63">
        <v>2896000</v>
      </c>
      <c r="Y20" s="63">
        <v>2521000</v>
      </c>
      <c r="Z20" s="63">
        <v>1777000</v>
      </c>
      <c r="AA20" s="63">
        <v>1849000</v>
      </c>
      <c r="AB20" s="63">
        <v>2073000</v>
      </c>
      <c r="AC20" s="63">
        <v>2004000</v>
      </c>
      <c r="AD20" s="63">
        <v>1643000</v>
      </c>
      <c r="AE20" s="63">
        <v>1479000</v>
      </c>
      <c r="AF20" s="63">
        <v>1421000</v>
      </c>
      <c r="AG20" s="63">
        <v>1496000</v>
      </c>
      <c r="AH20" s="63">
        <v>1246000</v>
      </c>
      <c r="AI20" s="63">
        <v>1118000</v>
      </c>
      <c r="AJ20" s="63">
        <v>908000</v>
      </c>
      <c r="AK20" s="63">
        <v>983000</v>
      </c>
      <c r="AL20" s="63">
        <v>1032000</v>
      </c>
      <c r="AM20" s="63"/>
      <c r="AN20" s="63"/>
      <c r="AO20" s="63"/>
      <c r="AP20" s="63"/>
      <c r="AQ20" s="63"/>
      <c r="AR20" s="63"/>
      <c r="AS20" s="45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</row>
    <row r="21" spans="1:69" outlineLevel="4">
      <c r="A21" s="39"/>
      <c r="B21" s="43"/>
      <c r="C21" s="56" t="s">
        <v>457</v>
      </c>
      <c r="D21" s="57">
        <f t="shared" si="0"/>
        <v>415000</v>
      </c>
      <c r="E21" s="57">
        <f t="shared" si="1"/>
        <v>414412.5</v>
      </c>
      <c r="F21" s="57">
        <f t="shared" si="2"/>
        <v>-882000</v>
      </c>
      <c r="G21" s="57">
        <f t="shared" si="3"/>
        <v>1463000</v>
      </c>
      <c r="H21" s="57">
        <f t="shared" si="4"/>
        <v>62100</v>
      </c>
      <c r="I21" s="57">
        <f t="shared" si="5"/>
        <v>611500</v>
      </c>
      <c r="J21" s="57">
        <f t="shared" si="6"/>
        <v>510182.4770008371</v>
      </c>
      <c r="K21" s="58">
        <f t="shared" si="7"/>
        <v>1.2310981859882053</v>
      </c>
      <c r="M21" s="59">
        <v>453000</v>
      </c>
      <c r="N21" s="59">
        <v>1308000</v>
      </c>
      <c r="O21" s="59">
        <v>708000</v>
      </c>
      <c r="P21" s="59">
        <v>534000</v>
      </c>
      <c r="Q21" s="59">
        <v>436000</v>
      </c>
      <c r="R21" s="59">
        <v>-78000</v>
      </c>
      <c r="S21" s="59">
        <v>258000</v>
      </c>
      <c r="T21" s="59">
        <v>1463000</v>
      </c>
      <c r="U21" s="59">
        <v>-882000</v>
      </c>
      <c r="V21" s="59">
        <v>1226000</v>
      </c>
      <c r="W21" s="59">
        <v>1162000</v>
      </c>
      <c r="X21" s="59">
        <v>1205000</v>
      </c>
      <c r="Y21" s="59">
        <v>853000</v>
      </c>
      <c r="Z21" s="59">
        <v>682000</v>
      </c>
      <c r="AA21" s="59">
        <v>553000</v>
      </c>
      <c r="AB21" s="59">
        <v>511000</v>
      </c>
      <c r="AC21" s="59">
        <v>273000</v>
      </c>
      <c r="AD21" s="59">
        <v>569000</v>
      </c>
      <c r="AE21" s="59">
        <v>402000</v>
      </c>
      <c r="AF21" s="59">
        <v>393000</v>
      </c>
      <c r="AG21" s="59">
        <v>343000</v>
      </c>
      <c r="AH21" s="59">
        <v>428000</v>
      </c>
      <c r="AI21" s="59">
        <v>588000</v>
      </c>
      <c r="AJ21" s="59">
        <v>219000</v>
      </c>
      <c r="AK21" s="59">
        <v>-91000</v>
      </c>
      <c r="AL21" s="59">
        <v>283000</v>
      </c>
      <c r="AM21" s="59">
        <v>-198000</v>
      </c>
      <c r="AN21" s="59">
        <v>-237000</v>
      </c>
      <c r="AO21" s="59">
        <v>-30000</v>
      </c>
      <c r="AP21" s="59">
        <v>-76000</v>
      </c>
      <c r="AQ21" s="59">
        <v>-89600</v>
      </c>
      <c r="AR21" s="59">
        <v>92800</v>
      </c>
      <c r="AS21" s="45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</row>
    <row r="22" spans="1:69" outlineLevel="4">
      <c r="A22" s="39"/>
      <c r="B22" s="43"/>
      <c r="C22" s="56" t="s">
        <v>458</v>
      </c>
      <c r="D22" s="57">
        <f t="shared" si="0"/>
        <v>-38000</v>
      </c>
      <c r="E22" s="57">
        <f t="shared" si="1"/>
        <v>-38000</v>
      </c>
      <c r="F22" s="57">
        <f t="shared" si="2"/>
        <v>-39000</v>
      </c>
      <c r="G22" s="57">
        <f t="shared" si="3"/>
        <v>-37000</v>
      </c>
      <c r="H22" s="57">
        <f t="shared" si="4"/>
        <v>-38500</v>
      </c>
      <c r="I22" s="57">
        <f t="shared" si="5"/>
        <v>-37500</v>
      </c>
      <c r="J22" s="57">
        <f t="shared" si="6"/>
        <v>1414.2135623730951</v>
      </c>
      <c r="K22" s="58">
        <f t="shared" si="7"/>
        <v>-3.7216146378239348E-2</v>
      </c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>
        <v>-39000</v>
      </c>
      <c r="AB22" s="59">
        <v>-37000</v>
      </c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45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</row>
    <row r="23" spans="1:69" outlineLevel="4">
      <c r="A23" s="39"/>
      <c r="B23" s="43"/>
      <c r="C23" s="56" t="s">
        <v>459</v>
      </c>
      <c r="D23" s="57" t="str">
        <f t="shared" si="0"/>
        <v/>
      </c>
      <c r="E23" s="57" t="str">
        <f t="shared" si="1"/>
        <v/>
      </c>
      <c r="F23" s="57" t="str">
        <f t="shared" si="2"/>
        <v/>
      </c>
      <c r="G23" s="57" t="str">
        <f t="shared" si="3"/>
        <v/>
      </c>
      <c r="H23" s="57" t="str">
        <f t="shared" si="4"/>
        <v/>
      </c>
      <c r="I23" s="57" t="str">
        <f t="shared" si="5"/>
        <v/>
      </c>
      <c r="J23" s="57" t="str">
        <f t="shared" si="6"/>
        <v/>
      </c>
      <c r="K23" s="58" t="str">
        <f t="shared" si="7"/>
        <v/>
      </c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45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</row>
    <row r="24" spans="1:69" outlineLevel="5">
      <c r="A24" s="39"/>
      <c r="B24" s="43"/>
      <c r="C24" s="56" t="s">
        <v>460</v>
      </c>
      <c r="D24" s="57">
        <f t="shared" si="0"/>
        <v>-107000</v>
      </c>
      <c r="E24" s="57">
        <f t="shared" si="1"/>
        <v>-65285.714285714283</v>
      </c>
      <c r="F24" s="57">
        <f t="shared" si="2"/>
        <v>-337000</v>
      </c>
      <c r="G24" s="57">
        <f t="shared" si="3"/>
        <v>461000</v>
      </c>
      <c r="H24" s="57">
        <f t="shared" si="4"/>
        <v>-213000</v>
      </c>
      <c r="I24" s="57">
        <f t="shared" si="5"/>
        <v>-24000</v>
      </c>
      <c r="J24" s="57">
        <f t="shared" si="6"/>
        <v>264324.1156142173</v>
      </c>
      <c r="K24" s="58">
        <f t="shared" si="7"/>
        <v>-4.0487282479201774</v>
      </c>
      <c r="M24" s="59">
        <v>-107000</v>
      </c>
      <c r="N24" s="59">
        <v>-107000</v>
      </c>
      <c r="O24" s="59">
        <v>-159000</v>
      </c>
      <c r="P24" s="59">
        <v>461000</v>
      </c>
      <c r="Q24" s="59">
        <v>-267000</v>
      </c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>
        <v>59000</v>
      </c>
      <c r="AD24" s="59">
        <v>-337000</v>
      </c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45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</row>
    <row r="25" spans="1:69" outlineLevel="5">
      <c r="A25" s="39"/>
      <c r="B25" s="43"/>
      <c r="C25" s="56" t="s">
        <v>461</v>
      </c>
      <c r="D25" s="57">
        <f t="shared" si="0"/>
        <v>-64500</v>
      </c>
      <c r="E25" s="57">
        <f t="shared" si="1"/>
        <v>32000</v>
      </c>
      <c r="F25" s="57">
        <f t="shared" si="2"/>
        <v>-1949000</v>
      </c>
      <c r="G25" s="57">
        <f t="shared" si="3"/>
        <v>2005000</v>
      </c>
      <c r="H25" s="57">
        <f t="shared" si="4"/>
        <v>-349250</v>
      </c>
      <c r="I25" s="57">
        <f t="shared" si="5"/>
        <v>258250</v>
      </c>
      <c r="J25" s="57">
        <f t="shared" si="6"/>
        <v>855793.74462152587</v>
      </c>
      <c r="K25" s="58">
        <f t="shared" si="7"/>
        <v>26.743554519422684</v>
      </c>
      <c r="M25" s="59">
        <v>199000</v>
      </c>
      <c r="N25" s="59">
        <v>-492000</v>
      </c>
      <c r="O25" s="59">
        <v>-1949000</v>
      </c>
      <c r="P25" s="59">
        <v>1378000</v>
      </c>
      <c r="Q25" s="59">
        <v>2005000</v>
      </c>
      <c r="R25" s="59">
        <v>533000</v>
      </c>
      <c r="S25" s="59">
        <v>-108000</v>
      </c>
      <c r="T25" s="59">
        <v>54000</v>
      </c>
      <c r="U25" s="59">
        <v>436000</v>
      </c>
      <c r="V25" s="59">
        <v>-44000</v>
      </c>
      <c r="W25" s="59">
        <v>-337000</v>
      </c>
      <c r="X25" s="59">
        <v>-411000</v>
      </c>
      <c r="Y25" s="59">
        <v>-10000</v>
      </c>
      <c r="Z25" s="59">
        <v>-85000</v>
      </c>
      <c r="AA25" s="59">
        <v>-271000</v>
      </c>
      <c r="AB25" s="59">
        <v>-386000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45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</row>
    <row r="26" spans="1:69" outlineLevel="5">
      <c r="A26" s="39"/>
      <c r="B26" s="43"/>
      <c r="C26" s="56" t="s">
        <v>462</v>
      </c>
      <c r="D26" s="57">
        <f t="shared" si="0"/>
        <v>-55000</v>
      </c>
      <c r="E26" s="57">
        <f t="shared" si="1"/>
        <v>52133.333333333336</v>
      </c>
      <c r="F26" s="57">
        <f t="shared" si="2"/>
        <v>-666000</v>
      </c>
      <c r="G26" s="57">
        <f t="shared" si="3"/>
        <v>1351000</v>
      </c>
      <c r="H26" s="57">
        <f t="shared" si="4"/>
        <v>-144500</v>
      </c>
      <c r="I26" s="57">
        <f t="shared" si="5"/>
        <v>107500</v>
      </c>
      <c r="J26" s="57">
        <f t="shared" si="6"/>
        <v>460234.23642853036</v>
      </c>
      <c r="K26" s="58">
        <f t="shared" si="7"/>
        <v>8.8280224378874106</v>
      </c>
      <c r="M26" s="59">
        <v>184000</v>
      </c>
      <c r="N26" s="59">
        <v>246000</v>
      </c>
      <c r="O26" s="59">
        <v>648000</v>
      </c>
      <c r="P26" s="59">
        <v>-203000</v>
      </c>
      <c r="Q26" s="59">
        <v>-666000</v>
      </c>
      <c r="R26" s="59">
        <v>1351000</v>
      </c>
      <c r="S26" s="59">
        <v>-66000</v>
      </c>
      <c r="T26" s="59">
        <v>-358000</v>
      </c>
      <c r="U26" s="59">
        <v>-141000</v>
      </c>
      <c r="V26" s="59">
        <v>-148000</v>
      </c>
      <c r="W26" s="59"/>
      <c r="X26" s="59"/>
      <c r="Y26" s="59"/>
      <c r="Z26" s="59">
        <v>0</v>
      </c>
      <c r="AA26" s="59">
        <v>-55000</v>
      </c>
      <c r="AB26" s="59">
        <v>-58000</v>
      </c>
      <c r="AC26" s="59">
        <v>17000</v>
      </c>
      <c r="AD26" s="59">
        <v>31000</v>
      </c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45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</row>
    <row r="27" spans="1:69" outlineLevel="5">
      <c r="A27" s="39"/>
      <c r="B27" s="43"/>
      <c r="C27" s="56" t="s">
        <v>463</v>
      </c>
      <c r="D27" s="57">
        <f t="shared" si="0"/>
        <v>6500</v>
      </c>
      <c r="E27" s="57">
        <f t="shared" si="1"/>
        <v>-1250</v>
      </c>
      <c r="F27" s="57">
        <f t="shared" si="2"/>
        <v>-104000</v>
      </c>
      <c r="G27" s="57">
        <f t="shared" si="3"/>
        <v>110000</v>
      </c>
      <c r="H27" s="57">
        <f t="shared" si="4"/>
        <v>-40000</v>
      </c>
      <c r="I27" s="57">
        <f t="shared" si="5"/>
        <v>24000</v>
      </c>
      <c r="J27" s="57">
        <f t="shared" si="6"/>
        <v>67948.008198782525</v>
      </c>
      <c r="K27" s="58">
        <f t="shared" si="7"/>
        <v>-54.358406559026022</v>
      </c>
      <c r="M27" s="59">
        <v>110000</v>
      </c>
      <c r="N27" s="59">
        <v>-85000</v>
      </c>
      <c r="O27" s="59">
        <v>92000</v>
      </c>
      <c r="P27" s="59">
        <v>-104000</v>
      </c>
      <c r="Q27" s="59">
        <v>-94000</v>
      </c>
      <c r="R27" s="59">
        <v>45000</v>
      </c>
      <c r="S27" s="59">
        <v>17000</v>
      </c>
      <c r="T27" s="59">
        <v>16000</v>
      </c>
      <c r="U27" s="59">
        <v>-25000</v>
      </c>
      <c r="V27" s="59">
        <v>13000</v>
      </c>
      <c r="W27" s="59">
        <v>0</v>
      </c>
      <c r="X27" s="59">
        <v>0</v>
      </c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45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</row>
    <row r="28" spans="1:69" outlineLevel="5">
      <c r="A28" s="39"/>
      <c r="B28" s="43"/>
      <c r="C28" s="60" t="s">
        <v>464</v>
      </c>
      <c r="D28" s="61">
        <f t="shared" si="0"/>
        <v>-168000</v>
      </c>
      <c r="E28" s="61">
        <f t="shared" si="1"/>
        <v>45666.666666666664</v>
      </c>
      <c r="F28" s="61">
        <f t="shared" si="2"/>
        <v>-1368000</v>
      </c>
      <c r="G28" s="61">
        <f t="shared" si="3"/>
        <v>1929000</v>
      </c>
      <c r="H28" s="61">
        <f t="shared" si="4"/>
        <v>-334250</v>
      </c>
      <c r="I28" s="61">
        <f t="shared" si="5"/>
        <v>221500</v>
      </c>
      <c r="J28" s="61">
        <f t="shared" si="6"/>
        <v>770959.98217653751</v>
      </c>
      <c r="K28" s="62">
        <f t="shared" si="7"/>
        <v>16.882335376128559</v>
      </c>
      <c r="L28" s="41"/>
      <c r="M28" s="63">
        <v>386000</v>
      </c>
      <c r="N28" s="63">
        <v>-438000</v>
      </c>
      <c r="O28" s="63">
        <v>-1368000</v>
      </c>
      <c r="P28" s="63">
        <v>1532000</v>
      </c>
      <c r="Q28" s="63">
        <v>978000</v>
      </c>
      <c r="R28" s="63">
        <v>1929000</v>
      </c>
      <c r="S28" s="63">
        <v>-157000</v>
      </c>
      <c r="T28" s="63">
        <v>-288000</v>
      </c>
      <c r="U28" s="63">
        <v>270000</v>
      </c>
      <c r="V28" s="63">
        <v>-179000</v>
      </c>
      <c r="W28" s="63">
        <v>-337000</v>
      </c>
      <c r="X28" s="63">
        <v>-411000</v>
      </c>
      <c r="Y28" s="63">
        <v>-10000</v>
      </c>
      <c r="Z28" s="63">
        <v>-85000</v>
      </c>
      <c r="AA28" s="63">
        <v>-326000</v>
      </c>
      <c r="AB28" s="63">
        <v>-444000</v>
      </c>
      <c r="AC28" s="63">
        <v>76000</v>
      </c>
      <c r="AD28" s="63">
        <v>-306000</v>
      </c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45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</row>
    <row r="29" spans="1:69" outlineLevel="4">
      <c r="A29" s="39"/>
      <c r="B29" s="43"/>
      <c r="C29" s="56" t="s">
        <v>465</v>
      </c>
      <c r="D29" s="57" t="str">
        <f t="shared" si="0"/>
        <v/>
      </c>
      <c r="E29" s="57" t="str">
        <f t="shared" si="1"/>
        <v/>
      </c>
      <c r="F29" s="57" t="str">
        <f t="shared" si="2"/>
        <v/>
      </c>
      <c r="G29" s="57" t="str">
        <f t="shared" si="3"/>
        <v/>
      </c>
      <c r="H29" s="57" t="str">
        <f t="shared" si="4"/>
        <v/>
      </c>
      <c r="I29" s="57" t="str">
        <f t="shared" si="5"/>
        <v/>
      </c>
      <c r="J29" s="57" t="str">
        <f t="shared" si="6"/>
        <v/>
      </c>
      <c r="K29" s="58" t="str">
        <f t="shared" si="7"/>
        <v/>
      </c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45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</row>
    <row r="30" spans="1:69" outlineLevel="5">
      <c r="A30" s="39"/>
      <c r="B30" s="43"/>
      <c r="C30" s="56" t="s">
        <v>466</v>
      </c>
      <c r="D30" s="57" t="str">
        <f t="shared" si="0"/>
        <v/>
      </c>
      <c r="E30" s="57" t="str">
        <f t="shared" si="1"/>
        <v/>
      </c>
      <c r="F30" s="57" t="str">
        <f t="shared" si="2"/>
        <v/>
      </c>
      <c r="G30" s="57" t="str">
        <f t="shared" si="3"/>
        <v/>
      </c>
      <c r="H30" s="57" t="str">
        <f t="shared" si="4"/>
        <v/>
      </c>
      <c r="I30" s="57" t="str">
        <f t="shared" si="5"/>
        <v/>
      </c>
      <c r="J30" s="57" t="str">
        <f t="shared" si="6"/>
        <v/>
      </c>
      <c r="K30" s="58" t="str">
        <f t="shared" si="7"/>
        <v/>
      </c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45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</row>
    <row r="31" spans="1:69" outlineLevel="6">
      <c r="A31" s="39"/>
      <c r="B31" s="43"/>
      <c r="C31" s="56" t="s">
        <v>467</v>
      </c>
      <c r="D31" s="57">
        <f t="shared" si="0"/>
        <v>75500</v>
      </c>
      <c r="E31" s="57">
        <f t="shared" si="1"/>
        <v>75500</v>
      </c>
      <c r="F31" s="57">
        <f t="shared" si="2"/>
        <v>0</v>
      </c>
      <c r="G31" s="57">
        <f t="shared" si="3"/>
        <v>151000</v>
      </c>
      <c r="H31" s="57">
        <f t="shared" si="4"/>
        <v>37750</v>
      </c>
      <c r="I31" s="57">
        <f t="shared" si="5"/>
        <v>113250</v>
      </c>
      <c r="J31" s="57">
        <f t="shared" si="6"/>
        <v>106773.12395916868</v>
      </c>
      <c r="K31" s="58">
        <f t="shared" si="7"/>
        <v>1.4142135623730951</v>
      </c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>
        <v>151000</v>
      </c>
      <c r="AB31" s="59">
        <v>0</v>
      </c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45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</row>
    <row r="32" spans="1:69" outlineLevel="6">
      <c r="A32" s="39"/>
      <c r="B32" s="43"/>
      <c r="C32" s="56" t="s">
        <v>468</v>
      </c>
      <c r="D32" s="57">
        <f t="shared" si="0"/>
        <v>-487000</v>
      </c>
      <c r="E32" s="57">
        <f t="shared" si="1"/>
        <v>-819363.63636363635</v>
      </c>
      <c r="F32" s="57">
        <f t="shared" si="2"/>
        <v>-4118000</v>
      </c>
      <c r="G32" s="57">
        <f t="shared" si="3"/>
        <v>-89000</v>
      </c>
      <c r="H32" s="57">
        <f t="shared" si="4"/>
        <v>-566000</v>
      </c>
      <c r="I32" s="57">
        <f t="shared" si="5"/>
        <v>-421000</v>
      </c>
      <c r="J32" s="57">
        <f t="shared" si="6"/>
        <v>1131870.7764340655</v>
      </c>
      <c r="K32" s="58">
        <f t="shared" si="7"/>
        <v>-1.3814022568262201</v>
      </c>
      <c r="M32" s="59">
        <v>-439000</v>
      </c>
      <c r="N32" s="59">
        <v>-515000</v>
      </c>
      <c r="O32" s="59">
        <v>-530000</v>
      </c>
      <c r="P32" s="59">
        <v>-602000</v>
      </c>
      <c r="Q32" s="59">
        <v>-146000</v>
      </c>
      <c r="R32" s="59">
        <v>-403000</v>
      </c>
      <c r="S32" s="59">
        <v>-461000</v>
      </c>
      <c r="T32" s="59">
        <v>-4118000</v>
      </c>
      <c r="U32" s="59">
        <v>-1223000</v>
      </c>
      <c r="V32" s="59">
        <v>-487000</v>
      </c>
      <c r="W32" s="59">
        <v>-89000</v>
      </c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45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</row>
    <row r="33" spans="1:69" outlineLevel="6">
      <c r="A33" s="39"/>
      <c r="B33" s="43"/>
      <c r="C33" s="56" t="s">
        <v>469</v>
      </c>
      <c r="D33" s="57">
        <f t="shared" si="0"/>
        <v>-85000</v>
      </c>
      <c r="E33" s="57">
        <f t="shared" si="1"/>
        <v>-95000</v>
      </c>
      <c r="F33" s="57">
        <f t="shared" si="2"/>
        <v>-133000</v>
      </c>
      <c r="G33" s="57">
        <f t="shared" si="3"/>
        <v>-67000</v>
      </c>
      <c r="H33" s="57">
        <f t="shared" si="4"/>
        <v>-109000</v>
      </c>
      <c r="I33" s="57">
        <f t="shared" si="5"/>
        <v>-76000</v>
      </c>
      <c r="J33" s="57">
        <f t="shared" si="6"/>
        <v>34117.444218463963</v>
      </c>
      <c r="K33" s="58">
        <f t="shared" si="7"/>
        <v>-0.35913099177330488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>
        <v>-133000</v>
      </c>
      <c r="Y33" s="59"/>
      <c r="Z33" s="59"/>
      <c r="AA33" s="59">
        <v>-85000</v>
      </c>
      <c r="AB33" s="59">
        <v>-67000</v>
      </c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45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</row>
    <row r="34" spans="1:69" outlineLevel="6">
      <c r="A34" s="39"/>
      <c r="B34" s="43"/>
      <c r="C34" s="60" t="s">
        <v>470</v>
      </c>
      <c r="D34" s="61">
        <f t="shared" si="0"/>
        <v>-450000</v>
      </c>
      <c r="E34" s="61">
        <f t="shared" si="1"/>
        <v>-653357.14285714284</v>
      </c>
      <c r="F34" s="61">
        <f t="shared" si="2"/>
        <v>-4118000</v>
      </c>
      <c r="G34" s="61">
        <f t="shared" si="3"/>
        <v>66000</v>
      </c>
      <c r="H34" s="61">
        <f t="shared" si="4"/>
        <v>-526250</v>
      </c>
      <c r="I34" s="61">
        <f t="shared" si="5"/>
        <v>-136250</v>
      </c>
      <c r="J34" s="61">
        <f t="shared" si="6"/>
        <v>1046845.6360487374</v>
      </c>
      <c r="K34" s="62">
        <f t="shared" si="7"/>
        <v>-1.6022563577875069</v>
      </c>
      <c r="L34" s="41"/>
      <c r="M34" s="63">
        <v>-439000</v>
      </c>
      <c r="N34" s="63">
        <v>-515000</v>
      </c>
      <c r="O34" s="63">
        <v>-530000</v>
      </c>
      <c r="P34" s="63">
        <v>-602000</v>
      </c>
      <c r="Q34" s="63">
        <v>-146000</v>
      </c>
      <c r="R34" s="63">
        <v>-403000</v>
      </c>
      <c r="S34" s="63">
        <v>-461000</v>
      </c>
      <c r="T34" s="63">
        <v>-4118000</v>
      </c>
      <c r="U34" s="63">
        <v>-1223000</v>
      </c>
      <c r="V34" s="63">
        <v>-487000</v>
      </c>
      <c r="W34" s="63">
        <v>-89000</v>
      </c>
      <c r="X34" s="63">
        <v>-133000</v>
      </c>
      <c r="Y34" s="63"/>
      <c r="Z34" s="63"/>
      <c r="AA34" s="63">
        <v>66000</v>
      </c>
      <c r="AB34" s="63">
        <v>-67000</v>
      </c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45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</row>
    <row r="35" spans="1:69" outlineLevel="5">
      <c r="A35" s="39"/>
      <c r="B35" s="43"/>
      <c r="C35" s="56" t="s">
        <v>471</v>
      </c>
      <c r="D35" s="57">
        <f t="shared" si="0"/>
        <v>19000</v>
      </c>
      <c r="E35" s="57">
        <f t="shared" si="1"/>
        <v>117857.14285714286</v>
      </c>
      <c r="F35" s="57">
        <f t="shared" si="2"/>
        <v>0</v>
      </c>
      <c r="G35" s="57">
        <f t="shared" si="3"/>
        <v>446000</v>
      </c>
      <c r="H35" s="57">
        <f t="shared" si="4"/>
        <v>4500</v>
      </c>
      <c r="I35" s="57">
        <f t="shared" si="5"/>
        <v>175500</v>
      </c>
      <c r="J35" s="57">
        <f t="shared" si="6"/>
        <v>180138.30665299794</v>
      </c>
      <c r="K35" s="58">
        <f t="shared" si="7"/>
        <v>1.5284462382678614</v>
      </c>
      <c r="M35" s="59"/>
      <c r="N35" s="59"/>
      <c r="O35" s="59"/>
      <c r="P35" s="59"/>
      <c r="Q35" s="59"/>
      <c r="R35" s="59"/>
      <c r="S35" s="59"/>
      <c r="T35" s="59"/>
      <c r="U35" s="59">
        <v>446000</v>
      </c>
      <c r="V35" s="59">
        <v>7000</v>
      </c>
      <c r="W35" s="59">
        <v>2000</v>
      </c>
      <c r="X35" s="59"/>
      <c r="Y35" s="59">
        <v>300000</v>
      </c>
      <c r="Z35" s="59">
        <v>0</v>
      </c>
      <c r="AA35" s="59">
        <v>51000</v>
      </c>
      <c r="AB35" s="59">
        <v>19000</v>
      </c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45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</row>
    <row r="36" spans="1:69" outlineLevel="5">
      <c r="A36" s="39"/>
      <c r="B36" s="43"/>
      <c r="C36" s="56" t="s">
        <v>472</v>
      </c>
      <c r="D36" s="57">
        <f t="shared" si="0"/>
        <v>-121500</v>
      </c>
      <c r="E36" s="57">
        <f t="shared" si="1"/>
        <v>-121500</v>
      </c>
      <c r="F36" s="57">
        <f t="shared" si="2"/>
        <v>-243000</v>
      </c>
      <c r="G36" s="57">
        <f t="shared" si="3"/>
        <v>0</v>
      </c>
      <c r="H36" s="57">
        <f t="shared" si="4"/>
        <v>-182250</v>
      </c>
      <c r="I36" s="57">
        <f t="shared" si="5"/>
        <v>-60750</v>
      </c>
      <c r="J36" s="57">
        <f t="shared" si="6"/>
        <v>171826.94782833106</v>
      </c>
      <c r="K36" s="58">
        <f t="shared" si="7"/>
        <v>-1.4142135623730951</v>
      </c>
      <c r="M36" s="59"/>
      <c r="N36" s="59"/>
      <c r="O36" s="59"/>
      <c r="P36" s="59"/>
      <c r="Q36" s="59"/>
      <c r="R36" s="59"/>
      <c r="S36" s="59"/>
      <c r="T36" s="59"/>
      <c r="U36" s="59">
        <v>-243000</v>
      </c>
      <c r="V36" s="59">
        <v>0</v>
      </c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45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</row>
    <row r="37" spans="1:69" outlineLevel="5">
      <c r="A37" s="39"/>
      <c r="B37" s="43"/>
      <c r="C37" s="60" t="s">
        <v>473</v>
      </c>
      <c r="D37" s="61">
        <f t="shared" si="0"/>
        <v>-421000</v>
      </c>
      <c r="E37" s="61">
        <f t="shared" si="1"/>
        <v>-535312.5</v>
      </c>
      <c r="F37" s="61">
        <f t="shared" si="2"/>
        <v>-4118000</v>
      </c>
      <c r="G37" s="61">
        <f t="shared" si="3"/>
        <v>300000</v>
      </c>
      <c r="H37" s="61">
        <f t="shared" si="4"/>
        <v>-518750</v>
      </c>
      <c r="I37" s="61">
        <f t="shared" si="5"/>
        <v>-77250</v>
      </c>
      <c r="J37" s="61">
        <f t="shared" si="6"/>
        <v>1009043.0924891166</v>
      </c>
      <c r="K37" s="62">
        <f t="shared" si="7"/>
        <v>-1.884960826599634</v>
      </c>
      <c r="L37" s="41"/>
      <c r="M37" s="63">
        <v>-439000</v>
      </c>
      <c r="N37" s="63">
        <v>-515000</v>
      </c>
      <c r="O37" s="63">
        <v>-530000</v>
      </c>
      <c r="P37" s="63">
        <v>-602000</v>
      </c>
      <c r="Q37" s="63">
        <v>-146000</v>
      </c>
      <c r="R37" s="63">
        <v>-403000</v>
      </c>
      <c r="S37" s="63">
        <v>-461000</v>
      </c>
      <c r="T37" s="63">
        <v>-4118000</v>
      </c>
      <c r="U37" s="63">
        <v>-1020000</v>
      </c>
      <c r="V37" s="63">
        <v>-480000</v>
      </c>
      <c r="W37" s="63">
        <v>-87000</v>
      </c>
      <c r="X37" s="63">
        <v>-133000</v>
      </c>
      <c r="Y37" s="63">
        <v>300000</v>
      </c>
      <c r="Z37" s="63">
        <v>0</v>
      </c>
      <c r="AA37" s="63">
        <v>117000</v>
      </c>
      <c r="AB37" s="63">
        <v>-48000</v>
      </c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45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</row>
    <row r="38" spans="1:69" outlineLevel="4">
      <c r="A38" s="39"/>
      <c r="B38" s="43"/>
      <c r="C38" s="56" t="s">
        <v>474</v>
      </c>
      <c r="D38" s="57">
        <f t="shared" si="0"/>
        <v>66500</v>
      </c>
      <c r="E38" s="57">
        <f t="shared" si="1"/>
        <v>72369.230769230766</v>
      </c>
      <c r="F38" s="57">
        <f t="shared" si="2"/>
        <v>-920000</v>
      </c>
      <c r="G38" s="57">
        <f t="shared" si="3"/>
        <v>797000</v>
      </c>
      <c r="H38" s="57">
        <f t="shared" si="4"/>
        <v>-111000</v>
      </c>
      <c r="I38" s="57">
        <f t="shared" si="5"/>
        <v>188000</v>
      </c>
      <c r="J38" s="57">
        <f t="shared" si="6"/>
        <v>469796.67301329301</v>
      </c>
      <c r="K38" s="58">
        <f t="shared" si="7"/>
        <v>6.4916632112806223</v>
      </c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>
        <v>622000</v>
      </c>
      <c r="AD38" s="59">
        <v>-111000</v>
      </c>
      <c r="AE38" s="59">
        <v>188000</v>
      </c>
      <c r="AF38" s="59">
        <v>797000</v>
      </c>
      <c r="AG38" s="59">
        <v>-920000</v>
      </c>
      <c r="AH38" s="59">
        <v>-461000</v>
      </c>
      <c r="AI38" s="59">
        <v>-202000</v>
      </c>
      <c r="AJ38" s="59">
        <v>707000</v>
      </c>
      <c r="AK38" s="59">
        <v>151000</v>
      </c>
      <c r="AL38" s="59"/>
      <c r="AM38" s="59"/>
      <c r="AN38" s="59"/>
      <c r="AO38" s="59">
        <v>-52000</v>
      </c>
      <c r="AP38" s="59">
        <v>129000</v>
      </c>
      <c r="AQ38" s="59">
        <v>66500</v>
      </c>
      <c r="AR38" s="59">
        <v>26300</v>
      </c>
      <c r="AS38" s="45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</row>
    <row r="39" spans="1:69" outlineLevel="4">
      <c r="A39" s="39"/>
      <c r="B39" s="43"/>
      <c r="C39" s="56" t="s">
        <v>475</v>
      </c>
      <c r="D39" s="57">
        <f t="shared" si="0"/>
        <v>-91500</v>
      </c>
      <c r="E39" s="57">
        <f t="shared" si="1"/>
        <v>-200321.42857142858</v>
      </c>
      <c r="F39" s="57">
        <f t="shared" si="2"/>
        <v>-2191000</v>
      </c>
      <c r="G39" s="57">
        <f t="shared" si="3"/>
        <v>739000</v>
      </c>
      <c r="H39" s="57">
        <f t="shared" si="4"/>
        <v>-441000</v>
      </c>
      <c r="I39" s="57">
        <f t="shared" si="5"/>
        <v>26000</v>
      </c>
      <c r="J39" s="57">
        <f t="shared" si="6"/>
        <v>544517.59510199609</v>
      </c>
      <c r="K39" s="58">
        <f t="shared" si="7"/>
        <v>-2.7182194086032965</v>
      </c>
      <c r="M39" s="59">
        <v>-261000</v>
      </c>
      <c r="N39" s="59">
        <v>475000</v>
      </c>
      <c r="O39" s="59">
        <v>739000</v>
      </c>
      <c r="P39" s="59">
        <v>-2191000</v>
      </c>
      <c r="Q39" s="59">
        <v>-796000</v>
      </c>
      <c r="R39" s="59">
        <v>-1000</v>
      </c>
      <c r="S39" s="59">
        <v>-166000</v>
      </c>
      <c r="T39" s="59">
        <v>-110000</v>
      </c>
      <c r="U39" s="59">
        <v>-377000</v>
      </c>
      <c r="V39" s="59">
        <v>-470000</v>
      </c>
      <c r="W39" s="59">
        <v>-512000</v>
      </c>
      <c r="X39" s="59">
        <v>12000</v>
      </c>
      <c r="Y39" s="59">
        <v>-187000</v>
      </c>
      <c r="Z39" s="59">
        <v>-103000</v>
      </c>
      <c r="AA39" s="59">
        <v>404000</v>
      </c>
      <c r="AB39" s="59">
        <v>-575000</v>
      </c>
      <c r="AC39" s="59">
        <v>-64000</v>
      </c>
      <c r="AD39" s="59">
        <v>-12000</v>
      </c>
      <c r="AE39" s="59">
        <v>357000</v>
      </c>
      <c r="AF39" s="59">
        <v>-432000</v>
      </c>
      <c r="AG39" s="59">
        <v>-468000</v>
      </c>
      <c r="AH39" s="59">
        <v>56000</v>
      </c>
      <c r="AI39" s="59">
        <v>22000</v>
      </c>
      <c r="AJ39" s="59">
        <v>-80000</v>
      </c>
      <c r="AK39" s="59">
        <v>118000</v>
      </c>
      <c r="AL39" s="59">
        <v>-1043000</v>
      </c>
      <c r="AM39" s="59">
        <v>24000</v>
      </c>
      <c r="AN39" s="59">
        <v>32000</v>
      </c>
      <c r="AO39" s="59"/>
      <c r="AP39" s="59"/>
      <c r="AQ39" s="59"/>
      <c r="AR39" s="59"/>
      <c r="AS39" s="45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</row>
    <row r="40" spans="1:69" outlineLevel="4">
      <c r="A40" s="39"/>
      <c r="B40" s="43"/>
      <c r="C40" s="60" t="s">
        <v>476</v>
      </c>
      <c r="D40" s="61">
        <f t="shared" si="0"/>
        <v>1981000</v>
      </c>
      <c r="E40" s="61">
        <f t="shared" si="1"/>
        <v>2352687.5</v>
      </c>
      <c r="F40" s="61">
        <f t="shared" si="2"/>
        <v>-205000</v>
      </c>
      <c r="G40" s="61">
        <f t="shared" si="3"/>
        <v>7080000</v>
      </c>
      <c r="H40" s="61">
        <f t="shared" si="4"/>
        <v>584500</v>
      </c>
      <c r="I40" s="61">
        <f t="shared" si="5"/>
        <v>3536000</v>
      </c>
      <c r="J40" s="61">
        <f t="shared" si="6"/>
        <v>2061453.7564935312</v>
      </c>
      <c r="K40" s="62">
        <f t="shared" si="7"/>
        <v>0.87621231314976222</v>
      </c>
      <c r="L40" s="41"/>
      <c r="M40" s="63">
        <v>7080000</v>
      </c>
      <c r="N40" s="63">
        <v>6591000</v>
      </c>
      <c r="O40" s="63">
        <v>5700000</v>
      </c>
      <c r="P40" s="63">
        <v>4063000</v>
      </c>
      <c r="Q40" s="63">
        <v>4686000</v>
      </c>
      <c r="R40" s="63">
        <v>5762000</v>
      </c>
      <c r="S40" s="63">
        <v>3952000</v>
      </c>
      <c r="T40" s="63">
        <v>1094000</v>
      </c>
      <c r="U40" s="63">
        <v>629000</v>
      </c>
      <c r="V40" s="63">
        <v>3525000</v>
      </c>
      <c r="W40" s="63">
        <v>3429000</v>
      </c>
      <c r="X40" s="63">
        <v>3569000</v>
      </c>
      <c r="Y40" s="63">
        <v>3477000</v>
      </c>
      <c r="Z40" s="63">
        <v>2271000</v>
      </c>
      <c r="AA40" s="63">
        <v>2558000</v>
      </c>
      <c r="AB40" s="63">
        <v>1480000</v>
      </c>
      <c r="AC40" s="63">
        <v>2911000</v>
      </c>
      <c r="AD40" s="63">
        <v>1783000</v>
      </c>
      <c r="AE40" s="63">
        <v>2426000</v>
      </c>
      <c r="AF40" s="63">
        <v>2179000</v>
      </c>
      <c r="AG40" s="63">
        <v>451000</v>
      </c>
      <c r="AH40" s="63">
        <v>1269000</v>
      </c>
      <c r="AI40" s="63">
        <v>1526000</v>
      </c>
      <c r="AJ40" s="63">
        <v>1754000</v>
      </c>
      <c r="AK40" s="63">
        <v>1161000</v>
      </c>
      <c r="AL40" s="63">
        <v>272000</v>
      </c>
      <c r="AM40" s="63">
        <v>-174000</v>
      </c>
      <c r="AN40" s="63">
        <v>-205000</v>
      </c>
      <c r="AO40" s="63">
        <v>-82000</v>
      </c>
      <c r="AP40" s="63">
        <v>53000</v>
      </c>
      <c r="AQ40" s="63">
        <v>-23100</v>
      </c>
      <c r="AR40" s="63">
        <v>119100</v>
      </c>
      <c r="AS40" s="45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</row>
    <row r="41" spans="1:69" outlineLevel="3">
      <c r="A41" s="39"/>
      <c r="B41" s="43"/>
      <c r="C41" s="56" t="s">
        <v>477</v>
      </c>
      <c r="D41" s="57" t="str">
        <f t="shared" si="0"/>
        <v/>
      </c>
      <c r="E41" s="57" t="str">
        <f t="shared" si="1"/>
        <v/>
      </c>
      <c r="F41" s="57" t="str">
        <f t="shared" si="2"/>
        <v/>
      </c>
      <c r="G41" s="57" t="str">
        <f t="shared" si="3"/>
        <v/>
      </c>
      <c r="H41" s="57" t="str">
        <f t="shared" si="4"/>
        <v/>
      </c>
      <c r="I41" s="57" t="str">
        <f t="shared" si="5"/>
        <v/>
      </c>
      <c r="J41" s="57" t="str">
        <f t="shared" si="6"/>
        <v/>
      </c>
      <c r="K41" s="58" t="str">
        <f t="shared" si="7"/>
        <v/>
      </c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45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</row>
    <row r="42" spans="1:69" outlineLevel="4">
      <c r="A42" s="39"/>
      <c r="B42" s="43"/>
      <c r="C42" s="56" t="s">
        <v>478</v>
      </c>
      <c r="D42" s="57">
        <f t="shared" si="0"/>
        <v>-6500</v>
      </c>
      <c r="E42" s="57">
        <f t="shared" si="1"/>
        <v>-51478.571428571428</v>
      </c>
      <c r="F42" s="57">
        <f t="shared" si="2"/>
        <v>-308000</v>
      </c>
      <c r="G42" s="57">
        <f t="shared" si="3"/>
        <v>85000</v>
      </c>
      <c r="H42" s="57">
        <f t="shared" si="4"/>
        <v>-99750</v>
      </c>
      <c r="I42" s="57">
        <f t="shared" si="5"/>
        <v>21575</v>
      </c>
      <c r="J42" s="57">
        <f t="shared" si="6"/>
        <v>111919.78019010847</v>
      </c>
      <c r="K42" s="58">
        <f t="shared" si="7"/>
        <v>-2.1741042356896334</v>
      </c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>
        <v>-81000</v>
      </c>
      <c r="Z42" s="59">
        <v>1000</v>
      </c>
      <c r="AA42" s="59">
        <v>-308000</v>
      </c>
      <c r="AB42" s="59">
        <v>22000</v>
      </c>
      <c r="AC42" s="59">
        <v>85000</v>
      </c>
      <c r="AD42" s="59">
        <v>-106000</v>
      </c>
      <c r="AE42" s="59">
        <v>-14000</v>
      </c>
      <c r="AF42" s="59">
        <v>-203000</v>
      </c>
      <c r="AG42" s="59">
        <v>-173000</v>
      </c>
      <c r="AH42" s="59">
        <v>29000</v>
      </c>
      <c r="AI42" s="59">
        <v>1000</v>
      </c>
      <c r="AJ42" s="59">
        <v>-56000</v>
      </c>
      <c r="AK42" s="59"/>
      <c r="AL42" s="59"/>
      <c r="AM42" s="59"/>
      <c r="AN42" s="59"/>
      <c r="AO42" s="59"/>
      <c r="AP42" s="59"/>
      <c r="AQ42" s="59">
        <v>62000</v>
      </c>
      <c r="AR42" s="59">
        <v>20300</v>
      </c>
      <c r="AS42" s="45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</row>
    <row r="43" spans="1:69" outlineLevel="4">
      <c r="A43" s="39"/>
      <c r="B43" s="43"/>
      <c r="C43" s="56" t="s">
        <v>479</v>
      </c>
      <c r="D43" s="57" t="str">
        <f t="shared" si="0"/>
        <v/>
      </c>
      <c r="E43" s="57" t="str">
        <f t="shared" si="1"/>
        <v/>
      </c>
      <c r="F43" s="57" t="str">
        <f t="shared" si="2"/>
        <v/>
      </c>
      <c r="G43" s="57" t="str">
        <f t="shared" si="3"/>
        <v/>
      </c>
      <c r="H43" s="57" t="str">
        <f t="shared" si="4"/>
        <v/>
      </c>
      <c r="I43" s="57" t="str">
        <f t="shared" si="5"/>
        <v/>
      </c>
      <c r="J43" s="57" t="str">
        <f t="shared" si="6"/>
        <v/>
      </c>
      <c r="K43" s="58" t="str">
        <f t="shared" si="7"/>
        <v/>
      </c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45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</row>
    <row r="44" spans="1:69" outlineLevel="5">
      <c r="A44" s="39"/>
      <c r="B44" s="43"/>
      <c r="C44" s="56" t="s">
        <v>480</v>
      </c>
      <c r="D44" s="57">
        <f t="shared" si="0"/>
        <v>33500</v>
      </c>
      <c r="E44" s="57">
        <f t="shared" si="1"/>
        <v>33500</v>
      </c>
      <c r="F44" s="57">
        <f t="shared" si="2"/>
        <v>18000</v>
      </c>
      <c r="G44" s="57">
        <f t="shared" si="3"/>
        <v>49000</v>
      </c>
      <c r="H44" s="57">
        <f t="shared" si="4"/>
        <v>25750</v>
      </c>
      <c r="I44" s="57">
        <f t="shared" si="5"/>
        <v>41250</v>
      </c>
      <c r="J44" s="57">
        <f t="shared" si="6"/>
        <v>21920.310216782975</v>
      </c>
      <c r="K44" s="58">
        <f t="shared" si="7"/>
        <v>0.65433761841143212</v>
      </c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>
        <v>18000</v>
      </c>
      <c r="AD44" s="59">
        <v>49000</v>
      </c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45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</row>
    <row r="45" spans="1:69" outlineLevel="5">
      <c r="A45" s="39"/>
      <c r="B45" s="43"/>
      <c r="C45" s="56" t="s">
        <v>481</v>
      </c>
      <c r="D45" s="57">
        <f t="shared" si="0"/>
        <v>-19500</v>
      </c>
      <c r="E45" s="57">
        <f t="shared" si="1"/>
        <v>-19500</v>
      </c>
      <c r="F45" s="57">
        <f t="shared" si="2"/>
        <v>-26000</v>
      </c>
      <c r="G45" s="57">
        <f t="shared" si="3"/>
        <v>-13000</v>
      </c>
      <c r="H45" s="57">
        <f t="shared" si="4"/>
        <v>-22750</v>
      </c>
      <c r="I45" s="57">
        <f t="shared" si="5"/>
        <v>-16250</v>
      </c>
      <c r="J45" s="57">
        <f t="shared" si="6"/>
        <v>9192.3881554251184</v>
      </c>
      <c r="K45" s="58">
        <f t="shared" si="7"/>
        <v>-0.47140452079103173</v>
      </c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>
        <v>-13000</v>
      </c>
      <c r="AD45" s="59">
        <v>-26000</v>
      </c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45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</row>
    <row r="46" spans="1:69" outlineLevel="5">
      <c r="A46" s="39"/>
      <c r="B46" s="43"/>
      <c r="C46" s="60" t="s">
        <v>482</v>
      </c>
      <c r="D46" s="61">
        <f t="shared" si="0"/>
        <v>-127500</v>
      </c>
      <c r="E46" s="61">
        <f t="shared" si="1"/>
        <v>-118250</v>
      </c>
      <c r="F46" s="61">
        <f t="shared" si="2"/>
        <v>-301000</v>
      </c>
      <c r="G46" s="61">
        <f t="shared" si="3"/>
        <v>149000</v>
      </c>
      <c r="H46" s="61">
        <f t="shared" si="4"/>
        <v>-272500</v>
      </c>
      <c r="I46" s="61">
        <f t="shared" si="5"/>
        <v>9500</v>
      </c>
      <c r="J46" s="61">
        <f t="shared" si="6"/>
        <v>156951.13599751069</v>
      </c>
      <c r="K46" s="62">
        <f t="shared" si="7"/>
        <v>-1.3272823340170037</v>
      </c>
      <c r="L46" s="41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>
        <v>-268000</v>
      </c>
      <c r="Z46" s="63">
        <v>-286000</v>
      </c>
      <c r="AA46" s="63">
        <v>149000</v>
      </c>
      <c r="AB46" s="63">
        <v>-102000</v>
      </c>
      <c r="AC46" s="63">
        <v>5000</v>
      </c>
      <c r="AD46" s="63">
        <v>23000</v>
      </c>
      <c r="AE46" s="63">
        <v>-230000</v>
      </c>
      <c r="AF46" s="63">
        <v>-153000</v>
      </c>
      <c r="AG46" s="63">
        <v>-289000</v>
      </c>
      <c r="AH46" s="63">
        <v>39000</v>
      </c>
      <c r="AI46" s="63">
        <v>-301000</v>
      </c>
      <c r="AJ46" s="63">
        <v>-6000</v>
      </c>
      <c r="AK46" s="63"/>
      <c r="AL46" s="63"/>
      <c r="AM46" s="63"/>
      <c r="AN46" s="63"/>
      <c r="AO46" s="63"/>
      <c r="AP46" s="63"/>
      <c r="AQ46" s="63"/>
      <c r="AR46" s="63"/>
      <c r="AS46" s="45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</row>
    <row r="47" spans="1:69" outlineLevel="4">
      <c r="A47" s="39"/>
      <c r="B47" s="43"/>
      <c r="C47" s="56" t="s">
        <v>483</v>
      </c>
      <c r="D47" s="57">
        <f t="shared" si="0"/>
        <v>86000</v>
      </c>
      <c r="E47" s="57">
        <f t="shared" si="1"/>
        <v>86000</v>
      </c>
      <c r="F47" s="57">
        <f t="shared" si="2"/>
        <v>86000</v>
      </c>
      <c r="G47" s="57">
        <f t="shared" si="3"/>
        <v>86000</v>
      </c>
      <c r="H47" s="57">
        <f t="shared" si="4"/>
        <v>86000</v>
      </c>
      <c r="I47" s="57">
        <f t="shared" si="5"/>
        <v>86000</v>
      </c>
      <c r="J47" s="57" t="str">
        <f t="shared" si="6"/>
        <v/>
      </c>
      <c r="K47" s="58" t="str">
        <f t="shared" si="7"/>
        <v/>
      </c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>
        <v>86000</v>
      </c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45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</row>
    <row r="48" spans="1:69" outlineLevel="4">
      <c r="A48" s="39"/>
      <c r="B48" s="43"/>
      <c r="C48" s="56" t="s">
        <v>484</v>
      </c>
      <c r="D48" s="57">
        <f t="shared" si="0"/>
        <v>92500</v>
      </c>
      <c r="E48" s="57">
        <f t="shared" si="1"/>
        <v>100500</v>
      </c>
      <c r="F48" s="57">
        <f t="shared" si="2"/>
        <v>61000</v>
      </c>
      <c r="G48" s="57">
        <f t="shared" si="3"/>
        <v>156000</v>
      </c>
      <c r="H48" s="57">
        <f t="shared" si="4"/>
        <v>76000</v>
      </c>
      <c r="I48" s="57">
        <f t="shared" si="5"/>
        <v>117000</v>
      </c>
      <c r="J48" s="57">
        <f t="shared" si="6"/>
        <v>40959.329421594135</v>
      </c>
      <c r="K48" s="58">
        <f t="shared" si="7"/>
        <v>0.40755551663277745</v>
      </c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>
        <v>156000</v>
      </c>
      <c r="Z48" s="59">
        <v>104000</v>
      </c>
      <c r="AA48" s="59">
        <v>81000</v>
      </c>
      <c r="AB48" s="59">
        <v>61000</v>
      </c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45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</row>
    <row r="49" spans="1:69" outlineLevel="4">
      <c r="A49" s="39"/>
      <c r="B49" s="43"/>
      <c r="C49" s="56" t="s">
        <v>485</v>
      </c>
      <c r="D49" s="57">
        <f t="shared" si="0"/>
        <v>-43000</v>
      </c>
      <c r="E49" s="57">
        <f t="shared" si="1"/>
        <v>-338125</v>
      </c>
      <c r="F49" s="57">
        <f t="shared" si="2"/>
        <v>-1591000</v>
      </c>
      <c r="G49" s="57">
        <f t="shared" si="3"/>
        <v>146000</v>
      </c>
      <c r="H49" s="57">
        <f t="shared" si="4"/>
        <v>-444250</v>
      </c>
      <c r="I49" s="57">
        <f t="shared" si="5"/>
        <v>-4750</v>
      </c>
      <c r="J49" s="57">
        <f t="shared" si="6"/>
        <v>511144.09714235994</v>
      </c>
      <c r="K49" s="58">
        <f t="shared" si="7"/>
        <v>-1.5117015811973677</v>
      </c>
      <c r="M49" s="59">
        <v>-1360000</v>
      </c>
      <c r="N49" s="59">
        <v>-855000</v>
      </c>
      <c r="O49" s="59">
        <v>-350000</v>
      </c>
      <c r="P49" s="59">
        <v>-1429000</v>
      </c>
      <c r="Q49" s="59">
        <v>-1591000</v>
      </c>
      <c r="R49" s="59">
        <v>-598000</v>
      </c>
      <c r="S49" s="59">
        <v>30000</v>
      </c>
      <c r="T49" s="59">
        <v>-851000</v>
      </c>
      <c r="U49" s="59">
        <v>-393000</v>
      </c>
      <c r="V49" s="59">
        <v>-204000</v>
      </c>
      <c r="W49" s="59">
        <v>-43000</v>
      </c>
      <c r="X49" s="59">
        <v>-392000</v>
      </c>
      <c r="Y49" s="59">
        <v>16000</v>
      </c>
      <c r="Z49" s="59">
        <v>-43000</v>
      </c>
      <c r="AA49" s="59">
        <v>-125000</v>
      </c>
      <c r="AB49" s="59">
        <v>-10000</v>
      </c>
      <c r="AC49" s="59">
        <v>9000</v>
      </c>
      <c r="AD49" s="59">
        <v>-31000</v>
      </c>
      <c r="AE49" s="59">
        <v>-14000</v>
      </c>
      <c r="AF49" s="59">
        <v>8000</v>
      </c>
      <c r="AG49" s="59">
        <v>-9000</v>
      </c>
      <c r="AH49" s="59">
        <v>14000</v>
      </c>
      <c r="AI49" s="59">
        <v>-40000</v>
      </c>
      <c r="AJ49" s="59">
        <v>146000</v>
      </c>
      <c r="AK49" s="59"/>
      <c r="AL49" s="59"/>
      <c r="AM49" s="59"/>
      <c r="AN49" s="59"/>
      <c r="AO49" s="59"/>
      <c r="AP49" s="59"/>
      <c r="AQ49" s="59"/>
      <c r="AR49" s="59"/>
      <c r="AS49" s="45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</row>
    <row r="50" spans="1:69" outlineLevel="4">
      <c r="A50" s="39"/>
      <c r="B50" s="43"/>
      <c r="C50" s="56" t="s">
        <v>486</v>
      </c>
      <c r="D50" s="57" t="str">
        <f t="shared" si="0"/>
        <v/>
      </c>
      <c r="E50" s="57" t="str">
        <f t="shared" si="1"/>
        <v/>
      </c>
      <c r="F50" s="57" t="str">
        <f t="shared" si="2"/>
        <v/>
      </c>
      <c r="G50" s="57" t="str">
        <f t="shared" si="3"/>
        <v/>
      </c>
      <c r="H50" s="57" t="str">
        <f t="shared" si="4"/>
        <v/>
      </c>
      <c r="I50" s="57" t="str">
        <f t="shared" si="5"/>
        <v/>
      </c>
      <c r="J50" s="57" t="str">
        <f t="shared" si="6"/>
        <v/>
      </c>
      <c r="K50" s="58" t="str">
        <f t="shared" si="7"/>
        <v/>
      </c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45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</row>
    <row r="51" spans="1:69" outlineLevel="5">
      <c r="A51" s="39"/>
      <c r="B51" s="43"/>
      <c r="C51" s="56" t="s">
        <v>487</v>
      </c>
      <c r="D51" s="57" t="str">
        <f t="shared" si="0"/>
        <v/>
      </c>
      <c r="E51" s="57" t="str">
        <f t="shared" si="1"/>
        <v/>
      </c>
      <c r="F51" s="57" t="str">
        <f t="shared" si="2"/>
        <v/>
      </c>
      <c r="G51" s="57" t="str">
        <f t="shared" si="3"/>
        <v/>
      </c>
      <c r="H51" s="57" t="str">
        <f t="shared" si="4"/>
        <v/>
      </c>
      <c r="I51" s="57" t="str">
        <f t="shared" si="5"/>
        <v/>
      </c>
      <c r="J51" s="57" t="str">
        <f t="shared" si="6"/>
        <v/>
      </c>
      <c r="K51" s="58" t="str">
        <f t="shared" si="7"/>
        <v/>
      </c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45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</row>
    <row r="52" spans="1:69" outlineLevel="6">
      <c r="A52" s="39"/>
      <c r="B52" s="43"/>
      <c r="C52" s="56" t="s">
        <v>488</v>
      </c>
      <c r="D52" s="57">
        <f t="shared" si="0"/>
        <v>-71000</v>
      </c>
      <c r="E52" s="57">
        <f t="shared" si="1"/>
        <v>-24166.666666666668</v>
      </c>
      <c r="F52" s="57">
        <f t="shared" si="2"/>
        <v>-184000</v>
      </c>
      <c r="G52" s="57">
        <f t="shared" si="3"/>
        <v>179000</v>
      </c>
      <c r="H52" s="57">
        <f t="shared" si="4"/>
        <v>-111500</v>
      </c>
      <c r="I52" s="57">
        <f t="shared" si="5"/>
        <v>77500</v>
      </c>
      <c r="J52" s="57">
        <f t="shared" si="6"/>
        <v>142974.70638776169</v>
      </c>
      <c r="K52" s="58">
        <f t="shared" si="7"/>
        <v>-5.9161947470797935</v>
      </c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>
        <v>122000</v>
      </c>
      <c r="Z52" s="59">
        <v>-56000</v>
      </c>
      <c r="AA52" s="59">
        <v>-184000</v>
      </c>
      <c r="AB52" s="59">
        <v>179000</v>
      </c>
      <c r="AC52" s="59">
        <v>-86000</v>
      </c>
      <c r="AD52" s="59">
        <v>-120000</v>
      </c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45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</row>
    <row r="53" spans="1:69" outlineLevel="6">
      <c r="A53" s="39"/>
      <c r="B53" s="43"/>
      <c r="C53" s="56" t="s">
        <v>489</v>
      </c>
      <c r="D53" s="57">
        <f t="shared" si="0"/>
        <v>26000</v>
      </c>
      <c r="E53" s="57">
        <f t="shared" si="1"/>
        <v>26000</v>
      </c>
      <c r="F53" s="57">
        <f t="shared" si="2"/>
        <v>22000</v>
      </c>
      <c r="G53" s="57">
        <f t="shared" si="3"/>
        <v>30000</v>
      </c>
      <c r="H53" s="57">
        <f t="shared" si="4"/>
        <v>24000</v>
      </c>
      <c r="I53" s="57">
        <f t="shared" si="5"/>
        <v>28000</v>
      </c>
      <c r="J53" s="57">
        <f t="shared" si="6"/>
        <v>5656.8542494923804</v>
      </c>
      <c r="K53" s="58">
        <f t="shared" si="7"/>
        <v>0.21757131728816848</v>
      </c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>
        <v>22000</v>
      </c>
      <c r="AD53" s="59">
        <v>30000</v>
      </c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45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</row>
    <row r="54" spans="1:69" outlineLevel="6">
      <c r="A54" s="39"/>
      <c r="B54" s="43"/>
      <c r="C54" s="56" t="s">
        <v>490</v>
      </c>
      <c r="D54" s="57">
        <f t="shared" si="0"/>
        <v>3000</v>
      </c>
      <c r="E54" s="57">
        <f t="shared" si="1"/>
        <v>13111.111111111111</v>
      </c>
      <c r="F54" s="57">
        <f t="shared" si="2"/>
        <v>-26000</v>
      </c>
      <c r="G54" s="57">
        <f t="shared" si="3"/>
        <v>106000</v>
      </c>
      <c r="H54" s="57">
        <f t="shared" si="4"/>
        <v>-17000</v>
      </c>
      <c r="I54" s="57">
        <f t="shared" si="5"/>
        <v>12000</v>
      </c>
      <c r="J54" s="57">
        <f t="shared" si="6"/>
        <v>42738.871196033142</v>
      </c>
      <c r="K54" s="58">
        <f t="shared" si="7"/>
        <v>3.2597444132567652</v>
      </c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>
        <v>12000</v>
      </c>
      <c r="AB54" s="59">
        <v>-3000</v>
      </c>
      <c r="AC54" s="59">
        <v>8000</v>
      </c>
      <c r="AD54" s="59">
        <v>-17000</v>
      </c>
      <c r="AE54" s="59">
        <v>-26000</v>
      </c>
      <c r="AF54" s="59">
        <v>3000</v>
      </c>
      <c r="AG54" s="59">
        <v>-22000</v>
      </c>
      <c r="AH54" s="59">
        <v>106000</v>
      </c>
      <c r="AI54" s="59">
        <v>57000</v>
      </c>
      <c r="AJ54" s="59"/>
      <c r="AK54" s="59"/>
      <c r="AL54" s="59"/>
      <c r="AM54" s="59"/>
      <c r="AN54" s="59"/>
      <c r="AO54" s="59"/>
      <c r="AP54" s="59"/>
      <c r="AQ54" s="59"/>
      <c r="AR54" s="59"/>
      <c r="AS54" s="45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</row>
    <row r="55" spans="1:69" outlineLevel="6">
      <c r="A55" s="39"/>
      <c r="B55" s="43"/>
      <c r="C55" s="56" t="s">
        <v>491</v>
      </c>
      <c r="D55" s="57">
        <f t="shared" si="0"/>
        <v>89000</v>
      </c>
      <c r="E55" s="57">
        <f t="shared" si="1"/>
        <v>82600</v>
      </c>
      <c r="F55" s="57">
        <f t="shared" si="2"/>
        <v>-205000</v>
      </c>
      <c r="G55" s="57">
        <f t="shared" si="3"/>
        <v>368000</v>
      </c>
      <c r="H55" s="57">
        <f t="shared" si="4"/>
        <v>47000</v>
      </c>
      <c r="I55" s="57">
        <f t="shared" si="5"/>
        <v>114000</v>
      </c>
      <c r="J55" s="57">
        <f t="shared" si="6"/>
        <v>203998.28430651079</v>
      </c>
      <c r="K55" s="58">
        <f t="shared" si="7"/>
        <v>2.4697128850667167</v>
      </c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>
        <v>89000</v>
      </c>
      <c r="AF55" s="59">
        <v>-205000</v>
      </c>
      <c r="AG55" s="59">
        <v>368000</v>
      </c>
      <c r="AH55" s="59">
        <v>114000</v>
      </c>
      <c r="AI55" s="59">
        <v>47000</v>
      </c>
      <c r="AJ55" s="59"/>
      <c r="AK55" s="59"/>
      <c r="AL55" s="59"/>
      <c r="AM55" s="59"/>
      <c r="AN55" s="59"/>
      <c r="AO55" s="59"/>
      <c r="AP55" s="59"/>
      <c r="AQ55" s="59"/>
      <c r="AR55" s="59"/>
      <c r="AS55" s="45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</row>
    <row r="56" spans="1:69" outlineLevel="6">
      <c r="A56" s="39"/>
      <c r="B56" s="43"/>
      <c r="C56" s="60" t="s">
        <v>492</v>
      </c>
      <c r="D56" s="61">
        <f t="shared" si="0"/>
        <v>24000</v>
      </c>
      <c r="E56" s="61">
        <f t="shared" si="1"/>
        <v>35250</v>
      </c>
      <c r="F56" s="61">
        <f t="shared" si="2"/>
        <v>-202000</v>
      </c>
      <c r="G56" s="61">
        <f t="shared" si="3"/>
        <v>346000</v>
      </c>
      <c r="H56" s="61">
        <f t="shared" si="4"/>
        <v>-68750</v>
      </c>
      <c r="I56" s="61">
        <f t="shared" si="5"/>
        <v>135500</v>
      </c>
      <c r="J56" s="61">
        <f t="shared" si="6"/>
        <v>165744.66946042475</v>
      </c>
      <c r="K56" s="62">
        <f t="shared" si="7"/>
        <v>4.7019764385936096</v>
      </c>
      <c r="L56" s="41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>
        <v>122000</v>
      </c>
      <c r="Z56" s="63">
        <v>-56000</v>
      </c>
      <c r="AA56" s="63">
        <v>-172000</v>
      </c>
      <c r="AB56" s="63">
        <v>176000</v>
      </c>
      <c r="AC56" s="63">
        <v>-56000</v>
      </c>
      <c r="AD56" s="63">
        <v>-107000</v>
      </c>
      <c r="AE56" s="63">
        <v>63000</v>
      </c>
      <c r="AF56" s="63">
        <v>-202000</v>
      </c>
      <c r="AG56" s="63">
        <v>346000</v>
      </c>
      <c r="AH56" s="63">
        <v>220000</v>
      </c>
      <c r="AI56" s="63">
        <v>104000</v>
      </c>
      <c r="AJ56" s="63">
        <v>-15000</v>
      </c>
      <c r="AK56" s="63"/>
      <c r="AL56" s="63"/>
      <c r="AM56" s="63"/>
      <c r="AN56" s="63"/>
      <c r="AO56" s="63"/>
      <c r="AP56" s="63"/>
      <c r="AQ56" s="63"/>
      <c r="AR56" s="63"/>
      <c r="AS56" s="45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</row>
    <row r="57" spans="1:69" outlineLevel="5">
      <c r="A57" s="39"/>
      <c r="B57" s="43"/>
      <c r="C57" s="60" t="s">
        <v>493</v>
      </c>
      <c r="D57" s="61">
        <f t="shared" si="0"/>
        <v>24000</v>
      </c>
      <c r="E57" s="61">
        <f t="shared" si="1"/>
        <v>35250</v>
      </c>
      <c r="F57" s="61">
        <f t="shared" si="2"/>
        <v>-202000</v>
      </c>
      <c r="G57" s="61">
        <f t="shared" si="3"/>
        <v>346000</v>
      </c>
      <c r="H57" s="61">
        <f t="shared" si="4"/>
        <v>-68750</v>
      </c>
      <c r="I57" s="61">
        <f t="shared" si="5"/>
        <v>135500</v>
      </c>
      <c r="J57" s="61">
        <f t="shared" si="6"/>
        <v>165744.66946042475</v>
      </c>
      <c r="K57" s="62">
        <f t="shared" si="7"/>
        <v>4.7019764385936096</v>
      </c>
      <c r="L57" s="41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>
        <v>122000</v>
      </c>
      <c r="Z57" s="63">
        <v>-56000</v>
      </c>
      <c r="AA57" s="63">
        <v>-172000</v>
      </c>
      <c r="AB57" s="63">
        <v>176000</v>
      </c>
      <c r="AC57" s="63">
        <v>-56000</v>
      </c>
      <c r="AD57" s="63">
        <v>-107000</v>
      </c>
      <c r="AE57" s="63">
        <v>63000</v>
      </c>
      <c r="AF57" s="63">
        <v>-202000</v>
      </c>
      <c r="AG57" s="63">
        <v>346000</v>
      </c>
      <c r="AH57" s="63">
        <v>220000</v>
      </c>
      <c r="AI57" s="63">
        <v>104000</v>
      </c>
      <c r="AJ57" s="63">
        <v>-15000</v>
      </c>
      <c r="AK57" s="63"/>
      <c r="AL57" s="63"/>
      <c r="AM57" s="63"/>
      <c r="AN57" s="63"/>
      <c r="AO57" s="63"/>
      <c r="AP57" s="63"/>
      <c r="AQ57" s="63"/>
      <c r="AR57" s="63"/>
      <c r="AS57" s="45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</row>
    <row r="58" spans="1:69" outlineLevel="4">
      <c r="A58" s="39"/>
      <c r="B58" s="43"/>
      <c r="C58" s="56" t="s">
        <v>494</v>
      </c>
      <c r="D58" s="57">
        <f t="shared" si="0"/>
        <v>21000</v>
      </c>
      <c r="E58" s="57">
        <f t="shared" si="1"/>
        <v>21000</v>
      </c>
      <c r="F58" s="57">
        <f t="shared" si="2"/>
        <v>21000</v>
      </c>
      <c r="G58" s="57">
        <f t="shared" si="3"/>
        <v>21000</v>
      </c>
      <c r="H58" s="57">
        <f t="shared" si="4"/>
        <v>21000</v>
      </c>
      <c r="I58" s="57">
        <f t="shared" si="5"/>
        <v>21000</v>
      </c>
      <c r="J58" s="57" t="str">
        <f t="shared" si="6"/>
        <v/>
      </c>
      <c r="K58" s="58" t="str">
        <f t="shared" si="7"/>
        <v/>
      </c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>
        <v>21000</v>
      </c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45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</row>
    <row r="59" spans="1:69" outlineLevel="4">
      <c r="A59" s="39"/>
      <c r="B59" s="43"/>
      <c r="C59" s="56" t="s">
        <v>495</v>
      </c>
      <c r="D59" s="57">
        <f t="shared" si="0"/>
        <v>84500</v>
      </c>
      <c r="E59" s="57">
        <f t="shared" si="1"/>
        <v>228791.66666666666</v>
      </c>
      <c r="F59" s="57">
        <f t="shared" si="2"/>
        <v>-1043000</v>
      </c>
      <c r="G59" s="57">
        <f t="shared" si="3"/>
        <v>1841000</v>
      </c>
      <c r="H59" s="57">
        <f t="shared" si="4"/>
        <v>-18500</v>
      </c>
      <c r="I59" s="57">
        <f t="shared" si="5"/>
        <v>329750</v>
      </c>
      <c r="J59" s="57">
        <f t="shared" si="6"/>
        <v>576629.33457530034</v>
      </c>
      <c r="K59" s="58">
        <f t="shared" si="7"/>
        <v>2.5203249007115658</v>
      </c>
      <c r="M59" s="59">
        <v>987000</v>
      </c>
      <c r="N59" s="59">
        <v>1015000</v>
      </c>
      <c r="O59" s="59">
        <v>-1043000</v>
      </c>
      <c r="P59" s="59">
        <v>1841000</v>
      </c>
      <c r="Q59" s="59">
        <v>1105000</v>
      </c>
      <c r="R59" s="59">
        <v>-6000</v>
      </c>
      <c r="S59" s="59">
        <v>347000</v>
      </c>
      <c r="T59" s="59">
        <v>246000</v>
      </c>
      <c r="U59" s="59">
        <v>739000</v>
      </c>
      <c r="V59" s="59">
        <v>-53000</v>
      </c>
      <c r="W59" s="59">
        <v>-59000</v>
      </c>
      <c r="X59" s="59">
        <v>-146000</v>
      </c>
      <c r="Y59" s="59">
        <v>59000</v>
      </c>
      <c r="Z59" s="59">
        <v>110000</v>
      </c>
      <c r="AA59" s="59">
        <v>-189000</v>
      </c>
      <c r="AB59" s="59">
        <v>13000</v>
      </c>
      <c r="AC59" s="59">
        <v>-7000</v>
      </c>
      <c r="AD59" s="59">
        <v>226000</v>
      </c>
      <c r="AE59" s="59">
        <v>142000</v>
      </c>
      <c r="AF59" s="59">
        <v>-420000</v>
      </c>
      <c r="AG59" s="59">
        <v>324000</v>
      </c>
      <c r="AH59" s="59">
        <v>201000</v>
      </c>
      <c r="AI59" s="59">
        <v>17000</v>
      </c>
      <c r="AJ59" s="59">
        <v>42000</v>
      </c>
      <c r="AK59" s="59"/>
      <c r="AL59" s="59"/>
      <c r="AM59" s="59"/>
      <c r="AN59" s="59"/>
      <c r="AO59" s="59"/>
      <c r="AP59" s="59"/>
      <c r="AQ59" s="59"/>
      <c r="AR59" s="59"/>
      <c r="AS59" s="45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</row>
    <row r="60" spans="1:69" outlineLevel="4">
      <c r="A60" s="39"/>
      <c r="B60" s="43"/>
      <c r="C60" s="56" t="s">
        <v>496</v>
      </c>
      <c r="D60" s="57">
        <f t="shared" si="0"/>
        <v>-9000</v>
      </c>
      <c r="E60" s="57">
        <f t="shared" si="1"/>
        <v>-35818.181818181816</v>
      </c>
      <c r="F60" s="57">
        <f t="shared" si="2"/>
        <v>-218000</v>
      </c>
      <c r="G60" s="57">
        <f t="shared" si="3"/>
        <v>62000</v>
      </c>
      <c r="H60" s="57">
        <f t="shared" si="4"/>
        <v>-74000</v>
      </c>
      <c r="I60" s="57">
        <f t="shared" si="5"/>
        <v>32000</v>
      </c>
      <c r="J60" s="57">
        <f t="shared" si="6"/>
        <v>93533.756667652546</v>
      </c>
      <c r="K60" s="58">
        <f t="shared" si="7"/>
        <v>-2.6113485364065432</v>
      </c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>
        <v>-56000</v>
      </c>
      <c r="Z60" s="59">
        <v>-20000</v>
      </c>
      <c r="AA60" s="59">
        <v>62000</v>
      </c>
      <c r="AB60" s="59">
        <v>56000</v>
      </c>
      <c r="AC60" s="59">
        <v>-218000</v>
      </c>
      <c r="AD60" s="59">
        <v>-178000</v>
      </c>
      <c r="AE60" s="59">
        <v>-92000</v>
      </c>
      <c r="AF60" s="59">
        <v>8000</v>
      </c>
      <c r="AG60" s="59">
        <v>-4000</v>
      </c>
      <c r="AH60" s="59">
        <v>-9000</v>
      </c>
      <c r="AI60" s="59">
        <v>57000</v>
      </c>
      <c r="AJ60" s="59"/>
      <c r="AK60" s="59"/>
      <c r="AL60" s="59"/>
      <c r="AM60" s="59"/>
      <c r="AN60" s="59"/>
      <c r="AO60" s="59"/>
      <c r="AP60" s="59"/>
      <c r="AQ60" s="59"/>
      <c r="AR60" s="59"/>
      <c r="AS60" s="45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</row>
    <row r="61" spans="1:69" outlineLevel="4">
      <c r="A61" s="39"/>
      <c r="B61" s="43"/>
      <c r="C61" s="60" t="s">
        <v>497</v>
      </c>
      <c r="D61" s="61">
        <f t="shared" si="0"/>
        <v>-153500</v>
      </c>
      <c r="E61" s="61">
        <f t="shared" si="1"/>
        <v>-162526.92307692306</v>
      </c>
      <c r="F61" s="61">
        <f t="shared" si="2"/>
        <v>-1393000</v>
      </c>
      <c r="G61" s="61">
        <f t="shared" si="3"/>
        <v>494000</v>
      </c>
      <c r="H61" s="61">
        <f t="shared" si="4"/>
        <v>-457750</v>
      </c>
      <c r="I61" s="61">
        <f t="shared" si="5"/>
        <v>147750</v>
      </c>
      <c r="J61" s="61">
        <f t="shared" si="6"/>
        <v>443281.04273265944</v>
      </c>
      <c r="K61" s="62">
        <f t="shared" si="7"/>
        <v>-2.7274314577582759</v>
      </c>
      <c r="L61" s="41"/>
      <c r="M61" s="63">
        <v>-373000</v>
      </c>
      <c r="N61" s="63">
        <v>160000</v>
      </c>
      <c r="O61" s="63">
        <v>-1393000</v>
      </c>
      <c r="P61" s="63">
        <v>412000</v>
      </c>
      <c r="Q61" s="63">
        <v>-486000</v>
      </c>
      <c r="R61" s="63">
        <v>-604000</v>
      </c>
      <c r="S61" s="63">
        <v>377000</v>
      </c>
      <c r="T61" s="63">
        <v>-605000</v>
      </c>
      <c r="U61" s="63">
        <v>346000</v>
      </c>
      <c r="V61" s="63">
        <v>-257000</v>
      </c>
      <c r="W61" s="63">
        <v>-102000</v>
      </c>
      <c r="X61" s="63">
        <v>-538000</v>
      </c>
      <c r="Y61" s="63">
        <v>-52000</v>
      </c>
      <c r="Z61" s="63">
        <v>-190000</v>
      </c>
      <c r="AA61" s="63">
        <v>-502000</v>
      </c>
      <c r="AB61" s="63">
        <v>323000</v>
      </c>
      <c r="AC61" s="63">
        <v>-182000</v>
      </c>
      <c r="AD61" s="63">
        <v>-173000</v>
      </c>
      <c r="AE61" s="63">
        <v>-145000</v>
      </c>
      <c r="AF61" s="63">
        <v>-962000</v>
      </c>
      <c r="AG61" s="63">
        <v>195000</v>
      </c>
      <c r="AH61" s="63">
        <v>494000</v>
      </c>
      <c r="AI61" s="63">
        <v>-162000</v>
      </c>
      <c r="AJ61" s="63">
        <v>111000</v>
      </c>
      <c r="AK61" s="63"/>
      <c r="AL61" s="63"/>
      <c r="AM61" s="63"/>
      <c r="AN61" s="63"/>
      <c r="AO61" s="63"/>
      <c r="AP61" s="63"/>
      <c r="AQ61" s="63">
        <v>62000</v>
      </c>
      <c r="AR61" s="63">
        <v>20300</v>
      </c>
      <c r="AS61" s="45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</row>
    <row r="62" spans="1:69" outlineLevel="3">
      <c r="A62" s="39"/>
      <c r="B62" s="43"/>
      <c r="C62" s="60" t="s">
        <v>498</v>
      </c>
      <c r="D62" s="61">
        <f t="shared" si="0"/>
        <v>3869500</v>
      </c>
      <c r="E62" s="61">
        <f t="shared" si="1"/>
        <v>4409750</v>
      </c>
      <c r="F62" s="61">
        <f t="shared" si="2"/>
        <v>459000</v>
      </c>
      <c r="G62" s="61">
        <f t="shared" si="3"/>
        <v>12449000</v>
      </c>
      <c r="H62" s="61">
        <f t="shared" si="4"/>
        <v>1843250</v>
      </c>
      <c r="I62" s="61">
        <f t="shared" si="5"/>
        <v>6274750</v>
      </c>
      <c r="J62" s="61">
        <f t="shared" si="6"/>
        <v>3348775.9305309197</v>
      </c>
      <c r="K62" s="62">
        <f t="shared" si="7"/>
        <v>0.75940267147364815</v>
      </c>
      <c r="L62" s="41"/>
      <c r="M62" s="63">
        <v>12039000</v>
      </c>
      <c r="N62" s="63">
        <v>12449000</v>
      </c>
      <c r="O62" s="63">
        <v>10589000</v>
      </c>
      <c r="P62" s="63">
        <v>7721000</v>
      </c>
      <c r="Q62" s="63">
        <v>7027000</v>
      </c>
      <c r="R62" s="63">
        <v>7527000</v>
      </c>
      <c r="S62" s="63">
        <v>7717000</v>
      </c>
      <c r="T62" s="63">
        <v>6265000</v>
      </c>
      <c r="U62" s="63">
        <v>6298000</v>
      </c>
      <c r="V62" s="63">
        <v>6267000</v>
      </c>
      <c r="W62" s="63">
        <v>6089000</v>
      </c>
      <c r="X62" s="63">
        <v>5500000</v>
      </c>
      <c r="Y62" s="63">
        <v>5102000</v>
      </c>
      <c r="Z62" s="63">
        <v>3992000</v>
      </c>
      <c r="AA62" s="63">
        <v>3979000</v>
      </c>
      <c r="AB62" s="63">
        <v>3760000</v>
      </c>
      <c r="AC62" s="63">
        <v>4344000</v>
      </c>
      <c r="AD62" s="63">
        <v>3249000</v>
      </c>
      <c r="AE62" s="63">
        <v>3593000</v>
      </c>
      <c r="AF62" s="63">
        <v>2498000</v>
      </c>
      <c r="AG62" s="63">
        <v>1547000</v>
      </c>
      <c r="AH62" s="63">
        <v>2650000</v>
      </c>
      <c r="AI62" s="63">
        <v>2254000</v>
      </c>
      <c r="AJ62" s="63">
        <v>2338000</v>
      </c>
      <c r="AK62" s="63">
        <v>1942000</v>
      </c>
      <c r="AL62" s="63">
        <v>976000</v>
      </c>
      <c r="AM62" s="63">
        <v>523000</v>
      </c>
      <c r="AN62" s="63">
        <v>459000</v>
      </c>
      <c r="AO62" s="63">
        <v>536000</v>
      </c>
      <c r="AP62" s="63">
        <v>632000</v>
      </c>
      <c r="AQ62" s="63">
        <v>591900</v>
      </c>
      <c r="AR62" s="63">
        <v>658100</v>
      </c>
      <c r="AS62" s="45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</row>
    <row r="63" spans="1:69" outlineLevel="2">
      <c r="A63" s="39"/>
      <c r="B63" s="43"/>
      <c r="C63" s="56" t="s">
        <v>499</v>
      </c>
      <c r="D63" s="57">
        <f t="shared" si="0"/>
        <v>442000</v>
      </c>
      <c r="E63" s="57">
        <f t="shared" si="1"/>
        <v>390750</v>
      </c>
      <c r="F63" s="57">
        <f t="shared" si="2"/>
        <v>74000</v>
      </c>
      <c r="G63" s="57">
        <f t="shared" si="3"/>
        <v>811000</v>
      </c>
      <c r="H63" s="57">
        <f t="shared" si="4"/>
        <v>145500</v>
      </c>
      <c r="I63" s="57">
        <f t="shared" si="5"/>
        <v>529750</v>
      </c>
      <c r="J63" s="57">
        <f t="shared" si="6"/>
        <v>244685.37311858634</v>
      </c>
      <c r="K63" s="58">
        <f t="shared" si="7"/>
        <v>0.62619417304820557</v>
      </c>
      <c r="M63" s="59">
        <v>446000</v>
      </c>
      <c r="N63" s="59">
        <v>811000</v>
      </c>
      <c r="O63" s="59">
        <v>712000</v>
      </c>
      <c r="P63" s="59">
        <v>541000</v>
      </c>
      <c r="Q63" s="59">
        <v>526000</v>
      </c>
      <c r="R63" s="59">
        <v>456000</v>
      </c>
      <c r="S63" s="59">
        <v>438000</v>
      </c>
      <c r="T63" s="59">
        <v>328000</v>
      </c>
      <c r="U63" s="59">
        <v>160000</v>
      </c>
      <c r="V63" s="59">
        <v>102000</v>
      </c>
      <c r="W63" s="59"/>
      <c r="X63" s="59"/>
      <c r="Y63" s="59"/>
      <c r="Z63" s="59"/>
      <c r="AA63" s="59">
        <v>95000</v>
      </c>
      <c r="AB63" s="59">
        <v>74000</v>
      </c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45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</row>
    <row r="64" spans="1:69" outlineLevel="2">
      <c r="A64" s="39"/>
      <c r="B64" s="43"/>
      <c r="C64" s="56" t="s">
        <v>500</v>
      </c>
      <c r="D64" s="57">
        <f t="shared" si="0"/>
        <v>939100</v>
      </c>
      <c r="E64" s="57">
        <f t="shared" si="1"/>
        <v>782512.5</v>
      </c>
      <c r="F64" s="57">
        <f t="shared" si="2"/>
        <v>119000</v>
      </c>
      <c r="G64" s="57">
        <f t="shared" si="3"/>
        <v>1284000</v>
      </c>
      <c r="H64" s="57">
        <f t="shared" si="4"/>
        <v>581425</v>
      </c>
      <c r="I64" s="57">
        <f t="shared" si="5"/>
        <v>1045250</v>
      </c>
      <c r="J64" s="57">
        <f t="shared" si="6"/>
        <v>428280.60707071144</v>
      </c>
      <c r="K64" s="58">
        <f t="shared" si="7"/>
        <v>0.54731471646869723</v>
      </c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>
        <v>119000</v>
      </c>
      <c r="AD64" s="59">
        <v>154000</v>
      </c>
      <c r="AE64" s="59"/>
      <c r="AF64" s="59"/>
      <c r="AG64" s="59"/>
      <c r="AH64" s="59"/>
      <c r="AI64" s="59"/>
      <c r="AJ64" s="59"/>
      <c r="AK64" s="59"/>
      <c r="AL64" s="59"/>
      <c r="AM64" s="59">
        <v>1040000</v>
      </c>
      <c r="AN64" s="59">
        <v>1284000</v>
      </c>
      <c r="AO64" s="59">
        <v>1061000</v>
      </c>
      <c r="AP64" s="59">
        <v>960000</v>
      </c>
      <c r="AQ64" s="59">
        <v>918200</v>
      </c>
      <c r="AR64" s="59">
        <v>723900</v>
      </c>
      <c r="AS64" s="45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</row>
    <row r="65" spans="1:69" outlineLevel="2">
      <c r="A65" s="39"/>
      <c r="B65" s="43"/>
      <c r="C65" s="60" t="s">
        <v>501</v>
      </c>
      <c r="D65" s="61">
        <f t="shared" si="0"/>
        <v>3913000</v>
      </c>
      <c r="E65" s="61">
        <f t="shared" si="1"/>
        <v>4751909.375</v>
      </c>
      <c r="F65" s="61">
        <f t="shared" si="2"/>
        <v>976000</v>
      </c>
      <c r="G65" s="61">
        <f t="shared" si="3"/>
        <v>13260000</v>
      </c>
      <c r="H65" s="61">
        <f t="shared" si="4"/>
        <v>1892250</v>
      </c>
      <c r="I65" s="61">
        <f t="shared" si="5"/>
        <v>6491750</v>
      </c>
      <c r="J65" s="61">
        <f t="shared" si="6"/>
        <v>3354311.9978531413</v>
      </c>
      <c r="K65" s="62">
        <f t="shared" si="7"/>
        <v>0.7058871988384966</v>
      </c>
      <c r="L65" s="41"/>
      <c r="M65" s="63">
        <v>12485000</v>
      </c>
      <c r="N65" s="63">
        <v>13260000</v>
      </c>
      <c r="O65" s="63">
        <v>11301000</v>
      </c>
      <c r="P65" s="63">
        <v>8262000</v>
      </c>
      <c r="Q65" s="63">
        <v>7553000</v>
      </c>
      <c r="R65" s="63">
        <v>7983000</v>
      </c>
      <c r="S65" s="63">
        <v>8155000</v>
      </c>
      <c r="T65" s="63">
        <v>6593000</v>
      </c>
      <c r="U65" s="63">
        <v>6458000</v>
      </c>
      <c r="V65" s="63">
        <v>6369000</v>
      </c>
      <c r="W65" s="63">
        <v>6089000</v>
      </c>
      <c r="X65" s="63">
        <v>5500000</v>
      </c>
      <c r="Y65" s="63">
        <v>5102000</v>
      </c>
      <c r="Z65" s="63">
        <v>3992000</v>
      </c>
      <c r="AA65" s="63">
        <v>4074000</v>
      </c>
      <c r="AB65" s="63">
        <v>3834000</v>
      </c>
      <c r="AC65" s="63">
        <v>4463000</v>
      </c>
      <c r="AD65" s="63">
        <v>3403000</v>
      </c>
      <c r="AE65" s="63">
        <v>3593000</v>
      </c>
      <c r="AF65" s="63">
        <v>2498000</v>
      </c>
      <c r="AG65" s="63">
        <v>1547000</v>
      </c>
      <c r="AH65" s="63">
        <v>2650000</v>
      </c>
      <c r="AI65" s="63">
        <v>2254000</v>
      </c>
      <c r="AJ65" s="63">
        <v>2338000</v>
      </c>
      <c r="AK65" s="63">
        <v>1942000</v>
      </c>
      <c r="AL65" s="63">
        <v>976000</v>
      </c>
      <c r="AM65" s="63">
        <v>1563000</v>
      </c>
      <c r="AN65" s="63">
        <v>1743000</v>
      </c>
      <c r="AO65" s="63">
        <v>1597000</v>
      </c>
      <c r="AP65" s="63">
        <v>1592000</v>
      </c>
      <c r="AQ65" s="63">
        <v>1510100</v>
      </c>
      <c r="AR65" s="63">
        <v>1382000</v>
      </c>
      <c r="AS65" s="45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</row>
    <row r="66" spans="1:69" outlineLevel="1">
      <c r="A66" s="39"/>
      <c r="B66" s="43"/>
      <c r="C66" s="53" t="s">
        <v>502</v>
      </c>
      <c r="D66" s="61">
        <f t="shared" si="0"/>
        <v>3913000</v>
      </c>
      <c r="E66" s="61">
        <f t="shared" si="1"/>
        <v>4751909.375</v>
      </c>
      <c r="F66" s="61">
        <f t="shared" si="2"/>
        <v>976000</v>
      </c>
      <c r="G66" s="61">
        <f t="shared" si="3"/>
        <v>13260000</v>
      </c>
      <c r="H66" s="61">
        <f t="shared" si="4"/>
        <v>1892250</v>
      </c>
      <c r="I66" s="61">
        <f t="shared" si="5"/>
        <v>6491750</v>
      </c>
      <c r="J66" s="61">
        <f t="shared" si="6"/>
        <v>3354311.9978531413</v>
      </c>
      <c r="K66" s="62">
        <f t="shared" si="7"/>
        <v>0.7058871988384966</v>
      </c>
      <c r="L66" s="64"/>
      <c r="M66" s="61">
        <v>12485000</v>
      </c>
      <c r="N66" s="61">
        <v>13260000</v>
      </c>
      <c r="O66" s="61">
        <v>11301000</v>
      </c>
      <c r="P66" s="61">
        <v>8262000</v>
      </c>
      <c r="Q66" s="61">
        <v>7553000</v>
      </c>
      <c r="R66" s="61">
        <v>7983000</v>
      </c>
      <c r="S66" s="61">
        <v>8155000</v>
      </c>
      <c r="T66" s="61">
        <v>6593000</v>
      </c>
      <c r="U66" s="61">
        <v>6458000</v>
      </c>
      <c r="V66" s="61">
        <v>6369000</v>
      </c>
      <c r="W66" s="61">
        <v>6089000</v>
      </c>
      <c r="X66" s="61">
        <v>5500000</v>
      </c>
      <c r="Y66" s="61">
        <v>5102000</v>
      </c>
      <c r="Z66" s="61">
        <v>3992000</v>
      </c>
      <c r="AA66" s="61">
        <v>4074000</v>
      </c>
      <c r="AB66" s="61">
        <v>3834000</v>
      </c>
      <c r="AC66" s="61">
        <v>4463000</v>
      </c>
      <c r="AD66" s="61">
        <v>3403000</v>
      </c>
      <c r="AE66" s="61">
        <v>3593000</v>
      </c>
      <c r="AF66" s="61">
        <v>2498000</v>
      </c>
      <c r="AG66" s="61">
        <v>1547000</v>
      </c>
      <c r="AH66" s="61">
        <v>2650000</v>
      </c>
      <c r="AI66" s="61">
        <v>2254000</v>
      </c>
      <c r="AJ66" s="61">
        <v>2338000</v>
      </c>
      <c r="AK66" s="61">
        <v>1942000</v>
      </c>
      <c r="AL66" s="61">
        <v>976000</v>
      </c>
      <c r="AM66" s="61">
        <v>1563000</v>
      </c>
      <c r="AN66" s="61">
        <v>1743000</v>
      </c>
      <c r="AO66" s="61">
        <v>1597000</v>
      </c>
      <c r="AP66" s="61">
        <v>1592000</v>
      </c>
      <c r="AQ66" s="61">
        <v>1510100</v>
      </c>
      <c r="AR66" s="61">
        <v>1382000</v>
      </c>
      <c r="AS66" s="45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</row>
    <row r="67" spans="1:69">
      <c r="A67" s="39"/>
      <c r="B67" s="43"/>
      <c r="C67" s="53" t="s">
        <v>503</v>
      </c>
      <c r="D67" s="54" t="str">
        <f t="shared" si="0"/>
        <v/>
      </c>
      <c r="E67" s="54" t="str">
        <f t="shared" si="1"/>
        <v/>
      </c>
      <c r="F67" s="54" t="str">
        <f t="shared" si="2"/>
        <v/>
      </c>
      <c r="G67" s="54" t="str">
        <f t="shared" si="3"/>
        <v/>
      </c>
      <c r="H67" s="54" t="str">
        <f t="shared" si="4"/>
        <v/>
      </c>
      <c r="I67" s="54" t="str">
        <f t="shared" si="5"/>
        <v/>
      </c>
      <c r="J67" s="54" t="str">
        <f t="shared" si="6"/>
        <v/>
      </c>
      <c r="K67" s="55" t="str">
        <f t="shared" si="7"/>
        <v/>
      </c>
      <c r="L67" s="48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45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</row>
    <row r="68" spans="1:69" outlineLevel="1">
      <c r="A68" s="39"/>
      <c r="B68" s="43"/>
      <c r="C68" s="56" t="s">
        <v>504</v>
      </c>
      <c r="D68" s="57" t="str">
        <f t="shared" si="0"/>
        <v/>
      </c>
      <c r="E68" s="57" t="str">
        <f t="shared" si="1"/>
        <v/>
      </c>
      <c r="F68" s="57" t="str">
        <f t="shared" si="2"/>
        <v/>
      </c>
      <c r="G68" s="57" t="str">
        <f t="shared" si="3"/>
        <v/>
      </c>
      <c r="H68" s="57" t="str">
        <f t="shared" si="4"/>
        <v/>
      </c>
      <c r="I68" s="57" t="str">
        <f t="shared" si="5"/>
        <v/>
      </c>
      <c r="J68" s="57" t="str">
        <f t="shared" si="6"/>
        <v/>
      </c>
      <c r="K68" s="58" t="str">
        <f t="shared" si="7"/>
        <v/>
      </c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45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</row>
    <row r="69" spans="1:69" outlineLevel="2">
      <c r="A69" s="39"/>
      <c r="B69" s="43"/>
      <c r="C69" s="56" t="s">
        <v>505</v>
      </c>
      <c r="D69" s="57">
        <f t="shared" si="0"/>
        <v>-4886500</v>
      </c>
      <c r="E69" s="57">
        <f t="shared" si="1"/>
        <v>-5637166.666666667</v>
      </c>
      <c r="F69" s="57">
        <f t="shared" si="2"/>
        <v>-10762000</v>
      </c>
      <c r="G69" s="57">
        <f t="shared" si="3"/>
        <v>-2274000</v>
      </c>
      <c r="H69" s="57">
        <f t="shared" si="4"/>
        <v>-7975000</v>
      </c>
      <c r="I69" s="57">
        <f t="shared" si="5"/>
        <v>-3228750</v>
      </c>
      <c r="J69" s="57">
        <f t="shared" si="6"/>
        <v>2817139.5014425954</v>
      </c>
      <c r="K69" s="58">
        <f t="shared" si="7"/>
        <v>-0.49974387276869503</v>
      </c>
      <c r="M69" s="59">
        <v>-8721000</v>
      </c>
      <c r="N69" s="59">
        <v>-8115000</v>
      </c>
      <c r="O69" s="59">
        <v>-9363000</v>
      </c>
      <c r="P69" s="59">
        <v>-9519000</v>
      </c>
      <c r="Q69" s="59">
        <v>-7555000</v>
      </c>
      <c r="R69" s="59">
        <v>-7514000</v>
      </c>
      <c r="S69" s="59">
        <v>-10762000</v>
      </c>
      <c r="T69" s="59">
        <v>-5692000</v>
      </c>
      <c r="U69" s="59">
        <v>-5208000</v>
      </c>
      <c r="V69" s="59">
        <v>-3957000</v>
      </c>
      <c r="W69" s="59">
        <v>-3511000</v>
      </c>
      <c r="X69" s="59">
        <v>-3142000</v>
      </c>
      <c r="Y69" s="59">
        <v>-2833000</v>
      </c>
      <c r="Z69" s="59">
        <v>-4565000</v>
      </c>
      <c r="AA69" s="59">
        <v>-3489000</v>
      </c>
      <c r="AB69" s="59">
        <v>-2673000</v>
      </c>
      <c r="AC69" s="59">
        <v>-2576000</v>
      </c>
      <c r="AD69" s="59">
        <v>-2274000</v>
      </c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45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</row>
    <row r="70" spans="1:69" outlineLevel="2">
      <c r="A70" s="39"/>
      <c r="B70" s="43"/>
      <c r="C70" s="56" t="s">
        <v>506</v>
      </c>
      <c r="D70" s="57">
        <f t="shared" si="0"/>
        <v>114000</v>
      </c>
      <c r="E70" s="57">
        <f t="shared" si="1"/>
        <v>-5750</v>
      </c>
      <c r="F70" s="57">
        <f t="shared" si="2"/>
        <v>-565000</v>
      </c>
      <c r="G70" s="57">
        <f t="shared" si="3"/>
        <v>314000</v>
      </c>
      <c r="H70" s="57">
        <f t="shared" si="4"/>
        <v>-141250</v>
      </c>
      <c r="I70" s="57">
        <f t="shared" si="5"/>
        <v>249500</v>
      </c>
      <c r="J70" s="57">
        <f t="shared" si="6"/>
        <v>395673.58179859992</v>
      </c>
      <c r="K70" s="58">
        <f t="shared" si="7"/>
        <v>-68.812796834539114</v>
      </c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>
        <v>228000</v>
      </c>
      <c r="Z70" s="59">
        <v>314000</v>
      </c>
      <c r="AA70" s="59">
        <v>-565000</v>
      </c>
      <c r="AB70" s="59">
        <v>0</v>
      </c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45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</row>
    <row r="71" spans="1:69" outlineLevel="2">
      <c r="A71" s="39"/>
      <c r="B71" s="43"/>
      <c r="C71" s="56" t="s">
        <v>507</v>
      </c>
      <c r="D71" s="57" t="str">
        <f t="shared" si="0"/>
        <v/>
      </c>
      <c r="E71" s="57" t="str">
        <f t="shared" si="1"/>
        <v/>
      </c>
      <c r="F71" s="57" t="str">
        <f t="shared" si="2"/>
        <v/>
      </c>
      <c r="G71" s="57" t="str">
        <f t="shared" si="3"/>
        <v/>
      </c>
      <c r="H71" s="57" t="str">
        <f t="shared" si="4"/>
        <v/>
      </c>
      <c r="I71" s="57" t="str">
        <f t="shared" si="5"/>
        <v/>
      </c>
      <c r="J71" s="57" t="str">
        <f t="shared" si="6"/>
        <v/>
      </c>
      <c r="K71" s="58" t="str">
        <f t="shared" si="7"/>
        <v/>
      </c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45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</row>
    <row r="72" spans="1:69" outlineLevel="3">
      <c r="A72" s="39"/>
      <c r="B72" s="43"/>
      <c r="C72" s="56" t="s">
        <v>508</v>
      </c>
      <c r="D72" s="57">
        <f t="shared" si="0"/>
        <v>-436500</v>
      </c>
      <c r="E72" s="57">
        <f t="shared" si="1"/>
        <v>-674609.375</v>
      </c>
      <c r="F72" s="57">
        <f t="shared" si="2"/>
        <v>-1857000</v>
      </c>
      <c r="G72" s="57">
        <f t="shared" si="3"/>
        <v>-185000</v>
      </c>
      <c r="H72" s="57">
        <f t="shared" si="4"/>
        <v>-934250</v>
      </c>
      <c r="I72" s="57">
        <f t="shared" si="5"/>
        <v>-281000</v>
      </c>
      <c r="J72" s="57">
        <f t="shared" si="6"/>
        <v>522525.7655998657</v>
      </c>
      <c r="K72" s="58">
        <f t="shared" si="7"/>
        <v>-0.7745604863553307</v>
      </c>
      <c r="M72" s="59">
        <v>-553000</v>
      </c>
      <c r="N72" s="59">
        <v>-399000</v>
      </c>
      <c r="O72" s="59">
        <v>-185000</v>
      </c>
      <c r="P72" s="59">
        <v>-223000</v>
      </c>
      <c r="Q72" s="59">
        <v>-275000</v>
      </c>
      <c r="R72" s="59">
        <v>-245000</v>
      </c>
      <c r="S72" s="59">
        <v>-315000</v>
      </c>
      <c r="T72" s="59">
        <v>-267000</v>
      </c>
      <c r="U72" s="59">
        <v>-197000</v>
      </c>
      <c r="V72" s="59">
        <v>-283000</v>
      </c>
      <c r="W72" s="59">
        <v>-361000</v>
      </c>
      <c r="X72" s="59">
        <v>-287000</v>
      </c>
      <c r="Y72" s="59">
        <v>-371000</v>
      </c>
      <c r="Z72" s="59">
        <v>-305000</v>
      </c>
      <c r="AA72" s="59">
        <v>-538000</v>
      </c>
      <c r="AB72" s="59">
        <v>-274000</v>
      </c>
      <c r="AC72" s="59">
        <v>-362000</v>
      </c>
      <c r="AD72" s="59">
        <v>-247000</v>
      </c>
      <c r="AE72" s="59">
        <v>-1857000</v>
      </c>
      <c r="AF72" s="59">
        <v>-1826000</v>
      </c>
      <c r="AG72" s="59">
        <v>-1629000</v>
      </c>
      <c r="AH72" s="59">
        <v>-1535000</v>
      </c>
      <c r="AI72" s="59">
        <v>-1391000</v>
      </c>
      <c r="AJ72" s="59">
        <v>-1277000</v>
      </c>
      <c r="AK72" s="59">
        <v>-1154000</v>
      </c>
      <c r="AL72" s="59">
        <v>-1299000</v>
      </c>
      <c r="AM72" s="59">
        <v>-861000</v>
      </c>
      <c r="AN72" s="59">
        <v>-617000</v>
      </c>
      <c r="AO72" s="59">
        <v>-551000</v>
      </c>
      <c r="AP72" s="59">
        <v>-474000</v>
      </c>
      <c r="AQ72" s="59">
        <v>-670800</v>
      </c>
      <c r="AR72" s="59">
        <v>-758700</v>
      </c>
      <c r="AS72" s="45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</row>
    <row r="73" spans="1:69" outlineLevel="3">
      <c r="A73" s="39"/>
      <c r="B73" s="43"/>
      <c r="C73" s="56" t="s">
        <v>509</v>
      </c>
      <c r="D73" s="57">
        <f t="shared" si="0"/>
        <v>60100</v>
      </c>
      <c r="E73" s="57">
        <f t="shared" si="1"/>
        <v>66300</v>
      </c>
      <c r="F73" s="57">
        <f t="shared" si="2"/>
        <v>22000</v>
      </c>
      <c r="G73" s="57">
        <f t="shared" si="3"/>
        <v>123000</v>
      </c>
      <c r="H73" s="57">
        <f t="shared" si="4"/>
        <v>43000</v>
      </c>
      <c r="I73" s="57">
        <f t="shared" si="5"/>
        <v>83400</v>
      </c>
      <c r="J73" s="57">
        <f t="shared" si="6"/>
        <v>42654.737915812664</v>
      </c>
      <c r="K73" s="58">
        <f t="shared" si="7"/>
        <v>0.64335954624151837</v>
      </c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>
        <v>50000</v>
      </c>
      <c r="AL73" s="59">
        <v>22000</v>
      </c>
      <c r="AM73" s="59"/>
      <c r="AN73" s="59"/>
      <c r="AO73" s="59"/>
      <c r="AP73" s="59"/>
      <c r="AQ73" s="59">
        <v>70200</v>
      </c>
      <c r="AR73" s="59">
        <v>123000</v>
      </c>
      <c r="AS73" s="45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</row>
    <row r="74" spans="1:69" outlineLevel="3">
      <c r="A74" s="39"/>
      <c r="B74" s="43"/>
      <c r="C74" s="60" t="s">
        <v>510</v>
      </c>
      <c r="D74" s="61">
        <f t="shared" si="0"/>
        <v>-436500</v>
      </c>
      <c r="E74" s="61">
        <f t="shared" si="1"/>
        <v>-666321.875</v>
      </c>
      <c r="F74" s="61">
        <f t="shared" si="2"/>
        <v>-1857000</v>
      </c>
      <c r="G74" s="61">
        <f t="shared" si="3"/>
        <v>-185000</v>
      </c>
      <c r="H74" s="61">
        <f t="shared" si="4"/>
        <v>-921750</v>
      </c>
      <c r="I74" s="61">
        <f t="shared" si="5"/>
        <v>-281000</v>
      </c>
      <c r="J74" s="61">
        <f t="shared" si="6"/>
        <v>520214.22183829476</v>
      </c>
      <c r="K74" s="62">
        <f t="shared" si="7"/>
        <v>-0.78072511402735312</v>
      </c>
      <c r="L74" s="41"/>
      <c r="M74" s="63">
        <v>-553000</v>
      </c>
      <c r="N74" s="63">
        <v>-399000</v>
      </c>
      <c r="O74" s="63">
        <v>-185000</v>
      </c>
      <c r="P74" s="63">
        <v>-223000</v>
      </c>
      <c r="Q74" s="63">
        <v>-275000</v>
      </c>
      <c r="R74" s="63">
        <v>-245000</v>
      </c>
      <c r="S74" s="63">
        <v>-315000</v>
      </c>
      <c r="T74" s="63">
        <v>-267000</v>
      </c>
      <c r="U74" s="63">
        <v>-197000</v>
      </c>
      <c r="V74" s="63">
        <v>-283000</v>
      </c>
      <c r="W74" s="63">
        <v>-361000</v>
      </c>
      <c r="X74" s="63">
        <v>-287000</v>
      </c>
      <c r="Y74" s="63">
        <v>-371000</v>
      </c>
      <c r="Z74" s="63">
        <v>-305000</v>
      </c>
      <c r="AA74" s="63">
        <v>-538000</v>
      </c>
      <c r="AB74" s="63">
        <v>-274000</v>
      </c>
      <c r="AC74" s="63">
        <v>-362000</v>
      </c>
      <c r="AD74" s="63">
        <v>-247000</v>
      </c>
      <c r="AE74" s="63">
        <v>-1857000</v>
      </c>
      <c r="AF74" s="63">
        <v>-1826000</v>
      </c>
      <c r="AG74" s="63">
        <v>-1629000</v>
      </c>
      <c r="AH74" s="63">
        <v>-1535000</v>
      </c>
      <c r="AI74" s="63">
        <v>-1391000</v>
      </c>
      <c r="AJ74" s="63">
        <v>-1277000</v>
      </c>
      <c r="AK74" s="63">
        <v>-1104000</v>
      </c>
      <c r="AL74" s="63">
        <v>-1277000</v>
      </c>
      <c r="AM74" s="63">
        <v>-861000</v>
      </c>
      <c r="AN74" s="63">
        <v>-617000</v>
      </c>
      <c r="AO74" s="63">
        <v>-551000</v>
      </c>
      <c r="AP74" s="63">
        <v>-474000</v>
      </c>
      <c r="AQ74" s="63">
        <v>-600600</v>
      </c>
      <c r="AR74" s="63">
        <v>-635700</v>
      </c>
      <c r="AS74" s="45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</row>
    <row r="75" spans="1:69" outlineLevel="2">
      <c r="A75" s="39"/>
      <c r="B75" s="43"/>
      <c r="C75" s="56" t="s">
        <v>511</v>
      </c>
      <c r="D75" s="57" t="str">
        <f t="shared" ref="D75:D138" si="8">IF(COUNT(L75:AR75)&gt;0,MEDIAN(L75:AR75),"")</f>
        <v/>
      </c>
      <c r="E75" s="57" t="str">
        <f t="shared" ref="E75:E138" si="9">IF(COUNT(L75:AR75)&gt;0,AVERAGE(L75:AR75),"")</f>
        <v/>
      </c>
      <c r="F75" s="57" t="str">
        <f t="shared" ref="F75:F138" si="10">IF(COUNT(L75:AR75)&gt;0,MIN(L75:AR75),"")</f>
        <v/>
      </c>
      <c r="G75" s="57" t="str">
        <f t="shared" ref="G75:G138" si="11">IF(COUNT(L75:AR75)&gt;0,MAX(L75:AR75),"")</f>
        <v/>
      </c>
      <c r="H75" s="57" t="str">
        <f t="shared" ref="H75:H138" si="12">IF(COUNT(L75:AR75)&gt;0,QUARTILE(L75:AR75,1),"")</f>
        <v/>
      </c>
      <c r="I75" s="57" t="str">
        <f t="shared" ref="I75:I138" si="13">IF(COUNT(L75:AR75)&gt;0,QUARTILE(L75:AR75,3),"")</f>
        <v/>
      </c>
      <c r="J75" s="57" t="str">
        <f t="shared" ref="J75:J138" si="14">IF(COUNT(L75:AR75)&gt;1,STDEV(L75:AR75),"")</f>
        <v/>
      </c>
      <c r="K75" s="58" t="str">
        <f t="shared" ref="K75:K138" si="15">IF(COUNT(L75:AR75)&gt;1,STDEV(L75:AR75)/AVERAGE(L75:AR75),"")</f>
        <v/>
      </c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45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</row>
    <row r="76" spans="1:69" outlineLevel="3">
      <c r="A76" s="39"/>
      <c r="B76" s="43"/>
      <c r="C76" s="56" t="s">
        <v>512</v>
      </c>
      <c r="D76" s="57">
        <f t="shared" si="8"/>
        <v>172500</v>
      </c>
      <c r="E76" s="57">
        <f t="shared" si="9"/>
        <v>380600</v>
      </c>
      <c r="F76" s="57">
        <f t="shared" si="10"/>
        <v>0</v>
      </c>
      <c r="G76" s="57">
        <f t="shared" si="11"/>
        <v>1454000</v>
      </c>
      <c r="H76" s="57">
        <f t="shared" si="12"/>
        <v>0</v>
      </c>
      <c r="I76" s="57">
        <f t="shared" si="13"/>
        <v>593250</v>
      </c>
      <c r="J76" s="57">
        <f t="shared" si="14"/>
        <v>499580.09034254623</v>
      </c>
      <c r="K76" s="58">
        <f t="shared" si="15"/>
        <v>1.3126119031596064</v>
      </c>
      <c r="M76" s="59">
        <v>0</v>
      </c>
      <c r="N76" s="59">
        <v>0</v>
      </c>
      <c r="O76" s="59">
        <v>924000</v>
      </c>
      <c r="P76" s="59">
        <v>0</v>
      </c>
      <c r="Q76" s="59">
        <v>0</v>
      </c>
      <c r="R76" s="59"/>
      <c r="S76" s="59"/>
      <c r="T76" s="59"/>
      <c r="U76" s="59">
        <v>1454000</v>
      </c>
      <c r="V76" s="59">
        <v>645000</v>
      </c>
      <c r="W76" s="59">
        <v>345000</v>
      </c>
      <c r="X76" s="59">
        <v>438000</v>
      </c>
      <c r="Y76" s="59"/>
      <c r="Z76" s="59">
        <v>0</v>
      </c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45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</row>
    <row r="77" spans="1:69" outlineLevel="3">
      <c r="A77" s="39"/>
      <c r="B77" s="43"/>
      <c r="C77" s="60" t="s">
        <v>513</v>
      </c>
      <c r="D77" s="61">
        <f t="shared" si="8"/>
        <v>172500</v>
      </c>
      <c r="E77" s="61">
        <f t="shared" si="9"/>
        <v>380600</v>
      </c>
      <c r="F77" s="61">
        <f t="shared" si="10"/>
        <v>0</v>
      </c>
      <c r="G77" s="61">
        <f t="shared" si="11"/>
        <v>1454000</v>
      </c>
      <c r="H77" s="61">
        <f t="shared" si="12"/>
        <v>0</v>
      </c>
      <c r="I77" s="61">
        <f t="shared" si="13"/>
        <v>593250</v>
      </c>
      <c r="J77" s="61">
        <f t="shared" si="14"/>
        <v>499580.09034254623</v>
      </c>
      <c r="K77" s="62">
        <f t="shared" si="15"/>
        <v>1.3126119031596064</v>
      </c>
      <c r="L77" s="41"/>
      <c r="M77" s="63">
        <v>0</v>
      </c>
      <c r="N77" s="63">
        <v>0</v>
      </c>
      <c r="O77" s="63">
        <v>924000</v>
      </c>
      <c r="P77" s="63">
        <v>0</v>
      </c>
      <c r="Q77" s="63">
        <v>0</v>
      </c>
      <c r="R77" s="63"/>
      <c r="S77" s="63"/>
      <c r="T77" s="63"/>
      <c r="U77" s="63">
        <v>1454000</v>
      </c>
      <c r="V77" s="63">
        <v>645000</v>
      </c>
      <c r="W77" s="63">
        <v>345000</v>
      </c>
      <c r="X77" s="63">
        <v>438000</v>
      </c>
      <c r="Y77" s="63"/>
      <c r="Z77" s="63">
        <v>0</v>
      </c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45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</row>
    <row r="78" spans="1:69" outlineLevel="2">
      <c r="A78" s="39"/>
      <c r="B78" s="43"/>
      <c r="C78" s="56" t="s">
        <v>514</v>
      </c>
      <c r="D78" s="57" t="str">
        <f t="shared" si="8"/>
        <v/>
      </c>
      <c r="E78" s="57" t="str">
        <f t="shared" si="9"/>
        <v/>
      </c>
      <c r="F78" s="57" t="str">
        <f t="shared" si="10"/>
        <v/>
      </c>
      <c r="G78" s="57" t="str">
        <f t="shared" si="11"/>
        <v/>
      </c>
      <c r="H78" s="57" t="str">
        <f t="shared" si="12"/>
        <v/>
      </c>
      <c r="I78" s="57" t="str">
        <f t="shared" si="13"/>
        <v/>
      </c>
      <c r="J78" s="57" t="str">
        <f t="shared" si="14"/>
        <v/>
      </c>
      <c r="K78" s="58" t="str">
        <f t="shared" si="15"/>
        <v/>
      </c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45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</row>
    <row r="79" spans="1:69" outlineLevel="3">
      <c r="A79" s="39"/>
      <c r="B79" s="43"/>
      <c r="C79" s="56" t="s">
        <v>515</v>
      </c>
      <c r="D79" s="57">
        <f t="shared" si="8"/>
        <v>-9748500</v>
      </c>
      <c r="E79" s="57">
        <f t="shared" si="9"/>
        <v>-10546300</v>
      </c>
      <c r="F79" s="57">
        <f t="shared" si="10"/>
        <v>-21838000</v>
      </c>
      <c r="G79" s="57">
        <f t="shared" si="11"/>
        <v>-156000</v>
      </c>
      <c r="H79" s="57">
        <f t="shared" si="12"/>
        <v>-11602500</v>
      </c>
      <c r="I79" s="57">
        <f t="shared" si="13"/>
        <v>-8253250</v>
      </c>
      <c r="J79" s="57">
        <f t="shared" si="14"/>
        <v>5842671.415858007</v>
      </c>
      <c r="K79" s="58">
        <f t="shared" si="15"/>
        <v>-0.55400201168732233</v>
      </c>
      <c r="M79" s="59">
        <v>-21225000</v>
      </c>
      <c r="N79" s="59">
        <v>-21838000</v>
      </c>
      <c r="O79" s="59">
        <v>-21491000</v>
      </c>
      <c r="P79" s="59">
        <v>-14127000</v>
      </c>
      <c r="Q79" s="59">
        <v>-13557000</v>
      </c>
      <c r="R79" s="59">
        <v>-10951000</v>
      </c>
      <c r="S79" s="59">
        <v>-10545000</v>
      </c>
      <c r="T79" s="59">
        <v>-10778000</v>
      </c>
      <c r="U79" s="59">
        <v>-8579000</v>
      </c>
      <c r="V79" s="59">
        <v>-9225000</v>
      </c>
      <c r="W79" s="59">
        <v>-9487000</v>
      </c>
      <c r="X79" s="59">
        <v>-8355000</v>
      </c>
      <c r="Y79" s="59">
        <v>-7948000</v>
      </c>
      <c r="Z79" s="59">
        <v>-10010000</v>
      </c>
      <c r="AA79" s="59">
        <v>-7556000</v>
      </c>
      <c r="AB79" s="59">
        <v>-10448000</v>
      </c>
      <c r="AC79" s="59">
        <v>-8560000</v>
      </c>
      <c r="AD79" s="59">
        <v>-5614000</v>
      </c>
      <c r="AE79" s="59">
        <v>-156000</v>
      </c>
      <c r="AF79" s="59"/>
      <c r="AG79" s="59"/>
      <c r="AH79" s="59">
        <v>-476000</v>
      </c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45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</row>
    <row r="80" spans="1:69" outlineLevel="3">
      <c r="A80" s="39"/>
      <c r="B80" s="43"/>
      <c r="C80" s="56" t="s">
        <v>516</v>
      </c>
      <c r="D80" s="57">
        <f t="shared" si="8"/>
        <v>5015500</v>
      </c>
      <c r="E80" s="57">
        <f t="shared" si="9"/>
        <v>3981200</v>
      </c>
      <c r="F80" s="57">
        <f t="shared" si="10"/>
        <v>0</v>
      </c>
      <c r="G80" s="57">
        <f t="shared" si="11"/>
        <v>8104000</v>
      </c>
      <c r="H80" s="57">
        <f t="shared" si="12"/>
        <v>271500</v>
      </c>
      <c r="I80" s="57">
        <f t="shared" si="13"/>
        <v>6159000</v>
      </c>
      <c r="J80" s="57">
        <f t="shared" si="14"/>
        <v>2922203.0550146308</v>
      </c>
      <c r="K80" s="58">
        <f t="shared" si="15"/>
        <v>0.73400056641581202</v>
      </c>
      <c r="M80" s="59">
        <v>6516000</v>
      </c>
      <c r="N80" s="59">
        <v>8104000</v>
      </c>
      <c r="O80" s="59">
        <v>6758000</v>
      </c>
      <c r="P80" s="59">
        <v>5421000</v>
      </c>
      <c r="Q80" s="59">
        <v>7756000</v>
      </c>
      <c r="R80" s="59">
        <v>4928000</v>
      </c>
      <c r="S80" s="59">
        <v>5324000</v>
      </c>
      <c r="T80" s="59">
        <v>5103000</v>
      </c>
      <c r="U80" s="59">
        <v>3385000</v>
      </c>
      <c r="V80" s="59">
        <v>4434000</v>
      </c>
      <c r="W80" s="59">
        <v>52000</v>
      </c>
      <c r="X80" s="59">
        <v>307000</v>
      </c>
      <c r="Y80" s="59">
        <v>165000</v>
      </c>
      <c r="Z80" s="59">
        <v>0</v>
      </c>
      <c r="AA80" s="59">
        <v>6040000</v>
      </c>
      <c r="AB80" s="59">
        <v>7447000</v>
      </c>
      <c r="AC80" s="59">
        <v>5365000</v>
      </c>
      <c r="AD80" s="59">
        <v>2288000</v>
      </c>
      <c r="AE80" s="59">
        <v>138000</v>
      </c>
      <c r="AF80" s="59"/>
      <c r="AG80" s="59"/>
      <c r="AH80" s="59">
        <v>93000</v>
      </c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45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</row>
    <row r="81" spans="1:69" outlineLevel="3">
      <c r="A81" s="39"/>
      <c r="B81" s="43"/>
      <c r="C81" s="60" t="s">
        <v>517</v>
      </c>
      <c r="D81" s="61">
        <f t="shared" si="8"/>
        <v>-5738000</v>
      </c>
      <c r="E81" s="61">
        <f t="shared" si="9"/>
        <v>-6565100</v>
      </c>
      <c r="F81" s="61">
        <f t="shared" si="10"/>
        <v>-14733000</v>
      </c>
      <c r="G81" s="61">
        <f t="shared" si="11"/>
        <v>-18000</v>
      </c>
      <c r="H81" s="61">
        <f t="shared" si="12"/>
        <v>-8888250</v>
      </c>
      <c r="I81" s="61">
        <f t="shared" si="13"/>
        <v>-3293250</v>
      </c>
      <c r="J81" s="61">
        <f t="shared" si="14"/>
        <v>4367539.3758957684</v>
      </c>
      <c r="K81" s="62">
        <f t="shared" si="15"/>
        <v>-0.66526623751287395</v>
      </c>
      <c r="L81" s="41"/>
      <c r="M81" s="63">
        <v>-14709000</v>
      </c>
      <c r="N81" s="63">
        <v>-13734000</v>
      </c>
      <c r="O81" s="63">
        <v>-14733000</v>
      </c>
      <c r="P81" s="63">
        <v>-8706000</v>
      </c>
      <c r="Q81" s="63">
        <v>-5801000</v>
      </c>
      <c r="R81" s="63">
        <v>-6023000</v>
      </c>
      <c r="S81" s="63">
        <v>-5221000</v>
      </c>
      <c r="T81" s="63">
        <v>-5675000</v>
      </c>
      <c r="U81" s="63">
        <v>-5194000</v>
      </c>
      <c r="V81" s="63">
        <v>-4791000</v>
      </c>
      <c r="W81" s="63">
        <v>-9435000</v>
      </c>
      <c r="X81" s="63">
        <v>-8048000</v>
      </c>
      <c r="Y81" s="63">
        <v>-7783000</v>
      </c>
      <c r="Z81" s="63">
        <v>-10010000</v>
      </c>
      <c r="AA81" s="63">
        <v>-1516000</v>
      </c>
      <c r="AB81" s="63">
        <v>-3001000</v>
      </c>
      <c r="AC81" s="63">
        <v>-3195000</v>
      </c>
      <c r="AD81" s="63">
        <v>-3326000</v>
      </c>
      <c r="AE81" s="63">
        <v>-18000</v>
      </c>
      <c r="AF81" s="63"/>
      <c r="AG81" s="63"/>
      <c r="AH81" s="63">
        <v>-383000</v>
      </c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45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</row>
    <row r="82" spans="1:69" outlineLevel="2">
      <c r="A82" s="39"/>
      <c r="B82" s="43"/>
      <c r="C82" s="56" t="s">
        <v>518</v>
      </c>
      <c r="D82" s="57" t="str">
        <f t="shared" si="8"/>
        <v/>
      </c>
      <c r="E82" s="57" t="str">
        <f t="shared" si="9"/>
        <v/>
      </c>
      <c r="F82" s="57" t="str">
        <f t="shared" si="10"/>
        <v/>
      </c>
      <c r="G82" s="57" t="str">
        <f t="shared" si="11"/>
        <v/>
      </c>
      <c r="H82" s="57" t="str">
        <f t="shared" si="12"/>
        <v/>
      </c>
      <c r="I82" s="57" t="str">
        <f t="shared" si="13"/>
        <v/>
      </c>
      <c r="J82" s="57" t="str">
        <f t="shared" si="14"/>
        <v/>
      </c>
      <c r="K82" s="58" t="str">
        <f t="shared" si="15"/>
        <v/>
      </c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45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</row>
    <row r="83" spans="1:69" outlineLevel="3">
      <c r="A83" s="39"/>
      <c r="B83" s="43"/>
      <c r="C83" s="56" t="s">
        <v>519</v>
      </c>
      <c r="D83" s="57">
        <f t="shared" si="8"/>
        <v>0</v>
      </c>
      <c r="E83" s="57">
        <f t="shared" si="9"/>
        <v>0</v>
      </c>
      <c r="F83" s="57">
        <f t="shared" si="10"/>
        <v>0</v>
      </c>
      <c r="G83" s="57">
        <f t="shared" si="11"/>
        <v>0</v>
      </c>
      <c r="H83" s="57">
        <f t="shared" si="12"/>
        <v>0</v>
      </c>
      <c r="I83" s="57">
        <f t="shared" si="13"/>
        <v>0</v>
      </c>
      <c r="J83" s="57" t="str">
        <f t="shared" si="14"/>
        <v/>
      </c>
      <c r="K83" s="58" t="str">
        <f t="shared" si="15"/>
        <v/>
      </c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>
        <v>0</v>
      </c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45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</row>
    <row r="84" spans="1:69" outlineLevel="3">
      <c r="A84" s="39"/>
      <c r="B84" s="43"/>
      <c r="C84" s="60" t="s">
        <v>520</v>
      </c>
      <c r="D84" s="61">
        <f t="shared" si="8"/>
        <v>0</v>
      </c>
      <c r="E84" s="61">
        <f t="shared" si="9"/>
        <v>0</v>
      </c>
      <c r="F84" s="61">
        <f t="shared" si="10"/>
        <v>0</v>
      </c>
      <c r="G84" s="61">
        <f t="shared" si="11"/>
        <v>0</v>
      </c>
      <c r="H84" s="61">
        <f t="shared" si="12"/>
        <v>0</v>
      </c>
      <c r="I84" s="61">
        <f t="shared" si="13"/>
        <v>0</v>
      </c>
      <c r="J84" s="61" t="str">
        <f t="shared" si="14"/>
        <v/>
      </c>
      <c r="K84" s="62" t="str">
        <f t="shared" si="15"/>
        <v/>
      </c>
      <c r="L84" s="41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>
        <v>0</v>
      </c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45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</row>
    <row r="85" spans="1:69" outlineLevel="2">
      <c r="A85" s="39"/>
      <c r="B85" s="43"/>
      <c r="C85" s="56" t="s">
        <v>521</v>
      </c>
      <c r="D85" s="57">
        <f t="shared" si="8"/>
        <v>7000</v>
      </c>
      <c r="E85" s="57">
        <f t="shared" si="9"/>
        <v>214666.66666666666</v>
      </c>
      <c r="F85" s="57">
        <f t="shared" si="10"/>
        <v>0</v>
      </c>
      <c r="G85" s="57">
        <f t="shared" si="11"/>
        <v>637000</v>
      </c>
      <c r="H85" s="57">
        <f t="shared" si="12"/>
        <v>3500</v>
      </c>
      <c r="I85" s="57">
        <f t="shared" si="13"/>
        <v>322000</v>
      </c>
      <c r="J85" s="57">
        <f t="shared" si="14"/>
        <v>365768.1414958571</v>
      </c>
      <c r="K85" s="58">
        <f t="shared" si="15"/>
        <v>1.7038888578999556</v>
      </c>
      <c r="M85" s="59"/>
      <c r="N85" s="59"/>
      <c r="O85" s="59"/>
      <c r="P85" s="59"/>
      <c r="Q85" s="59"/>
      <c r="R85" s="59"/>
      <c r="S85" s="59"/>
      <c r="T85" s="59">
        <v>637000</v>
      </c>
      <c r="U85" s="59">
        <v>7000</v>
      </c>
      <c r="V85" s="59">
        <v>0</v>
      </c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45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</row>
    <row r="86" spans="1:69" outlineLevel="2">
      <c r="A86" s="39"/>
      <c r="B86" s="43"/>
      <c r="C86" s="56" t="s">
        <v>522</v>
      </c>
      <c r="D86" s="57">
        <f t="shared" si="8"/>
        <v>43000</v>
      </c>
      <c r="E86" s="57">
        <f t="shared" si="9"/>
        <v>283150</v>
      </c>
      <c r="F86" s="57">
        <f t="shared" si="10"/>
        <v>-2703000</v>
      </c>
      <c r="G86" s="57">
        <f t="shared" si="11"/>
        <v>5638000</v>
      </c>
      <c r="H86" s="57">
        <f t="shared" si="12"/>
        <v>-318500</v>
      </c>
      <c r="I86" s="57">
        <f t="shared" si="13"/>
        <v>203500</v>
      </c>
      <c r="J86" s="57">
        <f t="shared" si="14"/>
        <v>1999781.6713089522</v>
      </c>
      <c r="K86" s="58">
        <f t="shared" si="15"/>
        <v>7.0626228900192549</v>
      </c>
      <c r="M86" s="59">
        <v>118000</v>
      </c>
      <c r="N86" s="59">
        <v>-16000</v>
      </c>
      <c r="O86" s="59">
        <v>-110000</v>
      </c>
      <c r="P86" s="59">
        <v>89000</v>
      </c>
      <c r="Q86" s="59">
        <v>40000</v>
      </c>
      <c r="R86" s="59">
        <v>83000</v>
      </c>
      <c r="S86" s="59">
        <v>121000</v>
      </c>
      <c r="T86" s="59">
        <v>47000</v>
      </c>
      <c r="U86" s="59">
        <v>220000</v>
      </c>
      <c r="V86" s="59">
        <v>340000</v>
      </c>
      <c r="W86" s="59">
        <v>4966000</v>
      </c>
      <c r="X86" s="59">
        <v>4678000</v>
      </c>
      <c r="Y86" s="59">
        <v>4636000</v>
      </c>
      <c r="Z86" s="59">
        <v>5638000</v>
      </c>
      <c r="AA86" s="59">
        <v>829000</v>
      </c>
      <c r="AB86" s="59">
        <v>664000</v>
      </c>
      <c r="AC86" s="59">
        <v>198000</v>
      </c>
      <c r="AD86" s="59">
        <v>39000</v>
      </c>
      <c r="AE86" s="59">
        <v>-2703000</v>
      </c>
      <c r="AF86" s="59">
        <v>-1981000</v>
      </c>
      <c r="AG86" s="59">
        <v>-536000</v>
      </c>
      <c r="AH86" s="59">
        <v>46000</v>
      </c>
      <c r="AI86" s="59">
        <v>-1698000</v>
      </c>
      <c r="AJ86" s="59">
        <v>-1990000</v>
      </c>
      <c r="AK86" s="59">
        <v>-2165000</v>
      </c>
      <c r="AL86" s="59">
        <v>-666000</v>
      </c>
      <c r="AM86" s="59">
        <v>-1311000</v>
      </c>
      <c r="AN86" s="59">
        <v>-178000</v>
      </c>
      <c r="AO86" s="59">
        <v>-246000</v>
      </c>
      <c r="AP86" s="59">
        <v>-52000</v>
      </c>
      <c r="AQ86" s="59">
        <v>-101000</v>
      </c>
      <c r="AR86" s="59">
        <v>61800</v>
      </c>
      <c r="AS86" s="45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</row>
    <row r="87" spans="1:69" outlineLevel="2">
      <c r="A87" s="39"/>
      <c r="B87" s="43"/>
      <c r="C87" s="60" t="s">
        <v>523</v>
      </c>
      <c r="D87" s="61">
        <f t="shared" si="8"/>
        <v>-5546000</v>
      </c>
      <c r="E87" s="61">
        <f t="shared" si="9"/>
        <v>-7518921.875</v>
      </c>
      <c r="F87" s="61">
        <f t="shared" si="10"/>
        <v>-23865000</v>
      </c>
      <c r="G87" s="61">
        <f t="shared" si="11"/>
        <v>-526000</v>
      </c>
      <c r="H87" s="61">
        <f t="shared" si="12"/>
        <v>-9433500</v>
      </c>
      <c r="I87" s="61">
        <f t="shared" si="13"/>
        <v>-2170250</v>
      </c>
      <c r="J87" s="61">
        <f t="shared" si="14"/>
        <v>6895240.4823081326</v>
      </c>
      <c r="K87" s="62">
        <f t="shared" si="15"/>
        <v>-0.91705175249053006</v>
      </c>
      <c r="L87" s="41"/>
      <c r="M87" s="63">
        <v>-23865000</v>
      </c>
      <c r="N87" s="63">
        <v>-22264000</v>
      </c>
      <c r="O87" s="63">
        <v>-23467000</v>
      </c>
      <c r="P87" s="63">
        <v>-18359000</v>
      </c>
      <c r="Q87" s="63">
        <v>-13591000</v>
      </c>
      <c r="R87" s="63">
        <v>-13699000</v>
      </c>
      <c r="S87" s="63">
        <v>-16177000</v>
      </c>
      <c r="T87" s="63">
        <v>-10950000</v>
      </c>
      <c r="U87" s="63">
        <v>-8918000</v>
      </c>
      <c r="V87" s="63">
        <v>-8046000</v>
      </c>
      <c r="W87" s="63">
        <v>-7996000</v>
      </c>
      <c r="X87" s="63">
        <v>-6361000</v>
      </c>
      <c r="Y87" s="63">
        <v>-6123000</v>
      </c>
      <c r="Z87" s="63">
        <v>-8928000</v>
      </c>
      <c r="AA87" s="63">
        <v>-5279000</v>
      </c>
      <c r="AB87" s="63">
        <v>-5284000</v>
      </c>
      <c r="AC87" s="63">
        <v>-5935000</v>
      </c>
      <c r="AD87" s="63">
        <v>-5808000</v>
      </c>
      <c r="AE87" s="63">
        <v>-4578000</v>
      </c>
      <c r="AF87" s="63">
        <v>-3807000</v>
      </c>
      <c r="AG87" s="63">
        <v>-2165000</v>
      </c>
      <c r="AH87" s="63">
        <v>-1872000</v>
      </c>
      <c r="AI87" s="63">
        <v>-3089000</v>
      </c>
      <c r="AJ87" s="63">
        <v>-3267000</v>
      </c>
      <c r="AK87" s="63">
        <v>-3269000</v>
      </c>
      <c r="AL87" s="63">
        <v>-1943000</v>
      </c>
      <c r="AM87" s="63">
        <v>-2172000</v>
      </c>
      <c r="AN87" s="63">
        <v>-795000</v>
      </c>
      <c r="AO87" s="63">
        <v>-797000</v>
      </c>
      <c r="AP87" s="63">
        <v>-526000</v>
      </c>
      <c r="AQ87" s="63">
        <v>-701600</v>
      </c>
      <c r="AR87" s="63">
        <v>-573900</v>
      </c>
      <c r="AS87" s="45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</row>
    <row r="88" spans="1:69" outlineLevel="1">
      <c r="A88" s="39"/>
      <c r="B88" s="43"/>
      <c r="C88" s="53" t="s">
        <v>524</v>
      </c>
      <c r="D88" s="61">
        <f t="shared" si="8"/>
        <v>-5546000</v>
      </c>
      <c r="E88" s="61">
        <f t="shared" si="9"/>
        <v>-7518921.875</v>
      </c>
      <c r="F88" s="61">
        <f t="shared" si="10"/>
        <v>-23865000</v>
      </c>
      <c r="G88" s="61">
        <f t="shared" si="11"/>
        <v>-526000</v>
      </c>
      <c r="H88" s="61">
        <f t="shared" si="12"/>
        <v>-9433500</v>
      </c>
      <c r="I88" s="61">
        <f t="shared" si="13"/>
        <v>-2170250</v>
      </c>
      <c r="J88" s="61">
        <f t="shared" si="14"/>
        <v>6895240.4823081326</v>
      </c>
      <c r="K88" s="62">
        <f t="shared" si="15"/>
        <v>-0.91705175249053006</v>
      </c>
      <c r="L88" s="64"/>
      <c r="M88" s="61">
        <v>-23865000</v>
      </c>
      <c r="N88" s="61">
        <v>-22264000</v>
      </c>
      <c r="O88" s="61">
        <v>-23467000</v>
      </c>
      <c r="P88" s="61">
        <v>-18359000</v>
      </c>
      <c r="Q88" s="61">
        <v>-13591000</v>
      </c>
      <c r="R88" s="61">
        <v>-13699000</v>
      </c>
      <c r="S88" s="61">
        <v>-16177000</v>
      </c>
      <c r="T88" s="61">
        <v>-10950000</v>
      </c>
      <c r="U88" s="61">
        <v>-8918000</v>
      </c>
      <c r="V88" s="61">
        <v>-8046000</v>
      </c>
      <c r="W88" s="61">
        <v>-7996000</v>
      </c>
      <c r="X88" s="61">
        <v>-6361000</v>
      </c>
      <c r="Y88" s="61">
        <v>-6123000</v>
      </c>
      <c r="Z88" s="61">
        <v>-8928000</v>
      </c>
      <c r="AA88" s="61">
        <v>-5279000</v>
      </c>
      <c r="AB88" s="61">
        <v>-5284000</v>
      </c>
      <c r="AC88" s="61">
        <v>-5935000</v>
      </c>
      <c r="AD88" s="61">
        <v>-5808000</v>
      </c>
      <c r="AE88" s="61">
        <v>-4578000</v>
      </c>
      <c r="AF88" s="61">
        <v>-3807000</v>
      </c>
      <c r="AG88" s="61">
        <v>-2165000</v>
      </c>
      <c r="AH88" s="61">
        <v>-1872000</v>
      </c>
      <c r="AI88" s="61">
        <v>-3089000</v>
      </c>
      <c r="AJ88" s="61">
        <v>-3267000</v>
      </c>
      <c r="AK88" s="61">
        <v>-3269000</v>
      </c>
      <c r="AL88" s="61">
        <v>-1943000</v>
      </c>
      <c r="AM88" s="61">
        <v>-2172000</v>
      </c>
      <c r="AN88" s="61">
        <v>-795000</v>
      </c>
      <c r="AO88" s="61">
        <v>-797000</v>
      </c>
      <c r="AP88" s="61">
        <v>-526000</v>
      </c>
      <c r="AQ88" s="61">
        <v>-701600</v>
      </c>
      <c r="AR88" s="61">
        <v>-573900</v>
      </c>
      <c r="AS88" s="45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</row>
    <row r="89" spans="1:69">
      <c r="A89" s="39"/>
      <c r="B89" s="43"/>
      <c r="C89" s="53" t="s">
        <v>2</v>
      </c>
      <c r="D89" s="54" t="str">
        <f t="shared" si="8"/>
        <v/>
      </c>
      <c r="E89" s="54" t="str">
        <f t="shared" si="9"/>
        <v/>
      </c>
      <c r="F89" s="54" t="str">
        <f t="shared" si="10"/>
        <v/>
      </c>
      <c r="G89" s="54" t="str">
        <f t="shared" si="11"/>
        <v/>
      </c>
      <c r="H89" s="54" t="str">
        <f t="shared" si="12"/>
        <v/>
      </c>
      <c r="I89" s="54" t="str">
        <f t="shared" si="13"/>
        <v/>
      </c>
      <c r="J89" s="54" t="str">
        <f t="shared" si="14"/>
        <v/>
      </c>
      <c r="K89" s="55" t="str">
        <f t="shared" si="15"/>
        <v/>
      </c>
      <c r="L89" s="48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45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</row>
    <row r="90" spans="1:69" outlineLevel="1">
      <c r="A90" s="39"/>
      <c r="B90" s="43"/>
      <c r="C90" s="56" t="s">
        <v>525</v>
      </c>
      <c r="D90" s="57" t="str">
        <f t="shared" si="8"/>
        <v/>
      </c>
      <c r="E90" s="57" t="str">
        <f t="shared" si="9"/>
        <v/>
      </c>
      <c r="F90" s="57" t="str">
        <f t="shared" si="10"/>
        <v/>
      </c>
      <c r="G90" s="57" t="str">
        <f t="shared" si="11"/>
        <v/>
      </c>
      <c r="H90" s="57" t="str">
        <f t="shared" si="12"/>
        <v/>
      </c>
      <c r="I90" s="57" t="str">
        <f t="shared" si="13"/>
        <v/>
      </c>
      <c r="J90" s="57" t="str">
        <f t="shared" si="14"/>
        <v/>
      </c>
      <c r="K90" s="58" t="str">
        <f t="shared" si="15"/>
        <v/>
      </c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45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</row>
    <row r="91" spans="1:69" outlineLevel="2">
      <c r="A91" s="39"/>
      <c r="B91" s="43"/>
      <c r="C91" s="56" t="s">
        <v>526</v>
      </c>
      <c r="D91" s="57" t="str">
        <f t="shared" si="8"/>
        <v/>
      </c>
      <c r="E91" s="57" t="str">
        <f t="shared" si="9"/>
        <v/>
      </c>
      <c r="F91" s="57" t="str">
        <f t="shared" si="10"/>
        <v/>
      </c>
      <c r="G91" s="57" t="str">
        <f t="shared" si="11"/>
        <v/>
      </c>
      <c r="H91" s="57" t="str">
        <f t="shared" si="12"/>
        <v/>
      </c>
      <c r="I91" s="57" t="str">
        <f t="shared" si="13"/>
        <v/>
      </c>
      <c r="J91" s="57" t="str">
        <f t="shared" si="14"/>
        <v/>
      </c>
      <c r="K91" s="58" t="str">
        <f t="shared" si="15"/>
        <v/>
      </c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45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</row>
    <row r="92" spans="1:69" outlineLevel="3">
      <c r="A92" s="39"/>
      <c r="B92" s="43"/>
      <c r="C92" s="56" t="s">
        <v>527</v>
      </c>
      <c r="D92" s="57">
        <f t="shared" si="8"/>
        <v>333000</v>
      </c>
      <c r="E92" s="57">
        <f t="shared" si="9"/>
        <v>677508.69565217395</v>
      </c>
      <c r="F92" s="57">
        <f t="shared" si="10"/>
        <v>14000</v>
      </c>
      <c r="G92" s="57">
        <f t="shared" si="11"/>
        <v>4514000</v>
      </c>
      <c r="H92" s="57">
        <f t="shared" si="12"/>
        <v>51500</v>
      </c>
      <c r="I92" s="57">
        <f t="shared" si="13"/>
        <v>740500</v>
      </c>
      <c r="J92" s="57">
        <f t="shared" si="14"/>
        <v>1012844.8714177863</v>
      </c>
      <c r="K92" s="58">
        <f t="shared" si="15"/>
        <v>1.4949547923408064</v>
      </c>
      <c r="M92" s="59">
        <v>2038000</v>
      </c>
      <c r="N92" s="59">
        <v>48000</v>
      </c>
      <c r="O92" s="59">
        <v>4514000</v>
      </c>
      <c r="P92" s="59">
        <v>1514000</v>
      </c>
      <c r="Q92" s="59">
        <v>14000</v>
      </c>
      <c r="R92" s="59"/>
      <c r="S92" s="59">
        <v>1494000</v>
      </c>
      <c r="T92" s="59"/>
      <c r="U92" s="59">
        <v>55000</v>
      </c>
      <c r="V92" s="59">
        <v>537000</v>
      </c>
      <c r="W92" s="59">
        <v>1298000</v>
      </c>
      <c r="X92" s="59">
        <v>633000</v>
      </c>
      <c r="Y92" s="59">
        <v>842000</v>
      </c>
      <c r="Z92" s="59">
        <v>405000</v>
      </c>
      <c r="AA92" s="59">
        <v>48000</v>
      </c>
      <c r="AB92" s="59">
        <v>308000</v>
      </c>
      <c r="AC92" s="59">
        <v>198000</v>
      </c>
      <c r="AD92" s="59">
        <v>41000</v>
      </c>
      <c r="AE92" s="59">
        <v>46000</v>
      </c>
      <c r="AF92" s="59">
        <v>333000</v>
      </c>
      <c r="AG92" s="59">
        <v>639000</v>
      </c>
      <c r="AH92" s="59">
        <v>110000</v>
      </c>
      <c r="AI92" s="59">
        <v>73000</v>
      </c>
      <c r="AJ92" s="59">
        <v>378000</v>
      </c>
      <c r="AK92" s="59"/>
      <c r="AL92" s="59"/>
      <c r="AM92" s="59"/>
      <c r="AN92" s="59"/>
      <c r="AO92" s="59"/>
      <c r="AP92" s="59"/>
      <c r="AQ92" s="59"/>
      <c r="AR92" s="59">
        <v>16700</v>
      </c>
      <c r="AS92" s="45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</row>
    <row r="93" spans="1:69" outlineLevel="3">
      <c r="A93" s="39"/>
      <c r="B93" s="43"/>
      <c r="C93" s="56" t="s">
        <v>528</v>
      </c>
      <c r="D93" s="57">
        <f t="shared" si="8"/>
        <v>-87000</v>
      </c>
      <c r="E93" s="57">
        <f t="shared" si="9"/>
        <v>-113758.33333333333</v>
      </c>
      <c r="F93" s="57">
        <f t="shared" si="10"/>
        <v>-375000</v>
      </c>
      <c r="G93" s="57">
        <f t="shared" si="11"/>
        <v>0</v>
      </c>
      <c r="H93" s="57">
        <f t="shared" si="12"/>
        <v>-130275</v>
      </c>
      <c r="I93" s="57">
        <f t="shared" si="13"/>
        <v>-58500</v>
      </c>
      <c r="J93" s="57">
        <f t="shared" si="14"/>
        <v>102286.82896046723</v>
      </c>
      <c r="K93" s="58">
        <f t="shared" si="15"/>
        <v>-0.89915899752809814</v>
      </c>
      <c r="M93" s="59"/>
      <c r="N93" s="59"/>
      <c r="O93" s="59"/>
      <c r="P93" s="59"/>
      <c r="Q93" s="59"/>
      <c r="R93" s="59">
        <v>-92000</v>
      </c>
      <c r="S93" s="59"/>
      <c r="T93" s="59"/>
      <c r="U93" s="59"/>
      <c r="V93" s="59"/>
      <c r="W93" s="59"/>
      <c r="X93" s="59"/>
      <c r="Y93" s="59"/>
      <c r="Z93" s="59">
        <v>-19000</v>
      </c>
      <c r="AA93" s="59">
        <v>-375000</v>
      </c>
      <c r="AB93" s="59">
        <v>0</v>
      </c>
      <c r="AC93" s="59"/>
      <c r="AD93" s="59"/>
      <c r="AE93" s="59"/>
      <c r="AF93" s="59"/>
      <c r="AG93" s="59"/>
      <c r="AH93" s="59"/>
      <c r="AI93" s="59">
        <v>-228000</v>
      </c>
      <c r="AJ93" s="59"/>
      <c r="AK93" s="59"/>
      <c r="AL93" s="59">
        <v>-150000</v>
      </c>
      <c r="AM93" s="59">
        <v>-116000</v>
      </c>
      <c r="AN93" s="59">
        <v>-62000</v>
      </c>
      <c r="AO93" s="59">
        <v>-48000</v>
      </c>
      <c r="AP93" s="59">
        <v>-82000</v>
      </c>
      <c r="AQ93" s="59">
        <v>-69400</v>
      </c>
      <c r="AR93" s="59">
        <v>-123700</v>
      </c>
      <c r="AS93" s="45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</row>
    <row r="94" spans="1:69" outlineLevel="3">
      <c r="A94" s="39"/>
      <c r="B94" s="43"/>
      <c r="C94" s="60" t="s">
        <v>529</v>
      </c>
      <c r="D94" s="61">
        <f t="shared" si="8"/>
        <v>110000</v>
      </c>
      <c r="E94" s="61">
        <f t="shared" si="9"/>
        <v>481793.54838709679</v>
      </c>
      <c r="F94" s="61">
        <f t="shared" si="10"/>
        <v>-327000</v>
      </c>
      <c r="G94" s="61">
        <f t="shared" si="11"/>
        <v>4514000</v>
      </c>
      <c r="H94" s="61">
        <f t="shared" si="12"/>
        <v>-65700</v>
      </c>
      <c r="I94" s="61">
        <f t="shared" si="13"/>
        <v>636000</v>
      </c>
      <c r="J94" s="61">
        <f t="shared" si="14"/>
        <v>942115.30856029293</v>
      </c>
      <c r="K94" s="62">
        <f t="shared" si="15"/>
        <v>1.9554336327545649</v>
      </c>
      <c r="L94" s="41"/>
      <c r="M94" s="63">
        <v>2038000</v>
      </c>
      <c r="N94" s="63">
        <v>48000</v>
      </c>
      <c r="O94" s="63">
        <v>4514000</v>
      </c>
      <c r="P94" s="63">
        <v>1514000</v>
      </c>
      <c r="Q94" s="63">
        <v>14000</v>
      </c>
      <c r="R94" s="63">
        <v>-92000</v>
      </c>
      <c r="S94" s="63">
        <v>1494000</v>
      </c>
      <c r="T94" s="63">
        <v>718000</v>
      </c>
      <c r="U94" s="63">
        <v>55000</v>
      </c>
      <c r="V94" s="63">
        <v>537000</v>
      </c>
      <c r="W94" s="63">
        <v>1298000</v>
      </c>
      <c r="X94" s="63">
        <v>633000</v>
      </c>
      <c r="Y94" s="63">
        <v>842000</v>
      </c>
      <c r="Z94" s="63">
        <v>386000</v>
      </c>
      <c r="AA94" s="63">
        <v>-327000</v>
      </c>
      <c r="AB94" s="63">
        <v>308000</v>
      </c>
      <c r="AC94" s="63">
        <v>198000</v>
      </c>
      <c r="AD94" s="63">
        <v>41000</v>
      </c>
      <c r="AE94" s="63">
        <v>46000</v>
      </c>
      <c r="AF94" s="63">
        <v>333000</v>
      </c>
      <c r="AG94" s="63">
        <v>639000</v>
      </c>
      <c r="AH94" s="63">
        <v>110000</v>
      </c>
      <c r="AI94" s="63">
        <v>-155000</v>
      </c>
      <c r="AJ94" s="63">
        <v>378000</v>
      </c>
      <c r="AK94" s="63"/>
      <c r="AL94" s="63">
        <v>-150000</v>
      </c>
      <c r="AM94" s="63">
        <v>-116000</v>
      </c>
      <c r="AN94" s="63">
        <v>-62000</v>
      </c>
      <c r="AO94" s="63">
        <v>-48000</v>
      </c>
      <c r="AP94" s="63">
        <v>-82000</v>
      </c>
      <c r="AQ94" s="63">
        <v>-69400</v>
      </c>
      <c r="AR94" s="63">
        <v>-107000</v>
      </c>
      <c r="AS94" s="45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</row>
    <row r="95" spans="1:69" outlineLevel="2">
      <c r="A95" s="39"/>
      <c r="B95" s="43"/>
      <c r="C95" s="56" t="s">
        <v>530</v>
      </c>
      <c r="D95" s="57" t="str">
        <f t="shared" si="8"/>
        <v/>
      </c>
      <c r="E95" s="57" t="str">
        <f t="shared" si="9"/>
        <v/>
      </c>
      <c r="F95" s="57" t="str">
        <f t="shared" si="10"/>
        <v/>
      </c>
      <c r="G95" s="57" t="str">
        <f t="shared" si="11"/>
        <v/>
      </c>
      <c r="H95" s="57" t="str">
        <f t="shared" si="12"/>
        <v/>
      </c>
      <c r="I95" s="57" t="str">
        <f t="shared" si="13"/>
        <v/>
      </c>
      <c r="J95" s="57" t="str">
        <f t="shared" si="14"/>
        <v/>
      </c>
      <c r="K95" s="58" t="str">
        <f t="shared" si="15"/>
        <v/>
      </c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45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</row>
    <row r="96" spans="1:69" outlineLevel="3">
      <c r="A96" s="39"/>
      <c r="B96" s="43"/>
      <c r="C96" s="56" t="s">
        <v>531</v>
      </c>
      <c r="D96" s="57">
        <f t="shared" si="8"/>
        <v>274000</v>
      </c>
      <c r="E96" s="57">
        <f t="shared" si="9"/>
        <v>274000</v>
      </c>
      <c r="F96" s="57">
        <f t="shared" si="10"/>
        <v>0</v>
      </c>
      <c r="G96" s="57">
        <f t="shared" si="11"/>
        <v>548000</v>
      </c>
      <c r="H96" s="57">
        <f t="shared" si="12"/>
        <v>137000</v>
      </c>
      <c r="I96" s="57">
        <f t="shared" si="13"/>
        <v>411000</v>
      </c>
      <c r="J96" s="57">
        <f t="shared" si="14"/>
        <v>387494.51609022805</v>
      </c>
      <c r="K96" s="58">
        <f t="shared" si="15"/>
        <v>1.4142135623730951</v>
      </c>
      <c r="M96" s="59"/>
      <c r="N96" s="59"/>
      <c r="O96" s="59"/>
      <c r="P96" s="59"/>
      <c r="Q96" s="59"/>
      <c r="R96" s="59"/>
      <c r="S96" s="59"/>
      <c r="T96" s="59"/>
      <c r="U96" s="59">
        <v>548000</v>
      </c>
      <c r="V96" s="59">
        <v>0</v>
      </c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45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</row>
    <row r="97" spans="1:69" outlineLevel="3">
      <c r="A97" s="39"/>
      <c r="B97" s="43"/>
      <c r="C97" s="60" t="s">
        <v>532</v>
      </c>
      <c r="D97" s="61">
        <f t="shared" si="8"/>
        <v>274000</v>
      </c>
      <c r="E97" s="61">
        <f t="shared" si="9"/>
        <v>274000</v>
      </c>
      <c r="F97" s="61">
        <f t="shared" si="10"/>
        <v>0</v>
      </c>
      <c r="G97" s="61">
        <f t="shared" si="11"/>
        <v>548000</v>
      </c>
      <c r="H97" s="61">
        <f t="shared" si="12"/>
        <v>137000</v>
      </c>
      <c r="I97" s="61">
        <f t="shared" si="13"/>
        <v>411000</v>
      </c>
      <c r="J97" s="61">
        <f t="shared" si="14"/>
        <v>387494.51609022805</v>
      </c>
      <c r="K97" s="62">
        <f t="shared" si="15"/>
        <v>1.4142135623730951</v>
      </c>
      <c r="L97" s="41"/>
      <c r="M97" s="63"/>
      <c r="N97" s="63"/>
      <c r="O97" s="63"/>
      <c r="P97" s="63"/>
      <c r="Q97" s="63"/>
      <c r="R97" s="63"/>
      <c r="S97" s="63"/>
      <c r="T97" s="63"/>
      <c r="U97" s="63">
        <v>548000</v>
      </c>
      <c r="V97" s="63">
        <v>0</v>
      </c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45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</row>
    <row r="98" spans="1:69" outlineLevel="2">
      <c r="A98" s="39"/>
      <c r="B98" s="43"/>
      <c r="C98" s="56" t="s">
        <v>533</v>
      </c>
      <c r="D98" s="57" t="str">
        <f t="shared" si="8"/>
        <v/>
      </c>
      <c r="E98" s="57" t="str">
        <f t="shared" si="9"/>
        <v/>
      </c>
      <c r="F98" s="57" t="str">
        <f t="shared" si="10"/>
        <v/>
      </c>
      <c r="G98" s="57" t="str">
        <f t="shared" si="11"/>
        <v/>
      </c>
      <c r="H98" s="57" t="str">
        <f t="shared" si="12"/>
        <v/>
      </c>
      <c r="I98" s="57" t="str">
        <f t="shared" si="13"/>
        <v/>
      </c>
      <c r="J98" s="57" t="str">
        <f t="shared" si="14"/>
        <v/>
      </c>
      <c r="K98" s="58" t="str">
        <f t="shared" si="15"/>
        <v/>
      </c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45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</row>
    <row r="99" spans="1:69" outlineLevel="3">
      <c r="A99" s="39"/>
      <c r="B99" s="43"/>
      <c r="C99" s="56" t="s">
        <v>534</v>
      </c>
      <c r="D99" s="57" t="str">
        <f t="shared" si="8"/>
        <v/>
      </c>
      <c r="E99" s="57" t="str">
        <f t="shared" si="9"/>
        <v/>
      </c>
      <c r="F99" s="57" t="str">
        <f t="shared" si="10"/>
        <v/>
      </c>
      <c r="G99" s="57" t="str">
        <f t="shared" si="11"/>
        <v/>
      </c>
      <c r="H99" s="57" t="str">
        <f t="shared" si="12"/>
        <v/>
      </c>
      <c r="I99" s="57" t="str">
        <f t="shared" si="13"/>
        <v/>
      </c>
      <c r="J99" s="57" t="str">
        <f t="shared" si="14"/>
        <v/>
      </c>
      <c r="K99" s="58" t="str">
        <f t="shared" si="15"/>
        <v/>
      </c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45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</row>
    <row r="100" spans="1:69" outlineLevel="4">
      <c r="A100" s="39"/>
      <c r="B100" s="43"/>
      <c r="C100" s="56" t="s">
        <v>535</v>
      </c>
      <c r="D100" s="57">
        <f t="shared" si="8"/>
        <v>899500</v>
      </c>
      <c r="E100" s="57">
        <f t="shared" si="9"/>
        <v>1909125</v>
      </c>
      <c r="F100" s="57">
        <f t="shared" si="10"/>
        <v>0</v>
      </c>
      <c r="G100" s="57">
        <f t="shared" si="11"/>
        <v>6727000</v>
      </c>
      <c r="H100" s="57">
        <f t="shared" si="12"/>
        <v>345500</v>
      </c>
      <c r="I100" s="57">
        <f t="shared" si="13"/>
        <v>2329250</v>
      </c>
      <c r="J100" s="57">
        <f t="shared" si="14"/>
        <v>2268533.6196171599</v>
      </c>
      <c r="K100" s="58">
        <f t="shared" si="15"/>
        <v>1.1882582961394146</v>
      </c>
      <c r="M100" s="59">
        <v>2843000</v>
      </c>
      <c r="N100" s="59">
        <v>6575000</v>
      </c>
      <c r="O100" s="59">
        <v>4921000</v>
      </c>
      <c r="P100" s="59">
        <v>2082000</v>
      </c>
      <c r="Q100" s="59">
        <v>0</v>
      </c>
      <c r="R100" s="59">
        <v>2158000</v>
      </c>
      <c r="S100" s="59">
        <v>200000</v>
      </c>
      <c r="T100" s="59">
        <v>6727000</v>
      </c>
      <c r="U100" s="59">
        <v>1869000</v>
      </c>
      <c r="V100" s="59">
        <v>394000</v>
      </c>
      <c r="W100" s="59">
        <v>457000</v>
      </c>
      <c r="X100" s="59">
        <v>951000</v>
      </c>
      <c r="Y100" s="59">
        <v>0</v>
      </c>
      <c r="Z100" s="59">
        <v>61000</v>
      </c>
      <c r="AA100" s="59">
        <v>460000</v>
      </c>
      <c r="AB100" s="59"/>
      <c r="AC100" s="59"/>
      <c r="AD100" s="59">
        <v>848000</v>
      </c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45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</row>
    <row r="101" spans="1:69" outlineLevel="4">
      <c r="A101" s="39"/>
      <c r="B101" s="43"/>
      <c r="C101" s="56" t="s">
        <v>536</v>
      </c>
      <c r="D101" s="57">
        <f t="shared" si="8"/>
        <v>-813000</v>
      </c>
      <c r="E101" s="57">
        <f t="shared" si="9"/>
        <v>-1874400</v>
      </c>
      <c r="F101" s="57">
        <f t="shared" si="10"/>
        <v>-9593000</v>
      </c>
      <c r="G101" s="57">
        <f t="shared" si="11"/>
        <v>154000</v>
      </c>
      <c r="H101" s="57">
        <f t="shared" si="12"/>
        <v>-2390000</v>
      </c>
      <c r="I101" s="57">
        <f t="shared" si="13"/>
        <v>-477500</v>
      </c>
      <c r="J101" s="57">
        <f t="shared" si="14"/>
        <v>2536241.0543389376</v>
      </c>
      <c r="K101" s="58">
        <f t="shared" si="15"/>
        <v>-1.3530948860109568</v>
      </c>
      <c r="M101" s="59">
        <v>-2167000</v>
      </c>
      <c r="N101" s="59">
        <v>-9593000</v>
      </c>
      <c r="O101" s="59">
        <v>-2613000</v>
      </c>
      <c r="P101" s="59">
        <v>-1125000</v>
      </c>
      <c r="Q101" s="59">
        <v>-426000</v>
      </c>
      <c r="R101" s="59">
        <v>-3065000</v>
      </c>
      <c r="S101" s="59">
        <v>-4999000</v>
      </c>
      <c r="T101" s="59">
        <v>-455000</v>
      </c>
      <c r="U101" s="59">
        <v>-2000</v>
      </c>
      <c r="V101" s="59">
        <v>-662000</v>
      </c>
      <c r="W101" s="59">
        <v>-813000</v>
      </c>
      <c r="X101" s="59">
        <v>-500000</v>
      </c>
      <c r="Y101" s="59">
        <v>-720000</v>
      </c>
      <c r="Z101" s="59"/>
      <c r="AA101" s="59"/>
      <c r="AB101" s="59">
        <v>-1130000</v>
      </c>
      <c r="AC101" s="59">
        <v>154000</v>
      </c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45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</row>
    <row r="102" spans="1:69" outlineLevel="4">
      <c r="A102" s="39"/>
      <c r="B102" s="43"/>
      <c r="C102" s="60" t="s">
        <v>537</v>
      </c>
      <c r="D102" s="61">
        <f t="shared" si="8"/>
        <v>107500</v>
      </c>
      <c r="E102" s="61">
        <f t="shared" si="9"/>
        <v>135000</v>
      </c>
      <c r="F102" s="61">
        <f t="shared" si="10"/>
        <v>-4799000</v>
      </c>
      <c r="G102" s="61">
        <f t="shared" si="11"/>
        <v>6272000</v>
      </c>
      <c r="H102" s="61">
        <f t="shared" si="12"/>
        <v>-646500</v>
      </c>
      <c r="I102" s="61">
        <f t="shared" si="13"/>
        <v>805000</v>
      </c>
      <c r="J102" s="61">
        <f t="shared" si="14"/>
        <v>2242550.5961896572</v>
      </c>
      <c r="K102" s="62">
        <f t="shared" si="15"/>
        <v>16.611485897701165</v>
      </c>
      <c r="L102" s="41"/>
      <c r="M102" s="63">
        <v>676000</v>
      </c>
      <c r="N102" s="63">
        <v>-3018000</v>
      </c>
      <c r="O102" s="63">
        <v>2308000</v>
      </c>
      <c r="P102" s="63">
        <v>957000</v>
      </c>
      <c r="Q102" s="63">
        <v>-426000</v>
      </c>
      <c r="R102" s="63">
        <v>-907000</v>
      </c>
      <c r="S102" s="63">
        <v>-4799000</v>
      </c>
      <c r="T102" s="63">
        <v>6272000</v>
      </c>
      <c r="U102" s="63">
        <v>1867000</v>
      </c>
      <c r="V102" s="63">
        <v>-268000</v>
      </c>
      <c r="W102" s="63">
        <v>-356000</v>
      </c>
      <c r="X102" s="63">
        <v>451000</v>
      </c>
      <c r="Y102" s="63">
        <v>-720000</v>
      </c>
      <c r="Z102" s="63">
        <v>61000</v>
      </c>
      <c r="AA102" s="63">
        <v>460000</v>
      </c>
      <c r="AB102" s="63">
        <v>-1130000</v>
      </c>
      <c r="AC102" s="63">
        <v>154000</v>
      </c>
      <c r="AD102" s="63">
        <v>848000</v>
      </c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45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</row>
    <row r="103" spans="1:69" outlineLevel="3">
      <c r="A103" s="39"/>
      <c r="B103" s="43"/>
      <c r="C103" s="56" t="s">
        <v>538</v>
      </c>
      <c r="D103" s="57" t="str">
        <f t="shared" si="8"/>
        <v/>
      </c>
      <c r="E103" s="57" t="str">
        <f t="shared" si="9"/>
        <v/>
      </c>
      <c r="F103" s="57" t="str">
        <f t="shared" si="10"/>
        <v/>
      </c>
      <c r="G103" s="57" t="str">
        <f t="shared" si="11"/>
        <v/>
      </c>
      <c r="H103" s="57" t="str">
        <f t="shared" si="12"/>
        <v/>
      </c>
      <c r="I103" s="57" t="str">
        <f t="shared" si="13"/>
        <v/>
      </c>
      <c r="J103" s="57" t="str">
        <f t="shared" si="14"/>
        <v/>
      </c>
      <c r="K103" s="58" t="str">
        <f t="shared" si="15"/>
        <v/>
      </c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45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</row>
    <row r="104" spans="1:69" outlineLevel="4">
      <c r="A104" s="39"/>
      <c r="B104" s="43"/>
      <c r="C104" s="56" t="s">
        <v>539</v>
      </c>
      <c r="D104" s="57">
        <f t="shared" si="8"/>
        <v>6201000</v>
      </c>
      <c r="E104" s="57">
        <f t="shared" si="9"/>
        <v>9656000</v>
      </c>
      <c r="F104" s="57">
        <f t="shared" si="10"/>
        <v>3220000</v>
      </c>
      <c r="G104" s="57">
        <f t="shared" si="11"/>
        <v>24769000</v>
      </c>
      <c r="H104" s="57">
        <f t="shared" si="12"/>
        <v>4376000</v>
      </c>
      <c r="I104" s="57">
        <f t="shared" si="13"/>
        <v>13856750</v>
      </c>
      <c r="J104" s="57">
        <f t="shared" si="14"/>
        <v>6814464.9610869931</v>
      </c>
      <c r="K104" s="58">
        <f t="shared" si="15"/>
        <v>0.70572338039426197</v>
      </c>
      <c r="M104" s="59">
        <v>23394000</v>
      </c>
      <c r="N104" s="59">
        <v>24769000</v>
      </c>
      <c r="O104" s="59">
        <v>13857000</v>
      </c>
      <c r="P104" s="59">
        <v>13856000</v>
      </c>
      <c r="Q104" s="59">
        <v>16683000</v>
      </c>
      <c r="R104" s="59">
        <v>12404000</v>
      </c>
      <c r="S104" s="59">
        <v>13905000</v>
      </c>
      <c r="T104" s="59">
        <v>4391000</v>
      </c>
      <c r="U104" s="59">
        <v>8354000</v>
      </c>
      <c r="V104" s="59">
        <v>5657000</v>
      </c>
      <c r="W104" s="59">
        <v>5772000</v>
      </c>
      <c r="X104" s="59">
        <v>5054000</v>
      </c>
      <c r="Y104" s="59">
        <v>4371000</v>
      </c>
      <c r="Z104" s="59">
        <v>6630000</v>
      </c>
      <c r="AA104" s="59">
        <v>3940000</v>
      </c>
      <c r="AB104" s="59">
        <v>3724000</v>
      </c>
      <c r="AC104" s="59">
        <v>3220000</v>
      </c>
      <c r="AD104" s="59">
        <v>3827000</v>
      </c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45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</row>
    <row r="105" spans="1:69" outlineLevel="4">
      <c r="A105" s="39"/>
      <c r="B105" s="43"/>
      <c r="C105" s="56" t="s">
        <v>540</v>
      </c>
      <c r="D105" s="57">
        <f t="shared" si="8"/>
        <v>-4248500</v>
      </c>
      <c r="E105" s="57">
        <f t="shared" si="9"/>
        <v>-4775388.888888889</v>
      </c>
      <c r="F105" s="57">
        <f t="shared" si="10"/>
        <v>-10347000</v>
      </c>
      <c r="G105" s="57">
        <f t="shared" si="11"/>
        <v>-769000</v>
      </c>
      <c r="H105" s="57">
        <f t="shared" si="12"/>
        <v>-6610750</v>
      </c>
      <c r="I105" s="57">
        <f t="shared" si="13"/>
        <v>-2189750</v>
      </c>
      <c r="J105" s="57">
        <f t="shared" si="14"/>
        <v>3117933.2547451607</v>
      </c>
      <c r="K105" s="58">
        <f t="shared" si="15"/>
        <v>-0.65291713979562915</v>
      </c>
      <c r="M105" s="59">
        <v>-10347000</v>
      </c>
      <c r="N105" s="59">
        <v>-10113000</v>
      </c>
      <c r="O105" s="59">
        <v>-7978000</v>
      </c>
      <c r="P105" s="59">
        <v>-4525000</v>
      </c>
      <c r="Q105" s="59">
        <v>-9594000</v>
      </c>
      <c r="R105" s="59">
        <v>-6103000</v>
      </c>
      <c r="S105" s="59">
        <v>-5492000</v>
      </c>
      <c r="T105" s="59">
        <v>-3102000</v>
      </c>
      <c r="U105" s="59">
        <v>-6780000</v>
      </c>
      <c r="V105" s="59">
        <v>-3310000</v>
      </c>
      <c r="W105" s="59">
        <v>-3972000</v>
      </c>
      <c r="X105" s="59">
        <v>-4750000</v>
      </c>
      <c r="Y105" s="59">
        <v>-2396000</v>
      </c>
      <c r="Z105" s="59">
        <v>-1612000</v>
      </c>
      <c r="AA105" s="59">
        <v>-2121000</v>
      </c>
      <c r="AB105" s="59">
        <v>-769000</v>
      </c>
      <c r="AC105" s="59">
        <v>-1635000</v>
      </c>
      <c r="AD105" s="59">
        <v>-1358000</v>
      </c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45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</row>
    <row r="106" spans="1:69" outlineLevel="4">
      <c r="A106" s="39"/>
      <c r="B106" s="43"/>
      <c r="C106" s="60" t="s">
        <v>541</v>
      </c>
      <c r="D106" s="61">
        <f t="shared" si="8"/>
        <v>2712000</v>
      </c>
      <c r="E106" s="61">
        <f t="shared" si="9"/>
        <v>4880611.111111111</v>
      </c>
      <c r="F106" s="61">
        <f t="shared" si="10"/>
        <v>304000</v>
      </c>
      <c r="G106" s="61">
        <f t="shared" si="11"/>
        <v>14656000</v>
      </c>
      <c r="H106" s="61">
        <f t="shared" si="12"/>
        <v>1804750</v>
      </c>
      <c r="I106" s="61">
        <f t="shared" si="13"/>
        <v>6892000</v>
      </c>
      <c r="J106" s="61">
        <f t="shared" si="14"/>
        <v>4210148.902479074</v>
      </c>
      <c r="K106" s="62">
        <f t="shared" si="15"/>
        <v>0.86262740600133558</v>
      </c>
      <c r="L106" s="41"/>
      <c r="M106" s="63">
        <v>13047000</v>
      </c>
      <c r="N106" s="63">
        <v>14656000</v>
      </c>
      <c r="O106" s="63">
        <v>5879000</v>
      </c>
      <c r="P106" s="63">
        <v>9331000</v>
      </c>
      <c r="Q106" s="63">
        <v>7089000</v>
      </c>
      <c r="R106" s="63">
        <v>6301000</v>
      </c>
      <c r="S106" s="63">
        <v>8413000</v>
      </c>
      <c r="T106" s="63">
        <v>1289000</v>
      </c>
      <c r="U106" s="63">
        <v>1574000</v>
      </c>
      <c r="V106" s="63">
        <v>2347000</v>
      </c>
      <c r="W106" s="63">
        <v>1800000</v>
      </c>
      <c r="X106" s="63">
        <v>304000</v>
      </c>
      <c r="Y106" s="63">
        <v>1975000</v>
      </c>
      <c r="Z106" s="63">
        <v>5018000</v>
      </c>
      <c r="AA106" s="63">
        <v>1819000</v>
      </c>
      <c r="AB106" s="63">
        <v>2955000</v>
      </c>
      <c r="AC106" s="63">
        <v>1585000</v>
      </c>
      <c r="AD106" s="63">
        <v>2469000</v>
      </c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45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</row>
    <row r="107" spans="1:69" outlineLevel="3">
      <c r="A107" s="39"/>
      <c r="B107" s="43"/>
      <c r="C107" s="60" t="s">
        <v>542</v>
      </c>
      <c r="D107" s="61">
        <f t="shared" si="8"/>
        <v>1669000</v>
      </c>
      <c r="E107" s="61">
        <f t="shared" si="9"/>
        <v>3065290.625</v>
      </c>
      <c r="F107" s="61">
        <f t="shared" si="10"/>
        <v>-562000</v>
      </c>
      <c r="G107" s="61">
        <f t="shared" si="11"/>
        <v>13723000</v>
      </c>
      <c r="H107" s="61">
        <f t="shared" si="12"/>
        <v>1099750</v>
      </c>
      <c r="I107" s="61">
        <f t="shared" si="13"/>
        <v>3980250</v>
      </c>
      <c r="J107" s="61">
        <f t="shared" si="14"/>
        <v>3697329.4370448389</v>
      </c>
      <c r="K107" s="62">
        <f t="shared" si="15"/>
        <v>1.2061921329384024</v>
      </c>
      <c r="L107" s="41"/>
      <c r="M107" s="63">
        <v>13723000</v>
      </c>
      <c r="N107" s="63">
        <v>11638000</v>
      </c>
      <c r="O107" s="63">
        <v>8187000</v>
      </c>
      <c r="P107" s="63">
        <v>10288000</v>
      </c>
      <c r="Q107" s="63">
        <v>6663000</v>
      </c>
      <c r="R107" s="63">
        <v>5394000</v>
      </c>
      <c r="S107" s="63">
        <v>3614000</v>
      </c>
      <c r="T107" s="63">
        <v>7561000</v>
      </c>
      <c r="U107" s="63">
        <v>3441000</v>
      </c>
      <c r="V107" s="63">
        <v>2079000</v>
      </c>
      <c r="W107" s="63">
        <v>1444000</v>
      </c>
      <c r="X107" s="63">
        <v>755000</v>
      </c>
      <c r="Y107" s="63">
        <v>1255000</v>
      </c>
      <c r="Z107" s="63">
        <v>5079000</v>
      </c>
      <c r="AA107" s="63">
        <v>2279000</v>
      </c>
      <c r="AB107" s="63">
        <v>1825000</v>
      </c>
      <c r="AC107" s="63">
        <v>1739000</v>
      </c>
      <c r="AD107" s="63">
        <v>3317000</v>
      </c>
      <c r="AE107" s="63">
        <v>1253000</v>
      </c>
      <c r="AF107" s="63">
        <v>1681000</v>
      </c>
      <c r="AG107" s="63">
        <v>838000</v>
      </c>
      <c r="AH107" s="63">
        <v>-286000</v>
      </c>
      <c r="AI107" s="63">
        <v>1326000</v>
      </c>
      <c r="AJ107" s="63">
        <v>1187000</v>
      </c>
      <c r="AK107" s="63">
        <v>1657000</v>
      </c>
      <c r="AL107" s="63">
        <v>1251000</v>
      </c>
      <c r="AM107" s="63">
        <v>1254000</v>
      </c>
      <c r="AN107" s="63">
        <v>-408000</v>
      </c>
      <c r="AO107" s="63">
        <v>-562000</v>
      </c>
      <c r="AP107" s="63">
        <v>-517000</v>
      </c>
      <c r="AQ107" s="63">
        <v>-453300</v>
      </c>
      <c r="AR107" s="63">
        <v>-412400</v>
      </c>
      <c r="AS107" s="45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</row>
    <row r="108" spans="1:69" outlineLevel="2">
      <c r="A108" s="39"/>
      <c r="B108" s="43"/>
      <c r="C108" s="56" t="s">
        <v>543</v>
      </c>
      <c r="D108" s="57">
        <f t="shared" si="8"/>
        <v>82000</v>
      </c>
      <c r="E108" s="57">
        <f t="shared" si="9"/>
        <v>166250</v>
      </c>
      <c r="F108" s="57">
        <f t="shared" si="10"/>
        <v>0</v>
      </c>
      <c r="G108" s="57">
        <f t="shared" si="11"/>
        <v>501000</v>
      </c>
      <c r="H108" s="57">
        <f t="shared" si="12"/>
        <v>48750</v>
      </c>
      <c r="I108" s="57">
        <f t="shared" si="13"/>
        <v>199500</v>
      </c>
      <c r="J108" s="57">
        <f t="shared" si="14"/>
        <v>226914.63152472122</v>
      </c>
      <c r="K108" s="58">
        <f t="shared" si="15"/>
        <v>1.3649000392464434</v>
      </c>
      <c r="M108" s="59"/>
      <c r="N108" s="59"/>
      <c r="O108" s="59"/>
      <c r="P108" s="59"/>
      <c r="Q108" s="59">
        <v>65000</v>
      </c>
      <c r="R108" s="59">
        <v>501000</v>
      </c>
      <c r="S108" s="59">
        <v>99000</v>
      </c>
      <c r="T108" s="59">
        <v>0</v>
      </c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45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</row>
    <row r="109" spans="1:69" outlineLevel="2">
      <c r="A109" s="39"/>
      <c r="B109" s="43"/>
      <c r="C109" s="56" t="s">
        <v>544</v>
      </c>
      <c r="D109" s="57" t="str">
        <f t="shared" si="8"/>
        <v/>
      </c>
      <c r="E109" s="57" t="str">
        <f t="shared" si="9"/>
        <v/>
      </c>
      <c r="F109" s="57" t="str">
        <f t="shared" si="10"/>
        <v/>
      </c>
      <c r="G109" s="57" t="str">
        <f t="shared" si="11"/>
        <v/>
      </c>
      <c r="H109" s="57" t="str">
        <f t="shared" si="12"/>
        <v/>
      </c>
      <c r="I109" s="57" t="str">
        <f t="shared" si="13"/>
        <v/>
      </c>
      <c r="J109" s="57" t="str">
        <f t="shared" si="14"/>
        <v/>
      </c>
      <c r="K109" s="58" t="str">
        <f t="shared" si="15"/>
        <v/>
      </c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45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</row>
    <row r="110" spans="1:69" outlineLevel="3">
      <c r="A110" s="39"/>
      <c r="B110" s="43"/>
      <c r="C110" s="56" t="s">
        <v>545</v>
      </c>
      <c r="D110" s="57" t="str">
        <f t="shared" si="8"/>
        <v/>
      </c>
      <c r="E110" s="57" t="str">
        <f t="shared" si="9"/>
        <v/>
      </c>
      <c r="F110" s="57" t="str">
        <f t="shared" si="10"/>
        <v/>
      </c>
      <c r="G110" s="57" t="str">
        <f t="shared" si="11"/>
        <v/>
      </c>
      <c r="H110" s="57" t="str">
        <f t="shared" si="12"/>
        <v/>
      </c>
      <c r="I110" s="57" t="str">
        <f t="shared" si="13"/>
        <v/>
      </c>
      <c r="J110" s="57" t="str">
        <f t="shared" si="14"/>
        <v/>
      </c>
      <c r="K110" s="58" t="str">
        <f t="shared" si="15"/>
        <v/>
      </c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45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</row>
    <row r="111" spans="1:69" outlineLevel="4">
      <c r="A111" s="39"/>
      <c r="B111" s="43"/>
      <c r="C111" s="56" t="s">
        <v>546</v>
      </c>
      <c r="D111" s="57">
        <f t="shared" si="8"/>
        <v>-1728500</v>
      </c>
      <c r="E111" s="57">
        <f t="shared" si="9"/>
        <v>-2098722.222222222</v>
      </c>
      <c r="F111" s="57">
        <f t="shared" si="10"/>
        <v>-4680000</v>
      </c>
      <c r="G111" s="57">
        <f t="shared" si="11"/>
        <v>-714000</v>
      </c>
      <c r="H111" s="57">
        <f t="shared" si="12"/>
        <v>-2953750</v>
      </c>
      <c r="I111" s="57">
        <f t="shared" si="13"/>
        <v>-1033500</v>
      </c>
      <c r="J111" s="57">
        <f t="shared" si="14"/>
        <v>1268927.5140636333</v>
      </c>
      <c r="K111" s="58">
        <f t="shared" si="15"/>
        <v>-0.60461908709387724</v>
      </c>
      <c r="M111" s="59">
        <v>-4680000</v>
      </c>
      <c r="N111" s="59">
        <v>-4235000</v>
      </c>
      <c r="O111" s="59">
        <v>-3782000</v>
      </c>
      <c r="P111" s="59">
        <v>-3352000</v>
      </c>
      <c r="Q111" s="59">
        <v>-3024000</v>
      </c>
      <c r="R111" s="59">
        <v>-2743000</v>
      </c>
      <c r="S111" s="59">
        <v>-2408000</v>
      </c>
      <c r="T111" s="59">
        <v>-2101000</v>
      </c>
      <c r="U111" s="59">
        <v>-1845000</v>
      </c>
      <c r="V111" s="59">
        <v>-1612000</v>
      </c>
      <c r="W111" s="59">
        <v>-1385000</v>
      </c>
      <c r="X111" s="59">
        <v>-1261000</v>
      </c>
      <c r="Y111" s="59">
        <v>-1122000</v>
      </c>
      <c r="Z111" s="59">
        <v>-1004000</v>
      </c>
      <c r="AA111" s="59">
        <v>-920000</v>
      </c>
      <c r="AB111" s="59">
        <v>-823000</v>
      </c>
      <c r="AC111" s="59">
        <v>-766000</v>
      </c>
      <c r="AD111" s="59">
        <v>-714000</v>
      </c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45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</row>
    <row r="112" spans="1:69" outlineLevel="4">
      <c r="A112" s="39"/>
      <c r="B112" s="43"/>
      <c r="C112" s="60" t="s">
        <v>547</v>
      </c>
      <c r="D112" s="61">
        <f t="shared" si="8"/>
        <v>-794500</v>
      </c>
      <c r="E112" s="61">
        <f t="shared" si="9"/>
        <v>-1362450</v>
      </c>
      <c r="F112" s="61">
        <f t="shared" si="10"/>
        <v>-4680000</v>
      </c>
      <c r="G112" s="61">
        <f t="shared" si="11"/>
        <v>-308600</v>
      </c>
      <c r="H112" s="61">
        <f t="shared" si="12"/>
        <v>-1909000</v>
      </c>
      <c r="I112" s="61">
        <f t="shared" si="13"/>
        <v>-394250</v>
      </c>
      <c r="J112" s="61">
        <f t="shared" si="14"/>
        <v>1267851.8525442947</v>
      </c>
      <c r="K112" s="62">
        <f t="shared" si="15"/>
        <v>-0.93056761902770357</v>
      </c>
      <c r="L112" s="41"/>
      <c r="M112" s="63">
        <v>-4680000</v>
      </c>
      <c r="N112" s="63">
        <v>-4235000</v>
      </c>
      <c r="O112" s="63">
        <v>-3782000</v>
      </c>
      <c r="P112" s="63">
        <v>-3352000</v>
      </c>
      <c r="Q112" s="63">
        <v>-3024000</v>
      </c>
      <c r="R112" s="63">
        <v>-2743000</v>
      </c>
      <c r="S112" s="63">
        <v>-2408000</v>
      </c>
      <c r="T112" s="63">
        <v>-2101000</v>
      </c>
      <c r="U112" s="63">
        <v>-1845000</v>
      </c>
      <c r="V112" s="63">
        <v>-1612000</v>
      </c>
      <c r="W112" s="63">
        <v>-1385000</v>
      </c>
      <c r="X112" s="63">
        <v>-1261000</v>
      </c>
      <c r="Y112" s="63">
        <v>-1122000</v>
      </c>
      <c r="Z112" s="63">
        <v>-1004000</v>
      </c>
      <c r="AA112" s="63">
        <v>-920000</v>
      </c>
      <c r="AB112" s="63">
        <v>-823000</v>
      </c>
      <c r="AC112" s="63">
        <v>-766000</v>
      </c>
      <c r="AD112" s="63">
        <v>-714000</v>
      </c>
      <c r="AE112" s="63">
        <v>-654000</v>
      </c>
      <c r="AF112" s="63">
        <v>-593000</v>
      </c>
      <c r="AG112" s="63">
        <v>-544000</v>
      </c>
      <c r="AH112" s="63">
        <v>-467000</v>
      </c>
      <c r="AI112" s="63">
        <v>-425000</v>
      </c>
      <c r="AJ112" s="63">
        <v>-400000</v>
      </c>
      <c r="AK112" s="63">
        <v>-377000</v>
      </c>
      <c r="AL112" s="63">
        <v>-366000</v>
      </c>
      <c r="AM112" s="63">
        <v>-355000</v>
      </c>
      <c r="AN112" s="63">
        <v>-345000</v>
      </c>
      <c r="AO112" s="63">
        <v>-332000</v>
      </c>
      <c r="AP112" s="63">
        <v>-320000</v>
      </c>
      <c r="AQ112" s="63">
        <v>-308600</v>
      </c>
      <c r="AR112" s="63">
        <v>-334800</v>
      </c>
      <c r="AS112" s="45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</row>
    <row r="113" spans="1:69" outlineLevel="3">
      <c r="A113" s="39"/>
      <c r="B113" s="43"/>
      <c r="C113" s="60" t="s">
        <v>548</v>
      </c>
      <c r="D113" s="61">
        <f t="shared" si="8"/>
        <v>-794500</v>
      </c>
      <c r="E113" s="61">
        <f t="shared" si="9"/>
        <v>-1362450</v>
      </c>
      <c r="F113" s="61">
        <f t="shared" si="10"/>
        <v>-4680000</v>
      </c>
      <c r="G113" s="61">
        <f t="shared" si="11"/>
        <v>-308600</v>
      </c>
      <c r="H113" s="61">
        <f t="shared" si="12"/>
        <v>-1909000</v>
      </c>
      <c r="I113" s="61">
        <f t="shared" si="13"/>
        <v>-394250</v>
      </c>
      <c r="J113" s="61">
        <f t="shared" si="14"/>
        <v>1267851.8525442947</v>
      </c>
      <c r="K113" s="62">
        <f t="shared" si="15"/>
        <v>-0.93056761902770357</v>
      </c>
      <c r="L113" s="41"/>
      <c r="M113" s="63">
        <v>-4680000</v>
      </c>
      <c r="N113" s="63">
        <v>-4235000</v>
      </c>
      <c r="O113" s="63">
        <v>-3782000</v>
      </c>
      <c r="P113" s="63">
        <v>-3352000</v>
      </c>
      <c r="Q113" s="63">
        <v>-3024000</v>
      </c>
      <c r="R113" s="63">
        <v>-2743000</v>
      </c>
      <c r="S113" s="63">
        <v>-2408000</v>
      </c>
      <c r="T113" s="63">
        <v>-2101000</v>
      </c>
      <c r="U113" s="63">
        <v>-1845000</v>
      </c>
      <c r="V113" s="63">
        <v>-1612000</v>
      </c>
      <c r="W113" s="63">
        <v>-1385000</v>
      </c>
      <c r="X113" s="63">
        <v>-1261000</v>
      </c>
      <c r="Y113" s="63">
        <v>-1122000</v>
      </c>
      <c r="Z113" s="63">
        <v>-1004000</v>
      </c>
      <c r="AA113" s="63">
        <v>-920000</v>
      </c>
      <c r="AB113" s="63">
        <v>-823000</v>
      </c>
      <c r="AC113" s="63">
        <v>-766000</v>
      </c>
      <c r="AD113" s="63">
        <v>-714000</v>
      </c>
      <c r="AE113" s="63">
        <v>-654000</v>
      </c>
      <c r="AF113" s="63">
        <v>-593000</v>
      </c>
      <c r="AG113" s="63">
        <v>-544000</v>
      </c>
      <c r="AH113" s="63">
        <v>-467000</v>
      </c>
      <c r="AI113" s="63">
        <v>-425000</v>
      </c>
      <c r="AJ113" s="63">
        <v>-400000</v>
      </c>
      <c r="AK113" s="63">
        <v>-377000</v>
      </c>
      <c r="AL113" s="63">
        <v>-366000</v>
      </c>
      <c r="AM113" s="63">
        <v>-355000</v>
      </c>
      <c r="AN113" s="63">
        <v>-345000</v>
      </c>
      <c r="AO113" s="63">
        <v>-332000</v>
      </c>
      <c r="AP113" s="63">
        <v>-320000</v>
      </c>
      <c r="AQ113" s="63">
        <v>-308600</v>
      </c>
      <c r="AR113" s="63">
        <v>-334800</v>
      </c>
      <c r="AS113" s="45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</row>
    <row r="114" spans="1:69" outlineLevel="2">
      <c r="A114" s="39"/>
      <c r="B114" s="43"/>
      <c r="C114" s="56" t="s">
        <v>549</v>
      </c>
      <c r="D114" s="57">
        <f t="shared" si="8"/>
        <v>204000</v>
      </c>
      <c r="E114" s="57">
        <f t="shared" si="9"/>
        <v>761485.18518518517</v>
      </c>
      <c r="F114" s="57">
        <f t="shared" si="10"/>
        <v>-451000</v>
      </c>
      <c r="G114" s="57">
        <f t="shared" si="11"/>
        <v>3779000</v>
      </c>
      <c r="H114" s="57">
        <f t="shared" si="12"/>
        <v>-13400</v>
      </c>
      <c r="I114" s="57">
        <f t="shared" si="13"/>
        <v>1247000</v>
      </c>
      <c r="J114" s="57">
        <f t="shared" si="14"/>
        <v>1144551.4353813978</v>
      </c>
      <c r="K114" s="58">
        <f t="shared" si="15"/>
        <v>1.5030514810384066</v>
      </c>
      <c r="M114" s="59">
        <v>1898000</v>
      </c>
      <c r="N114" s="59">
        <v>-451000</v>
      </c>
      <c r="O114" s="59">
        <v>3230000</v>
      </c>
      <c r="P114" s="59">
        <v>3779000</v>
      </c>
      <c r="Q114" s="59">
        <v>2089000</v>
      </c>
      <c r="R114" s="59">
        <v>3114000</v>
      </c>
      <c r="S114" s="59">
        <v>1074000</v>
      </c>
      <c r="T114" s="59">
        <v>1456000</v>
      </c>
      <c r="U114" s="59">
        <v>689000</v>
      </c>
      <c r="V114" s="59">
        <v>1420000</v>
      </c>
      <c r="W114" s="59">
        <v>540000</v>
      </c>
      <c r="X114" s="59">
        <v>873000</v>
      </c>
      <c r="Y114" s="59">
        <v>155000</v>
      </c>
      <c r="Z114" s="59">
        <v>427000</v>
      </c>
      <c r="AA114" s="59">
        <v>248000</v>
      </c>
      <c r="AB114" s="59">
        <v>204000</v>
      </c>
      <c r="AC114" s="59">
        <v>4000</v>
      </c>
      <c r="AD114" s="59">
        <v>6000</v>
      </c>
      <c r="AE114" s="59">
        <v>10000</v>
      </c>
      <c r="AF114" s="59">
        <v>-22000</v>
      </c>
      <c r="AG114" s="59">
        <v>-10000</v>
      </c>
      <c r="AH114" s="59">
        <v>-39000</v>
      </c>
      <c r="AI114" s="59">
        <v>-48000</v>
      </c>
      <c r="AJ114" s="59">
        <v>-52000</v>
      </c>
      <c r="AK114" s="59"/>
      <c r="AL114" s="59"/>
      <c r="AM114" s="59"/>
      <c r="AN114" s="59"/>
      <c r="AO114" s="59"/>
      <c r="AP114" s="59">
        <v>3000</v>
      </c>
      <c r="AQ114" s="59">
        <v>-16800</v>
      </c>
      <c r="AR114" s="59">
        <v>-20100</v>
      </c>
      <c r="AS114" s="45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</row>
    <row r="115" spans="1:69" outlineLevel="2">
      <c r="A115" s="39"/>
      <c r="B115" s="43"/>
      <c r="C115" s="60" t="s">
        <v>550</v>
      </c>
      <c r="D115" s="61">
        <f t="shared" si="8"/>
        <v>1280000</v>
      </c>
      <c r="E115" s="61">
        <f t="shared" si="9"/>
        <v>2849987.5</v>
      </c>
      <c r="F115" s="61">
        <f t="shared" si="10"/>
        <v>-942000</v>
      </c>
      <c r="G115" s="61">
        <f t="shared" si="11"/>
        <v>12979000</v>
      </c>
      <c r="H115" s="61">
        <f t="shared" si="12"/>
        <v>725750</v>
      </c>
      <c r="I115" s="61">
        <f t="shared" si="13"/>
        <v>4126750</v>
      </c>
      <c r="J115" s="61">
        <f t="shared" si="14"/>
        <v>3886346.456153654</v>
      </c>
      <c r="K115" s="62">
        <f t="shared" si="15"/>
        <v>1.3636363163535468</v>
      </c>
      <c r="L115" s="41"/>
      <c r="M115" s="63">
        <v>12979000</v>
      </c>
      <c r="N115" s="63">
        <v>7000000</v>
      </c>
      <c r="O115" s="63">
        <v>12149000</v>
      </c>
      <c r="P115" s="63">
        <v>12229000</v>
      </c>
      <c r="Q115" s="63">
        <v>5807000</v>
      </c>
      <c r="R115" s="63">
        <v>6174000</v>
      </c>
      <c r="S115" s="63">
        <v>3873000</v>
      </c>
      <c r="T115" s="63">
        <v>7634000</v>
      </c>
      <c r="U115" s="63">
        <v>2888000</v>
      </c>
      <c r="V115" s="63">
        <v>2424000</v>
      </c>
      <c r="W115" s="63">
        <v>1897000</v>
      </c>
      <c r="X115" s="63">
        <v>1000000</v>
      </c>
      <c r="Y115" s="63">
        <v>1130000</v>
      </c>
      <c r="Z115" s="63">
        <v>4888000</v>
      </c>
      <c r="AA115" s="63">
        <v>1280000</v>
      </c>
      <c r="AB115" s="63">
        <v>1514000</v>
      </c>
      <c r="AC115" s="63">
        <v>1175000</v>
      </c>
      <c r="AD115" s="63">
        <v>2650000</v>
      </c>
      <c r="AE115" s="63">
        <v>655000</v>
      </c>
      <c r="AF115" s="63">
        <v>1399000</v>
      </c>
      <c r="AG115" s="63">
        <v>923000</v>
      </c>
      <c r="AH115" s="63">
        <v>-682000</v>
      </c>
      <c r="AI115" s="63">
        <v>698000</v>
      </c>
      <c r="AJ115" s="63">
        <v>1113000</v>
      </c>
      <c r="AK115" s="63">
        <v>1280000</v>
      </c>
      <c r="AL115" s="63">
        <v>735000</v>
      </c>
      <c r="AM115" s="63">
        <v>783000</v>
      </c>
      <c r="AN115" s="63">
        <v>-815000</v>
      </c>
      <c r="AO115" s="63">
        <v>-942000</v>
      </c>
      <c r="AP115" s="63">
        <v>-916000</v>
      </c>
      <c r="AQ115" s="63">
        <v>-848100</v>
      </c>
      <c r="AR115" s="63">
        <v>-874300</v>
      </c>
      <c r="AS115" s="45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</row>
    <row r="116" spans="1:69" outlineLevel="1">
      <c r="A116" s="39"/>
      <c r="B116" s="43"/>
      <c r="C116" s="53" t="s">
        <v>551</v>
      </c>
      <c r="D116" s="61">
        <f t="shared" si="8"/>
        <v>1280000</v>
      </c>
      <c r="E116" s="61">
        <f t="shared" si="9"/>
        <v>2849987.5</v>
      </c>
      <c r="F116" s="61">
        <f t="shared" si="10"/>
        <v>-942000</v>
      </c>
      <c r="G116" s="61">
        <f t="shared" si="11"/>
        <v>12979000</v>
      </c>
      <c r="H116" s="61">
        <f t="shared" si="12"/>
        <v>725750</v>
      </c>
      <c r="I116" s="61">
        <f t="shared" si="13"/>
        <v>4126750</v>
      </c>
      <c r="J116" s="61">
        <f t="shared" si="14"/>
        <v>3886346.456153654</v>
      </c>
      <c r="K116" s="62">
        <f t="shared" si="15"/>
        <v>1.3636363163535468</v>
      </c>
      <c r="L116" s="64"/>
      <c r="M116" s="61">
        <v>12979000</v>
      </c>
      <c r="N116" s="61">
        <v>7000000</v>
      </c>
      <c r="O116" s="61">
        <v>12149000</v>
      </c>
      <c r="P116" s="61">
        <v>12229000</v>
      </c>
      <c r="Q116" s="61">
        <v>5807000</v>
      </c>
      <c r="R116" s="61">
        <v>6174000</v>
      </c>
      <c r="S116" s="61">
        <v>3873000</v>
      </c>
      <c r="T116" s="61">
        <v>7634000</v>
      </c>
      <c r="U116" s="61">
        <v>2888000</v>
      </c>
      <c r="V116" s="61">
        <v>2424000</v>
      </c>
      <c r="W116" s="61">
        <v>1897000</v>
      </c>
      <c r="X116" s="61">
        <v>1000000</v>
      </c>
      <c r="Y116" s="61">
        <v>1130000</v>
      </c>
      <c r="Z116" s="61">
        <v>4888000</v>
      </c>
      <c r="AA116" s="61">
        <v>1280000</v>
      </c>
      <c r="AB116" s="61">
        <v>1514000</v>
      </c>
      <c r="AC116" s="61">
        <v>1175000</v>
      </c>
      <c r="AD116" s="61">
        <v>2650000</v>
      </c>
      <c r="AE116" s="61">
        <v>655000</v>
      </c>
      <c r="AF116" s="61">
        <v>1399000</v>
      </c>
      <c r="AG116" s="61">
        <v>923000</v>
      </c>
      <c r="AH116" s="61">
        <v>-682000</v>
      </c>
      <c r="AI116" s="61">
        <v>698000</v>
      </c>
      <c r="AJ116" s="61">
        <v>1113000</v>
      </c>
      <c r="AK116" s="61">
        <v>1280000</v>
      </c>
      <c r="AL116" s="61">
        <v>735000</v>
      </c>
      <c r="AM116" s="61">
        <v>783000</v>
      </c>
      <c r="AN116" s="61">
        <v>-815000</v>
      </c>
      <c r="AO116" s="61">
        <v>-942000</v>
      </c>
      <c r="AP116" s="61">
        <v>-916000</v>
      </c>
      <c r="AQ116" s="61">
        <v>-848100</v>
      </c>
      <c r="AR116" s="61">
        <v>-874300</v>
      </c>
      <c r="AS116" s="45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</row>
    <row r="117" spans="1:69">
      <c r="A117" s="39"/>
      <c r="B117" s="43"/>
      <c r="C117" s="53" t="s">
        <v>552</v>
      </c>
      <c r="D117" s="54" t="str">
        <f t="shared" si="8"/>
        <v/>
      </c>
      <c r="E117" s="54" t="str">
        <f t="shared" si="9"/>
        <v/>
      </c>
      <c r="F117" s="54" t="str">
        <f t="shared" si="10"/>
        <v/>
      </c>
      <c r="G117" s="54" t="str">
        <f t="shared" si="11"/>
        <v/>
      </c>
      <c r="H117" s="54" t="str">
        <f t="shared" si="12"/>
        <v/>
      </c>
      <c r="I117" s="54" t="str">
        <f t="shared" si="13"/>
        <v/>
      </c>
      <c r="J117" s="54" t="str">
        <f t="shared" si="14"/>
        <v/>
      </c>
      <c r="K117" s="55" t="str">
        <f t="shared" si="15"/>
        <v/>
      </c>
      <c r="L117" s="48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45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</row>
    <row r="118" spans="1:69" outlineLevel="1">
      <c r="A118" s="39"/>
      <c r="B118" s="43"/>
      <c r="C118" s="56" t="s">
        <v>553</v>
      </c>
      <c r="D118" s="57">
        <f t="shared" si="8"/>
        <v>82500</v>
      </c>
      <c r="E118" s="57">
        <f t="shared" si="9"/>
        <v>82975</v>
      </c>
      <c r="F118" s="57">
        <f t="shared" si="10"/>
        <v>-4149000</v>
      </c>
      <c r="G118" s="57">
        <f t="shared" si="11"/>
        <v>3277000</v>
      </c>
      <c r="H118" s="57">
        <f t="shared" si="12"/>
        <v>-83900</v>
      </c>
      <c r="I118" s="57">
        <f t="shared" si="13"/>
        <v>199250</v>
      </c>
      <c r="J118" s="57">
        <f t="shared" si="14"/>
        <v>1142598.9387526622</v>
      </c>
      <c r="K118" s="58">
        <f t="shared" si="15"/>
        <v>13.770399984967305</v>
      </c>
      <c r="M118" s="59">
        <v>1599000</v>
      </c>
      <c r="N118" s="59">
        <v>-2004000</v>
      </c>
      <c r="O118" s="59">
        <v>-17000</v>
      </c>
      <c r="P118" s="59">
        <v>2132000</v>
      </c>
      <c r="Q118" s="59">
        <v>-231000</v>
      </c>
      <c r="R118" s="59">
        <v>458000</v>
      </c>
      <c r="S118" s="59">
        <v>-4149000</v>
      </c>
      <c r="T118" s="59">
        <v>3277000</v>
      </c>
      <c r="U118" s="59">
        <v>428000</v>
      </c>
      <c r="V118" s="59">
        <v>747000</v>
      </c>
      <c r="W118" s="59">
        <v>-10000</v>
      </c>
      <c r="X118" s="59">
        <v>139000</v>
      </c>
      <c r="Y118" s="59">
        <v>109000</v>
      </c>
      <c r="Z118" s="59">
        <v>-48000</v>
      </c>
      <c r="AA118" s="59">
        <v>75000</v>
      </c>
      <c r="AB118" s="59">
        <v>64000</v>
      </c>
      <c r="AC118" s="59">
        <v>-297000</v>
      </c>
      <c r="AD118" s="59">
        <v>245000</v>
      </c>
      <c r="AE118" s="59">
        <v>-330000</v>
      </c>
      <c r="AF118" s="59">
        <v>90000</v>
      </c>
      <c r="AG118" s="59">
        <v>305000</v>
      </c>
      <c r="AH118" s="59">
        <v>96000</v>
      </c>
      <c r="AI118" s="59">
        <v>-137000</v>
      </c>
      <c r="AJ118" s="59">
        <v>184000</v>
      </c>
      <c r="AK118" s="59">
        <v>-47000</v>
      </c>
      <c r="AL118" s="59">
        <v>-232000</v>
      </c>
      <c r="AM118" s="59">
        <v>174000</v>
      </c>
      <c r="AN118" s="59">
        <v>133000</v>
      </c>
      <c r="AO118" s="59">
        <v>-142000</v>
      </c>
      <c r="AP118" s="59">
        <v>150000</v>
      </c>
      <c r="AQ118" s="59">
        <v>-39600</v>
      </c>
      <c r="AR118" s="59">
        <v>-66200</v>
      </c>
      <c r="AS118" s="45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</row>
    <row r="119" spans="1:69" outlineLevel="1">
      <c r="A119" s="39"/>
      <c r="B119" s="43"/>
      <c r="C119" s="56" t="s">
        <v>554</v>
      </c>
      <c r="D119" s="57">
        <f t="shared" si="8"/>
        <v>1000</v>
      </c>
      <c r="E119" s="57">
        <f t="shared" si="9"/>
        <v>1000</v>
      </c>
      <c r="F119" s="57">
        <f t="shared" si="10"/>
        <v>-20000</v>
      </c>
      <c r="G119" s="57">
        <f t="shared" si="11"/>
        <v>26000</v>
      </c>
      <c r="H119" s="57">
        <f t="shared" si="12"/>
        <v>-7000</v>
      </c>
      <c r="I119" s="57">
        <f t="shared" si="13"/>
        <v>7500</v>
      </c>
      <c r="J119" s="57">
        <f t="shared" si="14"/>
        <v>13438.749941865874</v>
      </c>
      <c r="K119" s="58">
        <f t="shared" si="15"/>
        <v>13.438749941865874</v>
      </c>
      <c r="M119" s="59">
        <v>5000</v>
      </c>
      <c r="N119" s="59">
        <v>-14000</v>
      </c>
      <c r="O119" s="59">
        <v>-4000</v>
      </c>
      <c r="P119" s="59">
        <v>-7000</v>
      </c>
      <c r="Q119" s="59">
        <v>1000</v>
      </c>
      <c r="R119" s="59">
        <v>-20000</v>
      </c>
      <c r="S119" s="59">
        <v>4000</v>
      </c>
      <c r="T119" s="59">
        <v>-7000</v>
      </c>
      <c r="U119" s="59">
        <v>26000</v>
      </c>
      <c r="V119" s="59">
        <v>10000</v>
      </c>
      <c r="W119" s="59">
        <v>17000</v>
      </c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45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</row>
    <row r="120" spans="1:69" outlineLevel="1">
      <c r="A120" s="39"/>
      <c r="B120" s="43"/>
      <c r="C120" s="56" t="s">
        <v>555</v>
      </c>
      <c r="D120" s="57">
        <f t="shared" si="8"/>
        <v>369000</v>
      </c>
      <c r="E120" s="57">
        <f t="shared" si="9"/>
        <v>878337.5</v>
      </c>
      <c r="F120" s="57">
        <f t="shared" si="10"/>
        <v>46000</v>
      </c>
      <c r="G120" s="57">
        <f t="shared" si="11"/>
        <v>5253000</v>
      </c>
      <c r="H120" s="57">
        <f t="shared" si="12"/>
        <v>193750</v>
      </c>
      <c r="I120" s="57">
        <f t="shared" si="13"/>
        <v>1160000</v>
      </c>
      <c r="J120" s="57">
        <f t="shared" si="14"/>
        <v>1180984.9661029943</v>
      </c>
      <c r="K120" s="58">
        <f t="shared" si="15"/>
        <v>1.3445685355606407</v>
      </c>
      <c r="M120" s="59">
        <v>1402000</v>
      </c>
      <c r="N120" s="59">
        <v>3420000</v>
      </c>
      <c r="O120" s="59">
        <v>3441000</v>
      </c>
      <c r="P120" s="59">
        <v>1316000</v>
      </c>
      <c r="Q120" s="59">
        <v>1546000</v>
      </c>
      <c r="R120" s="59">
        <v>1108000</v>
      </c>
      <c r="S120" s="59">
        <v>5253000</v>
      </c>
      <c r="T120" s="59">
        <v>1983000</v>
      </c>
      <c r="U120" s="59">
        <v>1529000</v>
      </c>
      <c r="V120" s="59">
        <v>772000</v>
      </c>
      <c r="W120" s="59">
        <v>765000</v>
      </c>
      <c r="X120" s="59">
        <v>438000</v>
      </c>
      <c r="Y120" s="59">
        <v>329000</v>
      </c>
      <c r="Z120" s="59">
        <v>377000</v>
      </c>
      <c r="AA120" s="59">
        <v>302000</v>
      </c>
      <c r="AB120" s="59">
        <v>238000</v>
      </c>
      <c r="AC120" s="59">
        <v>535000</v>
      </c>
      <c r="AD120" s="59">
        <v>290000</v>
      </c>
      <c r="AE120" s="59">
        <v>620000</v>
      </c>
      <c r="AF120" s="59">
        <v>530000</v>
      </c>
      <c r="AG120" s="59">
        <v>225000</v>
      </c>
      <c r="AH120" s="59">
        <v>129000</v>
      </c>
      <c r="AI120" s="59">
        <v>266000</v>
      </c>
      <c r="AJ120" s="59">
        <v>82000</v>
      </c>
      <c r="AK120" s="59">
        <v>129000</v>
      </c>
      <c r="AL120" s="59">
        <v>361000</v>
      </c>
      <c r="AM120" s="59">
        <v>187000</v>
      </c>
      <c r="AN120" s="59">
        <v>54000</v>
      </c>
      <c r="AO120" s="59">
        <v>196000</v>
      </c>
      <c r="AP120" s="59">
        <v>46000</v>
      </c>
      <c r="AQ120" s="59">
        <v>85800</v>
      </c>
      <c r="AR120" s="59">
        <v>152000</v>
      </c>
      <c r="AS120" s="45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</row>
    <row r="121" spans="1:69" outlineLevel="1">
      <c r="A121" s="39"/>
      <c r="B121" s="43"/>
      <c r="C121" s="53" t="s">
        <v>556</v>
      </c>
      <c r="D121" s="61">
        <f t="shared" si="8"/>
        <v>407500</v>
      </c>
      <c r="E121" s="61">
        <f t="shared" si="9"/>
        <v>961656.25</v>
      </c>
      <c r="F121" s="61">
        <f t="shared" si="10"/>
        <v>46200</v>
      </c>
      <c r="G121" s="61">
        <f t="shared" si="11"/>
        <v>5253000</v>
      </c>
      <c r="H121" s="61">
        <f t="shared" si="12"/>
        <v>217750</v>
      </c>
      <c r="I121" s="61">
        <f t="shared" si="13"/>
        <v>1337500</v>
      </c>
      <c r="J121" s="61">
        <f t="shared" si="14"/>
        <v>1232507.9767948373</v>
      </c>
      <c r="K121" s="62">
        <f t="shared" si="15"/>
        <v>1.2816512935831668</v>
      </c>
      <c r="L121" s="64"/>
      <c r="M121" s="61">
        <v>3006000</v>
      </c>
      <c r="N121" s="61">
        <v>1402000</v>
      </c>
      <c r="O121" s="61">
        <v>3420000</v>
      </c>
      <c r="P121" s="61">
        <v>3441000</v>
      </c>
      <c r="Q121" s="61">
        <v>1316000</v>
      </c>
      <c r="R121" s="61">
        <v>1546000</v>
      </c>
      <c r="S121" s="61">
        <v>1108000</v>
      </c>
      <c r="T121" s="61">
        <v>5253000</v>
      </c>
      <c r="U121" s="61">
        <v>1983000</v>
      </c>
      <c r="V121" s="61">
        <v>1529000</v>
      </c>
      <c r="W121" s="61">
        <v>772000</v>
      </c>
      <c r="X121" s="61">
        <v>577000</v>
      </c>
      <c r="Y121" s="61">
        <v>438000</v>
      </c>
      <c r="Z121" s="61">
        <v>329000</v>
      </c>
      <c r="AA121" s="61">
        <v>377000</v>
      </c>
      <c r="AB121" s="61">
        <v>302000</v>
      </c>
      <c r="AC121" s="61">
        <v>238000</v>
      </c>
      <c r="AD121" s="61">
        <v>535000</v>
      </c>
      <c r="AE121" s="61">
        <v>290000</v>
      </c>
      <c r="AF121" s="61">
        <v>620000</v>
      </c>
      <c r="AG121" s="61">
        <v>530000</v>
      </c>
      <c r="AH121" s="61">
        <v>225000</v>
      </c>
      <c r="AI121" s="61">
        <v>129000</v>
      </c>
      <c r="AJ121" s="61">
        <v>266000</v>
      </c>
      <c r="AK121" s="61">
        <v>82000</v>
      </c>
      <c r="AL121" s="61">
        <v>129000</v>
      </c>
      <c r="AM121" s="61">
        <v>361000</v>
      </c>
      <c r="AN121" s="61">
        <v>187000</v>
      </c>
      <c r="AO121" s="61">
        <v>54000</v>
      </c>
      <c r="AP121" s="61">
        <v>196000</v>
      </c>
      <c r="AQ121" s="61">
        <v>46200</v>
      </c>
      <c r="AR121" s="61">
        <v>85800</v>
      </c>
      <c r="AS121" s="45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</row>
    <row r="122" spans="1:69">
      <c r="A122" s="39"/>
      <c r="B122" s="43"/>
      <c r="C122" s="53" t="s">
        <v>557</v>
      </c>
      <c r="D122" s="66" t="str">
        <f t="shared" si="8"/>
        <v/>
      </c>
      <c r="E122" s="66" t="str">
        <f t="shared" si="9"/>
        <v/>
      </c>
      <c r="F122" s="66" t="str">
        <f t="shared" si="10"/>
        <v/>
      </c>
      <c r="G122" s="66" t="str">
        <f t="shared" si="11"/>
        <v/>
      </c>
      <c r="H122" s="66" t="str">
        <f t="shared" si="12"/>
        <v/>
      </c>
      <c r="I122" s="66" t="str">
        <f t="shared" si="13"/>
        <v/>
      </c>
      <c r="J122" s="66" t="str">
        <f t="shared" si="14"/>
        <v/>
      </c>
      <c r="K122" s="55" t="str">
        <f t="shared" si="15"/>
        <v/>
      </c>
      <c r="L122" s="48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45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</row>
    <row r="123" spans="1:69" outlineLevel="1">
      <c r="A123" s="39"/>
      <c r="B123" s="43"/>
      <c r="C123" s="56" t="s">
        <v>558</v>
      </c>
      <c r="D123" s="57">
        <f t="shared" si="8"/>
        <v>82500</v>
      </c>
      <c r="E123" s="57">
        <f t="shared" si="9"/>
        <v>83315.625</v>
      </c>
      <c r="F123" s="57">
        <f t="shared" si="10"/>
        <v>-4145000</v>
      </c>
      <c r="G123" s="57">
        <f t="shared" si="11"/>
        <v>3270000</v>
      </c>
      <c r="H123" s="57">
        <f t="shared" si="12"/>
        <v>-83975</v>
      </c>
      <c r="I123" s="57">
        <f t="shared" si="13"/>
        <v>199250</v>
      </c>
      <c r="J123" s="57">
        <f t="shared" si="14"/>
        <v>1142336.5142038784</v>
      </c>
      <c r="K123" s="58">
        <f t="shared" si="15"/>
        <v>13.710951747692924</v>
      </c>
      <c r="M123" s="59">
        <v>1604000</v>
      </c>
      <c r="N123" s="59">
        <v>-2018000</v>
      </c>
      <c r="O123" s="59">
        <v>-21000</v>
      </c>
      <c r="P123" s="59">
        <v>2125000</v>
      </c>
      <c r="Q123" s="59">
        <v>-230000</v>
      </c>
      <c r="R123" s="59">
        <v>438000</v>
      </c>
      <c r="S123" s="59">
        <v>-4145000</v>
      </c>
      <c r="T123" s="59">
        <v>3270000</v>
      </c>
      <c r="U123" s="59">
        <v>454000</v>
      </c>
      <c r="V123" s="59">
        <v>757000</v>
      </c>
      <c r="W123" s="59">
        <v>7000</v>
      </c>
      <c r="X123" s="59">
        <v>139000</v>
      </c>
      <c r="Y123" s="59">
        <v>109000</v>
      </c>
      <c r="Z123" s="59">
        <v>-48000</v>
      </c>
      <c r="AA123" s="59">
        <v>75000</v>
      </c>
      <c r="AB123" s="59">
        <v>64000</v>
      </c>
      <c r="AC123" s="59">
        <v>-297000</v>
      </c>
      <c r="AD123" s="59">
        <v>245000</v>
      </c>
      <c r="AE123" s="59">
        <v>-330000</v>
      </c>
      <c r="AF123" s="59">
        <v>90000</v>
      </c>
      <c r="AG123" s="59">
        <v>305000</v>
      </c>
      <c r="AH123" s="59">
        <v>96000</v>
      </c>
      <c r="AI123" s="59">
        <v>-137000</v>
      </c>
      <c r="AJ123" s="59">
        <v>184000</v>
      </c>
      <c r="AK123" s="59">
        <v>-47000</v>
      </c>
      <c r="AL123" s="59">
        <v>-232000</v>
      </c>
      <c r="AM123" s="59">
        <v>174000</v>
      </c>
      <c r="AN123" s="59">
        <v>133000</v>
      </c>
      <c r="AO123" s="59">
        <v>-142000</v>
      </c>
      <c r="AP123" s="59">
        <v>150000</v>
      </c>
      <c r="AQ123" s="59">
        <v>-39600</v>
      </c>
      <c r="AR123" s="59">
        <v>-66300</v>
      </c>
      <c r="AS123" s="45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</row>
    <row r="124" spans="1:69" outlineLevel="1">
      <c r="A124" s="39"/>
      <c r="B124" s="43"/>
      <c r="C124" s="56" t="s">
        <v>559</v>
      </c>
      <c r="D124" s="57">
        <f t="shared" si="8"/>
        <v>-109500</v>
      </c>
      <c r="E124" s="57">
        <f t="shared" si="9"/>
        <v>-160603.57142857142</v>
      </c>
      <c r="F124" s="57">
        <f t="shared" si="10"/>
        <v>-573000</v>
      </c>
      <c r="G124" s="57">
        <f t="shared" si="11"/>
        <v>95000</v>
      </c>
      <c r="H124" s="57">
        <f t="shared" si="12"/>
        <v>-270750</v>
      </c>
      <c r="I124" s="57">
        <f t="shared" si="13"/>
        <v>-17250</v>
      </c>
      <c r="J124" s="57">
        <f t="shared" si="14"/>
        <v>185446.83271641569</v>
      </c>
      <c r="K124" s="58">
        <f t="shared" si="15"/>
        <v>-1.1546868545130289</v>
      </c>
      <c r="M124" s="59"/>
      <c r="N124" s="59"/>
      <c r="O124" s="59">
        <v>-321000</v>
      </c>
      <c r="P124" s="59"/>
      <c r="Q124" s="59"/>
      <c r="R124" s="59">
        <v>-235000</v>
      </c>
      <c r="S124" s="59">
        <v>-184000</v>
      </c>
      <c r="T124" s="59">
        <v>-200000</v>
      </c>
      <c r="U124" s="59">
        <v>-142000</v>
      </c>
      <c r="V124" s="59">
        <v>91000</v>
      </c>
      <c r="W124" s="59">
        <v>33000</v>
      </c>
      <c r="X124" s="59">
        <v>-46000</v>
      </c>
      <c r="Y124" s="59">
        <v>20000</v>
      </c>
      <c r="Z124" s="59">
        <v>-25000</v>
      </c>
      <c r="AA124" s="59">
        <v>95000</v>
      </c>
      <c r="AB124" s="59">
        <v>-20000</v>
      </c>
      <c r="AC124" s="59">
        <v>-61000</v>
      </c>
      <c r="AD124" s="59">
        <v>-4000</v>
      </c>
      <c r="AE124" s="59">
        <v>-46000</v>
      </c>
      <c r="AF124" s="59">
        <v>-30000</v>
      </c>
      <c r="AG124" s="59">
        <v>-8000</v>
      </c>
      <c r="AH124" s="59">
        <v>-254000</v>
      </c>
      <c r="AI124" s="59">
        <v>-77000</v>
      </c>
      <c r="AJ124" s="59">
        <v>-9000</v>
      </c>
      <c r="AK124" s="59">
        <v>-433000</v>
      </c>
      <c r="AL124" s="59">
        <v>-160000</v>
      </c>
      <c r="AM124" s="59">
        <v>-573000</v>
      </c>
      <c r="AN124" s="59">
        <v>-463000</v>
      </c>
      <c r="AO124" s="59">
        <v>-434000</v>
      </c>
      <c r="AP124" s="59">
        <v>-381000</v>
      </c>
      <c r="AQ124" s="59">
        <v>-390800</v>
      </c>
      <c r="AR124" s="59">
        <v>-239100</v>
      </c>
      <c r="AS124" s="45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</row>
    <row r="125" spans="1:69" outlineLevel="1">
      <c r="A125" s="39"/>
      <c r="B125" s="43"/>
      <c r="C125" s="56" t="s">
        <v>560</v>
      </c>
      <c r="D125" s="57">
        <f t="shared" si="8"/>
        <v>414500</v>
      </c>
      <c r="E125" s="57">
        <f t="shared" si="9"/>
        <v>534000</v>
      </c>
      <c r="F125" s="57">
        <f t="shared" si="10"/>
        <v>32000</v>
      </c>
      <c r="G125" s="57">
        <f t="shared" si="11"/>
        <v>1275000</v>
      </c>
      <c r="H125" s="57">
        <f t="shared" si="12"/>
        <v>59750</v>
      </c>
      <c r="I125" s="57">
        <f t="shared" si="13"/>
        <v>888750</v>
      </c>
      <c r="J125" s="57">
        <f t="shared" si="14"/>
        <v>596765.16877802671</v>
      </c>
      <c r="K125" s="58">
        <f t="shared" si="15"/>
        <v>1.117537769247241</v>
      </c>
      <c r="M125" s="59">
        <v>1275000</v>
      </c>
      <c r="N125" s="59">
        <v>760000</v>
      </c>
      <c r="O125" s="59"/>
      <c r="P125" s="59">
        <v>32000</v>
      </c>
      <c r="Q125" s="59">
        <v>69000</v>
      </c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45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</row>
    <row r="126" spans="1:69" outlineLevel="1">
      <c r="A126" s="39"/>
      <c r="B126" s="43"/>
      <c r="C126" s="56" t="s">
        <v>561</v>
      </c>
      <c r="D126" s="57">
        <f t="shared" si="8"/>
        <v>-725000</v>
      </c>
      <c r="E126" s="57">
        <f t="shared" si="9"/>
        <v>-835153.125</v>
      </c>
      <c r="F126" s="57">
        <f t="shared" si="10"/>
        <v>-3501000</v>
      </c>
      <c r="G126" s="57">
        <f t="shared" si="11"/>
        <v>1194000</v>
      </c>
      <c r="H126" s="57">
        <f t="shared" si="12"/>
        <v>-1191750</v>
      </c>
      <c r="I126" s="57">
        <f t="shared" si="13"/>
        <v>-310250</v>
      </c>
      <c r="J126" s="57">
        <f t="shared" si="14"/>
        <v>931485.80685752595</v>
      </c>
      <c r="K126" s="58">
        <f t="shared" si="15"/>
        <v>-1.1153473285004183</v>
      </c>
      <c r="M126" s="59">
        <v>-3501000</v>
      </c>
      <c r="N126" s="59">
        <v>-2737000</v>
      </c>
      <c r="O126" s="59">
        <v>-2463000</v>
      </c>
      <c r="P126" s="59">
        <v>-1375000</v>
      </c>
      <c r="Q126" s="59">
        <v>-1323000</v>
      </c>
      <c r="R126" s="59">
        <v>-1432000</v>
      </c>
      <c r="S126" s="59">
        <v>-1799000</v>
      </c>
      <c r="T126" s="59">
        <v>-1209000</v>
      </c>
      <c r="U126" s="59">
        <v>-1186000</v>
      </c>
      <c r="V126" s="59">
        <v>1194000</v>
      </c>
      <c r="W126" s="59">
        <v>1143000</v>
      </c>
      <c r="X126" s="59">
        <v>-1181000</v>
      </c>
      <c r="Y126" s="59">
        <v>-1070000</v>
      </c>
      <c r="Z126" s="59">
        <v>-1001000</v>
      </c>
      <c r="AA126" s="59">
        <v>-978000</v>
      </c>
      <c r="AB126" s="59">
        <v>-916000</v>
      </c>
      <c r="AC126" s="59">
        <v>-805000</v>
      </c>
      <c r="AD126" s="59">
        <v>-764000</v>
      </c>
      <c r="AE126" s="59">
        <v>-686000</v>
      </c>
      <c r="AF126" s="59">
        <v>-648000</v>
      </c>
      <c r="AG126" s="59">
        <v>-543000</v>
      </c>
      <c r="AH126" s="59">
        <v>-460000</v>
      </c>
      <c r="AI126" s="59">
        <v>-342000</v>
      </c>
      <c r="AJ126" s="59">
        <v>-311000</v>
      </c>
      <c r="AK126" s="59">
        <v>-373000</v>
      </c>
      <c r="AL126" s="59">
        <v>-301000</v>
      </c>
      <c r="AM126" s="59">
        <v>-221000</v>
      </c>
      <c r="AN126" s="59">
        <v>-308000</v>
      </c>
      <c r="AO126" s="59">
        <v>-287000</v>
      </c>
      <c r="AP126" s="59">
        <v>-248000</v>
      </c>
      <c r="AQ126" s="59">
        <v>-275500</v>
      </c>
      <c r="AR126" s="59">
        <v>-318400</v>
      </c>
      <c r="AS126" s="45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</row>
    <row r="127" spans="1:69">
      <c r="A127" s="39"/>
      <c r="B127" s="43"/>
      <c r="C127" s="53" t="s">
        <v>562</v>
      </c>
      <c r="D127" s="66" t="str">
        <f t="shared" si="8"/>
        <v/>
      </c>
      <c r="E127" s="66" t="str">
        <f t="shared" si="9"/>
        <v/>
      </c>
      <c r="F127" s="66" t="str">
        <f t="shared" si="10"/>
        <v/>
      </c>
      <c r="G127" s="66" t="str">
        <f t="shared" si="11"/>
        <v/>
      </c>
      <c r="H127" s="66" t="str">
        <f t="shared" si="12"/>
        <v/>
      </c>
      <c r="I127" s="66" t="str">
        <f t="shared" si="13"/>
        <v/>
      </c>
      <c r="J127" s="66" t="str">
        <f t="shared" si="14"/>
        <v/>
      </c>
      <c r="K127" s="55" t="str">
        <f t="shared" si="15"/>
        <v/>
      </c>
      <c r="L127" s="48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  <c r="AG127" s="66"/>
      <c r="AH127" s="66"/>
      <c r="AI127" s="66"/>
      <c r="AJ127" s="66"/>
      <c r="AK127" s="66"/>
      <c r="AL127" s="66"/>
      <c r="AM127" s="66"/>
      <c r="AN127" s="66"/>
      <c r="AO127" s="66"/>
      <c r="AP127" s="66"/>
      <c r="AQ127" s="66"/>
      <c r="AR127" s="66"/>
      <c r="AS127" s="45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</row>
    <row r="128" spans="1:69" outlineLevel="1">
      <c r="A128" s="39"/>
      <c r="B128" s="43"/>
      <c r="C128" s="56" t="s">
        <v>563</v>
      </c>
      <c r="D128" s="57">
        <f t="shared" si="8"/>
        <v>1336397</v>
      </c>
      <c r="E128" s="57">
        <f t="shared" si="9"/>
        <v>1761009.9092971855</v>
      </c>
      <c r="F128" s="57">
        <f t="shared" si="10"/>
        <v>-1396505</v>
      </c>
      <c r="G128" s="57">
        <f t="shared" si="11"/>
        <v>7195880</v>
      </c>
      <c r="H128" s="57">
        <f t="shared" si="12"/>
        <v>758475</v>
      </c>
      <c r="I128" s="57">
        <f t="shared" si="13"/>
        <v>2491231.75</v>
      </c>
      <c r="J128" s="57">
        <f t="shared" si="14"/>
        <v>1975364.2454640944</v>
      </c>
      <c r="K128" s="58">
        <f t="shared" si="15"/>
        <v>1.1217223906777771</v>
      </c>
      <c r="M128" s="59">
        <v>7195880</v>
      </c>
      <c r="N128" s="59">
        <v>6695840</v>
      </c>
      <c r="O128" s="59">
        <v>6011288</v>
      </c>
      <c r="P128" s="59">
        <v>-1396505</v>
      </c>
      <c r="Q128" s="59">
        <v>1339300</v>
      </c>
      <c r="R128" s="59">
        <v>2742900</v>
      </c>
      <c r="S128" s="59">
        <v>-1313133</v>
      </c>
      <c r="T128" s="59">
        <v>2416428</v>
      </c>
      <c r="U128" s="59">
        <v>1641800</v>
      </c>
      <c r="V128" s="59">
        <v>3138130</v>
      </c>
      <c r="W128" s="59">
        <v>3157012</v>
      </c>
      <c r="X128" s="59">
        <v>3462697</v>
      </c>
      <c r="Y128" s="59">
        <v>2715643</v>
      </c>
      <c r="Z128" s="59">
        <v>73892</v>
      </c>
      <c r="AA128" s="59">
        <v>1360440</v>
      </c>
      <c r="AB128" s="59">
        <v>1333494</v>
      </c>
      <c r="AC128" s="59">
        <v>2413042.7394438726</v>
      </c>
      <c r="AD128" s="59">
        <v>1692868.3580660603</v>
      </c>
      <c r="AE128" s="59">
        <v>1881000</v>
      </c>
      <c r="AF128" s="59">
        <v>1634000</v>
      </c>
      <c r="AG128" s="59">
        <v>-277000</v>
      </c>
      <c r="AH128" s="59">
        <v>621000</v>
      </c>
      <c r="AI128" s="59">
        <v>1025000</v>
      </c>
      <c r="AJ128" s="59">
        <v>950000</v>
      </c>
      <c r="AK128" s="59">
        <v>788000</v>
      </c>
      <c r="AL128" s="59">
        <v>-323000</v>
      </c>
      <c r="AM128" s="59">
        <v>702000</v>
      </c>
      <c r="AN128" s="59">
        <v>1126000</v>
      </c>
      <c r="AO128" s="59">
        <v>1046000</v>
      </c>
      <c r="AP128" s="59">
        <v>1118000</v>
      </c>
      <c r="AQ128" s="59">
        <v>777300</v>
      </c>
      <c r="AR128" s="59">
        <v>603000</v>
      </c>
      <c r="AS128" s="45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</row>
    <row r="129" spans="1:69" outlineLevel="1">
      <c r="A129" s="39"/>
      <c r="B129" s="43"/>
      <c r="C129" s="56" t="s">
        <v>564</v>
      </c>
      <c r="D129" s="57">
        <f t="shared" si="8"/>
        <v>987500</v>
      </c>
      <c r="E129" s="57">
        <f t="shared" si="9"/>
        <v>1038446.875</v>
      </c>
      <c r="F129" s="57">
        <f t="shared" si="10"/>
        <v>-3299000</v>
      </c>
      <c r="G129" s="57">
        <f t="shared" si="11"/>
        <v>4586000</v>
      </c>
      <c r="H129" s="57">
        <f t="shared" si="12"/>
        <v>593250</v>
      </c>
      <c r="I129" s="57">
        <f t="shared" si="13"/>
        <v>1750500</v>
      </c>
      <c r="J129" s="57">
        <f t="shared" si="14"/>
        <v>1477950.0744512868</v>
      </c>
      <c r="K129" s="58">
        <f t="shared" si="15"/>
        <v>1.42323127935773</v>
      </c>
      <c r="M129" s="59">
        <v>3584000</v>
      </c>
      <c r="N129" s="59">
        <v>4586000</v>
      </c>
      <c r="O129" s="59">
        <v>3146000</v>
      </c>
      <c r="P129" s="59">
        <v>-1892000</v>
      </c>
      <c r="Q129" s="59">
        <v>209000</v>
      </c>
      <c r="R129" s="59">
        <v>828000</v>
      </c>
      <c r="S129" s="59">
        <v>-3299000</v>
      </c>
      <c r="T129" s="59">
        <v>1239000</v>
      </c>
      <c r="U129" s="59">
        <v>707000</v>
      </c>
      <c r="V129" s="59">
        <v>2386000</v>
      </c>
      <c r="W129" s="59">
        <v>2319000</v>
      </c>
      <c r="X129" s="59">
        <v>2609000</v>
      </c>
      <c r="Y129" s="59">
        <v>1950000</v>
      </c>
      <c r="Z129" s="59">
        <v>-688000</v>
      </c>
      <c r="AA129" s="59">
        <v>549000</v>
      </c>
      <c r="AB129" s="59">
        <v>564000</v>
      </c>
      <c r="AC129" s="59">
        <v>1707000</v>
      </c>
      <c r="AD129" s="59">
        <v>1055000</v>
      </c>
      <c r="AE129" s="59">
        <v>1881000</v>
      </c>
      <c r="AF129" s="59">
        <v>1634000</v>
      </c>
      <c r="AG129" s="59">
        <v>-277000</v>
      </c>
      <c r="AH129" s="59">
        <v>621000</v>
      </c>
      <c r="AI129" s="59">
        <v>1025000</v>
      </c>
      <c r="AJ129" s="59">
        <v>950000</v>
      </c>
      <c r="AK129" s="59">
        <v>788000</v>
      </c>
      <c r="AL129" s="59">
        <v>-323000</v>
      </c>
      <c r="AM129" s="59">
        <v>702000</v>
      </c>
      <c r="AN129" s="59">
        <v>1126000</v>
      </c>
      <c r="AO129" s="59">
        <v>1046000</v>
      </c>
      <c r="AP129" s="59">
        <v>1118000</v>
      </c>
      <c r="AQ129" s="59">
        <v>777300</v>
      </c>
      <c r="AR129" s="59">
        <v>603000</v>
      </c>
      <c r="AS129" s="45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</row>
    <row r="130" spans="1:69" outlineLevel="1">
      <c r="A130" s="39"/>
      <c r="B130" s="43"/>
      <c r="C130" s="56" t="s">
        <v>565</v>
      </c>
      <c r="D130" s="57">
        <f t="shared" si="8"/>
        <v>154000</v>
      </c>
      <c r="E130" s="57">
        <f t="shared" si="9"/>
        <v>526521.875</v>
      </c>
      <c r="F130" s="57">
        <f t="shared" si="10"/>
        <v>0</v>
      </c>
      <c r="G130" s="57">
        <f t="shared" si="11"/>
        <v>4514000</v>
      </c>
      <c r="H130" s="57">
        <f t="shared" si="12"/>
        <v>10500</v>
      </c>
      <c r="I130" s="57">
        <f t="shared" si="13"/>
        <v>634500</v>
      </c>
      <c r="J130" s="57">
        <f t="shared" si="14"/>
        <v>900378.37520583894</v>
      </c>
      <c r="K130" s="58">
        <f t="shared" si="15"/>
        <v>1.7100493217035644</v>
      </c>
      <c r="M130" s="59">
        <v>2038000</v>
      </c>
      <c r="N130" s="59">
        <v>48000</v>
      </c>
      <c r="O130" s="59">
        <v>4514000</v>
      </c>
      <c r="P130" s="59">
        <v>1514000</v>
      </c>
      <c r="Q130" s="59">
        <v>14000</v>
      </c>
      <c r="R130" s="59">
        <v>0</v>
      </c>
      <c r="S130" s="59">
        <v>1494000</v>
      </c>
      <c r="T130" s="59">
        <v>718000</v>
      </c>
      <c r="U130" s="59">
        <v>603000</v>
      </c>
      <c r="V130" s="59">
        <v>537000</v>
      </c>
      <c r="W130" s="59">
        <v>1298000</v>
      </c>
      <c r="X130" s="59">
        <v>633000</v>
      </c>
      <c r="Y130" s="59">
        <v>842000</v>
      </c>
      <c r="Z130" s="59">
        <v>405000</v>
      </c>
      <c r="AA130" s="59">
        <v>48000</v>
      </c>
      <c r="AB130" s="59">
        <v>308000</v>
      </c>
      <c r="AC130" s="59">
        <v>198000</v>
      </c>
      <c r="AD130" s="59">
        <v>41000</v>
      </c>
      <c r="AE130" s="59">
        <v>46000</v>
      </c>
      <c r="AF130" s="59">
        <v>333000</v>
      </c>
      <c r="AG130" s="59">
        <v>639000</v>
      </c>
      <c r="AH130" s="59">
        <v>110000</v>
      </c>
      <c r="AI130" s="59">
        <v>73000</v>
      </c>
      <c r="AJ130" s="59">
        <v>378000</v>
      </c>
      <c r="AK130" s="59">
        <v>0</v>
      </c>
      <c r="AL130" s="59">
        <v>0</v>
      </c>
      <c r="AM130" s="59">
        <v>0</v>
      </c>
      <c r="AN130" s="59">
        <v>0</v>
      </c>
      <c r="AO130" s="59">
        <v>0</v>
      </c>
      <c r="AP130" s="59">
        <v>0</v>
      </c>
      <c r="AQ130" s="59">
        <v>0</v>
      </c>
      <c r="AR130" s="59">
        <v>16700</v>
      </c>
      <c r="AS130" s="45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</row>
    <row r="131" spans="1:69" outlineLevel="1">
      <c r="A131" s="39"/>
      <c r="B131" s="43"/>
      <c r="C131" s="56" t="s">
        <v>566</v>
      </c>
      <c r="D131" s="57">
        <f t="shared" si="8"/>
        <v>4047500</v>
      </c>
      <c r="E131" s="57">
        <f t="shared" si="9"/>
        <v>6717343.75</v>
      </c>
      <c r="F131" s="57">
        <f t="shared" si="10"/>
        <v>0</v>
      </c>
      <c r="G131" s="57">
        <f t="shared" si="11"/>
        <v>31344000</v>
      </c>
      <c r="H131" s="57">
        <f t="shared" si="12"/>
        <v>1235000</v>
      </c>
      <c r="I131" s="57">
        <f t="shared" si="13"/>
        <v>10446750</v>
      </c>
      <c r="J131" s="57">
        <f t="shared" si="14"/>
        <v>8046125.7140972167</v>
      </c>
      <c r="K131" s="58">
        <f t="shared" si="15"/>
        <v>1.1978136021544552</v>
      </c>
      <c r="M131" s="59">
        <v>26237000</v>
      </c>
      <c r="N131" s="59">
        <v>31344000</v>
      </c>
      <c r="O131" s="59">
        <v>18778000</v>
      </c>
      <c r="P131" s="59">
        <v>15938000</v>
      </c>
      <c r="Q131" s="59">
        <v>16683000</v>
      </c>
      <c r="R131" s="59">
        <v>14562000</v>
      </c>
      <c r="S131" s="59">
        <v>14105000</v>
      </c>
      <c r="T131" s="59">
        <v>11118000</v>
      </c>
      <c r="U131" s="59">
        <v>10223000</v>
      </c>
      <c r="V131" s="59">
        <v>6051000</v>
      </c>
      <c r="W131" s="59">
        <v>6229000</v>
      </c>
      <c r="X131" s="59">
        <v>6005000</v>
      </c>
      <c r="Y131" s="59">
        <v>4371000</v>
      </c>
      <c r="Z131" s="59">
        <v>6691000</v>
      </c>
      <c r="AA131" s="59">
        <v>4400000</v>
      </c>
      <c r="AB131" s="59">
        <v>3724000</v>
      </c>
      <c r="AC131" s="59">
        <v>3374000</v>
      </c>
      <c r="AD131" s="59">
        <v>4675000</v>
      </c>
      <c r="AE131" s="59">
        <v>1253000</v>
      </c>
      <c r="AF131" s="59">
        <v>1681000</v>
      </c>
      <c r="AG131" s="59">
        <v>838000</v>
      </c>
      <c r="AH131" s="59">
        <v>0</v>
      </c>
      <c r="AI131" s="59">
        <v>1326000</v>
      </c>
      <c r="AJ131" s="59">
        <v>1187000</v>
      </c>
      <c r="AK131" s="59">
        <v>1657000</v>
      </c>
      <c r="AL131" s="59">
        <v>1251000</v>
      </c>
      <c r="AM131" s="59">
        <v>1254000</v>
      </c>
      <c r="AN131" s="59">
        <v>0</v>
      </c>
      <c r="AO131" s="59">
        <v>0</v>
      </c>
      <c r="AP131" s="59">
        <v>0</v>
      </c>
      <c r="AQ131" s="59">
        <v>0</v>
      </c>
      <c r="AR131" s="59">
        <v>0</v>
      </c>
      <c r="AS131" s="45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</row>
    <row r="132" spans="1:69" outlineLevel="1">
      <c r="A132" s="39"/>
      <c r="B132" s="43"/>
      <c r="C132" s="56" t="s">
        <v>567</v>
      </c>
      <c r="D132" s="57">
        <f t="shared" si="8"/>
        <v>-1623500</v>
      </c>
      <c r="E132" s="57">
        <f t="shared" si="9"/>
        <v>-3652053.125</v>
      </c>
      <c r="F132" s="57">
        <f t="shared" si="10"/>
        <v>-19706000</v>
      </c>
      <c r="G132" s="57">
        <f t="shared" si="11"/>
        <v>0</v>
      </c>
      <c r="H132" s="57">
        <f t="shared" si="12"/>
        <v>-5350000</v>
      </c>
      <c r="I132" s="57">
        <f t="shared" si="13"/>
        <v>-214500</v>
      </c>
      <c r="J132" s="57">
        <f t="shared" si="14"/>
        <v>4778152.0039543686</v>
      </c>
      <c r="K132" s="58">
        <f t="shared" si="15"/>
        <v>-1.308346795736814</v>
      </c>
      <c r="M132" s="59">
        <v>-12514000</v>
      </c>
      <c r="N132" s="59">
        <v>-19706000</v>
      </c>
      <c r="O132" s="59">
        <v>-10591000</v>
      </c>
      <c r="P132" s="59">
        <v>-5650000</v>
      </c>
      <c r="Q132" s="59">
        <v>-10020000</v>
      </c>
      <c r="R132" s="59">
        <v>-9168000</v>
      </c>
      <c r="S132" s="59">
        <v>-10491000</v>
      </c>
      <c r="T132" s="59">
        <v>-3557000</v>
      </c>
      <c r="U132" s="59">
        <v>-6782000</v>
      </c>
      <c r="V132" s="59">
        <v>-3972000</v>
      </c>
      <c r="W132" s="59">
        <v>-4785000</v>
      </c>
      <c r="X132" s="59">
        <v>-5250000</v>
      </c>
      <c r="Y132" s="59">
        <v>-3116000</v>
      </c>
      <c r="Z132" s="59">
        <v>-1612000</v>
      </c>
      <c r="AA132" s="59">
        <v>-2121000</v>
      </c>
      <c r="AB132" s="59">
        <v>-1899000</v>
      </c>
      <c r="AC132" s="59">
        <v>-1635000</v>
      </c>
      <c r="AD132" s="59">
        <v>-1358000</v>
      </c>
      <c r="AE132" s="59">
        <v>0</v>
      </c>
      <c r="AF132" s="59">
        <v>0</v>
      </c>
      <c r="AG132" s="59">
        <v>0</v>
      </c>
      <c r="AH132" s="59">
        <v>-286000</v>
      </c>
      <c r="AI132" s="59">
        <v>0</v>
      </c>
      <c r="AJ132" s="59">
        <v>0</v>
      </c>
      <c r="AK132" s="59">
        <v>0</v>
      </c>
      <c r="AL132" s="59">
        <v>0</v>
      </c>
      <c r="AM132" s="59">
        <v>0</v>
      </c>
      <c r="AN132" s="59">
        <v>-408000</v>
      </c>
      <c r="AO132" s="59">
        <v>-562000</v>
      </c>
      <c r="AP132" s="59">
        <v>-517000</v>
      </c>
      <c r="AQ132" s="59">
        <v>-453300</v>
      </c>
      <c r="AR132" s="59">
        <v>-412400</v>
      </c>
      <c r="AS132" s="45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</row>
    <row r="133" spans="1:69" outlineLevel="1">
      <c r="A133" s="39"/>
      <c r="B133" s="43"/>
      <c r="C133" s="56" t="s">
        <v>568</v>
      </c>
      <c r="D133" s="57">
        <f t="shared" si="8"/>
        <v>0</v>
      </c>
      <c r="E133" s="57">
        <f t="shared" si="9"/>
        <v>-42659.375</v>
      </c>
      <c r="F133" s="57">
        <f t="shared" si="10"/>
        <v>-375000</v>
      </c>
      <c r="G133" s="57">
        <f t="shared" si="11"/>
        <v>0</v>
      </c>
      <c r="H133" s="57">
        <f t="shared" si="12"/>
        <v>-63850</v>
      </c>
      <c r="I133" s="57">
        <f t="shared" si="13"/>
        <v>0</v>
      </c>
      <c r="J133" s="57">
        <f t="shared" si="14"/>
        <v>82724.910861336859</v>
      </c>
      <c r="K133" s="58">
        <f t="shared" si="15"/>
        <v>-1.9391965039651158</v>
      </c>
      <c r="M133" s="59">
        <v>0</v>
      </c>
      <c r="N133" s="59">
        <v>0</v>
      </c>
      <c r="O133" s="59">
        <v>0</v>
      </c>
      <c r="P133" s="59">
        <v>0</v>
      </c>
      <c r="Q133" s="59">
        <v>0</v>
      </c>
      <c r="R133" s="59">
        <v>-92000</v>
      </c>
      <c r="S133" s="59">
        <v>0</v>
      </c>
      <c r="T133" s="59">
        <v>0</v>
      </c>
      <c r="U133" s="59">
        <v>0</v>
      </c>
      <c r="V133" s="59">
        <v>0</v>
      </c>
      <c r="W133" s="59">
        <v>0</v>
      </c>
      <c r="X133" s="59">
        <v>0</v>
      </c>
      <c r="Y133" s="59">
        <v>0</v>
      </c>
      <c r="Z133" s="59">
        <v>-19000</v>
      </c>
      <c r="AA133" s="59">
        <v>-375000</v>
      </c>
      <c r="AB133" s="59">
        <v>0</v>
      </c>
      <c r="AC133" s="59">
        <v>0</v>
      </c>
      <c r="AD133" s="59">
        <v>0</v>
      </c>
      <c r="AE133" s="59">
        <v>0</v>
      </c>
      <c r="AF133" s="59">
        <v>0</v>
      </c>
      <c r="AG133" s="59">
        <v>0</v>
      </c>
      <c r="AH133" s="59">
        <v>0</v>
      </c>
      <c r="AI133" s="59">
        <v>-228000</v>
      </c>
      <c r="AJ133" s="59">
        <v>0</v>
      </c>
      <c r="AK133" s="59">
        <v>0</v>
      </c>
      <c r="AL133" s="59">
        <v>-150000</v>
      </c>
      <c r="AM133" s="59">
        <v>-116000</v>
      </c>
      <c r="AN133" s="59">
        <v>-62000</v>
      </c>
      <c r="AO133" s="59">
        <v>-48000</v>
      </c>
      <c r="AP133" s="59">
        <v>-82000</v>
      </c>
      <c r="AQ133" s="59">
        <v>-69400</v>
      </c>
      <c r="AR133" s="59">
        <v>-123700</v>
      </c>
      <c r="AS133" s="45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</row>
    <row r="134" spans="1:69" outlineLevel="1">
      <c r="A134" s="39"/>
      <c r="B134" s="43"/>
      <c r="C134" s="56" t="s">
        <v>569</v>
      </c>
      <c r="D134" s="74">
        <f t="shared" si="8"/>
        <v>0.35508646253597326</v>
      </c>
      <c r="E134" s="74">
        <f t="shared" si="9"/>
        <v>0.26130334491908258</v>
      </c>
      <c r="F134" s="74">
        <f t="shared" si="10"/>
        <v>-0.4241450244278735</v>
      </c>
      <c r="G134" s="74">
        <f t="shared" si="11"/>
        <v>0.70226130653266328</v>
      </c>
      <c r="H134" s="74">
        <f t="shared" si="12"/>
        <v>0.11889885311024054</v>
      </c>
      <c r="I134" s="74">
        <f t="shared" si="13"/>
        <v>0.43477974480635639</v>
      </c>
      <c r="J134" s="74">
        <f t="shared" si="14"/>
        <v>0.28509459816045496</v>
      </c>
      <c r="K134" s="58">
        <f t="shared" si="15"/>
        <v>1.0910484067807849</v>
      </c>
      <c r="M134" s="75">
        <v>0.27873697309068285</v>
      </c>
      <c r="N134" s="75">
        <v>0.35007633587786258</v>
      </c>
      <c r="O134" s="75">
        <v>0.24783362218370883</v>
      </c>
      <c r="P134" s="75">
        <v>-0.24101910828025477</v>
      </c>
      <c r="Q134" s="75">
        <v>2.5998258489861922E-2</v>
      </c>
      <c r="R134" s="75">
        <v>9.6424828228717827E-2</v>
      </c>
      <c r="S134" s="75">
        <v>-0.4241450244278735</v>
      </c>
      <c r="T134" s="75">
        <v>0.1721311475409836</v>
      </c>
      <c r="U134" s="75">
        <v>0.11567408376963351</v>
      </c>
      <c r="V134" s="75">
        <v>0.36009658919408394</v>
      </c>
      <c r="W134" s="75">
        <v>0.37457599741560327</v>
      </c>
      <c r="X134" s="75">
        <v>0.43209672076846639</v>
      </c>
      <c r="Y134" s="75">
        <v>0.37834691501746215</v>
      </c>
      <c r="Z134" s="75">
        <v>-0.16451458632233382</v>
      </c>
      <c r="AA134" s="75">
        <v>0.11997377622377622</v>
      </c>
      <c r="AB134" s="75">
        <v>0.16063799487325547</v>
      </c>
      <c r="AC134" s="75">
        <v>0.36749192680301401</v>
      </c>
      <c r="AD134" s="75">
        <v>0.29502237136465326</v>
      </c>
      <c r="AE134" s="75">
        <v>0.5032102728731942</v>
      </c>
      <c r="AF134" s="75">
        <v>0.47225433526011562</v>
      </c>
      <c r="AG134" s="75">
        <v>-0.20488165680473372</v>
      </c>
      <c r="AH134" s="75">
        <v>0.28803339517625232</v>
      </c>
      <c r="AI134" s="75">
        <v>0.42425496688741721</v>
      </c>
      <c r="AJ134" s="75">
        <v>0.42658284687920972</v>
      </c>
      <c r="AK134" s="75">
        <v>0.40576725025746652</v>
      </c>
      <c r="AL134" s="75">
        <v>-0.33094262295081966</v>
      </c>
      <c r="AM134" s="75">
        <v>0.44913627639155468</v>
      </c>
      <c r="AN134" s="75">
        <v>0.64601262191623643</v>
      </c>
      <c r="AO134" s="75">
        <v>0.65497808390732626</v>
      </c>
      <c r="AP134" s="75">
        <v>0.70226130653266328</v>
      </c>
      <c r="AQ134" s="75">
        <v>0.53677232235342864</v>
      </c>
      <c r="AR134" s="75">
        <v>0.44282881692002646</v>
      </c>
      <c r="AS134" s="45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</row>
    <row r="135" spans="1:69">
      <c r="A135" s="39"/>
      <c r="B135" s="43"/>
      <c r="C135" s="53" t="s">
        <v>440</v>
      </c>
      <c r="D135" s="66" t="str">
        <f t="shared" si="8"/>
        <v/>
      </c>
      <c r="E135" s="66" t="str">
        <f t="shared" si="9"/>
        <v/>
      </c>
      <c r="F135" s="66" t="str">
        <f t="shared" si="10"/>
        <v/>
      </c>
      <c r="G135" s="66" t="str">
        <f t="shared" si="11"/>
        <v/>
      </c>
      <c r="H135" s="66" t="str">
        <f t="shared" si="12"/>
        <v/>
      </c>
      <c r="I135" s="66" t="str">
        <f t="shared" si="13"/>
        <v/>
      </c>
      <c r="J135" s="66" t="str">
        <f t="shared" si="14"/>
        <v/>
      </c>
      <c r="K135" s="55" t="str">
        <f t="shared" si="15"/>
        <v/>
      </c>
      <c r="L135" s="48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66"/>
      <c r="AL135" s="66"/>
      <c r="AM135" s="66"/>
      <c r="AN135" s="66"/>
      <c r="AO135" s="66"/>
      <c r="AP135" s="66"/>
      <c r="AQ135" s="66"/>
      <c r="AR135" s="66"/>
      <c r="AS135" s="45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</row>
    <row r="136" spans="1:69" outlineLevel="1">
      <c r="A136" s="39"/>
      <c r="B136" s="43"/>
      <c r="C136" s="56" t="s">
        <v>570</v>
      </c>
      <c r="D136" s="58">
        <f t="shared" si="8"/>
        <v>0.65217958259186415</v>
      </c>
      <c r="E136" s="58">
        <f t="shared" si="9"/>
        <v>0.6074483777837113</v>
      </c>
      <c r="F136" s="58">
        <f t="shared" si="10"/>
        <v>-1.6988516401462486</v>
      </c>
      <c r="G136" s="58">
        <f t="shared" si="11"/>
        <v>2.2270784770784773</v>
      </c>
      <c r="H136" s="58">
        <f t="shared" si="12"/>
        <v>0.36590664514393328</v>
      </c>
      <c r="I136" s="58">
        <f t="shared" si="13"/>
        <v>1.0714296497931839</v>
      </c>
      <c r="J136" s="58">
        <f t="shared" si="14"/>
        <v>0.76654883408862584</v>
      </c>
      <c r="K136" s="58">
        <f t="shared" si="15"/>
        <v>1.2619160115060246</v>
      </c>
      <c r="M136" s="65">
        <v>1.7308992562542258</v>
      </c>
      <c r="N136" s="65">
        <v>2.2270784770784773</v>
      </c>
      <c r="O136" s="65">
        <v>1.5491431948000789</v>
      </c>
      <c r="P136" s="65">
        <v>-0.95623167896492467</v>
      </c>
      <c r="Q136" s="65">
        <v>0.10597302504816955</v>
      </c>
      <c r="R136" s="65">
        <v>0.42056074766355139</v>
      </c>
      <c r="S136" s="65">
        <v>-1.6988516401462486</v>
      </c>
      <c r="T136" s="65">
        <v>0.64940510508936522</v>
      </c>
      <c r="U136" s="65">
        <v>0.37407407407407406</v>
      </c>
      <c r="V136" s="65">
        <v>1.2805925289823958</v>
      </c>
      <c r="W136" s="65">
        <v>1.2769823788546255</v>
      </c>
      <c r="X136" s="65">
        <v>1.4820495341967734</v>
      </c>
      <c r="Y136" s="65">
        <v>1.1416861826697893</v>
      </c>
      <c r="Z136" s="65">
        <v>-0.41030534351145037</v>
      </c>
      <c r="AA136" s="65">
        <v>0.32756563245823389</v>
      </c>
      <c r="AB136" s="65">
        <v>0.34140435835351091</v>
      </c>
      <c r="AC136" s="65">
        <v>1.0480108055009822</v>
      </c>
      <c r="AD136" s="65">
        <v>0.65495406009436308</v>
      </c>
      <c r="AE136" s="65">
        <v>1.1738642036944582</v>
      </c>
      <c r="AF136" s="65">
        <v>1.030264817150063</v>
      </c>
      <c r="AG136" s="65">
        <v>-0.17954368680321495</v>
      </c>
      <c r="AH136" s="65">
        <v>0.4307713651498335</v>
      </c>
      <c r="AI136" s="65">
        <v>0.7206130483689539</v>
      </c>
      <c r="AJ136" s="65">
        <v>0.69121071012805591</v>
      </c>
      <c r="AK136" s="65">
        <v>0.58284023668639051</v>
      </c>
      <c r="AL136" s="65">
        <v>-0.23743252848413174</v>
      </c>
      <c r="AM136" s="65">
        <v>0.48705353426026143</v>
      </c>
      <c r="AN136" s="65">
        <v>0.77555900860691418</v>
      </c>
      <c r="AO136" s="65">
        <v>0.71665826226129659</v>
      </c>
      <c r="AP136" s="65">
        <v>0.75740111640653573</v>
      </c>
      <c r="AQ136" s="65">
        <v>0.5237757676384337</v>
      </c>
      <c r="AR136" s="65">
        <v>0.42032153551891238</v>
      </c>
      <c r="AS136" s="45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</row>
    <row r="137" spans="1:69" outlineLevel="1">
      <c r="A137" s="39"/>
      <c r="B137" s="43"/>
      <c r="C137" s="56" t="s">
        <v>571</v>
      </c>
      <c r="D137" s="58">
        <f t="shared" si="8"/>
        <v>2.4133935666157251</v>
      </c>
      <c r="E137" s="58">
        <f t="shared" si="9"/>
        <v>2.7129746997513138</v>
      </c>
      <c r="F137" s="58">
        <f t="shared" si="10"/>
        <v>0.71744318204493052</v>
      </c>
      <c r="G137" s="58">
        <f t="shared" si="11"/>
        <v>6.3616938616938619</v>
      </c>
      <c r="H137" s="58">
        <f t="shared" si="12"/>
        <v>1.3774259704566525</v>
      </c>
      <c r="I137" s="58">
        <f t="shared" si="13"/>
        <v>3.6103690923443645</v>
      </c>
      <c r="J137" s="58">
        <f t="shared" si="14"/>
        <v>1.5984566278439447</v>
      </c>
      <c r="K137" s="58">
        <f t="shared" si="15"/>
        <v>0.58918965517461996</v>
      </c>
      <c r="M137" s="65">
        <v>6.2097942625325988</v>
      </c>
      <c r="N137" s="65">
        <v>6.3616938616938619</v>
      </c>
      <c r="O137" s="65">
        <v>6.250738625172346</v>
      </c>
      <c r="P137" s="65">
        <v>3.9674517335489741</v>
      </c>
      <c r="Q137" s="65">
        <v>4.0761586046039957</v>
      </c>
      <c r="R137" s="65">
        <v>4.3615400243803331</v>
      </c>
      <c r="S137" s="65">
        <v>4.0053555795870022</v>
      </c>
      <c r="T137" s="65">
        <v>3.7727344200429793</v>
      </c>
      <c r="U137" s="65">
        <v>3.2338624338624338</v>
      </c>
      <c r="V137" s="65">
        <v>3.5562473164448263</v>
      </c>
      <c r="W137" s="65">
        <v>3.4091409691629955</v>
      </c>
      <c r="X137" s="65">
        <v>3.4299022949329698</v>
      </c>
      <c r="Y137" s="65">
        <v>3.0175644028103044</v>
      </c>
      <c r="Z137" s="65">
        <v>2.4940362595419847</v>
      </c>
      <c r="AA137" s="65">
        <v>2.7303102625298328</v>
      </c>
      <c r="AB137" s="65">
        <v>2.1253026634382568</v>
      </c>
      <c r="AC137" s="65">
        <v>2.8517927308447937</v>
      </c>
      <c r="AD137" s="65">
        <v>2.2200148994288553</v>
      </c>
      <c r="AE137" s="65">
        <v>2.332750873689466</v>
      </c>
      <c r="AF137" s="65">
        <v>2.1815889029003781</v>
      </c>
      <c r="AG137" s="65">
        <v>0.8763287529167747</v>
      </c>
      <c r="AH137" s="65">
        <v>1.4955604883462819</v>
      </c>
      <c r="AI137" s="65">
        <v>1.6985376827896512</v>
      </c>
      <c r="AJ137" s="65">
        <v>1.6203434225844005</v>
      </c>
      <c r="AK137" s="65">
        <v>1.4363905325443787</v>
      </c>
      <c r="AL137" s="65">
        <v>0.71744318204493052</v>
      </c>
      <c r="AM137" s="65">
        <v>1.084422612605112</v>
      </c>
      <c r="AN137" s="65">
        <v>1.2005322841934738</v>
      </c>
      <c r="AO137" s="65">
        <v>1.094171362171406</v>
      </c>
      <c r="AP137" s="65">
        <v>1.0785175110189669</v>
      </c>
      <c r="AQ137" s="65">
        <v>0.97578758409522171</v>
      </c>
      <c r="AR137" s="65">
        <v>0.94917385558226031</v>
      </c>
      <c r="AS137" s="45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</row>
    <row r="138" spans="1:69">
      <c r="A138" s="39"/>
      <c r="B138" s="43"/>
      <c r="C138" s="53" t="s">
        <v>255</v>
      </c>
      <c r="D138" s="66" t="str">
        <f t="shared" si="8"/>
        <v/>
      </c>
      <c r="E138" s="66" t="str">
        <f t="shared" si="9"/>
        <v/>
      </c>
      <c r="F138" s="66" t="str">
        <f t="shared" si="10"/>
        <v/>
      </c>
      <c r="G138" s="66" t="str">
        <f t="shared" si="11"/>
        <v/>
      </c>
      <c r="H138" s="66" t="str">
        <f t="shared" si="12"/>
        <v/>
      </c>
      <c r="I138" s="66" t="str">
        <f t="shared" si="13"/>
        <v/>
      </c>
      <c r="J138" s="66" t="str">
        <f t="shared" si="14"/>
        <v/>
      </c>
      <c r="K138" s="55" t="str">
        <f t="shared" si="15"/>
        <v/>
      </c>
      <c r="L138" s="48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  <c r="AK138" s="66"/>
      <c r="AL138" s="66"/>
      <c r="AM138" s="66"/>
      <c r="AN138" s="66"/>
      <c r="AO138" s="66"/>
      <c r="AP138" s="66"/>
      <c r="AQ138" s="66"/>
      <c r="AR138" s="66"/>
      <c r="AS138" s="45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</row>
    <row r="139" spans="1:69" outlineLevel="1">
      <c r="A139" s="39"/>
      <c r="B139" s="43"/>
      <c r="C139" s="56" t="s">
        <v>256</v>
      </c>
      <c r="D139" s="67" t="str">
        <f t="shared" ref="D139:D142" si="16">IF(COUNT(L139:AR139)&gt;0,MEDIAN(L139:AR139),"")</f>
        <v/>
      </c>
      <c r="E139" s="67" t="str">
        <f t="shared" ref="E139:E142" si="17">IF(COUNT(L139:AR139)&gt;0,AVERAGE(L139:AR139),"")</f>
        <v/>
      </c>
      <c r="F139" s="67" t="str">
        <f t="shared" ref="F139:F142" si="18">IF(COUNT(L139:AR139)&gt;0,MIN(L139:AR139),"")</f>
        <v/>
      </c>
      <c r="G139" s="67" t="str">
        <f t="shared" ref="G139:G142" si="19">IF(COUNT(L139:AR139)&gt;0,MAX(L139:AR139),"")</f>
        <v/>
      </c>
      <c r="H139" s="67" t="str">
        <f t="shared" ref="H139:H142" si="20">IF(COUNT(L139:AR139)&gt;0,QUARTILE(L139:AR139,1),"")</f>
        <v/>
      </c>
      <c r="I139" s="67" t="str">
        <f t="shared" ref="I139:I142" si="21">IF(COUNT(L139:AR139)&gt;0,QUARTILE(L139:AR139,3),"")</f>
        <v/>
      </c>
      <c r="J139" s="67" t="str">
        <f t="shared" ref="J139:J142" si="22">IF(COUNT(L139:AR139)&gt;1,STDEV(L139:AR139),"")</f>
        <v/>
      </c>
      <c r="K139" s="58" t="str">
        <f t="shared" ref="K139:K142" si="23">IF(COUNT(L139:AR139)&gt;1,STDEV(L139:AR139)/AVERAGE(L139:AR139),"")</f>
        <v/>
      </c>
      <c r="M139" s="68" t="s">
        <v>257</v>
      </c>
      <c r="N139" s="68" t="s">
        <v>257</v>
      </c>
      <c r="O139" s="68" t="s">
        <v>257</v>
      </c>
      <c r="P139" s="68" t="s">
        <v>257</v>
      </c>
      <c r="Q139" s="68" t="s">
        <v>257</v>
      </c>
      <c r="R139" s="68" t="s">
        <v>257</v>
      </c>
      <c r="S139" s="68" t="s">
        <v>257</v>
      </c>
      <c r="T139" s="68" t="s">
        <v>257</v>
      </c>
      <c r="U139" s="68" t="s">
        <v>257</v>
      </c>
      <c r="V139" s="68" t="s">
        <v>257</v>
      </c>
      <c r="W139" s="68" t="s">
        <v>257</v>
      </c>
      <c r="X139" s="68" t="s">
        <v>257</v>
      </c>
      <c r="Y139" s="68" t="s">
        <v>257</v>
      </c>
      <c r="Z139" s="68" t="s">
        <v>257</v>
      </c>
      <c r="AA139" s="68" t="s">
        <v>257</v>
      </c>
      <c r="AB139" s="68" t="s">
        <v>257</v>
      </c>
      <c r="AC139" s="68" t="s">
        <v>257</v>
      </c>
      <c r="AD139" s="68" t="s">
        <v>257</v>
      </c>
      <c r="AE139" s="68" t="s">
        <v>257</v>
      </c>
      <c r="AF139" s="68" t="s">
        <v>257</v>
      </c>
      <c r="AG139" s="68" t="s">
        <v>257</v>
      </c>
      <c r="AH139" s="68" t="s">
        <v>257</v>
      </c>
      <c r="AI139" s="68" t="s">
        <v>257</v>
      </c>
      <c r="AJ139" s="68" t="s">
        <v>257</v>
      </c>
      <c r="AK139" s="68" t="s">
        <v>257</v>
      </c>
      <c r="AL139" s="68" t="s">
        <v>257</v>
      </c>
      <c r="AM139" s="68" t="s">
        <v>257</v>
      </c>
      <c r="AN139" s="68" t="s">
        <v>257</v>
      </c>
      <c r="AO139" s="68" t="s">
        <v>257</v>
      </c>
      <c r="AP139" s="68" t="s">
        <v>257</v>
      </c>
      <c r="AQ139" s="68" t="s">
        <v>257</v>
      </c>
      <c r="AR139" s="68" t="s">
        <v>257</v>
      </c>
      <c r="AS139" s="45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</row>
    <row r="140" spans="1:69" outlineLevel="1">
      <c r="A140" s="39"/>
      <c r="B140" s="43"/>
      <c r="C140" s="56" t="s">
        <v>258</v>
      </c>
      <c r="D140" s="67" t="str">
        <f t="shared" si="16"/>
        <v/>
      </c>
      <c r="E140" s="67" t="str">
        <f t="shared" si="17"/>
        <v/>
      </c>
      <c r="F140" s="67" t="str">
        <f t="shared" si="18"/>
        <v/>
      </c>
      <c r="G140" s="67" t="str">
        <f t="shared" si="19"/>
        <v/>
      </c>
      <c r="H140" s="67" t="str">
        <f t="shared" si="20"/>
        <v/>
      </c>
      <c r="I140" s="67" t="str">
        <f t="shared" si="21"/>
        <v/>
      </c>
      <c r="J140" s="67" t="str">
        <f t="shared" si="22"/>
        <v/>
      </c>
      <c r="K140" s="58" t="str">
        <f t="shared" si="23"/>
        <v/>
      </c>
      <c r="M140" s="68" t="s">
        <v>257</v>
      </c>
      <c r="N140" s="68" t="s">
        <v>257</v>
      </c>
      <c r="O140" s="68" t="s">
        <v>257</v>
      </c>
      <c r="P140" s="68" t="s">
        <v>257</v>
      </c>
      <c r="Q140" s="68" t="s">
        <v>257</v>
      </c>
      <c r="R140" s="68" t="s">
        <v>257</v>
      </c>
      <c r="S140" s="68" t="s">
        <v>257</v>
      </c>
      <c r="T140" s="68" t="s">
        <v>257</v>
      </c>
      <c r="U140" s="68" t="s">
        <v>257</v>
      </c>
      <c r="V140" s="68" t="s">
        <v>257</v>
      </c>
      <c r="W140" s="68" t="s">
        <v>257</v>
      </c>
      <c r="X140" s="68" t="s">
        <v>257</v>
      </c>
      <c r="Y140" s="68" t="s">
        <v>257</v>
      </c>
      <c r="Z140" s="68" t="s">
        <v>257</v>
      </c>
      <c r="AA140" s="68" t="s">
        <v>257</v>
      </c>
      <c r="AB140" s="68" t="s">
        <v>257</v>
      </c>
      <c r="AC140" s="68" t="s">
        <v>257</v>
      </c>
      <c r="AD140" s="68" t="s">
        <v>257</v>
      </c>
      <c r="AE140" s="68" t="s">
        <v>257</v>
      </c>
      <c r="AF140" s="68" t="s">
        <v>257</v>
      </c>
      <c r="AG140" s="68" t="s">
        <v>257</v>
      </c>
      <c r="AH140" s="68" t="s">
        <v>257</v>
      </c>
      <c r="AI140" s="68" t="s">
        <v>257</v>
      </c>
      <c r="AJ140" s="68" t="s">
        <v>257</v>
      </c>
      <c r="AK140" s="68" t="s">
        <v>257</v>
      </c>
      <c r="AL140" s="68" t="s">
        <v>257</v>
      </c>
      <c r="AM140" s="68" t="s">
        <v>257</v>
      </c>
      <c r="AN140" s="68" t="s">
        <v>257</v>
      </c>
      <c r="AO140" s="68" t="s">
        <v>257</v>
      </c>
      <c r="AP140" s="68" t="s">
        <v>257</v>
      </c>
      <c r="AQ140" s="68" t="s">
        <v>257</v>
      </c>
      <c r="AR140" s="68" t="s">
        <v>257</v>
      </c>
      <c r="AS140" s="45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</row>
    <row r="141" spans="1:69" outlineLevel="1">
      <c r="A141" s="39"/>
      <c r="B141" s="43"/>
      <c r="C141" s="56" t="s">
        <v>259</v>
      </c>
      <c r="D141" s="67" t="str">
        <f t="shared" si="16"/>
        <v/>
      </c>
      <c r="E141" s="67" t="str">
        <f t="shared" si="17"/>
        <v/>
      </c>
      <c r="F141" s="67" t="str">
        <f t="shared" si="18"/>
        <v/>
      </c>
      <c r="G141" s="67" t="str">
        <f t="shared" si="19"/>
        <v/>
      </c>
      <c r="H141" s="67" t="str">
        <f t="shared" si="20"/>
        <v/>
      </c>
      <c r="I141" s="67" t="str">
        <f t="shared" si="21"/>
        <v/>
      </c>
      <c r="J141" s="67" t="str">
        <f t="shared" si="22"/>
        <v/>
      </c>
      <c r="K141" s="58" t="str">
        <f t="shared" si="23"/>
        <v/>
      </c>
      <c r="M141" s="68" t="s">
        <v>260</v>
      </c>
      <c r="N141" s="68" t="s">
        <v>260</v>
      </c>
      <c r="O141" s="68" t="s">
        <v>260</v>
      </c>
      <c r="P141" s="68" t="s">
        <v>260</v>
      </c>
      <c r="Q141" s="68" t="s">
        <v>260</v>
      </c>
      <c r="R141" s="68" t="s">
        <v>260</v>
      </c>
      <c r="S141" s="68" t="s">
        <v>260</v>
      </c>
      <c r="T141" s="68" t="s">
        <v>260</v>
      </c>
      <c r="U141" s="68" t="s">
        <v>260</v>
      </c>
      <c r="V141" s="68" t="s">
        <v>260</v>
      </c>
      <c r="W141" s="68" t="s">
        <v>260</v>
      </c>
      <c r="X141" s="68" t="s">
        <v>260</v>
      </c>
      <c r="Y141" s="68" t="s">
        <v>260</v>
      </c>
      <c r="Z141" s="68" t="s">
        <v>260</v>
      </c>
      <c r="AA141" s="68" t="s">
        <v>260</v>
      </c>
      <c r="AB141" s="68" t="s">
        <v>260</v>
      </c>
      <c r="AC141" s="68" t="s">
        <v>260</v>
      </c>
      <c r="AD141" s="68" t="s">
        <v>260</v>
      </c>
      <c r="AE141" s="68" t="s">
        <v>260</v>
      </c>
      <c r="AF141" s="68" t="s">
        <v>260</v>
      </c>
      <c r="AG141" s="68" t="s">
        <v>260</v>
      </c>
      <c r="AH141" s="68" t="s">
        <v>260</v>
      </c>
      <c r="AI141" s="68" t="s">
        <v>260</v>
      </c>
      <c r="AJ141" s="68" t="s">
        <v>260</v>
      </c>
      <c r="AK141" s="68" t="s">
        <v>260</v>
      </c>
      <c r="AL141" s="68" t="s">
        <v>260</v>
      </c>
      <c r="AM141" s="68" t="s">
        <v>260</v>
      </c>
      <c r="AN141" s="68" t="s">
        <v>260</v>
      </c>
      <c r="AO141" s="68" t="s">
        <v>260</v>
      </c>
      <c r="AP141" s="68" t="s">
        <v>260</v>
      </c>
      <c r="AQ141" s="68" t="s">
        <v>260</v>
      </c>
      <c r="AR141" s="68" t="s">
        <v>260</v>
      </c>
      <c r="AS141" s="45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</row>
    <row r="142" spans="1:69" outlineLevel="1">
      <c r="A142" s="39"/>
      <c r="B142" s="43"/>
      <c r="C142" s="56" t="s">
        <v>261</v>
      </c>
      <c r="D142" s="67" t="str">
        <f t="shared" si="16"/>
        <v/>
      </c>
      <c r="E142" s="67" t="str">
        <f t="shared" si="17"/>
        <v/>
      </c>
      <c r="F142" s="67" t="str">
        <f t="shared" si="18"/>
        <v/>
      </c>
      <c r="G142" s="67" t="str">
        <f t="shared" si="19"/>
        <v/>
      </c>
      <c r="H142" s="67" t="str">
        <f t="shared" si="20"/>
        <v/>
      </c>
      <c r="I142" s="67" t="str">
        <f t="shared" si="21"/>
        <v/>
      </c>
      <c r="J142" s="67" t="str">
        <f t="shared" si="22"/>
        <v/>
      </c>
      <c r="K142" s="58" t="str">
        <f t="shared" si="23"/>
        <v/>
      </c>
      <c r="M142" s="68" t="s">
        <v>257</v>
      </c>
      <c r="N142" s="68" t="s">
        <v>257</v>
      </c>
      <c r="O142" s="68" t="s">
        <v>257</v>
      </c>
      <c r="P142" s="68" t="s">
        <v>257</v>
      </c>
      <c r="Q142" s="68" t="s">
        <v>257</v>
      </c>
      <c r="R142" s="68" t="s">
        <v>257</v>
      </c>
      <c r="S142" s="68" t="s">
        <v>257</v>
      </c>
      <c r="T142" s="68" t="s">
        <v>257</v>
      </c>
      <c r="U142" s="68" t="s">
        <v>257</v>
      </c>
      <c r="V142" s="68" t="s">
        <v>257</v>
      </c>
      <c r="W142" s="68" t="s">
        <v>257</v>
      </c>
      <c r="X142" s="68" t="s">
        <v>257</v>
      </c>
      <c r="Y142" s="68" t="s">
        <v>257</v>
      </c>
      <c r="Z142" s="68" t="s">
        <v>257</v>
      </c>
      <c r="AA142" s="68" t="s">
        <v>257</v>
      </c>
      <c r="AB142" s="68" t="s">
        <v>257</v>
      </c>
      <c r="AC142" s="68" t="s">
        <v>257</v>
      </c>
      <c r="AD142" s="68" t="s">
        <v>257</v>
      </c>
      <c r="AE142" s="68" t="s">
        <v>257</v>
      </c>
      <c r="AF142" s="68" t="s">
        <v>257</v>
      </c>
      <c r="AG142" s="68" t="s">
        <v>257</v>
      </c>
      <c r="AH142" s="68" t="s">
        <v>257</v>
      </c>
      <c r="AI142" s="68" t="s">
        <v>257</v>
      </c>
      <c r="AJ142" s="68" t="s">
        <v>257</v>
      </c>
      <c r="AK142" s="68" t="s">
        <v>257</v>
      </c>
      <c r="AL142" s="68" t="s">
        <v>257</v>
      </c>
      <c r="AM142" s="68" t="s">
        <v>257</v>
      </c>
      <c r="AN142" s="68" t="s">
        <v>257</v>
      </c>
      <c r="AO142" s="68" t="s">
        <v>257</v>
      </c>
      <c r="AP142" s="68" t="s">
        <v>257</v>
      </c>
      <c r="AQ142" s="68" t="s">
        <v>257</v>
      </c>
      <c r="AR142" s="68" t="s">
        <v>257</v>
      </c>
      <c r="AS142" s="45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</row>
    <row r="143" spans="1:69">
      <c r="A143" s="39"/>
      <c r="B143" s="43"/>
      <c r="AS143" s="45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</row>
    <row r="144" spans="1:69">
      <c r="A144" s="39"/>
      <c r="B144" s="43"/>
      <c r="C144" s="46" t="s">
        <v>262</v>
      </c>
      <c r="AS144" s="45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</row>
    <row r="145" spans="1:69">
      <c r="A145" s="39"/>
      <c r="B145" s="43"/>
      <c r="AS145" s="45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</row>
    <row r="146" spans="1:69">
      <c r="A146" s="39"/>
      <c r="B146" s="43"/>
      <c r="AS146" s="45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</row>
    <row r="147" spans="1:69">
      <c r="A147" s="39"/>
      <c r="B147" s="71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72"/>
      <c r="AP147" s="72"/>
      <c r="AQ147" s="72"/>
      <c r="AR147" s="72"/>
      <c r="AS147" s="7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</row>
    <row r="148" spans="1:69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</row>
  </sheetData>
  <mergeCells count="8">
    <mergeCell ref="J5:J6"/>
    <mergeCell ref="K5:K6"/>
    <mergeCell ref="D5:D6"/>
    <mergeCell ref="E5:E6"/>
    <mergeCell ref="F5:F6"/>
    <mergeCell ref="G5:G6"/>
    <mergeCell ref="H5:H6"/>
    <mergeCell ref="I5:I6"/>
  </mergeCells>
  <hyperlinks>
    <hyperlink ref="M5" r:id="rId1" xr:uid="{3AC52216-4237-9E41-A3E1-8F9A58BB5CDF}"/>
    <hyperlink ref="N5" r:id="rId2" xr:uid="{82D8DD41-0EC5-7E42-83A4-EE2768CE746F}"/>
    <hyperlink ref="O5" r:id="rId3" xr:uid="{EB126C77-2775-1C47-A71B-60B5D69BA2EF}"/>
    <hyperlink ref="P5" r:id="rId4" xr:uid="{0A6B4D76-86B5-D545-84FC-B8F10CDC6D23}"/>
    <hyperlink ref="Q5" r:id="rId5" xr:uid="{09E9770D-5861-AA4A-AA7D-AA3800E1CBDB}"/>
    <hyperlink ref="R5" r:id="rId6" xr:uid="{3D408F8B-8EA8-AA40-8CF7-BC6F7F1B69ED}"/>
    <hyperlink ref="S5" r:id="rId7" xr:uid="{45180725-631E-D049-84D4-F9D003E47B59}"/>
    <hyperlink ref="T5" r:id="rId8" xr:uid="{06B84A31-A79B-7E45-B763-EA24DE09BA57}"/>
    <hyperlink ref="U5" r:id="rId9" xr:uid="{30AEB707-826A-2A49-9D48-57EA45B39251}"/>
    <hyperlink ref="V5" r:id="rId10" xr:uid="{40A49D66-DB19-EF42-B787-FCE550175B9F}"/>
    <hyperlink ref="W5" r:id="rId11" xr:uid="{A11FEC97-A38D-C845-9139-94D0649F1E1E}"/>
    <hyperlink ref="X5" r:id="rId12" xr:uid="{0A144E99-BEFF-0B4B-9099-62F0279670DF}"/>
    <hyperlink ref="Y5" r:id="rId13" xr:uid="{95122C0A-A29B-3A46-9842-D94812FF33D3}"/>
    <hyperlink ref="Z5" r:id="rId14" xr:uid="{81207942-D5BD-784A-8B22-3C7C66D1B3EB}"/>
    <hyperlink ref="AA5" r:id="rId15" xr:uid="{208E32F5-55E0-A048-9A5A-29647056CC42}"/>
    <hyperlink ref="AB5" r:id="rId16" xr:uid="{6FA89C8A-F8CE-DD4F-9C60-D25FFE586E51}"/>
    <hyperlink ref="AC5" r:id="rId17" xr:uid="{445A1AC7-58B2-B54A-B0E3-22B193F54E90}"/>
    <hyperlink ref="AD5" r:id="rId18" xr:uid="{CB25F8A0-7338-964C-85D7-DF6AAD8D0E82}"/>
    <hyperlink ref="AE5" r:id="rId19" xr:uid="{4B14F7C6-4D4B-A54D-9485-8EEFA0E4E194}"/>
    <hyperlink ref="AF5" r:id="rId20" xr:uid="{02A12102-9393-604A-B4BF-44E3141BF982}"/>
    <hyperlink ref="AG5" r:id="rId21" xr:uid="{AB73DCD5-B0B7-C140-9D6A-3C351435BA43}"/>
    <hyperlink ref="AH5" r:id="rId22" xr:uid="{90F5A357-426C-1849-8BFC-C065E1B25D65}"/>
    <hyperlink ref="AI5" r:id="rId23" xr:uid="{9255E28C-A37E-BA41-9C73-CCAC264A1FDB}"/>
    <hyperlink ref="AJ5" r:id="rId24" xr:uid="{BD939DB1-F734-7746-A7C3-61FF9E2D4EFE}"/>
    <hyperlink ref="AK5" r:id="rId25" xr:uid="{025D09E5-21DA-EF46-BC93-86CD590A81D9}"/>
    <hyperlink ref="AL5" r:id="rId26" xr:uid="{07E51E4E-0B3D-CC40-9F87-ACE9AAAC6218}"/>
    <hyperlink ref="AM5" r:id="rId27" xr:uid="{C281797C-0EC1-8640-A845-297D3EC8FD33}"/>
    <hyperlink ref="AN5" r:id="rId28" xr:uid="{18C022B3-CC54-FF4E-B5B9-E8D781A3F063}"/>
    <hyperlink ref="AO5" r:id="rId29" xr:uid="{4860179A-113F-8E49-96D4-1978CF090CC4}"/>
    <hyperlink ref="AP5" r:id="rId30" xr:uid="{FFF4A5BD-847F-3949-9A19-4F6ABC22D409}"/>
    <hyperlink ref="AQ5" r:id="rId31" xr:uid="{9D1BC0B9-F8BB-EA4D-9E79-BE50082A45B0}"/>
    <hyperlink ref="AR5" r:id="rId32" xr:uid="{9B97FBB9-10AC-2C49-8587-D0A5A56F93A5}"/>
    <hyperlink ref="M10" r:id="rId33" xr:uid="{61A94813-CAEE-F044-A3BF-F1EB2E610943}"/>
    <hyperlink ref="N10" r:id="rId34" xr:uid="{C4A515BC-DC55-3546-BB8F-CC8CEC1BE87A}"/>
    <hyperlink ref="O10" r:id="rId35" xr:uid="{6D7861C2-808F-5842-802E-E5FAE96F3F5D}"/>
    <hyperlink ref="P10" r:id="rId36" xr:uid="{59C62124-5F68-514F-A23D-3085456C34BB}"/>
    <hyperlink ref="Q10" r:id="rId37" xr:uid="{4A10DD66-B375-C943-9E61-6FDA0457687D}"/>
    <hyperlink ref="R10" r:id="rId38" xr:uid="{B1D43430-FADE-714E-8EB0-917B5C53CCEA}"/>
    <hyperlink ref="S10" r:id="rId39" xr:uid="{62F652AF-04C6-7545-8219-A1EE1962C204}"/>
    <hyperlink ref="T10" r:id="rId40" xr:uid="{06AEE013-96EC-2A4C-BB85-9644EE75B5BC}"/>
    <hyperlink ref="U10" r:id="rId41" xr:uid="{93DAE42D-FD97-B641-8836-C90483DB3A0D}"/>
    <hyperlink ref="V10" r:id="rId42" xr:uid="{1AF0E05F-BD84-9447-B620-C365F8FFC6F1}"/>
    <hyperlink ref="W10" r:id="rId43" xr:uid="{F64F2A12-FFAE-FB4D-88B6-9EBD1CAEDB46}"/>
    <hyperlink ref="X10" r:id="rId44" xr:uid="{374B8390-9D53-9344-B3D7-DE9C1296E26C}"/>
    <hyperlink ref="Y10" r:id="rId45" xr:uid="{C47C3995-030E-814A-B27A-EBAF64C40A6E}"/>
    <hyperlink ref="Z10" r:id="rId46" xr:uid="{A464EB95-7C3D-6B40-9B17-28A014588294}"/>
    <hyperlink ref="AA10" r:id="rId47" xr:uid="{5C22DEBA-D9C1-894B-A7BC-801CD15B9473}"/>
    <hyperlink ref="AB10" r:id="rId48" xr:uid="{7DA1CE6E-0989-D540-9E07-6205160594D2}"/>
    <hyperlink ref="AC10" r:id="rId49" xr:uid="{9A0C8975-600F-C145-A1A4-72209EF7425E}"/>
    <hyperlink ref="AD10" r:id="rId50" xr:uid="{2A6478C2-42FF-AC4A-9D10-3AD8A2C0128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483E9-69F7-F040-989D-CAFC281CE34D}">
  <dimension ref="B1:AE34"/>
  <sheetViews>
    <sheetView workbookViewId="0">
      <selection activeCell="G11" sqref="G11"/>
    </sheetView>
  </sheetViews>
  <sheetFormatPr baseColWidth="10" defaultColWidth="8.6640625" defaultRowHeight="15"/>
  <cols>
    <col min="1" max="1" width="0.83203125" style="17" customWidth="1"/>
    <col min="2" max="4" width="9.6640625" style="17" customWidth="1"/>
    <col min="5" max="5" width="9.6640625" style="26" customWidth="1"/>
    <col min="6" max="10" width="12.6640625" style="17" customWidth="1"/>
    <col min="11" max="16384" width="8.6640625" style="17"/>
  </cols>
  <sheetData>
    <row r="1" spans="2:31" s="10" customFormat="1" ht="16">
      <c r="B1" s="76" t="s">
        <v>23</v>
      </c>
      <c r="C1" s="76"/>
      <c r="D1" s="76"/>
      <c r="E1" s="77"/>
      <c r="F1" s="76"/>
      <c r="G1" s="76"/>
      <c r="H1" s="76"/>
      <c r="I1" s="76"/>
      <c r="J1" s="76"/>
      <c r="K1" s="9" t="s">
        <v>10</v>
      </c>
    </row>
    <row r="2" spans="2:31" s="10" customFormat="1" ht="13">
      <c r="E2" s="11"/>
      <c r="F2" s="151" t="s">
        <v>11</v>
      </c>
      <c r="G2" s="151"/>
      <c r="H2" s="151"/>
      <c r="I2" s="151"/>
      <c r="J2" s="151"/>
    </row>
    <row r="3" spans="2:31" s="10" customFormat="1" ht="13">
      <c r="B3" s="12"/>
      <c r="E3" s="11"/>
      <c r="F3" s="13">
        <v>1</v>
      </c>
      <c r="G3" s="13">
        <v>2</v>
      </c>
      <c r="H3" s="13">
        <v>3</v>
      </c>
      <c r="I3" s="13">
        <v>4</v>
      </c>
      <c r="J3" s="13">
        <v>5</v>
      </c>
    </row>
    <row r="4" spans="2:31" s="10" customFormat="1" ht="13">
      <c r="B4" s="12"/>
      <c r="E4" s="11"/>
      <c r="F4" s="14">
        <f>'DCF&amp;SensivityAnalysis'!K8</f>
        <v>2026</v>
      </c>
      <c r="G4" s="14">
        <f>'DCF&amp;SensivityAnalysis'!L8</f>
        <v>2027</v>
      </c>
      <c r="H4" s="14">
        <f>'DCF&amp;SensivityAnalysis'!M8</f>
        <v>2028</v>
      </c>
      <c r="I4" s="14">
        <f>'DCF&amp;SensivityAnalysis'!N8</f>
        <v>2029</v>
      </c>
      <c r="J4" s="14">
        <f>'DCF&amp;SensivityAnalysis'!O8</f>
        <v>2030</v>
      </c>
    </row>
    <row r="5" spans="2:31">
      <c r="B5" s="12"/>
      <c r="C5" s="10"/>
      <c r="D5" s="10"/>
      <c r="E5" s="11"/>
      <c r="F5" s="16"/>
      <c r="G5" s="16"/>
      <c r="H5" s="16"/>
      <c r="I5" s="16"/>
      <c r="J5" s="16"/>
      <c r="K5" s="19" t="s">
        <v>25</v>
      </c>
    </row>
    <row r="6" spans="2:31" s="10" customFormat="1" ht="13">
      <c r="B6" s="18" t="s">
        <v>12</v>
      </c>
      <c r="E6" s="11"/>
      <c r="G6" s="16"/>
      <c r="H6" s="16"/>
      <c r="I6" s="16"/>
      <c r="J6" s="16"/>
      <c r="K6" s="19" t="s">
        <v>26</v>
      </c>
    </row>
    <row r="7" spans="2:31" ht="14" customHeight="1">
      <c r="B7" s="12" t="s">
        <v>13</v>
      </c>
      <c r="C7" s="10"/>
      <c r="D7" s="10"/>
      <c r="E7" s="11"/>
      <c r="F7" s="20">
        <f>CHOOSE('DCF&amp;SensivityAnalysis'!$C$6,F8,F9,F10,F11,F12)</f>
        <v>0.08</v>
      </c>
      <c r="G7" s="20">
        <f>CHOOSE('DCF&amp;SensivityAnalysis'!$C$6,G8,G9,G10,G11,G12)</f>
        <v>7.0000000000000007E-2</v>
      </c>
      <c r="H7" s="20">
        <f>CHOOSE('DCF&amp;SensivityAnalysis'!$C$6,H8,H9,H10,H11,H12)</f>
        <v>7.0000000000000007E-2</v>
      </c>
      <c r="I7" s="20">
        <f>CHOOSE('DCF&amp;SensivityAnalysis'!$C$6,I8,I9,I10,I11,I12)</f>
        <v>0.06</v>
      </c>
      <c r="J7" s="20">
        <f>CHOOSE('DCF&amp;SensivityAnalysis'!$C$6,J8,J9,J10,J11,J12)</f>
        <v>0.06</v>
      </c>
      <c r="K7" s="19" t="s">
        <v>26</v>
      </c>
    </row>
    <row r="8" spans="2:31" ht="15" customHeight="1">
      <c r="B8" s="12" t="s">
        <v>14</v>
      </c>
      <c r="C8" s="10"/>
      <c r="D8" s="10"/>
      <c r="E8" s="11">
        <v>1</v>
      </c>
      <c r="F8" s="297">
        <v>0.08</v>
      </c>
      <c r="G8" s="298">
        <v>7.0000000000000007E-2</v>
      </c>
      <c r="H8" s="298">
        <v>7.0000000000000007E-2</v>
      </c>
      <c r="I8" s="298">
        <v>0.06</v>
      </c>
      <c r="J8" s="298">
        <v>0.06</v>
      </c>
      <c r="K8" s="149" t="s">
        <v>29</v>
      </c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</row>
    <row r="9" spans="2:31">
      <c r="B9" s="12" t="s">
        <v>15</v>
      </c>
      <c r="C9" s="10"/>
      <c r="D9" s="10"/>
      <c r="E9" s="11">
        <v>2</v>
      </c>
      <c r="F9" s="299">
        <v>0.1</v>
      </c>
      <c r="G9" s="300">
        <v>0.09</v>
      </c>
      <c r="H9" s="300">
        <v>0.08</v>
      </c>
      <c r="I9" s="300">
        <v>7.0000000000000007E-2</v>
      </c>
      <c r="J9" s="300">
        <v>7.0000000000000007E-2</v>
      </c>
      <c r="K9" s="149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</row>
    <row r="10" spans="2:31">
      <c r="B10" s="12" t="s">
        <v>16</v>
      </c>
      <c r="C10" s="10"/>
      <c r="D10" s="10"/>
      <c r="E10" s="11">
        <v>3</v>
      </c>
      <c r="F10" s="299">
        <v>0.11</v>
      </c>
      <c r="G10" s="300">
        <v>0.1</v>
      </c>
      <c r="H10" s="300">
        <v>0.09</v>
      </c>
      <c r="I10" s="300">
        <v>0.08</v>
      </c>
      <c r="J10" s="300">
        <v>7.0000000000000007E-2</v>
      </c>
      <c r="K10" s="149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</row>
    <row r="11" spans="2:31">
      <c r="B11" s="12" t="s">
        <v>17</v>
      </c>
      <c r="C11" s="10"/>
      <c r="D11" s="10"/>
      <c r="E11" s="11">
        <v>4</v>
      </c>
      <c r="F11" s="299">
        <v>0.06</v>
      </c>
      <c r="G11" s="300">
        <v>0.05</v>
      </c>
      <c r="H11" s="300">
        <v>0.05</v>
      </c>
      <c r="I11" s="300">
        <v>0.04</v>
      </c>
      <c r="J11" s="300">
        <v>0.04</v>
      </c>
      <c r="K11" s="149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</row>
    <row r="12" spans="2:31">
      <c r="B12" s="12" t="s">
        <v>18</v>
      </c>
      <c r="C12" s="10"/>
      <c r="D12" s="10"/>
      <c r="E12" s="11">
        <v>5</v>
      </c>
      <c r="F12" s="301">
        <v>0.04</v>
      </c>
      <c r="G12" s="302">
        <v>0.03</v>
      </c>
      <c r="H12" s="302">
        <v>0.03</v>
      </c>
      <c r="I12" s="302">
        <v>0.03</v>
      </c>
      <c r="J12" s="302">
        <v>0.03</v>
      </c>
      <c r="K12" s="149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</row>
    <row r="13" spans="2:31">
      <c r="B13" s="12"/>
      <c r="C13" s="10"/>
      <c r="D13" s="10"/>
      <c r="E13" s="11"/>
      <c r="F13" s="21"/>
      <c r="G13" s="21"/>
      <c r="H13" s="21"/>
      <c r="I13" s="21"/>
      <c r="J13" s="21"/>
      <c r="K13" s="17" t="s">
        <v>30</v>
      </c>
    </row>
    <row r="14" spans="2:31">
      <c r="B14" s="12" t="s">
        <v>19</v>
      </c>
      <c r="C14" s="10"/>
      <c r="D14" s="10"/>
      <c r="E14" s="11"/>
      <c r="F14" s="20">
        <f>CHOOSE('DCF&amp;SensivityAnalysis'!$C$6,F15,F16,F17,F18,F19)</f>
        <v>0.48</v>
      </c>
      <c r="G14" s="20">
        <f>CHOOSE('DCF&amp;SensivityAnalysis'!$C$6,G15,G16,G17,G18,G19)</f>
        <v>0.47499999999999998</v>
      </c>
      <c r="H14" s="20">
        <f>CHOOSE('DCF&amp;SensivityAnalysis'!$C$6,H15,H16,H17,H18,H19)</f>
        <v>0.47</v>
      </c>
      <c r="I14" s="20">
        <f>CHOOSE('DCF&amp;SensivityAnalysis'!$C$6,I15,I16,I17,I18,I19)</f>
        <v>0.47</v>
      </c>
      <c r="J14" s="20">
        <f>CHOOSE('DCF&amp;SensivityAnalysis'!$C$6,J15,J16,J17,J18,J19)</f>
        <v>0.46500000000000002</v>
      </c>
      <c r="K14" s="19" t="s">
        <v>27</v>
      </c>
    </row>
    <row r="15" spans="2:31" ht="15" customHeight="1">
      <c r="B15" s="12" t="s">
        <v>14</v>
      </c>
      <c r="C15" s="10"/>
      <c r="D15" s="10"/>
      <c r="E15" s="11">
        <v>1</v>
      </c>
      <c r="F15" s="297">
        <v>0.48</v>
      </c>
      <c r="G15" s="298">
        <v>0.47499999999999998</v>
      </c>
      <c r="H15" s="298">
        <v>0.47</v>
      </c>
      <c r="I15" s="298">
        <v>0.47</v>
      </c>
      <c r="J15" s="298">
        <v>0.46500000000000002</v>
      </c>
      <c r="K15" s="149" t="s">
        <v>31</v>
      </c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</row>
    <row r="16" spans="2:31">
      <c r="B16" s="12" t="s">
        <v>15</v>
      </c>
      <c r="C16" s="10"/>
      <c r="D16" s="10"/>
      <c r="E16" s="11">
        <v>2</v>
      </c>
      <c r="F16" s="299">
        <v>0.47</v>
      </c>
      <c r="G16" s="300">
        <v>0.46500000000000002</v>
      </c>
      <c r="H16" s="300">
        <v>0.46</v>
      </c>
      <c r="I16" s="300">
        <v>0.45500000000000002</v>
      </c>
      <c r="J16" s="300">
        <v>0.45</v>
      </c>
      <c r="K16" s="149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</row>
    <row r="17" spans="2:31">
      <c r="B17" s="12" t="s">
        <v>16</v>
      </c>
      <c r="C17" s="10"/>
      <c r="D17" s="10"/>
      <c r="E17" s="11">
        <v>3</v>
      </c>
      <c r="F17" s="299">
        <v>0.46500000000000002</v>
      </c>
      <c r="G17" s="300">
        <v>0.46</v>
      </c>
      <c r="H17" s="300">
        <v>0.45500000000000002</v>
      </c>
      <c r="I17" s="300">
        <v>0.45</v>
      </c>
      <c r="J17" s="300">
        <v>0.44500000000000001</v>
      </c>
      <c r="K17" s="149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</row>
    <row r="18" spans="2:31">
      <c r="B18" s="12" t="s">
        <v>17</v>
      </c>
      <c r="C18" s="10"/>
      <c r="D18" s="10"/>
      <c r="E18" s="11">
        <v>4</v>
      </c>
      <c r="F18" s="299">
        <v>0.49</v>
      </c>
      <c r="G18" s="300">
        <v>0.495</v>
      </c>
      <c r="H18" s="300">
        <v>0.5</v>
      </c>
      <c r="I18" s="300">
        <v>0.5</v>
      </c>
      <c r="J18" s="300">
        <v>0.505</v>
      </c>
      <c r="K18" s="149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</row>
    <row r="19" spans="2:31">
      <c r="B19" s="12" t="s">
        <v>18</v>
      </c>
      <c r="C19" s="10"/>
      <c r="D19" s="10"/>
      <c r="E19" s="11">
        <v>5</v>
      </c>
      <c r="F19" s="301">
        <v>0.5</v>
      </c>
      <c r="G19" s="302">
        <v>0.51</v>
      </c>
      <c r="H19" s="302">
        <v>0.51500000000000001</v>
      </c>
      <c r="I19" s="302">
        <v>0.52</v>
      </c>
      <c r="J19" s="302">
        <v>0.52</v>
      </c>
      <c r="K19" s="149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</row>
    <row r="20" spans="2:31">
      <c r="B20" s="12"/>
      <c r="C20" s="10"/>
      <c r="D20" s="10"/>
      <c r="E20" s="11"/>
      <c r="F20"/>
      <c r="G20"/>
      <c r="H20"/>
      <c r="I20"/>
      <c r="J20"/>
    </row>
    <row r="21" spans="2:31">
      <c r="B21" s="12" t="s">
        <v>20</v>
      </c>
      <c r="C21" s="10"/>
      <c r="D21" s="10"/>
      <c r="E21" s="11"/>
      <c r="F21" s="20">
        <f>CHOOSE('DCF&amp;SensivityAnalysis'!$C$6,F22,F23,F24,F25,F26)</f>
        <v>0.24</v>
      </c>
      <c r="G21" s="20">
        <f>CHOOSE('DCF&amp;SensivityAnalysis'!$C$6,G22,G23,G24,G25,G26)</f>
        <v>0.24</v>
      </c>
      <c r="H21" s="20">
        <f>CHOOSE('DCF&amp;SensivityAnalysis'!$C$6,H22,H23,H24,H25,H26)</f>
        <v>0.24</v>
      </c>
      <c r="I21" s="20">
        <f>CHOOSE('DCF&amp;SensivityAnalysis'!$C$6,I22,I23,I24,I25,I26)</f>
        <v>0.24</v>
      </c>
      <c r="J21" s="20">
        <f>CHOOSE('DCF&amp;SensivityAnalysis'!$C$6,J22,J23,J24,J25,J26)</f>
        <v>0.24</v>
      </c>
      <c r="K21" s="19" t="s">
        <v>28</v>
      </c>
    </row>
    <row r="22" spans="2:31" ht="15" customHeight="1">
      <c r="B22" s="12" t="s">
        <v>14</v>
      </c>
      <c r="C22" s="10"/>
      <c r="D22" s="10"/>
      <c r="E22" s="11">
        <v>1</v>
      </c>
      <c r="F22" s="297">
        <v>0.24</v>
      </c>
      <c r="G22" s="298">
        <v>0.24</v>
      </c>
      <c r="H22" s="298">
        <v>0.24</v>
      </c>
      <c r="I22" s="298">
        <v>0.24</v>
      </c>
      <c r="J22" s="298">
        <v>0.24</v>
      </c>
      <c r="K22" s="149" t="s">
        <v>32</v>
      </c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</row>
    <row r="23" spans="2:31">
      <c r="B23" s="12" t="s">
        <v>15</v>
      </c>
      <c r="C23" s="10"/>
      <c r="D23" s="10"/>
      <c r="E23" s="11">
        <v>2</v>
      </c>
      <c r="F23" s="299">
        <v>0.23499999999999999</v>
      </c>
      <c r="G23" s="300">
        <v>0.23499999999999999</v>
      </c>
      <c r="H23" s="300">
        <f>G23-0.005</f>
        <v>0.22999999999999998</v>
      </c>
      <c r="I23" s="300">
        <v>0.22999999999999998</v>
      </c>
      <c r="J23" s="300">
        <v>0.22999999999999998</v>
      </c>
      <c r="K23" s="149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</row>
    <row r="24" spans="2:31">
      <c r="B24" s="12" t="s">
        <v>16</v>
      </c>
      <c r="C24" s="10"/>
      <c r="D24" s="10"/>
      <c r="E24" s="11">
        <v>3</v>
      </c>
      <c r="F24" s="299">
        <v>0.23499999999999999</v>
      </c>
      <c r="G24" s="300">
        <v>0.23499999999999999</v>
      </c>
      <c r="H24" s="300">
        <v>0.22999999999999998</v>
      </c>
      <c r="I24" s="300">
        <v>0.22999999999999998</v>
      </c>
      <c r="J24" s="300">
        <v>0.22999999999999998</v>
      </c>
      <c r="K24" s="149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</row>
    <row r="25" spans="2:31">
      <c r="B25" s="12" t="s">
        <v>17</v>
      </c>
      <c r="C25" s="10"/>
      <c r="D25" s="10"/>
      <c r="E25" s="11">
        <v>4</v>
      </c>
      <c r="F25" s="299">
        <v>0.245</v>
      </c>
      <c r="G25" s="300">
        <v>0.25</v>
      </c>
      <c r="H25" s="300">
        <v>0.25</v>
      </c>
      <c r="I25" s="300">
        <v>0.25</v>
      </c>
      <c r="J25" s="300">
        <v>0.255</v>
      </c>
      <c r="K25" s="149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</row>
    <row r="26" spans="2:31">
      <c r="B26" s="12" t="s">
        <v>18</v>
      </c>
      <c r="C26" s="10"/>
      <c r="D26" s="10"/>
      <c r="E26" s="11">
        <v>5</v>
      </c>
      <c r="F26" s="301">
        <v>0.24</v>
      </c>
      <c r="G26" s="302">
        <v>0.245</v>
      </c>
      <c r="H26" s="302">
        <v>0.25</v>
      </c>
      <c r="I26" s="302">
        <v>0.255</v>
      </c>
      <c r="J26" s="302">
        <v>0.26</v>
      </c>
      <c r="K26" s="149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</row>
    <row r="27" spans="2:31" s="23" customFormat="1">
      <c r="B27" s="12"/>
      <c r="C27" s="10"/>
      <c r="D27" s="10"/>
      <c r="E27" s="11"/>
      <c r="F27" s="22"/>
      <c r="G27" s="22"/>
      <c r="H27" s="22"/>
      <c r="I27" s="22"/>
      <c r="J27" s="22"/>
    </row>
    <row r="28" spans="2:31">
      <c r="B28" s="18" t="s">
        <v>21</v>
      </c>
      <c r="C28" s="10"/>
      <c r="D28" s="10"/>
      <c r="E28" s="11"/>
      <c r="F28" s="16"/>
      <c r="G28" s="16"/>
      <c r="H28" s="16"/>
      <c r="I28" s="16"/>
      <c r="J28" s="16"/>
    </row>
    <row r="29" spans="2:31">
      <c r="B29" s="24" t="s">
        <v>22</v>
      </c>
      <c r="C29" s="10"/>
      <c r="D29" s="10"/>
      <c r="E29" s="11"/>
      <c r="F29" s="20">
        <f>CHOOSE([1]DCF!$D$4,F30,F31,F32,F33,F34)</f>
        <v>0.185</v>
      </c>
      <c r="G29" s="20">
        <f>CHOOSE([1]DCF!$D$4,G30,G31,G32,G33,G34)</f>
        <v>0.185</v>
      </c>
      <c r="H29" s="20">
        <f>CHOOSE([1]DCF!$D$4,H30,H31,H32,H33,H34)</f>
        <v>0.185</v>
      </c>
      <c r="I29" s="20">
        <f>CHOOSE([1]DCF!$D$4,I30,I31,I32,I33,I34)</f>
        <v>0.185</v>
      </c>
      <c r="J29" s="192">
        <f>CHOOSE([1]DCF!$D$4,J30,J31,J32,J33,J34)</f>
        <v>0.185</v>
      </c>
      <c r="K29" s="19" t="s">
        <v>680</v>
      </c>
    </row>
    <row r="30" spans="2:31">
      <c r="B30" s="12" t="s">
        <v>14</v>
      </c>
      <c r="C30" s="10"/>
      <c r="D30" s="10"/>
      <c r="E30" s="11">
        <v>1</v>
      </c>
      <c r="F30" s="297">
        <v>0.185</v>
      </c>
      <c r="G30" s="298">
        <v>0.185</v>
      </c>
      <c r="H30" s="298">
        <v>0.185</v>
      </c>
      <c r="I30" s="298">
        <v>0.185</v>
      </c>
      <c r="J30" s="303">
        <v>0.185</v>
      </c>
      <c r="K30" s="149" t="s">
        <v>681</v>
      </c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</row>
    <row r="31" spans="2:31">
      <c r="B31" s="12" t="s">
        <v>15</v>
      </c>
      <c r="C31" s="10"/>
      <c r="D31" s="10"/>
      <c r="E31" s="11">
        <v>2</v>
      </c>
      <c r="F31" s="299">
        <v>0.17499999999999999</v>
      </c>
      <c r="G31" s="300">
        <v>0.17499999999999999</v>
      </c>
      <c r="H31" s="300">
        <v>0.17499999999999999</v>
      </c>
      <c r="I31" s="300">
        <v>0.17499999999999999</v>
      </c>
      <c r="J31" s="304">
        <v>0.17499999999999999</v>
      </c>
      <c r="K31" s="149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</row>
    <row r="32" spans="2:31">
      <c r="B32" s="12" t="s">
        <v>16</v>
      </c>
      <c r="C32" s="10"/>
      <c r="D32" s="10"/>
      <c r="E32" s="11">
        <v>3</v>
      </c>
      <c r="F32" s="299">
        <v>0.17</v>
      </c>
      <c r="G32" s="300">
        <v>0.17</v>
      </c>
      <c r="H32" s="300">
        <v>0.17</v>
      </c>
      <c r="I32" s="300">
        <v>0.16800000000000001</v>
      </c>
      <c r="J32" s="304">
        <v>0.16500000000000001</v>
      </c>
      <c r="K32" s="149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</row>
    <row r="33" spans="2:31">
      <c r="B33" s="12" t="s">
        <v>17</v>
      </c>
      <c r="C33" s="10"/>
      <c r="D33" s="10"/>
      <c r="E33" s="11">
        <v>4</v>
      </c>
      <c r="F33" s="299">
        <v>0.19</v>
      </c>
      <c r="G33" s="300">
        <v>0.193</v>
      </c>
      <c r="H33" s="300">
        <v>0.19500000000000001</v>
      </c>
      <c r="I33" s="300">
        <v>0.19800000000000001</v>
      </c>
      <c r="J33" s="304">
        <v>0.2</v>
      </c>
      <c r="K33" s="149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</row>
    <row r="34" spans="2:31">
      <c r="B34" s="12" t="s">
        <v>18</v>
      </c>
      <c r="C34" s="10"/>
      <c r="D34" s="10"/>
      <c r="E34" s="25">
        <v>5</v>
      </c>
      <c r="F34" s="301">
        <v>0.2</v>
      </c>
      <c r="G34" s="302">
        <v>0.20499999999999999</v>
      </c>
      <c r="H34" s="302">
        <v>0.21</v>
      </c>
      <c r="I34" s="302">
        <v>0.215</v>
      </c>
      <c r="J34" s="305">
        <v>0.22</v>
      </c>
      <c r="K34" s="149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</row>
  </sheetData>
  <mergeCells count="5">
    <mergeCell ref="K22:AE26"/>
    <mergeCell ref="K30:AE34"/>
    <mergeCell ref="F2:J2"/>
    <mergeCell ref="K8:AE12"/>
    <mergeCell ref="K15:AE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0C196-1D18-504D-AB5C-8EA7604118C8}">
  <dimension ref="A1:AB49"/>
  <sheetViews>
    <sheetView workbookViewId="0">
      <selection activeCell="K21" sqref="K21"/>
    </sheetView>
  </sheetViews>
  <sheetFormatPr baseColWidth="10" defaultColWidth="8.6640625" defaultRowHeight="15"/>
  <cols>
    <col min="1" max="1" width="0.83203125" style="17" customWidth="1"/>
    <col min="2" max="4" width="9.6640625" style="17" customWidth="1"/>
    <col min="5" max="5" width="9.6640625" style="26" customWidth="1"/>
    <col min="6" max="10" width="12.6640625" style="17" customWidth="1"/>
    <col min="11" max="16384" width="8.6640625" style="17"/>
  </cols>
  <sheetData>
    <row r="1" spans="1:25" s="10" customFormat="1" ht="16">
      <c r="A1" s="28"/>
      <c r="B1" s="76" t="s">
        <v>572</v>
      </c>
      <c r="C1" s="76"/>
      <c r="D1" s="76"/>
      <c r="E1" s="76"/>
      <c r="F1" s="76"/>
      <c r="G1" s="76"/>
      <c r="H1" s="76"/>
      <c r="I1" s="76"/>
      <c r="J1" s="76"/>
      <c r="K1" s="9" t="s">
        <v>10</v>
      </c>
    </row>
    <row r="2" spans="1:25">
      <c r="A2" s="28"/>
      <c r="B2" s="28"/>
      <c r="C2" s="28"/>
      <c r="D2" s="28"/>
      <c r="E2" s="29"/>
      <c r="F2" s="151" t="s">
        <v>11</v>
      </c>
      <c r="G2" s="151"/>
      <c r="H2" s="151"/>
      <c r="I2" s="151"/>
      <c r="J2" s="151"/>
    </row>
    <row r="3" spans="1:25">
      <c r="A3" s="28"/>
      <c r="B3" s="12"/>
      <c r="C3" s="28"/>
      <c r="D3" s="28"/>
      <c r="E3" s="29"/>
      <c r="F3" s="13">
        <v>1</v>
      </c>
      <c r="G3" s="13">
        <v>2</v>
      </c>
      <c r="H3" s="13">
        <v>3</v>
      </c>
      <c r="I3" s="13">
        <v>4</v>
      </c>
      <c r="J3" s="13">
        <v>5</v>
      </c>
    </row>
    <row r="4" spans="1:25">
      <c r="A4" s="28"/>
      <c r="B4" s="12"/>
      <c r="C4" s="28"/>
      <c r="D4" s="28"/>
      <c r="E4" s="29"/>
      <c r="F4" s="14">
        <f>'DCF&amp;SensivityAnalysis'!K8</f>
        <v>2026</v>
      </c>
      <c r="G4" s="14">
        <f>'DCF&amp;SensivityAnalysis'!L8</f>
        <v>2027</v>
      </c>
      <c r="H4" s="14">
        <f>'DCF&amp;SensivityAnalysis'!M8</f>
        <v>2028</v>
      </c>
      <c r="I4" s="14">
        <f>'DCF&amp;SensivityAnalysis'!N8</f>
        <v>2029</v>
      </c>
      <c r="J4" s="14">
        <f>'DCF&amp;SensivityAnalysis'!O8</f>
        <v>2030</v>
      </c>
    </row>
    <row r="5" spans="1:25">
      <c r="A5" s="28"/>
      <c r="B5" s="12"/>
      <c r="C5" s="28"/>
      <c r="D5" s="28"/>
      <c r="E5" s="29"/>
      <c r="F5" s="30"/>
      <c r="G5" s="30"/>
      <c r="H5" s="30"/>
      <c r="I5" s="30"/>
      <c r="J5" s="30"/>
    </row>
    <row r="6" spans="1:25" s="10" customFormat="1" ht="13">
      <c r="A6" s="28"/>
      <c r="B6" s="31" t="s">
        <v>1</v>
      </c>
      <c r="C6" s="28"/>
      <c r="D6" s="28"/>
      <c r="E6" s="29"/>
      <c r="F6" s="28"/>
      <c r="G6" s="28"/>
      <c r="H6" s="28"/>
      <c r="I6" s="28"/>
      <c r="J6" s="28"/>
    </row>
    <row r="7" spans="1:25">
      <c r="A7" s="28"/>
      <c r="B7" s="32" t="s">
        <v>33</v>
      </c>
      <c r="C7" s="28"/>
      <c r="D7" s="28"/>
      <c r="E7" s="29"/>
      <c r="F7" s="33">
        <f>CHOOSE('DCF&amp;SensivityAnalysis'!$C$6,F8,F9,F10,F11,F12)</f>
        <v>54</v>
      </c>
      <c r="G7" s="33">
        <f>CHOOSE('DCF&amp;SensivityAnalysis'!$C$6,G8,G9,G10,G11,G12)</f>
        <v>54</v>
      </c>
      <c r="H7" s="33">
        <f>CHOOSE('DCF&amp;SensivityAnalysis'!$C$6,H8,H9,H10,H11,H12)</f>
        <v>54</v>
      </c>
      <c r="I7" s="33">
        <f>CHOOSE('DCF&amp;SensivityAnalysis'!$C$6,I8,I9,I10,I11,I12)</f>
        <v>54</v>
      </c>
      <c r="J7" s="33">
        <f>CHOOSE('DCF&amp;SensivityAnalysis'!$C$6,J8,J9,J10,J11,J12)</f>
        <v>54</v>
      </c>
      <c r="K7" s="19" t="s">
        <v>43</v>
      </c>
    </row>
    <row r="8" spans="1:25" ht="15" customHeight="1">
      <c r="A8" s="28"/>
      <c r="B8" s="12" t="s">
        <v>14</v>
      </c>
      <c r="C8" s="28"/>
      <c r="D8" s="28"/>
      <c r="E8" s="34">
        <v>1</v>
      </c>
      <c r="F8" s="282">
        <v>54</v>
      </c>
      <c r="G8" s="283">
        <v>54</v>
      </c>
      <c r="H8" s="283">
        <v>54</v>
      </c>
      <c r="I8" s="283">
        <v>54</v>
      </c>
      <c r="J8" s="283">
        <v>54</v>
      </c>
      <c r="K8" s="149" t="s">
        <v>41</v>
      </c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</row>
    <row r="9" spans="1:25">
      <c r="A9" s="28"/>
      <c r="B9" s="12" t="s">
        <v>15</v>
      </c>
      <c r="C9" s="28"/>
      <c r="D9" s="28"/>
      <c r="E9" s="34">
        <v>2</v>
      </c>
      <c r="F9" s="284">
        <v>54</v>
      </c>
      <c r="G9" s="285">
        <v>53</v>
      </c>
      <c r="H9" s="285">
        <v>52</v>
      </c>
      <c r="I9" s="285">
        <v>51</v>
      </c>
      <c r="J9" s="285">
        <v>50</v>
      </c>
      <c r="K9" s="149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</row>
    <row r="10" spans="1:25">
      <c r="A10" s="28"/>
      <c r="B10" s="12" t="s">
        <v>16</v>
      </c>
      <c r="C10" s="28"/>
      <c r="D10" s="28"/>
      <c r="E10" s="34">
        <v>3</v>
      </c>
      <c r="F10" s="284">
        <v>54</v>
      </c>
      <c r="G10" s="285">
        <v>53.5</v>
      </c>
      <c r="H10" s="285">
        <v>53</v>
      </c>
      <c r="I10" s="285">
        <v>52.5</v>
      </c>
      <c r="J10" s="285">
        <v>52</v>
      </c>
      <c r="K10" s="149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</row>
    <row r="11" spans="1:25">
      <c r="A11" s="28"/>
      <c r="B11" s="12" t="s">
        <v>17</v>
      </c>
      <c r="C11" s="28"/>
      <c r="D11" s="28"/>
      <c r="E11" s="34">
        <v>4</v>
      </c>
      <c r="F11" s="284">
        <v>54</v>
      </c>
      <c r="G11" s="285">
        <v>55</v>
      </c>
      <c r="H11" s="285">
        <v>56</v>
      </c>
      <c r="I11" s="285">
        <v>56.5</v>
      </c>
      <c r="J11" s="285">
        <v>57</v>
      </c>
      <c r="K11" s="149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</row>
    <row r="12" spans="1:25">
      <c r="A12" s="28"/>
      <c r="B12" s="12" t="s">
        <v>18</v>
      </c>
      <c r="C12" s="28"/>
      <c r="D12" s="28"/>
      <c r="E12" s="34">
        <v>5</v>
      </c>
      <c r="F12" s="286">
        <v>54</v>
      </c>
      <c r="G12" s="287">
        <v>55</v>
      </c>
      <c r="H12" s="287">
        <v>56</v>
      </c>
      <c r="I12" s="287">
        <v>57</v>
      </c>
      <c r="J12" s="287">
        <v>58</v>
      </c>
      <c r="K12" s="149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</row>
    <row r="13" spans="1:25">
      <c r="A13" s="28"/>
      <c r="B13" s="12"/>
      <c r="C13" s="28"/>
      <c r="D13" s="28"/>
      <c r="E13" s="34"/>
      <c r="F13" s="36"/>
      <c r="G13" s="36"/>
      <c r="H13" s="36"/>
      <c r="I13" s="36"/>
      <c r="J13" s="36"/>
    </row>
    <row r="14" spans="1:25">
      <c r="A14" s="28"/>
      <c r="B14" s="32" t="s">
        <v>34</v>
      </c>
      <c r="C14" s="28"/>
      <c r="D14" s="28"/>
      <c r="E14" s="34"/>
      <c r="F14" s="33">
        <f>CHOOSE('DCF&amp;SensivityAnalysis'!$C$6,F15,F16,F17,F18,F19)</f>
        <v>86.9</v>
      </c>
      <c r="G14" s="33">
        <f>CHOOSE('DCF&amp;SensivityAnalysis'!$C$6,G15,G16,G17,G18,G19)</f>
        <v>86.9</v>
      </c>
      <c r="H14" s="33">
        <f>CHOOSE('DCF&amp;SensivityAnalysis'!$C$6,H15,H16,H17,H18,H19)</f>
        <v>86.9</v>
      </c>
      <c r="I14" s="33">
        <f>CHOOSE('DCF&amp;SensivityAnalysis'!$C$6,I15,I16,I17,I18,I19)</f>
        <v>86.9</v>
      </c>
      <c r="J14" s="33">
        <f>CHOOSE('DCF&amp;SensivityAnalysis'!$C$6,J15,J16,J17,J18,J19)</f>
        <v>86.9</v>
      </c>
      <c r="K14" s="19" t="s">
        <v>652</v>
      </c>
    </row>
    <row r="15" spans="1:25">
      <c r="A15" s="28"/>
      <c r="B15" s="12" t="s">
        <v>14</v>
      </c>
      <c r="C15" s="28"/>
      <c r="D15" s="28"/>
      <c r="E15" s="34">
        <v>1</v>
      </c>
      <c r="F15" s="282">
        <v>86.9</v>
      </c>
      <c r="G15" s="283">
        <v>86.9</v>
      </c>
      <c r="H15" s="283">
        <v>86.9</v>
      </c>
      <c r="I15" s="283">
        <v>86.9</v>
      </c>
      <c r="J15" s="283">
        <v>86.9</v>
      </c>
      <c r="K15" s="149" t="s">
        <v>38</v>
      </c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</row>
    <row r="16" spans="1:25">
      <c r="A16" s="28"/>
      <c r="B16" s="12" t="s">
        <v>15</v>
      </c>
      <c r="C16" s="28"/>
      <c r="D16" s="28"/>
      <c r="E16" s="34">
        <v>2</v>
      </c>
      <c r="F16" s="284">
        <v>86.9</v>
      </c>
      <c r="G16" s="285">
        <v>86.850000000000009</v>
      </c>
      <c r="H16" s="285">
        <v>86.800000000000011</v>
      </c>
      <c r="I16" s="285">
        <v>86.750000000000014</v>
      </c>
      <c r="J16" s="285">
        <v>86.700000000000017</v>
      </c>
      <c r="K16" s="149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</row>
    <row r="17" spans="1:25">
      <c r="A17" s="28"/>
      <c r="B17" s="12" t="s">
        <v>16</v>
      </c>
      <c r="C17" s="28"/>
      <c r="D17" s="28"/>
      <c r="E17" s="34">
        <v>3</v>
      </c>
      <c r="F17" s="284">
        <v>86.9</v>
      </c>
      <c r="G17" s="285">
        <v>86.4</v>
      </c>
      <c r="H17" s="285">
        <v>85.9</v>
      </c>
      <c r="I17" s="285">
        <v>85.4</v>
      </c>
      <c r="J17" s="285">
        <v>84.9</v>
      </c>
      <c r="K17" s="149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</row>
    <row r="18" spans="1:25">
      <c r="A18" s="28"/>
      <c r="B18" s="12" t="s">
        <v>17</v>
      </c>
      <c r="C18" s="28"/>
      <c r="D18" s="28"/>
      <c r="E18" s="34">
        <v>4</v>
      </c>
      <c r="F18" s="284">
        <v>86.9</v>
      </c>
      <c r="G18" s="285">
        <v>86.95</v>
      </c>
      <c r="H18" s="285">
        <v>87</v>
      </c>
      <c r="I18" s="285">
        <v>87.05</v>
      </c>
      <c r="J18" s="285">
        <v>87.1</v>
      </c>
      <c r="K18" s="149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</row>
    <row r="19" spans="1:25">
      <c r="A19" s="28"/>
      <c r="B19" s="12" t="s">
        <v>18</v>
      </c>
      <c r="C19" s="28"/>
      <c r="D19" s="28"/>
      <c r="E19" s="34">
        <v>5</v>
      </c>
      <c r="F19" s="286">
        <v>86.9</v>
      </c>
      <c r="G19" s="287">
        <v>87.4</v>
      </c>
      <c r="H19" s="287">
        <v>87.9</v>
      </c>
      <c r="I19" s="287">
        <v>88.4</v>
      </c>
      <c r="J19" s="287">
        <v>88.9</v>
      </c>
      <c r="K19" s="149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</row>
    <row r="20" spans="1:25">
      <c r="A20" s="28"/>
      <c r="B20" s="12"/>
      <c r="C20" s="28"/>
      <c r="D20" s="28"/>
      <c r="E20" s="34"/>
      <c r="F20" s="30"/>
      <c r="G20" s="30"/>
      <c r="H20" s="30"/>
      <c r="I20" s="30"/>
      <c r="J20" s="30"/>
    </row>
    <row r="21" spans="1:25">
      <c r="A21" s="28"/>
      <c r="B21" s="32" t="s">
        <v>44</v>
      </c>
      <c r="C21" s="28"/>
      <c r="D21" s="28"/>
      <c r="E21" s="34"/>
      <c r="F21" s="37">
        <f>CHOOSE('DCF&amp;SensivityAnalysis'!$C$6,F22,F23,F24,F25,F26)</f>
        <v>3.2000000000000001E-2</v>
      </c>
      <c r="G21" s="37">
        <f>CHOOSE([1]DCF!$D$4,G22,G23,G24,G25,G26)</f>
        <v>3.2000000000000001E-2</v>
      </c>
      <c r="H21" s="37">
        <f>CHOOSE([1]DCF!$D$4,H22,H23,H24,H25,H26)</f>
        <v>3.2000000000000001E-2</v>
      </c>
      <c r="I21" s="37">
        <f>CHOOSE([1]DCF!$D$4,I22,I23,I24,I25,I26)</f>
        <v>3.2000000000000001E-2</v>
      </c>
      <c r="J21" s="37">
        <f>CHOOSE([1]DCF!$D$4,J22,J23,J24,J25,J26)</f>
        <v>3.2000000000000001E-2</v>
      </c>
      <c r="K21" s="19" t="s">
        <v>653</v>
      </c>
    </row>
    <row r="22" spans="1:25" ht="15" customHeight="1">
      <c r="A22" s="28"/>
      <c r="B22" s="12" t="s">
        <v>14</v>
      </c>
      <c r="C22" s="28"/>
      <c r="D22" s="28"/>
      <c r="E22" s="34">
        <v>1</v>
      </c>
      <c r="F22" s="288">
        <v>3.2000000000000001E-2</v>
      </c>
      <c r="G22" s="289">
        <v>3.2000000000000001E-2</v>
      </c>
      <c r="H22" s="289">
        <v>3.2000000000000001E-2</v>
      </c>
      <c r="I22" s="289">
        <v>3.2000000000000001E-2</v>
      </c>
      <c r="J22" s="290">
        <v>3.2000000000000001E-2</v>
      </c>
      <c r="K22" s="150" t="s">
        <v>40</v>
      </c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</row>
    <row r="23" spans="1:25">
      <c r="A23" s="28"/>
      <c r="B23" s="12" t="s">
        <v>15</v>
      </c>
      <c r="C23" s="28"/>
      <c r="D23" s="28"/>
      <c r="E23" s="34">
        <v>2</v>
      </c>
      <c r="F23" s="291">
        <v>3.2000000000000001E-2</v>
      </c>
      <c r="G23" s="292">
        <v>3.2000000000000001E-2</v>
      </c>
      <c r="H23" s="292">
        <v>3.2000000000000001E-2</v>
      </c>
      <c r="I23" s="292">
        <v>0.03</v>
      </c>
      <c r="J23" s="293">
        <v>0.03</v>
      </c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</row>
    <row r="24" spans="1:25">
      <c r="A24" s="38">
        <v>1.8200000000000001E-2</v>
      </c>
      <c r="B24" s="12" t="s">
        <v>16</v>
      </c>
      <c r="C24" s="28"/>
      <c r="D24" s="28"/>
      <c r="E24" s="34">
        <v>3</v>
      </c>
      <c r="F24" s="291">
        <v>3.2000000000000001E-2</v>
      </c>
      <c r="G24" s="292">
        <v>0.03</v>
      </c>
      <c r="H24" s="292">
        <v>0.03</v>
      </c>
      <c r="I24" s="292">
        <v>0.03</v>
      </c>
      <c r="J24" s="293">
        <v>2.7999999999999997E-2</v>
      </c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</row>
    <row r="25" spans="1:25">
      <c r="A25" s="28"/>
      <c r="B25" s="12" t="s">
        <v>17</v>
      </c>
      <c r="C25" s="28"/>
      <c r="D25" s="28"/>
      <c r="E25" s="34">
        <v>4</v>
      </c>
      <c r="F25" s="291">
        <v>3.2000000000000001E-2</v>
      </c>
      <c r="G25" s="292">
        <v>3.2000000000000001E-2</v>
      </c>
      <c r="H25" s="292">
        <v>3.2000000000000001E-2</v>
      </c>
      <c r="I25" s="292">
        <v>3.4000000000000002E-2</v>
      </c>
      <c r="J25" s="293">
        <v>3.6000000000000004E-2</v>
      </c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</row>
    <row r="26" spans="1:25">
      <c r="A26" s="28"/>
      <c r="B26" s="12" t="s">
        <v>18</v>
      </c>
      <c r="C26" s="28"/>
      <c r="D26" s="28"/>
      <c r="E26" s="34">
        <v>5</v>
      </c>
      <c r="F26" s="294">
        <v>3.2000000000000001E-2</v>
      </c>
      <c r="G26" s="295">
        <v>3.5000000000000003E-2</v>
      </c>
      <c r="H26" s="295">
        <v>3.8000000000000006E-2</v>
      </c>
      <c r="I26" s="295">
        <v>4.1000000000000009E-2</v>
      </c>
      <c r="J26" s="296">
        <v>4.4000000000000011E-2</v>
      </c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</row>
    <row r="27" spans="1:25">
      <c r="A27" s="28"/>
      <c r="B27" s="12"/>
      <c r="C27" s="28"/>
      <c r="D27" s="28"/>
      <c r="E27" s="34"/>
      <c r="F27" s="30"/>
      <c r="G27" s="30"/>
      <c r="H27" s="30"/>
      <c r="I27" s="30"/>
      <c r="J27" s="30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>
      <c r="A28" s="28"/>
      <c r="B28" s="31" t="s">
        <v>35</v>
      </c>
      <c r="C28" s="28"/>
      <c r="D28" s="28"/>
      <c r="E28" s="34"/>
      <c r="F28" s="28"/>
      <c r="G28" s="28"/>
      <c r="H28" s="28"/>
      <c r="I28" s="28"/>
      <c r="J28" s="28"/>
    </row>
    <row r="29" spans="1:25">
      <c r="A29" s="28"/>
      <c r="B29" s="32" t="s">
        <v>36</v>
      </c>
      <c r="C29" s="28"/>
      <c r="D29" s="28"/>
      <c r="E29" s="34"/>
      <c r="F29" s="33">
        <f>CHOOSE([1]DCF!$D$4,F30,F31,F32,F33,F34)</f>
        <v>171.4</v>
      </c>
      <c r="G29" s="33">
        <f>CHOOSE([1]DCF!$D$4,G30,G31,G32,G33,G34)</f>
        <v>171.4</v>
      </c>
      <c r="H29" s="33">
        <f>CHOOSE([1]DCF!$D$4,H30,H31,H32,H33,H34)</f>
        <v>171.4</v>
      </c>
      <c r="I29" s="33">
        <f>CHOOSE([1]DCF!$D$4,I30,I31,I32,I33,I34)</f>
        <v>171.4</v>
      </c>
      <c r="J29" s="33">
        <f>CHOOSE([1]DCF!$D$4,J30,J31,J32,J33,J34)</f>
        <v>171.4</v>
      </c>
      <c r="K29" s="19" t="s">
        <v>654</v>
      </c>
    </row>
    <row r="30" spans="1:25">
      <c r="A30" s="28"/>
      <c r="B30" s="12" t="s">
        <v>14</v>
      </c>
      <c r="C30" s="28"/>
      <c r="D30" s="28"/>
      <c r="E30" s="34">
        <v>1</v>
      </c>
      <c r="F30" s="282">
        <v>171.4</v>
      </c>
      <c r="G30" s="283">
        <v>171.4</v>
      </c>
      <c r="H30" s="283">
        <v>171.4</v>
      </c>
      <c r="I30" s="283">
        <v>171.4</v>
      </c>
      <c r="J30" s="283">
        <v>171.4</v>
      </c>
      <c r="K30" s="149" t="s">
        <v>39</v>
      </c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</row>
    <row r="31" spans="1:25">
      <c r="A31" s="28"/>
      <c r="B31" s="12" t="s">
        <v>15</v>
      </c>
      <c r="C31" s="28"/>
      <c r="D31" s="28"/>
      <c r="E31" s="34">
        <v>2</v>
      </c>
      <c r="F31" s="284">
        <v>171.4</v>
      </c>
      <c r="G31" s="285">
        <v>172.4</v>
      </c>
      <c r="H31" s="285">
        <v>173.4</v>
      </c>
      <c r="I31" s="285">
        <v>173.9</v>
      </c>
      <c r="J31" s="285">
        <v>174.9</v>
      </c>
      <c r="K31" s="149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</row>
    <row r="32" spans="1:25">
      <c r="A32" s="28"/>
      <c r="B32" s="12" t="s">
        <v>16</v>
      </c>
      <c r="C32" s="28"/>
      <c r="D32" s="28"/>
      <c r="E32" s="34">
        <v>3</v>
      </c>
      <c r="F32" s="284">
        <v>171.4</v>
      </c>
      <c r="G32" s="285">
        <v>171</v>
      </c>
      <c r="H32" s="285">
        <v>171.5</v>
      </c>
      <c r="I32" s="285">
        <v>172</v>
      </c>
      <c r="J32" s="285">
        <v>172.5</v>
      </c>
      <c r="K32" s="149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</row>
    <row r="33" spans="1:28">
      <c r="A33" s="28"/>
      <c r="B33" s="12" t="s">
        <v>17</v>
      </c>
      <c r="C33" s="28"/>
      <c r="D33" s="28"/>
      <c r="E33" s="34">
        <v>4</v>
      </c>
      <c r="F33" s="284">
        <v>171.4</v>
      </c>
      <c r="G33" s="285">
        <v>170.5</v>
      </c>
      <c r="H33" s="285">
        <v>170</v>
      </c>
      <c r="I33" s="285">
        <v>169.5</v>
      </c>
      <c r="J33" s="285">
        <v>169</v>
      </c>
      <c r="K33" s="149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</row>
    <row r="34" spans="1:28">
      <c r="A34" s="28"/>
      <c r="B34" s="12" t="s">
        <v>18</v>
      </c>
      <c r="C34" s="28"/>
      <c r="D34" s="28"/>
      <c r="E34" s="34">
        <v>5</v>
      </c>
      <c r="F34" s="286">
        <v>171.4</v>
      </c>
      <c r="G34" s="287">
        <v>170</v>
      </c>
      <c r="H34" s="287">
        <v>169</v>
      </c>
      <c r="I34" s="287">
        <v>168</v>
      </c>
      <c r="J34" s="287">
        <v>167</v>
      </c>
      <c r="K34" s="149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</row>
    <row r="35" spans="1:28" customFormat="1"/>
    <row r="36" spans="1:28" ht="12.75" customHeight="1">
      <c r="A36" s="28"/>
      <c r="B36" s="32" t="s">
        <v>672</v>
      </c>
      <c r="C36" s="28"/>
      <c r="D36" s="28"/>
      <c r="E36" s="34"/>
      <c r="F36" s="37">
        <f>CHOOSE([1]DCF!$D$4,F37,F38,F39,F40,F41)</f>
        <v>9.5000000000000001E-2</v>
      </c>
      <c r="G36" s="37">
        <f>CHOOSE([1]DCF!$D$4,G37,G38,G39,G40,G41)</f>
        <v>9.5000000000000001E-2</v>
      </c>
      <c r="H36" s="37">
        <f>CHOOSE([1]DCF!$D$4,H37,H38,H39,H40,H41)</f>
        <v>9.5000000000000001E-2</v>
      </c>
      <c r="I36" s="37">
        <f>CHOOSE([1]DCF!$D$4,I37,I38,I39,I40,I41)</f>
        <v>9.5000000000000001E-2</v>
      </c>
      <c r="J36" s="37">
        <f>CHOOSE([1]DCF!$D$4,J37,J38,J39,J40,J41)</f>
        <v>9.5000000000000001E-2</v>
      </c>
      <c r="K36" s="19" t="s">
        <v>674</v>
      </c>
      <c r="X36"/>
      <c r="Y36"/>
      <c r="Z36"/>
      <c r="AA36"/>
      <c r="AB36"/>
    </row>
    <row r="37" spans="1:28" ht="12.75" customHeight="1">
      <c r="A37" s="28"/>
      <c r="B37" s="12" t="s">
        <v>14</v>
      </c>
      <c r="C37" s="28"/>
      <c r="D37" s="28"/>
      <c r="E37" s="34">
        <v>1</v>
      </c>
      <c r="F37" s="288">
        <v>9.5000000000000001E-2</v>
      </c>
      <c r="G37" s="289">
        <v>9.5000000000000001E-2</v>
      </c>
      <c r="H37" s="289">
        <v>9.5000000000000001E-2</v>
      </c>
      <c r="I37" s="289">
        <v>9.5000000000000001E-2</v>
      </c>
      <c r="J37" s="289">
        <v>9.5000000000000001E-2</v>
      </c>
      <c r="K37" s="149" t="s">
        <v>675</v>
      </c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/>
      <c r="AA37"/>
      <c r="AB37"/>
    </row>
    <row r="38" spans="1:28" ht="12.75" customHeight="1">
      <c r="A38" s="28"/>
      <c r="B38" s="12" t="s">
        <v>15</v>
      </c>
      <c r="C38" s="28"/>
      <c r="D38" s="28"/>
      <c r="E38" s="34">
        <v>2</v>
      </c>
      <c r="F38" s="291">
        <v>9.5000000000000001E-2</v>
      </c>
      <c r="G38" s="277">
        <v>9.5500000000000002E-2</v>
      </c>
      <c r="H38" s="277">
        <v>9.6000000000000002E-2</v>
      </c>
      <c r="I38" s="277">
        <v>9.6500000000000002E-2</v>
      </c>
      <c r="J38" s="277">
        <v>9.7000000000000003E-2</v>
      </c>
      <c r="K38" s="149"/>
      <c r="L38" s="188"/>
      <c r="M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/>
      <c r="AA38"/>
      <c r="AB38"/>
    </row>
    <row r="39" spans="1:28" ht="12.75" customHeight="1">
      <c r="A39" s="28"/>
      <c r="B39" s="12" t="s">
        <v>16</v>
      </c>
      <c r="C39" s="28"/>
      <c r="D39" s="28"/>
      <c r="E39" s="34">
        <v>3</v>
      </c>
      <c r="F39" s="291">
        <v>9.5000000000000001E-2</v>
      </c>
      <c r="G39" s="277">
        <v>9.5000000000000001E-2</v>
      </c>
      <c r="H39" s="277">
        <v>9.7000000000000003E-2</v>
      </c>
      <c r="I39" s="277">
        <v>9.7000000000000003E-2</v>
      </c>
      <c r="J39" s="277">
        <v>9.7000000000000003E-2</v>
      </c>
      <c r="K39" s="149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/>
      <c r="AA39"/>
      <c r="AB39"/>
    </row>
    <row r="40" spans="1:28" ht="12.75" customHeight="1">
      <c r="A40" s="28"/>
      <c r="B40" s="12" t="s">
        <v>17</v>
      </c>
      <c r="C40" s="28"/>
      <c r="D40" s="28"/>
      <c r="E40" s="34">
        <v>4</v>
      </c>
      <c r="F40" s="291">
        <v>9.5000000000000001E-2</v>
      </c>
      <c r="G40" s="277">
        <v>9.5000000000000001E-2</v>
      </c>
      <c r="H40" s="277">
        <v>9.5000000000000001E-2</v>
      </c>
      <c r="I40" s="277">
        <v>9.2499999999999999E-2</v>
      </c>
      <c r="J40" s="277">
        <v>9.2499999999999999E-2</v>
      </c>
      <c r="K40" s="149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/>
      <c r="AA40"/>
      <c r="AB40"/>
    </row>
    <row r="41" spans="1:28" ht="12.75" customHeight="1">
      <c r="A41" s="28"/>
      <c r="B41" s="12" t="s">
        <v>18</v>
      </c>
      <c r="C41" s="28"/>
      <c r="D41" s="28"/>
      <c r="E41" s="34">
        <v>5</v>
      </c>
      <c r="F41" s="294">
        <v>9.5000000000000001E-2</v>
      </c>
      <c r="G41" s="295">
        <v>9.2499999999999999E-2</v>
      </c>
      <c r="H41" s="295">
        <v>9.2499999999999999E-2</v>
      </c>
      <c r="I41" s="295">
        <v>0.09</v>
      </c>
      <c r="J41" s="295">
        <v>8.7499999999999994E-2</v>
      </c>
      <c r="K41" s="149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/>
      <c r="AA41"/>
      <c r="AB41"/>
    </row>
    <row r="42" spans="1:28">
      <c r="A42" s="28"/>
      <c r="B42" s="12"/>
      <c r="C42" s="28"/>
      <c r="D42" s="28"/>
      <c r="E42" s="34"/>
      <c r="F42" s="30"/>
      <c r="G42" s="30"/>
      <c r="H42" s="30"/>
      <c r="I42" s="30"/>
      <c r="J42" s="30"/>
    </row>
    <row r="43" spans="1:28">
      <c r="A43" s="28"/>
      <c r="B43" s="32" t="s">
        <v>37</v>
      </c>
      <c r="C43" s="28"/>
      <c r="D43" s="28"/>
      <c r="E43" s="34"/>
      <c r="F43" s="37">
        <f>CHOOSE([1]DCF!$D$4,F44,F45,F46,F47,F48)</f>
        <v>0.122</v>
      </c>
      <c r="G43" s="37">
        <f>CHOOSE([1]DCF!$D$4,G44,G45,G46,G47,G48)</f>
        <v>0.122</v>
      </c>
      <c r="H43" s="37">
        <f>CHOOSE([1]DCF!$D$4,H44,H45,H46,H47,H48)</f>
        <v>0.122</v>
      </c>
      <c r="I43" s="37">
        <f>CHOOSE([1]DCF!$D$4,I44,I45,I46,I47,I48)</f>
        <v>0.122</v>
      </c>
      <c r="J43" s="37">
        <f>CHOOSE([1]DCF!$D$4,J44,J45,J46,J47,J48)</f>
        <v>0.122</v>
      </c>
      <c r="K43" s="19" t="s">
        <v>655</v>
      </c>
    </row>
    <row r="44" spans="1:28" ht="15" customHeight="1">
      <c r="A44" s="28"/>
      <c r="B44" s="12" t="s">
        <v>14</v>
      </c>
      <c r="C44" s="28"/>
      <c r="D44" s="28"/>
      <c r="E44" s="34">
        <v>1</v>
      </c>
      <c r="F44" s="288">
        <v>0.122</v>
      </c>
      <c r="G44" s="289">
        <v>0.122</v>
      </c>
      <c r="H44" s="289">
        <v>0.122</v>
      </c>
      <c r="I44" s="289">
        <v>0.122</v>
      </c>
      <c r="J44" s="289">
        <v>0.122</v>
      </c>
      <c r="K44" s="149" t="s">
        <v>42</v>
      </c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</row>
    <row r="45" spans="1:28">
      <c r="A45" s="28"/>
      <c r="B45" s="12" t="s">
        <v>15</v>
      </c>
      <c r="C45" s="28"/>
      <c r="D45" s="28"/>
      <c r="E45" s="34">
        <v>2</v>
      </c>
      <c r="F45" s="291">
        <v>0.122</v>
      </c>
      <c r="G45" s="277">
        <v>0.124</v>
      </c>
      <c r="H45" s="277">
        <v>0.124</v>
      </c>
      <c r="I45" s="277">
        <v>0.124</v>
      </c>
      <c r="J45" s="277">
        <v>0.126</v>
      </c>
      <c r="K45" s="149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</row>
    <row r="46" spans="1:28">
      <c r="A46" s="28"/>
      <c r="B46" s="12" t="s">
        <v>16</v>
      </c>
      <c r="C46" s="28"/>
      <c r="D46" s="28"/>
      <c r="E46" s="34">
        <v>3</v>
      </c>
      <c r="F46" s="291">
        <v>0.122</v>
      </c>
      <c r="G46" s="277">
        <v>0.124</v>
      </c>
      <c r="H46" s="277">
        <v>0.126</v>
      </c>
      <c r="I46" s="277">
        <v>0.128</v>
      </c>
      <c r="J46" s="277">
        <v>0.13</v>
      </c>
      <c r="K46" s="149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</row>
    <row r="47" spans="1:28">
      <c r="A47" s="28"/>
      <c r="B47" s="12" t="s">
        <v>17</v>
      </c>
      <c r="C47" s="28"/>
      <c r="D47" s="28"/>
      <c r="E47" s="34">
        <v>4</v>
      </c>
      <c r="F47" s="291">
        <v>0.122</v>
      </c>
      <c r="G47" s="277">
        <v>0.12</v>
      </c>
      <c r="H47" s="277">
        <v>0.12</v>
      </c>
      <c r="I47" s="277">
        <v>0.12</v>
      </c>
      <c r="J47" s="277">
        <v>0.11799999999999999</v>
      </c>
      <c r="K47" s="149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</row>
    <row r="48" spans="1:28">
      <c r="A48" s="28"/>
      <c r="B48" s="12" t="s">
        <v>18</v>
      </c>
      <c r="C48" s="28"/>
      <c r="D48" s="28"/>
      <c r="E48" s="34">
        <v>5</v>
      </c>
      <c r="F48" s="294">
        <v>0.122</v>
      </c>
      <c r="G48" s="295">
        <v>0.12</v>
      </c>
      <c r="H48" s="295">
        <v>0.11799999999999999</v>
      </c>
      <c r="I48" s="295">
        <v>0.11599999999999999</v>
      </c>
      <c r="J48" s="295">
        <v>0.11399999999999999</v>
      </c>
      <c r="K48" s="149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</row>
    <row r="49" spans="2:10">
      <c r="B49" s="12"/>
      <c r="C49" s="10"/>
      <c r="D49" s="10"/>
      <c r="E49" s="11"/>
      <c r="F49" s="16"/>
      <c r="G49" s="16"/>
      <c r="H49" s="16"/>
      <c r="I49" s="16"/>
      <c r="J49" s="16"/>
    </row>
  </sheetData>
  <mergeCells count="7">
    <mergeCell ref="F2:J2"/>
    <mergeCell ref="K8:Y12"/>
    <mergeCell ref="K37:Y41"/>
    <mergeCell ref="K15:Y19"/>
    <mergeCell ref="K30:Y34"/>
    <mergeCell ref="K22:Y26"/>
    <mergeCell ref="K44:Y4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C496-07ED-D142-9159-0CE91FD5E2A6}">
  <dimension ref="A1:X106"/>
  <sheetViews>
    <sheetView topLeftCell="A24" zoomScale="75" zoomScaleNormal="70" workbookViewId="0">
      <selection activeCell="I48" sqref="I48"/>
    </sheetView>
  </sheetViews>
  <sheetFormatPr baseColWidth="10" defaultRowHeight="15"/>
  <cols>
    <col min="2" max="2" width="26.33203125" customWidth="1"/>
    <col min="3" max="3" width="32" customWidth="1"/>
    <col min="4" max="13" width="15.83203125" bestFit="1" customWidth="1"/>
    <col min="14" max="14" width="15.83203125" customWidth="1"/>
    <col min="16" max="16" width="12.83203125" customWidth="1"/>
  </cols>
  <sheetData>
    <row r="1" spans="1:24" s="195" customFormat="1" ht="30" customHeight="1">
      <c r="A1" s="350" t="s">
        <v>718</v>
      </c>
    </row>
    <row r="2" spans="1:24" s="196" customFormat="1" ht="14" customHeight="1">
      <c r="A2" s="351" t="s">
        <v>676</v>
      </c>
    </row>
    <row r="5" spans="1:24">
      <c r="C5" s="402"/>
      <c r="D5" s="151" t="s">
        <v>646</v>
      </c>
      <c r="E5" s="151"/>
      <c r="F5" s="151"/>
      <c r="G5" s="151"/>
      <c r="H5" s="151"/>
      <c r="J5" s="151" t="s">
        <v>11</v>
      </c>
      <c r="K5" s="151"/>
      <c r="L5" s="151"/>
      <c r="M5" s="151"/>
      <c r="N5" s="151"/>
    </row>
    <row r="6" spans="1:24">
      <c r="B6" s="403" t="s">
        <v>786</v>
      </c>
      <c r="C6" s="404"/>
      <c r="D6" s="459">
        <v>2020</v>
      </c>
      <c r="E6" s="459">
        <f>D6+1</f>
        <v>2021</v>
      </c>
      <c r="F6" s="459">
        <f t="shared" ref="F6:I6" si="0">E6+1</f>
        <v>2022</v>
      </c>
      <c r="G6" s="459">
        <f t="shared" si="0"/>
        <v>2023</v>
      </c>
      <c r="H6" s="459">
        <f t="shared" si="0"/>
        <v>2024</v>
      </c>
      <c r="I6" s="459">
        <f t="shared" si="0"/>
        <v>2025</v>
      </c>
      <c r="J6" s="460" t="s">
        <v>787</v>
      </c>
      <c r="K6" s="460" t="s">
        <v>788</v>
      </c>
      <c r="L6" s="460" t="s">
        <v>789</v>
      </c>
      <c r="M6" s="460" t="s">
        <v>790</v>
      </c>
      <c r="N6" s="461" t="s">
        <v>806</v>
      </c>
      <c r="P6" s="411" t="s">
        <v>829</v>
      </c>
      <c r="Q6" s="412"/>
      <c r="R6" s="405"/>
      <c r="S6" s="405"/>
      <c r="T6" s="405"/>
      <c r="U6" s="413"/>
      <c r="V6" s="414"/>
      <c r="W6" s="415"/>
      <c r="X6" s="414"/>
    </row>
    <row r="7" spans="1:24">
      <c r="B7" s="456" t="s">
        <v>3</v>
      </c>
      <c r="C7" s="457"/>
      <c r="D7" s="457"/>
      <c r="E7" s="457"/>
      <c r="F7" s="457"/>
      <c r="G7" s="457"/>
      <c r="H7" s="457"/>
      <c r="I7" s="457"/>
      <c r="J7" s="457"/>
      <c r="K7" s="457"/>
      <c r="L7" s="457"/>
      <c r="M7" s="457"/>
      <c r="N7" s="458"/>
      <c r="P7" s="416" t="s">
        <v>805</v>
      </c>
      <c r="Q7" s="417" t="s">
        <v>787</v>
      </c>
      <c r="R7" s="417" t="s">
        <v>788</v>
      </c>
      <c r="S7" s="417" t="s">
        <v>789</v>
      </c>
      <c r="T7" s="417" t="s">
        <v>790</v>
      </c>
      <c r="U7" s="418" t="s">
        <v>806</v>
      </c>
      <c r="V7" s="419" t="s">
        <v>649</v>
      </c>
      <c r="W7" s="415"/>
      <c r="X7" s="415"/>
    </row>
    <row r="8" spans="1:24" ht="16">
      <c r="B8" s="445" t="s">
        <v>791</v>
      </c>
      <c r="C8" s="446"/>
      <c r="D8" s="488">
        <f>PitchBook_IS!R13</f>
        <v>17997000</v>
      </c>
      <c r="E8" s="488">
        <f>PitchBook_IS!Q13</f>
        <v>17069000</v>
      </c>
      <c r="F8" s="488">
        <f>PitchBook_IS!P13</f>
        <v>20956000</v>
      </c>
      <c r="G8" s="488">
        <f>PitchBook_IS!O13</f>
        <v>28114000</v>
      </c>
      <c r="H8" s="488">
        <f>PitchBook_IS!N13</f>
        <v>24753000</v>
      </c>
      <c r="I8" s="488">
        <f>PitchBook_IS!M14</f>
        <v>27412000</v>
      </c>
      <c r="J8" s="489">
        <f>I8*(1+Q8)</f>
        <v>29604960.000000004</v>
      </c>
      <c r="K8" s="489">
        <f t="shared" ref="K8:N8" si="1">J8*(1+R8)</f>
        <v>31677307.200000007</v>
      </c>
      <c r="L8" s="489">
        <f t="shared" si="1"/>
        <v>33894718.704000011</v>
      </c>
      <c r="M8" s="489">
        <f t="shared" si="1"/>
        <v>35928401.826240011</v>
      </c>
      <c r="N8" s="490">
        <f t="shared" si="1"/>
        <v>38084105.93581441</v>
      </c>
      <c r="P8" s="420">
        <f>+I8/H8-1</f>
        <v>0.10742132266795945</v>
      </c>
      <c r="Q8" s="421">
        <f>Assumptions1!F7</f>
        <v>0.08</v>
      </c>
      <c r="R8" s="421">
        <f>Assumptions1!G7</f>
        <v>7.0000000000000007E-2</v>
      </c>
      <c r="S8" s="421">
        <f>Assumptions1!H7</f>
        <v>7.0000000000000007E-2</v>
      </c>
      <c r="T8" s="421">
        <f>Assumptions1!I7</f>
        <v>0.06</v>
      </c>
      <c r="U8" s="421">
        <f>Assumptions1!J7</f>
        <v>0.06</v>
      </c>
      <c r="V8" s="402" t="s">
        <v>803</v>
      </c>
      <c r="W8" s="402"/>
      <c r="X8" s="402"/>
    </row>
    <row r="9" spans="1:24">
      <c r="B9" s="447" t="s">
        <v>792</v>
      </c>
      <c r="C9" s="446"/>
      <c r="D9" s="433">
        <f>PitchBook_IS!R18</f>
        <v>7290000</v>
      </c>
      <c r="E9" s="433">
        <f>PitchBook_IS!Q18</f>
        <v>8508000</v>
      </c>
      <c r="F9" s="433">
        <f>PitchBook_IS!P18</f>
        <v>10817000</v>
      </c>
      <c r="G9" s="433">
        <f>PitchBook_IS!O18</f>
        <v>10138000</v>
      </c>
      <c r="H9" s="433">
        <f>PitchBook_IS!N18</f>
        <v>9886000</v>
      </c>
      <c r="I9" s="433">
        <f>PitchBook_IS!M18</f>
        <v>10343000</v>
      </c>
      <c r="J9" s="435">
        <f>J8*Q9</f>
        <v>14210380.800000001</v>
      </c>
      <c r="K9" s="435">
        <f t="shared" ref="K9:N9" si="2">K8*R9</f>
        <v>15046720.920000002</v>
      </c>
      <c r="L9" s="435">
        <f t="shared" si="2"/>
        <v>15930517.790880004</v>
      </c>
      <c r="M9" s="435">
        <f t="shared" si="2"/>
        <v>16886348.858332805</v>
      </c>
      <c r="N9" s="436">
        <f t="shared" si="2"/>
        <v>17709109.260153703</v>
      </c>
      <c r="P9" s="422">
        <f>I9/I8</f>
        <v>0.37731650372099812</v>
      </c>
      <c r="Q9" s="423">
        <f>Assumptions1!F14</f>
        <v>0.48</v>
      </c>
      <c r="R9" s="423">
        <f>Assumptions1!G14</f>
        <v>0.47499999999999998</v>
      </c>
      <c r="S9" s="423">
        <f>Assumptions1!H14</f>
        <v>0.47</v>
      </c>
      <c r="T9" s="423">
        <f>Assumptions1!I14</f>
        <v>0.47</v>
      </c>
      <c r="U9" s="423">
        <f>Assumptions1!J14</f>
        <v>0.46500000000000002</v>
      </c>
      <c r="V9" s="402" t="s">
        <v>804</v>
      </c>
      <c r="W9" s="402"/>
      <c r="X9" s="402"/>
    </row>
    <row r="10" spans="1:24" ht="16">
      <c r="B10" s="445" t="s">
        <v>793</v>
      </c>
      <c r="C10" s="448"/>
      <c r="D10" s="434">
        <f t="shared" ref="D10:N10" si="3">D8-D9</f>
        <v>10707000</v>
      </c>
      <c r="E10" s="434">
        <f t="shared" si="3"/>
        <v>8561000</v>
      </c>
      <c r="F10" s="434">
        <f t="shared" si="3"/>
        <v>10139000</v>
      </c>
      <c r="G10" s="434">
        <f t="shared" si="3"/>
        <v>17976000</v>
      </c>
      <c r="H10" s="434">
        <f t="shared" si="3"/>
        <v>14867000</v>
      </c>
      <c r="I10" s="434">
        <f t="shared" si="3"/>
        <v>17069000</v>
      </c>
      <c r="J10" s="437">
        <f t="shared" si="3"/>
        <v>15394579.200000003</v>
      </c>
      <c r="K10" s="437">
        <f t="shared" si="3"/>
        <v>16630586.280000005</v>
      </c>
      <c r="L10" s="437">
        <f t="shared" si="3"/>
        <v>17964200.913120009</v>
      </c>
      <c r="M10" s="437">
        <f t="shared" si="3"/>
        <v>19042052.967907205</v>
      </c>
      <c r="N10" s="454">
        <f t="shared" si="3"/>
        <v>20374996.675660707</v>
      </c>
      <c r="P10" s="424"/>
      <c r="Q10" s="425"/>
      <c r="R10" s="425"/>
      <c r="S10" s="425"/>
      <c r="T10" s="425"/>
      <c r="U10" s="426"/>
      <c r="V10" s="402"/>
      <c r="W10" s="402"/>
      <c r="X10" s="402"/>
    </row>
    <row r="11" spans="1:24" ht="16">
      <c r="B11" s="445" t="s">
        <v>794</v>
      </c>
      <c r="C11" s="446"/>
      <c r="D11" s="406"/>
      <c r="E11" s="406"/>
      <c r="F11" s="406"/>
      <c r="G11" s="406"/>
      <c r="H11" s="406"/>
      <c r="I11" s="452"/>
      <c r="J11" s="452"/>
      <c r="K11" s="452"/>
      <c r="L11" s="452"/>
      <c r="M11" s="452"/>
      <c r="N11" s="453"/>
      <c r="P11" s="424"/>
      <c r="Q11" s="402"/>
      <c r="R11" s="402"/>
      <c r="S11" s="402"/>
      <c r="T11" s="402"/>
      <c r="U11" s="427"/>
      <c r="V11" s="402"/>
      <c r="W11" s="402"/>
      <c r="X11" s="402"/>
    </row>
    <row r="12" spans="1:24">
      <c r="B12" s="447" t="s">
        <v>795</v>
      </c>
      <c r="C12" s="446"/>
      <c r="D12" s="406">
        <f>PitchBook_IS!R23</f>
        <v>4052000</v>
      </c>
      <c r="E12" s="406">
        <f>PitchBook_IS!Q23</f>
        <v>3924000</v>
      </c>
      <c r="F12" s="406">
        <f>PitchBook_IS!P23</f>
        <v>4503000</v>
      </c>
      <c r="G12" s="406">
        <f>PitchBook_IS!O23</f>
        <v>5879000</v>
      </c>
      <c r="H12" s="406">
        <f>PitchBook_IS!N23</f>
        <v>5462000</v>
      </c>
      <c r="I12" s="406">
        <f>PitchBook_IS!M23</f>
        <v>6580000</v>
      </c>
      <c r="J12" s="438">
        <f>J8*Q12</f>
        <v>7105190.4000000004</v>
      </c>
      <c r="K12" s="438">
        <f>K8*R12</f>
        <v>7602553.7280000011</v>
      </c>
      <c r="L12" s="438">
        <f>L8*S12</f>
        <v>8134732.4889600025</v>
      </c>
      <c r="M12" s="438">
        <f>M8*T12</f>
        <v>8622816.4382976014</v>
      </c>
      <c r="N12" s="439">
        <f>N8*U12</f>
        <v>9140185.4245954584</v>
      </c>
      <c r="P12" s="422">
        <f>I12/I8</f>
        <v>0.24004085801838612</v>
      </c>
      <c r="Q12" s="423">
        <f>Assumptions1!F21</f>
        <v>0.24</v>
      </c>
      <c r="R12" s="423">
        <f>Assumptions1!G21</f>
        <v>0.24</v>
      </c>
      <c r="S12" s="423">
        <f>Assumptions1!H21</f>
        <v>0.24</v>
      </c>
      <c r="T12" s="423">
        <f>Assumptions1!I21</f>
        <v>0.24</v>
      </c>
      <c r="U12" s="423">
        <f>Assumptions1!J21</f>
        <v>0.24</v>
      </c>
      <c r="V12" s="402" t="s">
        <v>804</v>
      </c>
      <c r="W12" s="402"/>
      <c r="X12" s="402"/>
    </row>
    <row r="13" spans="1:24" ht="16">
      <c r="B13" s="445" t="s">
        <v>796</v>
      </c>
      <c r="C13" s="448"/>
      <c r="D13" s="406">
        <f>D10-D12</f>
        <v>6655000</v>
      </c>
      <c r="E13" s="406">
        <f t="shared" ref="E13:N13" si="4">E10-E12</f>
        <v>4637000</v>
      </c>
      <c r="F13" s="406">
        <f t="shared" si="4"/>
        <v>5636000</v>
      </c>
      <c r="G13" s="406">
        <f t="shared" si="4"/>
        <v>12097000</v>
      </c>
      <c r="H13" s="406">
        <f t="shared" si="4"/>
        <v>9405000</v>
      </c>
      <c r="I13" s="406">
        <f t="shared" si="4"/>
        <v>10489000</v>
      </c>
      <c r="J13" s="438">
        <f t="shared" si="4"/>
        <v>8289388.8000000026</v>
      </c>
      <c r="K13" s="438">
        <f t="shared" si="4"/>
        <v>9028032.5520000048</v>
      </c>
      <c r="L13" s="438">
        <f t="shared" si="4"/>
        <v>9829468.4241600074</v>
      </c>
      <c r="M13" s="438">
        <f t="shared" si="4"/>
        <v>10419236.529609604</v>
      </c>
      <c r="N13" s="439">
        <f t="shared" si="4"/>
        <v>11234811.251065249</v>
      </c>
      <c r="P13" s="424"/>
      <c r="Q13" s="425"/>
      <c r="R13" s="425"/>
      <c r="S13" s="425"/>
      <c r="T13" s="425"/>
      <c r="U13" s="426"/>
      <c r="V13" s="402"/>
      <c r="W13" s="402"/>
      <c r="X13" s="402"/>
    </row>
    <row r="14" spans="1:24">
      <c r="B14" s="449" t="s">
        <v>797</v>
      </c>
      <c r="C14" s="446"/>
      <c r="D14" s="407">
        <f>PitchBook_IS!R33</f>
        <v>1950000</v>
      </c>
      <c r="E14" s="407">
        <f>PitchBook_IS!Q33</f>
        <v>1270000</v>
      </c>
      <c r="F14" s="407">
        <f>PitchBook_IS!P33</f>
        <v>585000</v>
      </c>
      <c r="G14" s="407">
        <f>PitchBook_IS!O33</f>
        <v>3324000</v>
      </c>
      <c r="H14" s="407">
        <f>PitchBook_IS!N33</f>
        <v>2235000</v>
      </c>
      <c r="I14" s="407">
        <f>PitchBook_IS!M33</f>
        <v>4572000</v>
      </c>
      <c r="J14" s="435">
        <f>+I14/I40*J40</f>
        <v>5532285.8241875935</v>
      </c>
      <c r="K14" s="435">
        <f>+J14/J40*K40</f>
        <v>6260857.943095997</v>
      </c>
      <c r="L14" s="435">
        <f>+K14/K40*L40</f>
        <v>7055712.0924101369</v>
      </c>
      <c r="M14" s="435">
        <f>+L14/L40*M40</f>
        <v>7794225.5498589706</v>
      </c>
      <c r="N14" s="436">
        <f>+M14/M40*N40</f>
        <v>8593918.8033889029</v>
      </c>
      <c r="P14" s="424"/>
      <c r="Q14" s="402"/>
      <c r="R14" s="402"/>
      <c r="S14" s="402"/>
      <c r="T14" s="402"/>
      <c r="U14" s="427"/>
      <c r="V14" s="402"/>
      <c r="W14" s="402"/>
      <c r="X14" s="402"/>
    </row>
    <row r="15" spans="1:24" ht="16">
      <c r="B15" s="445" t="s">
        <v>798</v>
      </c>
      <c r="C15" s="448"/>
      <c r="D15" s="406">
        <f>D13-D14</f>
        <v>4705000</v>
      </c>
      <c r="E15" s="406">
        <f t="shared" ref="E15:I15" si="5">E13-E14</f>
        <v>3367000</v>
      </c>
      <c r="F15" s="406">
        <f t="shared" si="5"/>
        <v>5051000</v>
      </c>
      <c r="G15" s="406">
        <f t="shared" si="5"/>
        <v>8773000</v>
      </c>
      <c r="H15" s="406">
        <f t="shared" si="5"/>
        <v>7170000</v>
      </c>
      <c r="I15" s="406">
        <f t="shared" si="5"/>
        <v>5917000</v>
      </c>
      <c r="J15" s="438">
        <f t="shared" ref="J15:N15" si="6">J13-J14</f>
        <v>2757102.9758124091</v>
      </c>
      <c r="K15" s="438">
        <f t="shared" si="6"/>
        <v>2767174.6089040078</v>
      </c>
      <c r="L15" s="438">
        <f t="shared" si="6"/>
        <v>2773756.3317498704</v>
      </c>
      <c r="M15" s="438">
        <f t="shared" si="6"/>
        <v>2625010.9797506332</v>
      </c>
      <c r="N15" s="439">
        <f t="shared" si="6"/>
        <v>2640892.4476763457</v>
      </c>
      <c r="P15" s="424"/>
      <c r="Q15" s="402"/>
      <c r="R15" s="402"/>
      <c r="S15" s="402"/>
      <c r="T15" s="402"/>
      <c r="U15" s="427"/>
      <c r="V15" s="402"/>
      <c r="W15" s="402"/>
      <c r="X15" s="402"/>
    </row>
    <row r="16" spans="1:24">
      <c r="B16" s="447" t="s">
        <v>799</v>
      </c>
      <c r="C16" s="446"/>
      <c r="D16" s="407">
        <f>PitchBook_IS!R52</f>
        <v>44000</v>
      </c>
      <c r="E16" s="407">
        <f>PitchBook_IS!Q52</f>
        <v>348000</v>
      </c>
      <c r="F16" s="407">
        <f>PitchBook_IS!P52</f>
        <v>586000</v>
      </c>
      <c r="G16" s="407">
        <f>PitchBook_IS!O52</f>
        <v>1006000</v>
      </c>
      <c r="H16" s="407">
        <f>PitchBook_IS!N52</f>
        <v>339000</v>
      </c>
      <c r="I16" s="407">
        <f>PitchBook_IS!M52</f>
        <v>-802000</v>
      </c>
      <c r="J16" s="435">
        <f>J15*Q16</f>
        <v>137855.14879062047</v>
      </c>
      <c r="K16" s="435">
        <f>K15*R16</f>
        <v>166030.47653424047</v>
      </c>
      <c r="L16" s="435">
        <f t="shared" ref="L16:N16" si="7">L15*S16</f>
        <v>194162.94322249095</v>
      </c>
      <c r="M16" s="435">
        <f t="shared" si="7"/>
        <v>210000.87838005065</v>
      </c>
      <c r="N16" s="436">
        <f t="shared" si="7"/>
        <v>237680.32029087111</v>
      </c>
      <c r="P16" s="422">
        <f>I16/I15</f>
        <v>-0.13554165962480988</v>
      </c>
      <c r="Q16" s="428">
        <v>0.05</v>
      </c>
      <c r="R16" s="428">
        <v>0.06</v>
      </c>
      <c r="S16" s="428">
        <v>7.0000000000000007E-2</v>
      </c>
      <c r="T16" s="428">
        <v>0.08</v>
      </c>
      <c r="U16" s="429">
        <v>0.09</v>
      </c>
      <c r="V16" s="402" t="s">
        <v>850</v>
      </c>
      <c r="W16" s="402"/>
      <c r="X16" s="402"/>
    </row>
    <row r="17" spans="2:24" ht="17" thickBot="1">
      <c r="B17" s="445" t="s">
        <v>800</v>
      </c>
      <c r="C17" s="448"/>
      <c r="D17" s="408">
        <f t="shared" ref="D17:N17" si="8">D15-D16</f>
        <v>4661000</v>
      </c>
      <c r="E17" s="408">
        <f>E15-E16</f>
        <v>3019000</v>
      </c>
      <c r="F17" s="408">
        <f t="shared" ref="F17:I17" si="9">F15-F16</f>
        <v>4465000</v>
      </c>
      <c r="G17" s="408">
        <f t="shared" si="9"/>
        <v>7767000</v>
      </c>
      <c r="H17" s="408">
        <f t="shared" si="9"/>
        <v>6831000</v>
      </c>
      <c r="I17" s="408">
        <f t="shared" si="9"/>
        <v>6719000</v>
      </c>
      <c r="J17" s="440">
        <f t="shared" si="8"/>
        <v>2619247.8270217888</v>
      </c>
      <c r="K17" s="440">
        <f t="shared" si="8"/>
        <v>2601144.1323697674</v>
      </c>
      <c r="L17" s="440">
        <f t="shared" si="8"/>
        <v>2579593.3885273794</v>
      </c>
      <c r="M17" s="440">
        <f t="shared" si="8"/>
        <v>2415010.1013705824</v>
      </c>
      <c r="N17" s="441">
        <f t="shared" si="8"/>
        <v>2403212.1273854747</v>
      </c>
      <c r="P17" s="424"/>
      <c r="Q17" s="402"/>
      <c r="R17" s="402"/>
      <c r="S17" s="402"/>
      <c r="T17" s="402"/>
      <c r="U17" s="427"/>
      <c r="V17" s="19" t="s">
        <v>851</v>
      </c>
      <c r="W17" s="402"/>
      <c r="X17" s="402"/>
    </row>
    <row r="18" spans="2:24" ht="16" thickTop="1">
      <c r="B18" s="447" t="s">
        <v>801</v>
      </c>
      <c r="C18" s="446"/>
      <c r="D18" s="402">
        <f>PitchBook_IS!R64</f>
        <v>1.49</v>
      </c>
      <c r="E18" s="402">
        <f>PitchBook_IS!Q64</f>
        <v>1.82</v>
      </c>
      <c r="F18" s="402">
        <f>PitchBook_IS!P64</f>
        <v>2.1</v>
      </c>
      <c r="G18" s="402">
        <f>PitchBook_IS!O64</f>
        <v>3.61</v>
      </c>
      <c r="H18" s="402">
        <f>PitchBook_IS!N64</f>
        <v>3.38</v>
      </c>
      <c r="I18" s="402">
        <f>PitchBook_IS!M64</f>
        <v>3.31</v>
      </c>
      <c r="J18" s="442">
        <f>+J17/'DCF&amp;SensivityAnalysis'!$H$47</f>
        <v>1.2649704563999753</v>
      </c>
      <c r="K18" s="442">
        <f>+K17/'DCF&amp;SensivityAnalysis'!$H$47</f>
        <v>1.2562272444556011</v>
      </c>
      <c r="L18" s="442">
        <f>+L17/'DCF&amp;SensivityAnalysis'!$H$47</f>
        <v>1.2458192738951894</v>
      </c>
      <c r="M18" s="442">
        <f>+M17/'DCF&amp;SensivityAnalysis'!$H$47</f>
        <v>1.1663334788807991</v>
      </c>
      <c r="N18" s="517">
        <f>+N17/'DCF&amp;SensivityAnalysis'!$H$47</f>
        <v>1.1606356260917003</v>
      </c>
      <c r="P18" s="430"/>
      <c r="Q18" s="402"/>
      <c r="R18" s="402"/>
      <c r="S18" s="402"/>
      <c r="T18" s="402"/>
      <c r="U18" s="427"/>
      <c r="V18" s="19" t="s">
        <v>852</v>
      </c>
      <c r="W18" s="402"/>
      <c r="X18" s="402"/>
    </row>
    <row r="19" spans="2:24">
      <c r="B19" s="450" t="s">
        <v>802</v>
      </c>
      <c r="C19" s="451"/>
      <c r="D19" s="409"/>
      <c r="E19" s="410">
        <f>+E18/D18-1</f>
        <v>0.22147651006711411</v>
      </c>
      <c r="F19" s="410">
        <f>+F18/E18-1</f>
        <v>0.15384615384615397</v>
      </c>
      <c r="G19" s="410">
        <f>+G18/F18-1</f>
        <v>0.71904761904761894</v>
      </c>
      <c r="H19" s="410">
        <f t="shared" ref="H19:N19" si="10">+H18/G18-1</f>
        <v>-6.3711911357340667E-2</v>
      </c>
      <c r="I19" s="410">
        <f t="shared" si="10"/>
        <v>-2.0710059171597628E-2</v>
      </c>
      <c r="J19" s="443">
        <f t="shared" si="10"/>
        <v>-0.61783369897281715</v>
      </c>
      <c r="K19" s="443">
        <f t="shared" si="10"/>
        <v>-6.911791417846147E-3</v>
      </c>
      <c r="L19" s="443">
        <f t="shared" si="10"/>
        <v>-8.2851017651046632E-3</v>
      </c>
      <c r="M19" s="443">
        <f t="shared" si="10"/>
        <v>-6.3802027051539589E-2</v>
      </c>
      <c r="N19" s="444">
        <f t="shared" si="10"/>
        <v>-4.8852690009090205E-3</v>
      </c>
      <c r="P19" s="431"/>
      <c r="Q19" s="409"/>
      <c r="R19" s="409"/>
      <c r="S19" s="409"/>
      <c r="T19" s="409"/>
      <c r="U19" s="432"/>
      <c r="V19" s="402"/>
      <c r="W19" s="402"/>
      <c r="X19" s="402"/>
    </row>
    <row r="21" spans="2:24">
      <c r="D21" s="151" t="s">
        <v>646</v>
      </c>
      <c r="E21" s="151"/>
      <c r="F21" s="151"/>
      <c r="G21" s="151"/>
      <c r="H21" s="151"/>
      <c r="J21" s="151" t="s">
        <v>11</v>
      </c>
      <c r="K21" s="151"/>
      <c r="L21" s="151"/>
      <c r="M21" s="151"/>
      <c r="N21" s="151"/>
    </row>
    <row r="22" spans="2:24">
      <c r="B22" s="403" t="s">
        <v>786</v>
      </c>
      <c r="C22" s="404"/>
      <c r="D22" s="459">
        <v>2020</v>
      </c>
      <c r="E22" s="459">
        <f>D22+1</f>
        <v>2021</v>
      </c>
      <c r="F22" s="459">
        <f t="shared" ref="F22:I22" si="11">E22+1</f>
        <v>2022</v>
      </c>
      <c r="G22" s="459">
        <f t="shared" si="11"/>
        <v>2023</v>
      </c>
      <c r="H22" s="459">
        <f t="shared" si="11"/>
        <v>2024</v>
      </c>
      <c r="I22" s="459">
        <f t="shared" si="11"/>
        <v>2025</v>
      </c>
      <c r="J22" s="460" t="s">
        <v>787</v>
      </c>
      <c r="K22" s="460" t="s">
        <v>788</v>
      </c>
      <c r="L22" s="460" t="s">
        <v>789</v>
      </c>
      <c r="M22" s="460" t="s">
        <v>790</v>
      </c>
      <c r="N22" s="461" t="s">
        <v>806</v>
      </c>
      <c r="P22" s="471" t="s">
        <v>830</v>
      </c>
      <c r="Q22" s="472"/>
      <c r="R22" s="472"/>
      <c r="S22" s="472"/>
      <c r="T22" s="472"/>
      <c r="U22" s="473"/>
      <c r="V22" s="474"/>
      <c r="W22" s="476"/>
      <c r="X22" s="474"/>
    </row>
    <row r="23" spans="2:24">
      <c r="B23" s="456" t="s">
        <v>4</v>
      </c>
      <c r="C23" s="469"/>
      <c r="D23" s="470"/>
      <c r="E23" s="470"/>
      <c r="F23" s="470"/>
      <c r="G23" s="470"/>
      <c r="H23" s="470"/>
      <c r="I23" s="470"/>
      <c r="J23" s="470"/>
      <c r="K23" s="470"/>
      <c r="L23" s="470"/>
      <c r="M23" s="470"/>
      <c r="N23" s="470"/>
      <c r="P23" s="416" t="s">
        <v>805</v>
      </c>
      <c r="Q23" s="417" t="s">
        <v>787</v>
      </c>
      <c r="R23" s="417" t="s">
        <v>788</v>
      </c>
      <c r="S23" s="417" t="s">
        <v>789</v>
      </c>
      <c r="T23" s="417" t="s">
        <v>790</v>
      </c>
      <c r="U23" s="418" t="s">
        <v>806</v>
      </c>
      <c r="V23" s="477" t="s">
        <v>649</v>
      </c>
      <c r="W23" s="477"/>
      <c r="X23" s="476"/>
    </row>
    <row r="24" spans="2:24">
      <c r="B24" s="462" t="s">
        <v>807</v>
      </c>
      <c r="C24" s="463"/>
      <c r="D24" s="492">
        <f>PitchBook_BS!R14</f>
        <v>1105000</v>
      </c>
      <c r="E24" s="492">
        <f>PitchBook_BS!Q14</f>
        <v>639000</v>
      </c>
      <c r="F24" s="492">
        <f>PitchBook_BS!P14</f>
        <v>1601000</v>
      </c>
      <c r="G24" s="492">
        <f>PitchBook_BS!O14</f>
        <v>2690000</v>
      </c>
      <c r="H24" s="492">
        <f>PitchBook_BS!N14</f>
        <v>1487000</v>
      </c>
      <c r="I24" s="492">
        <f>PitchBook_BS!M14</f>
        <v>2812000</v>
      </c>
      <c r="J24" s="492">
        <f>J8*Q24</f>
        <v>3036960.0000000005</v>
      </c>
      <c r="K24" s="492">
        <f t="shared" ref="K24:N24" si="12">K8*R24</f>
        <v>3249547.2000000007</v>
      </c>
      <c r="L24" s="492">
        <f t="shared" si="12"/>
        <v>3477015.5040000011</v>
      </c>
      <c r="M24" s="492">
        <f t="shared" si="12"/>
        <v>3685636.4342400008</v>
      </c>
      <c r="N24" s="492">
        <f t="shared" si="12"/>
        <v>3906774.620294401</v>
      </c>
      <c r="P24" s="478">
        <f>I24/I8</f>
        <v>0.10258281044797898</v>
      </c>
      <c r="Q24" s="493">
        <f>P24</f>
        <v>0.10258281044797898</v>
      </c>
      <c r="R24" s="493">
        <f t="shared" ref="R24:U24" si="13">Q24</f>
        <v>0.10258281044797898</v>
      </c>
      <c r="S24" s="493">
        <f t="shared" si="13"/>
        <v>0.10258281044797898</v>
      </c>
      <c r="T24" s="493">
        <f t="shared" si="13"/>
        <v>0.10258281044797898</v>
      </c>
      <c r="U24" s="493">
        <f t="shared" si="13"/>
        <v>0.10258281044797898</v>
      </c>
      <c r="V24" s="475" t="s">
        <v>804</v>
      </c>
      <c r="W24" s="475"/>
      <c r="X24" s="475"/>
    </row>
    <row r="25" spans="2:24">
      <c r="B25" s="462" t="s">
        <v>808</v>
      </c>
      <c r="C25" s="463"/>
      <c r="D25" s="492">
        <f>PitchBook_BS!R28</f>
        <v>2974000</v>
      </c>
      <c r="E25" s="492">
        <f>PitchBook_BS!Q28</f>
        <v>4108000</v>
      </c>
      <c r="F25" s="492">
        <f>PitchBook_BS!P28</f>
        <v>5411000</v>
      </c>
      <c r="G25" s="492">
        <f>PitchBook_BS!O28</f>
        <v>6040000</v>
      </c>
      <c r="H25" s="492">
        <f>PitchBook_BS!N28</f>
        <v>4516000</v>
      </c>
      <c r="I25" s="492">
        <f>PitchBook_BS!M28</f>
        <v>5751000</v>
      </c>
      <c r="J25" s="492">
        <f>J8*Q25</f>
        <v>6211080.0000000009</v>
      </c>
      <c r="K25" s="492">
        <f t="shared" ref="K25:N25" si="14">K8*R25</f>
        <v>6645855.6000000015</v>
      </c>
      <c r="L25" s="492">
        <f t="shared" si="14"/>
        <v>7111065.4920000024</v>
      </c>
      <c r="M25" s="492">
        <f t="shared" si="14"/>
        <v>7537729.4215200022</v>
      </c>
      <c r="N25" s="492">
        <f t="shared" si="14"/>
        <v>7989993.1868112022</v>
      </c>
      <c r="P25" s="479">
        <f>I25/I8</f>
        <v>0.20979862833795418</v>
      </c>
      <c r="Q25" s="480">
        <f>P25</f>
        <v>0.20979862833795418</v>
      </c>
      <c r="R25" s="480">
        <f t="shared" ref="R25:U25" si="15">Q25</f>
        <v>0.20979862833795418</v>
      </c>
      <c r="S25" s="480">
        <f t="shared" si="15"/>
        <v>0.20979862833795418</v>
      </c>
      <c r="T25" s="480">
        <f t="shared" si="15"/>
        <v>0.20979862833795418</v>
      </c>
      <c r="U25" s="480">
        <f t="shared" si="15"/>
        <v>0.20979862833795418</v>
      </c>
      <c r="V25" s="475" t="s">
        <v>804</v>
      </c>
      <c r="W25" s="475"/>
      <c r="X25" s="475"/>
    </row>
    <row r="26" spans="2:24">
      <c r="B26" s="462" t="s">
        <v>831</v>
      </c>
      <c r="C26" s="463"/>
      <c r="D26" s="492">
        <f>PitchBook_BS!R20</f>
        <v>1552000</v>
      </c>
      <c r="E26" s="492">
        <f>PitchBook_BS!Q20</f>
        <v>1561000</v>
      </c>
      <c r="F26" s="492">
        <f>PitchBook_BS!P20</f>
        <v>1934000</v>
      </c>
      <c r="G26" s="492">
        <f>PitchBook_BS!O20</f>
        <v>2106000</v>
      </c>
      <c r="H26" s="492">
        <f>PitchBook_BS!N20</f>
        <v>2214000</v>
      </c>
      <c r="I26" s="492">
        <f>PitchBook_BS!M20</f>
        <v>2420000</v>
      </c>
      <c r="J26" s="492">
        <f>J8*Q26</f>
        <v>2613600</v>
      </c>
      <c r="K26" s="492">
        <f t="shared" ref="K26:N26" si="16">K8*R26</f>
        <v>2796552.0000000005</v>
      </c>
      <c r="L26" s="492">
        <f t="shared" si="16"/>
        <v>2992310.6400000006</v>
      </c>
      <c r="M26" s="492">
        <f t="shared" si="16"/>
        <v>3171849.2784000007</v>
      </c>
      <c r="N26" s="492">
        <f t="shared" si="16"/>
        <v>3362160.2351040007</v>
      </c>
      <c r="P26" s="479">
        <f>I26/I8</f>
        <v>8.8282504012841087E-2</v>
      </c>
      <c r="Q26" s="480">
        <f>P26</f>
        <v>8.8282504012841087E-2</v>
      </c>
      <c r="R26" s="480">
        <f t="shared" ref="R26:U26" si="17">Q26</f>
        <v>8.8282504012841087E-2</v>
      </c>
      <c r="S26" s="480">
        <f t="shared" si="17"/>
        <v>8.8282504012841087E-2</v>
      </c>
      <c r="T26" s="480">
        <f t="shared" si="17"/>
        <v>8.8282504012841087E-2</v>
      </c>
      <c r="U26" s="480">
        <f t="shared" si="17"/>
        <v>8.8282504012841087E-2</v>
      </c>
      <c r="V26" s="475" t="s">
        <v>804</v>
      </c>
      <c r="W26" s="475"/>
      <c r="X26" s="475"/>
    </row>
    <row r="27" spans="2:24">
      <c r="B27" s="462" t="s">
        <v>809</v>
      </c>
      <c r="C27" s="463"/>
      <c r="D27" s="492">
        <f>PitchBook_BS!R33+PitchBook_BS!R31</f>
        <v>1181000</v>
      </c>
      <c r="E27" s="492">
        <f>PitchBook_BS!Q33+PitchBook_BS!Q31</f>
        <v>2291000</v>
      </c>
      <c r="F27" s="492">
        <f>PitchBook_BS!P33+PitchBook_BS!P31</f>
        <v>2954000</v>
      </c>
      <c r="G27" s="492">
        <f>PitchBook_BS!O33+PitchBook_BS!O31</f>
        <v>2795000</v>
      </c>
      <c r="H27" s="492">
        <f>PitchBook_BS!N33+PitchBook_BS!N31</f>
        <v>2855000</v>
      </c>
      <c r="I27" s="492">
        <f>PitchBook_BS!M33+PitchBook_BS!M31</f>
        <v>1604000</v>
      </c>
      <c r="J27" s="492">
        <f>J8*Q27</f>
        <v>1732320.0000000002</v>
      </c>
      <c r="K27" s="492">
        <f t="shared" ref="K27:N27" si="18">K8*R27</f>
        <v>1853582.4000000004</v>
      </c>
      <c r="L27" s="492">
        <f t="shared" si="18"/>
        <v>1983333.1680000008</v>
      </c>
      <c r="M27" s="492">
        <f t="shared" si="18"/>
        <v>2102333.1580800004</v>
      </c>
      <c r="N27" s="492">
        <f t="shared" si="18"/>
        <v>2228473.1475648005</v>
      </c>
      <c r="P27" s="479">
        <f>I27/I8</f>
        <v>5.8514519188676492E-2</v>
      </c>
      <c r="Q27" s="480">
        <f>P27</f>
        <v>5.8514519188676492E-2</v>
      </c>
      <c r="R27" s="480">
        <f t="shared" ref="R27:U27" si="19">Q27</f>
        <v>5.8514519188676492E-2</v>
      </c>
      <c r="S27" s="480">
        <f t="shared" si="19"/>
        <v>5.8514519188676492E-2</v>
      </c>
      <c r="T27" s="480">
        <f t="shared" si="19"/>
        <v>5.8514519188676492E-2</v>
      </c>
      <c r="U27" s="480">
        <f t="shared" si="19"/>
        <v>5.8514519188676492E-2</v>
      </c>
      <c r="V27" s="475" t="s">
        <v>804</v>
      </c>
      <c r="W27" s="475"/>
      <c r="X27" s="475"/>
    </row>
    <row r="28" spans="2:24">
      <c r="B28" s="462" t="s">
        <v>810</v>
      </c>
      <c r="C28" s="463"/>
      <c r="D28" s="506"/>
      <c r="E28" s="492"/>
      <c r="F28" s="492"/>
      <c r="G28" s="492"/>
      <c r="H28" s="492"/>
      <c r="I28" s="492"/>
      <c r="J28" s="492"/>
      <c r="K28" s="492"/>
      <c r="L28" s="492"/>
      <c r="M28" s="492"/>
      <c r="N28" s="492"/>
      <c r="P28" s="479"/>
      <c r="Q28" s="482"/>
      <c r="R28" s="482"/>
      <c r="S28" s="482"/>
      <c r="T28" s="482"/>
      <c r="U28" s="483"/>
      <c r="V28" s="475"/>
      <c r="W28" s="475"/>
      <c r="X28" s="475"/>
    </row>
    <row r="29" spans="2:24" ht="16">
      <c r="B29" s="464" t="s">
        <v>811</v>
      </c>
      <c r="C29" s="463"/>
      <c r="D29" s="492">
        <v>1</v>
      </c>
      <c r="E29" s="492">
        <f t="shared" ref="E29:N29" si="20">SUM(E24:E28)</f>
        <v>8599000</v>
      </c>
      <c r="F29" s="492">
        <f t="shared" si="20"/>
        <v>11900000</v>
      </c>
      <c r="G29" s="492">
        <f t="shared" si="20"/>
        <v>13631000</v>
      </c>
      <c r="H29" s="492">
        <f t="shared" si="20"/>
        <v>11072000</v>
      </c>
      <c r="I29" s="492">
        <f t="shared" si="20"/>
        <v>12587000</v>
      </c>
      <c r="J29" s="492">
        <f t="shared" si="20"/>
        <v>13593960.000000002</v>
      </c>
      <c r="K29" s="492">
        <f t="shared" si="20"/>
        <v>14545537.200000003</v>
      </c>
      <c r="L29" s="492">
        <f t="shared" si="20"/>
        <v>15563724.804000005</v>
      </c>
      <c r="M29" s="492">
        <f t="shared" si="20"/>
        <v>16497548.292240003</v>
      </c>
      <c r="N29" s="492">
        <f t="shared" si="20"/>
        <v>17487401.189774401</v>
      </c>
      <c r="P29" s="484"/>
      <c r="Q29" s="482"/>
      <c r="R29" s="482"/>
      <c r="S29" s="482"/>
      <c r="T29" s="482"/>
      <c r="U29" s="483"/>
      <c r="V29" s="475"/>
      <c r="W29" s="475"/>
      <c r="X29" s="475"/>
    </row>
    <row r="30" spans="2:24">
      <c r="B30" s="462" t="s">
        <v>812</v>
      </c>
      <c r="C30" s="463"/>
      <c r="D30" s="492">
        <f>PitchBook_BS!R47</f>
        <v>91803000</v>
      </c>
      <c r="E30" s="492">
        <f>PitchBook_BS!Q47</f>
        <v>99348000</v>
      </c>
      <c r="F30" s="492">
        <f>PitchBook_BS!P47</f>
        <v>111059000</v>
      </c>
      <c r="G30" s="492">
        <f>PitchBook_BS!O47</f>
        <v>125776000</v>
      </c>
      <c r="H30" s="492">
        <f>PitchBook_BS!N47</f>
        <v>138852000</v>
      </c>
      <c r="I30" s="492">
        <f>PitchBook_BS!M47</f>
        <v>156197000</v>
      </c>
      <c r="J30" s="492">
        <f>I30*(1+Q30)</f>
        <v>171816700</v>
      </c>
      <c r="K30" s="492">
        <f t="shared" ref="K30:N30" si="21">J30*(1+R30)</f>
        <v>187280203</v>
      </c>
      <c r="L30" s="492">
        <f t="shared" si="21"/>
        <v>204135421.27000001</v>
      </c>
      <c r="M30" s="492">
        <f t="shared" si="21"/>
        <v>220466254.97160003</v>
      </c>
      <c r="N30" s="492">
        <f t="shared" si="21"/>
        <v>238103555.36932805</v>
      </c>
      <c r="P30" s="479">
        <f>(I30-H30)/H30</f>
        <v>0.12491717800247745</v>
      </c>
      <c r="Q30" s="494">
        <v>0.1</v>
      </c>
      <c r="R30" s="494">
        <v>0.09</v>
      </c>
      <c r="S30" s="494">
        <v>0.09</v>
      </c>
      <c r="T30" s="494">
        <v>0.08</v>
      </c>
      <c r="U30" s="494">
        <v>0.08</v>
      </c>
      <c r="V30" s="19" t="s">
        <v>832</v>
      </c>
      <c r="W30" s="475"/>
      <c r="X30" s="475"/>
    </row>
    <row r="31" spans="2:24">
      <c r="B31" s="462" t="s">
        <v>813</v>
      </c>
      <c r="C31" s="463"/>
      <c r="D31" s="492">
        <f>SUM(PitchBook_BS!R56,PitchBook_BS!R62,PitchBook_BS!R66,PitchBook_BS!R70,PitchBook_BS!R72)</f>
        <v>28148000</v>
      </c>
      <c r="E31" s="492">
        <f>SUM(PitchBook_BS!Q56,PitchBook_BS!Q62,PitchBook_BS!Q66,PitchBook_BS!Q70,PitchBook_BS!Q72)</f>
        <v>32237000</v>
      </c>
      <c r="F31" s="492">
        <f>SUM(PitchBook_BS!P56,PitchBook_BS!P62,PitchBook_BS!P66,PitchBook_BS!P70,PitchBook_BS!P72)</f>
        <v>32171000</v>
      </c>
      <c r="G31" s="492">
        <f>SUM(PitchBook_BS!O56,PitchBook_BS!O62,PitchBook_BS!O66,PitchBook_BS!O70,PitchBook_BS!O72)</f>
        <v>36694000</v>
      </c>
      <c r="H31" s="492">
        <f>SUM(PitchBook_BS!N56,PitchBook_BS!N62,PitchBook_BS!N66,PitchBook_BS!N70,PitchBook_BS!N72)</f>
        <v>39522000</v>
      </c>
      <c r="I31" s="492">
        <f>SUM(PitchBook_BS!M56,PitchBook_BS!M62,PitchBook_BS!M66,PitchBook_BS!M70,PitchBook_BS!M72)</f>
        <v>42175000</v>
      </c>
      <c r="J31" s="492">
        <f>J8*Q31</f>
        <v>45549000.000000007</v>
      </c>
      <c r="K31" s="492">
        <f t="shared" ref="K31:N31" si="22">K8*R31</f>
        <v>48737430.000000007</v>
      </c>
      <c r="L31" s="492">
        <f t="shared" si="22"/>
        <v>52149050.100000016</v>
      </c>
      <c r="M31" s="492">
        <f t="shared" si="22"/>
        <v>55277993.106000014</v>
      </c>
      <c r="N31" s="492">
        <f t="shared" si="22"/>
        <v>58594672.692360014</v>
      </c>
      <c r="P31" s="479">
        <v>1.5385597548518897</v>
      </c>
      <c r="Q31" s="480">
        <v>1.5385597548518897</v>
      </c>
      <c r="R31" s="480">
        <v>1.5385597548518897</v>
      </c>
      <c r="S31" s="480">
        <v>1.5385597548518897</v>
      </c>
      <c r="T31" s="480">
        <v>1.5385597548518897</v>
      </c>
      <c r="U31" s="481">
        <v>1.5385597548518897</v>
      </c>
      <c r="V31" s="475" t="s">
        <v>833</v>
      </c>
      <c r="W31" s="475"/>
      <c r="X31" s="475"/>
    </row>
    <row r="32" spans="2:24" ht="18">
      <c r="B32" s="465" t="s">
        <v>814</v>
      </c>
      <c r="C32" s="463"/>
      <c r="D32" s="492">
        <f>SUM(D29:D31)</f>
        <v>119951001</v>
      </c>
      <c r="E32" s="492">
        <f t="shared" ref="E32:N32" si="23">SUM(E29:E31)</f>
        <v>140184000</v>
      </c>
      <c r="F32" s="492">
        <f t="shared" si="23"/>
        <v>155130000</v>
      </c>
      <c r="G32" s="492">
        <f t="shared" si="23"/>
        <v>176101000</v>
      </c>
      <c r="H32" s="492">
        <f t="shared" si="23"/>
        <v>189446000</v>
      </c>
      <c r="I32" s="492">
        <f t="shared" si="23"/>
        <v>210959000</v>
      </c>
      <c r="J32" s="492">
        <f t="shared" si="23"/>
        <v>230959660</v>
      </c>
      <c r="K32" s="492">
        <f t="shared" si="23"/>
        <v>250563170.19999999</v>
      </c>
      <c r="L32" s="492">
        <f t="shared" si="23"/>
        <v>271848196.17400002</v>
      </c>
      <c r="M32" s="492">
        <f t="shared" si="23"/>
        <v>292241796.36984003</v>
      </c>
      <c r="N32" s="492">
        <f t="shared" si="23"/>
        <v>314185629.25146246</v>
      </c>
      <c r="P32" s="484"/>
      <c r="Q32" s="482"/>
      <c r="R32" s="482"/>
      <c r="S32" s="482"/>
      <c r="T32" s="482"/>
      <c r="U32" s="483"/>
      <c r="V32" s="475"/>
      <c r="W32" s="475"/>
      <c r="X32" s="475"/>
    </row>
    <row r="33" spans="2:24" ht="18">
      <c r="B33" s="465"/>
      <c r="C33" s="463"/>
      <c r="G33" s="492"/>
      <c r="H33" s="492"/>
      <c r="I33" s="492"/>
      <c r="J33" s="492"/>
      <c r="K33" s="492"/>
      <c r="L33" s="492"/>
      <c r="M33" s="492"/>
      <c r="N33" s="492"/>
      <c r="P33" s="484"/>
      <c r="Q33" s="482"/>
      <c r="R33" s="482"/>
      <c r="S33" s="482"/>
      <c r="T33" s="482"/>
      <c r="U33" s="482"/>
      <c r="V33" s="475"/>
      <c r="W33" s="475"/>
      <c r="X33" s="475"/>
    </row>
    <row r="34" spans="2:24">
      <c r="B34" s="462" t="s">
        <v>815</v>
      </c>
      <c r="C34" s="463"/>
      <c r="D34" s="492">
        <f>PitchBook_BS!R79</f>
        <v>4615000</v>
      </c>
      <c r="E34" s="492">
        <f>PitchBook_BS!Q79</f>
        <v>6935000</v>
      </c>
      <c r="F34" s="492">
        <f>PitchBook_BS!P79</f>
        <v>8312000</v>
      </c>
      <c r="G34" s="492">
        <f>PitchBook_BS!O79</f>
        <v>8504000</v>
      </c>
      <c r="H34" s="492">
        <f>PitchBook_BS!N79</f>
        <v>6982000</v>
      </c>
      <c r="I34" s="492">
        <f>PitchBook_BS!M79</f>
        <v>7583000</v>
      </c>
      <c r="J34" s="492">
        <f>J8*Q34</f>
        <v>8189640.0000000019</v>
      </c>
      <c r="K34" s="492">
        <f t="shared" ref="K34:N34" si="24">K8*R34</f>
        <v>8762914.8000000026</v>
      </c>
      <c r="L34" s="492">
        <f t="shared" si="24"/>
        <v>9376318.8360000029</v>
      </c>
      <c r="M34" s="492">
        <f t="shared" si="24"/>
        <v>9938897.9661600031</v>
      </c>
      <c r="N34" s="492">
        <f t="shared" si="24"/>
        <v>10535231.844129603</v>
      </c>
      <c r="P34" s="479">
        <v>0.27663067269808844</v>
      </c>
      <c r="Q34" s="480">
        <v>0.27663067269808844</v>
      </c>
      <c r="R34" s="480">
        <v>0.27663067269808844</v>
      </c>
      <c r="S34" s="480">
        <v>0.27663067269808844</v>
      </c>
      <c r="T34" s="480">
        <v>0.27663067269808844</v>
      </c>
      <c r="U34" s="480">
        <v>0.27663067269808844</v>
      </c>
      <c r="V34" s="475" t="s">
        <v>804</v>
      </c>
      <c r="W34" s="475"/>
      <c r="X34" s="475"/>
    </row>
    <row r="35" spans="2:24">
      <c r="B35" s="462" t="s">
        <v>816</v>
      </c>
      <c r="C35" s="463"/>
      <c r="D35" s="492">
        <f>PitchBook_BS!R82</f>
        <v>991000</v>
      </c>
      <c r="E35" s="492">
        <f>PitchBook_BS!Q82</f>
        <v>1378000</v>
      </c>
      <c r="F35" s="492">
        <f>PitchBook_BS!P82</f>
        <v>1760000</v>
      </c>
      <c r="G35" s="492">
        <f>PitchBook_BS!O82</f>
        <v>1861000</v>
      </c>
      <c r="H35" s="492">
        <f>PitchBook_BS!N82</f>
        <v>2346000</v>
      </c>
      <c r="I35" s="492">
        <f>PitchBook_BS!M82</f>
        <v>2966000</v>
      </c>
      <c r="J35" s="492">
        <f>J8*Q35</f>
        <v>2924970.0480000004</v>
      </c>
      <c r="K35" s="492">
        <f t="shared" ref="K35:N35" si="25">K8*R35</f>
        <v>3129717.9513600008</v>
      </c>
      <c r="L35" s="492">
        <f t="shared" si="25"/>
        <v>3348798.2079552012</v>
      </c>
      <c r="M35" s="492">
        <f t="shared" si="25"/>
        <v>3549726.1004325128</v>
      </c>
      <c r="N35" s="492">
        <f t="shared" si="25"/>
        <v>3762709.6664584638</v>
      </c>
      <c r="P35" s="479">
        <v>9.8799999999999999E-2</v>
      </c>
      <c r="Q35" s="480">
        <v>9.8799999999999999E-2</v>
      </c>
      <c r="R35" s="480">
        <v>9.8799999999999999E-2</v>
      </c>
      <c r="S35" s="480">
        <v>9.8799999999999999E-2</v>
      </c>
      <c r="T35" s="480">
        <v>9.8799999999999999E-2</v>
      </c>
      <c r="U35" s="480">
        <v>9.8799999999999999E-2</v>
      </c>
      <c r="V35" s="475" t="s">
        <v>804</v>
      </c>
      <c r="W35" s="475"/>
      <c r="X35" s="475"/>
    </row>
    <row r="36" spans="2:24">
      <c r="B36" s="462" t="s">
        <v>817</v>
      </c>
      <c r="C36" s="463"/>
      <c r="D36" s="492">
        <f>PitchBook_BS!R98</f>
        <v>474000</v>
      </c>
      <c r="E36" s="492">
        <f>PitchBook_BS!Q98</f>
        <v>485000</v>
      </c>
      <c r="F36" s="492">
        <f>PitchBook_BS!P98</f>
        <v>560000</v>
      </c>
      <c r="G36" s="492">
        <f>PitchBook_BS!O98</f>
        <v>638000</v>
      </c>
      <c r="H36" s="492">
        <f>PitchBook_BS!N98</f>
        <v>694000</v>
      </c>
      <c r="I36" s="492">
        <f>PitchBook_BS!M98</f>
        <v>709000</v>
      </c>
      <c r="J36" s="492">
        <f>J8*Q36</f>
        <v>765720.00000000012</v>
      </c>
      <c r="K36" s="492">
        <f t="shared" ref="K36:N36" si="26">K8*R36</f>
        <v>819320.40000000014</v>
      </c>
      <c r="L36" s="492">
        <f t="shared" si="26"/>
        <v>876672.82800000033</v>
      </c>
      <c r="M36" s="492">
        <f t="shared" si="26"/>
        <v>929273.19768000022</v>
      </c>
      <c r="N36" s="492">
        <f t="shared" si="26"/>
        <v>985029.58954080031</v>
      </c>
      <c r="P36" s="479">
        <v>2.5864584853348898E-2</v>
      </c>
      <c r="Q36" s="480">
        <v>2.5864584853348898E-2</v>
      </c>
      <c r="R36" s="480">
        <v>2.5864584853348898E-2</v>
      </c>
      <c r="S36" s="480">
        <v>2.5864584853348898E-2</v>
      </c>
      <c r="T36" s="480">
        <v>2.5864584853348898E-2</v>
      </c>
      <c r="U36" s="480">
        <v>2.5864584853348898E-2</v>
      </c>
      <c r="V36" s="475" t="s">
        <v>804</v>
      </c>
      <c r="W36" s="475"/>
      <c r="X36" s="475"/>
    </row>
    <row r="37" spans="2:24">
      <c r="B37" s="462" t="s">
        <v>818</v>
      </c>
      <c r="C37" s="463"/>
      <c r="D37" s="506">
        <f>PitchBook_BS!R92</f>
        <v>4138000</v>
      </c>
      <c r="E37" s="506">
        <f>PitchBook_BS!Q92</f>
        <v>1785000</v>
      </c>
      <c r="F37" s="506">
        <f>PitchBook_BS!P92</f>
        <v>6633000</v>
      </c>
      <c r="G37" s="506">
        <f>PitchBook_BS!O92</f>
        <v>6901000</v>
      </c>
      <c r="H37" s="506">
        <f>PitchBook_BS!N92</f>
        <v>8061000</v>
      </c>
      <c r="I37" s="506">
        <f>PitchBook_BS!M92</f>
        <v>3500000</v>
      </c>
      <c r="J37" s="492">
        <v>0</v>
      </c>
      <c r="K37" s="492">
        <v>0</v>
      </c>
      <c r="L37" s="492">
        <v>0</v>
      </c>
      <c r="M37" s="492">
        <v>0</v>
      </c>
      <c r="N37" s="492">
        <v>0</v>
      </c>
      <c r="P37" s="479"/>
      <c r="Q37" s="482"/>
      <c r="R37" s="482"/>
      <c r="S37" s="482"/>
      <c r="T37" s="482"/>
      <c r="U37" s="482"/>
      <c r="V37" s="475"/>
      <c r="W37" s="475"/>
      <c r="X37" s="475"/>
    </row>
    <row r="38" spans="2:24" ht="16">
      <c r="B38" s="464" t="s">
        <v>819</v>
      </c>
      <c r="C38" s="463"/>
      <c r="D38" s="492">
        <f>SUM(D34:D37)</f>
        <v>10218000</v>
      </c>
      <c r="E38" s="492">
        <f t="shared" ref="E38:N38" si="27">SUM(E34:E37)</f>
        <v>10583000</v>
      </c>
      <c r="F38" s="492">
        <f t="shared" si="27"/>
        <v>17265000</v>
      </c>
      <c r="G38" s="492">
        <f t="shared" si="27"/>
        <v>17904000</v>
      </c>
      <c r="H38" s="492">
        <f t="shared" si="27"/>
        <v>18083000</v>
      </c>
      <c r="I38" s="492">
        <f t="shared" si="27"/>
        <v>14758000</v>
      </c>
      <c r="J38" s="492">
        <f t="shared" si="27"/>
        <v>11880330.048000002</v>
      </c>
      <c r="K38" s="492">
        <f t="shared" si="27"/>
        <v>12711953.151360003</v>
      </c>
      <c r="L38" s="492">
        <f t="shared" si="27"/>
        <v>13601789.871955203</v>
      </c>
      <c r="M38" s="492">
        <f t="shared" si="27"/>
        <v>14417897.264272517</v>
      </c>
      <c r="N38" s="492">
        <f t="shared" si="27"/>
        <v>15282971.100128867</v>
      </c>
      <c r="P38" s="484"/>
      <c r="Q38" s="482"/>
      <c r="R38" s="482"/>
      <c r="S38" s="482"/>
      <c r="T38" s="482"/>
      <c r="U38" s="483"/>
      <c r="V38" s="475"/>
      <c r="W38" s="475"/>
      <c r="X38" s="475"/>
    </row>
    <row r="39" spans="2:24">
      <c r="B39" s="466"/>
      <c r="C39" s="463"/>
      <c r="D39" s="492"/>
      <c r="E39" s="492"/>
      <c r="F39" s="492"/>
      <c r="G39" s="492"/>
      <c r="H39" s="492"/>
      <c r="I39" s="492"/>
      <c r="J39" s="492"/>
      <c r="K39" s="492"/>
      <c r="L39" s="492"/>
      <c r="M39" s="492"/>
      <c r="N39" s="492"/>
      <c r="P39" s="484"/>
      <c r="Q39" s="482"/>
      <c r="R39" s="482"/>
      <c r="S39" s="482"/>
      <c r="T39" s="482"/>
      <c r="U39" s="483"/>
      <c r="V39" s="475"/>
      <c r="W39" s="475"/>
      <c r="X39" s="475"/>
    </row>
    <row r="40" spans="2:24">
      <c r="B40" s="462" t="s">
        <v>820</v>
      </c>
      <c r="C40" s="463"/>
      <c r="D40" s="492">
        <f>PitchBook_BS!R107</f>
        <v>41944000</v>
      </c>
      <c r="E40" s="492">
        <f>PitchBook_BS!Q107</f>
        <v>50960000</v>
      </c>
      <c r="F40" s="492">
        <f>PitchBook_BS!P107</f>
        <v>55256000</v>
      </c>
      <c r="G40" s="492">
        <f>PitchBook_BS!O107</f>
        <v>61405000</v>
      </c>
      <c r="H40" s="492">
        <f>PitchBook_BS!N107</f>
        <v>72385000</v>
      </c>
      <c r="I40" s="492">
        <f>PitchBook_BS!M107</f>
        <v>89556000</v>
      </c>
      <c r="J40" s="492">
        <f>I40*(1+Q40)</f>
        <v>108366008.15200002</v>
      </c>
      <c r="K40" s="492">
        <f t="shared" ref="K40:N40" si="28">J40*(1+R40)</f>
        <v>122637225.27382001</v>
      </c>
      <c r="L40" s="492">
        <f t="shared" si="28"/>
        <v>138206769.93610722</v>
      </c>
      <c r="M40" s="492">
        <f t="shared" si="28"/>
        <v>152672717.26666009</v>
      </c>
      <c r="N40" s="492">
        <f t="shared" si="28"/>
        <v>168337049.94669655</v>
      </c>
      <c r="O40" s="511"/>
      <c r="P40" s="479">
        <f>(I40-H40)/H40</f>
        <v>0.23721765559162811</v>
      </c>
      <c r="Q40" s="512">
        <v>0.21003626950734763</v>
      </c>
      <c r="R40" s="512">
        <v>0.13169459099944336</v>
      </c>
      <c r="S40" s="512">
        <v>0.12695610674103303</v>
      </c>
      <c r="T40" s="512">
        <v>0.10466887647573604</v>
      </c>
      <c r="U40" s="512">
        <v>0.10260073286490955</v>
      </c>
      <c r="V40" s="507" t="s">
        <v>851</v>
      </c>
      <c r="W40" s="475"/>
      <c r="X40" s="475"/>
    </row>
    <row r="41" spans="2:24">
      <c r="B41" s="462" t="s">
        <v>821</v>
      </c>
      <c r="C41" s="463"/>
      <c r="D41" s="492">
        <f>D32-D38-D40-D50</f>
        <v>22860001</v>
      </c>
      <c r="E41" s="492">
        <f>E32-E38-E40-E50</f>
        <v>32972000</v>
      </c>
      <c r="F41" s="492">
        <f>F32-F38-F40-F50</f>
        <v>33173000</v>
      </c>
      <c r="G41" s="492">
        <f>G32-G38-G40-G50</f>
        <v>37768000</v>
      </c>
      <c r="H41" s="492">
        <f>H32-H38-H40-H50</f>
        <v>38117000</v>
      </c>
      <c r="I41" s="492">
        <f>I32-I38-I40-I50</f>
        <v>40166000</v>
      </c>
      <c r="J41" s="492">
        <f>I41</f>
        <v>40166000</v>
      </c>
      <c r="K41" s="492">
        <f t="shared" ref="K41:N41" si="29">J41</f>
        <v>40166000</v>
      </c>
      <c r="L41" s="492">
        <f t="shared" si="29"/>
        <v>40166000</v>
      </c>
      <c r="M41" s="492">
        <f t="shared" si="29"/>
        <v>40166000</v>
      </c>
      <c r="N41" s="492">
        <f t="shared" si="29"/>
        <v>40166000</v>
      </c>
      <c r="P41" s="479">
        <v>0.29420000000000002</v>
      </c>
      <c r="Q41" s="508">
        <v>0</v>
      </c>
      <c r="R41" s="508">
        <v>0</v>
      </c>
      <c r="S41" s="508">
        <v>0</v>
      </c>
      <c r="T41" s="508">
        <v>0</v>
      </c>
      <c r="U41" s="509">
        <v>0</v>
      </c>
      <c r="V41" s="510" t="s">
        <v>929</v>
      </c>
      <c r="W41" s="475"/>
      <c r="X41" s="475"/>
    </row>
    <row r="42" spans="2:24" ht="16">
      <c r="B42" s="464" t="s">
        <v>822</v>
      </c>
      <c r="C42" s="463"/>
      <c r="D42" s="492">
        <f>D38+D40+D41</f>
        <v>75022001</v>
      </c>
      <c r="E42" s="492">
        <f t="shared" ref="E42:N42" si="30">E38+E40+E41</f>
        <v>94515000</v>
      </c>
      <c r="F42" s="492">
        <f t="shared" si="30"/>
        <v>105694000</v>
      </c>
      <c r="G42" s="492">
        <f t="shared" si="30"/>
        <v>117077000</v>
      </c>
      <c r="H42" s="492">
        <f t="shared" si="30"/>
        <v>128585000</v>
      </c>
      <c r="I42" s="492">
        <f t="shared" si="30"/>
        <v>144480000</v>
      </c>
      <c r="J42" s="492">
        <f t="shared" si="30"/>
        <v>160412338.20000005</v>
      </c>
      <c r="K42" s="492">
        <f t="shared" si="30"/>
        <v>175515178.42518002</v>
      </c>
      <c r="L42" s="492">
        <f t="shared" si="30"/>
        <v>191974559.80806243</v>
      </c>
      <c r="M42" s="492">
        <f t="shared" si="30"/>
        <v>207256614.53093261</v>
      </c>
      <c r="N42" s="492">
        <f t="shared" si="30"/>
        <v>223786021.04682541</v>
      </c>
      <c r="P42" s="484"/>
      <c r="Q42" s="482"/>
      <c r="R42" s="482"/>
      <c r="S42" s="482"/>
      <c r="T42" s="482"/>
      <c r="U42" s="483"/>
      <c r="V42" s="475"/>
      <c r="W42" s="475"/>
      <c r="X42" s="475"/>
    </row>
    <row r="43" spans="2:24">
      <c r="B43" s="466"/>
      <c r="C43" s="463"/>
      <c r="D43" s="492"/>
      <c r="E43" s="492"/>
      <c r="F43" s="492"/>
      <c r="G43" s="492"/>
      <c r="H43" s="492"/>
      <c r="I43" s="492"/>
      <c r="J43" s="492"/>
      <c r="K43" s="492"/>
      <c r="L43" s="492"/>
      <c r="M43" s="492"/>
      <c r="N43" s="492"/>
      <c r="P43" s="484"/>
      <c r="Q43" s="482"/>
      <c r="R43" s="482"/>
      <c r="S43" s="482"/>
      <c r="T43" s="482"/>
      <c r="U43" s="483"/>
      <c r="V43" s="475"/>
      <c r="W43" s="475"/>
      <c r="X43" s="475"/>
    </row>
    <row r="44" spans="2:24">
      <c r="B44" s="462" t="s">
        <v>855</v>
      </c>
      <c r="C44" s="463"/>
      <c r="D44" s="504">
        <f>PitchBook_BS!R129</f>
        <v>20000</v>
      </c>
      <c r="E44" s="504">
        <f>PitchBook_BS!Q129</f>
        <v>20000</v>
      </c>
      <c r="F44" s="504">
        <f>PitchBook_BS!P129</f>
        <v>20000</v>
      </c>
      <c r="G44" s="504">
        <f>PitchBook_BS!O129</f>
        <v>21000</v>
      </c>
      <c r="H44" s="504">
        <f>PitchBook_BS!N129</f>
        <v>21000</v>
      </c>
      <c r="I44" s="504">
        <f>PitchBook_BS!M129</f>
        <v>21000</v>
      </c>
      <c r="J44" s="505">
        <f t="shared" ref="J44:N47" si="31">I44*(1+Q44)</f>
        <v>21000</v>
      </c>
      <c r="K44" s="505">
        <f t="shared" si="31"/>
        <v>21000</v>
      </c>
      <c r="L44" s="505">
        <f t="shared" si="31"/>
        <v>21000</v>
      </c>
      <c r="M44" s="505">
        <f t="shared" si="31"/>
        <v>21000</v>
      </c>
      <c r="N44" s="505">
        <f t="shared" si="31"/>
        <v>21000</v>
      </c>
      <c r="P44" s="479">
        <v>0</v>
      </c>
      <c r="Q44" s="480">
        <v>0</v>
      </c>
      <c r="R44" s="480">
        <v>0</v>
      </c>
      <c r="S44" s="480">
        <v>0</v>
      </c>
      <c r="T44" s="480">
        <v>0</v>
      </c>
      <c r="U44" s="481">
        <v>0</v>
      </c>
      <c r="V44" s="475" t="s">
        <v>856</v>
      </c>
      <c r="W44" s="475"/>
      <c r="X44" s="475"/>
    </row>
    <row r="45" spans="2:24">
      <c r="B45" s="462" t="s">
        <v>823</v>
      </c>
      <c r="C45" s="463"/>
      <c r="D45" s="504">
        <f>PitchBook_BS!R131</f>
        <v>11222000</v>
      </c>
      <c r="E45" s="504">
        <f>PitchBook_BS!Q131</f>
        <v>11271000</v>
      </c>
      <c r="F45" s="504">
        <f>PitchBook_BS!P131</f>
        <v>12720000</v>
      </c>
      <c r="G45" s="504">
        <f>PitchBook_BS!O131</f>
        <v>17365000</v>
      </c>
      <c r="H45" s="504">
        <f>PitchBook_BS!N131</f>
        <v>17260000</v>
      </c>
      <c r="I45" s="504">
        <f>PitchBook_BS!M131</f>
        <v>19494000</v>
      </c>
      <c r="J45" s="505">
        <f>I45*(1+Q45)</f>
        <v>19494000</v>
      </c>
      <c r="K45" s="505">
        <f t="shared" si="31"/>
        <v>19494000</v>
      </c>
      <c r="L45" s="505">
        <f t="shared" si="31"/>
        <v>19494000</v>
      </c>
      <c r="M45" s="505">
        <f t="shared" si="31"/>
        <v>19494000</v>
      </c>
      <c r="N45" s="505">
        <f t="shared" si="31"/>
        <v>19494000</v>
      </c>
      <c r="P45" s="479">
        <v>0</v>
      </c>
      <c r="Q45" s="480">
        <v>0</v>
      </c>
      <c r="R45" s="480">
        <v>0</v>
      </c>
      <c r="S45" s="480">
        <v>0</v>
      </c>
      <c r="T45" s="480">
        <v>0</v>
      </c>
      <c r="U45" s="481">
        <v>0</v>
      </c>
      <c r="V45" s="475"/>
      <c r="W45" s="475"/>
      <c r="X45" s="475"/>
    </row>
    <row r="46" spans="2:24">
      <c r="B46" s="462" t="s">
        <v>824</v>
      </c>
      <c r="C46" s="463"/>
      <c r="D46" s="504">
        <f>PitchBook_BS!R135</f>
        <v>25363000</v>
      </c>
      <c r="E46" s="504">
        <f>PitchBook_BS!Q135</f>
        <v>25911000</v>
      </c>
      <c r="F46" s="504">
        <f>PitchBook_BS!P135</f>
        <v>26707000</v>
      </c>
      <c r="G46" s="504">
        <f>PitchBook_BS!O135</f>
        <v>30235000</v>
      </c>
      <c r="H46" s="504">
        <f>PitchBook_BS!N135</f>
        <v>32946000</v>
      </c>
      <c r="I46" s="504">
        <f>PitchBook_BS!M135</f>
        <v>35102000</v>
      </c>
      <c r="J46" s="505">
        <f t="shared" si="31"/>
        <v>39170321.799999997</v>
      </c>
      <c r="K46" s="505">
        <f t="shared" si="31"/>
        <v>43670991.77482</v>
      </c>
      <c r="L46" s="505">
        <f t="shared" si="31"/>
        <v>48496636.365937613</v>
      </c>
      <c r="M46" s="505">
        <f t="shared" si="31"/>
        <v>53608181.838907436</v>
      </c>
      <c r="N46" s="505">
        <f t="shared" si="31"/>
        <v>59022608.204637088</v>
      </c>
      <c r="P46" s="479">
        <v>0.10630000000000001</v>
      </c>
      <c r="Q46" s="494">
        <v>0.1159</v>
      </c>
      <c r="R46" s="494">
        <v>0.1149</v>
      </c>
      <c r="S46" s="494">
        <v>0.1105</v>
      </c>
      <c r="T46" s="494">
        <v>0.10539999999999999</v>
      </c>
      <c r="U46" s="494">
        <v>0.10100000000000001</v>
      </c>
      <c r="V46" s="507" t="s">
        <v>851</v>
      </c>
      <c r="W46" s="475"/>
      <c r="X46" s="475"/>
    </row>
    <row r="47" spans="2:24">
      <c r="B47" s="462" t="s">
        <v>825</v>
      </c>
      <c r="C47" s="463"/>
      <c r="D47" s="504">
        <f>PitchBook_BS!R138</f>
        <v>-92000</v>
      </c>
      <c r="E47" s="504">
        <f>PitchBook_BS!Q138</f>
        <v>0</v>
      </c>
      <c r="F47" s="504">
        <f>PitchBook_BS!P138</f>
        <v>-218000</v>
      </c>
      <c r="G47" s="504">
        <f>PitchBook_BS!O138</f>
        <v>-153000</v>
      </c>
      <c r="H47" s="504">
        <f>PitchBook_BS!N138</f>
        <v>-126000</v>
      </c>
      <c r="I47" s="504">
        <f>PitchBook_BS!M138</f>
        <v>-9000</v>
      </c>
      <c r="J47" s="505">
        <f t="shared" si="31"/>
        <v>-9000</v>
      </c>
      <c r="K47" s="505">
        <f t="shared" si="31"/>
        <v>-9000</v>
      </c>
      <c r="L47" s="505">
        <f t="shared" si="31"/>
        <v>-9000</v>
      </c>
      <c r="M47" s="505">
        <f t="shared" si="31"/>
        <v>-9000</v>
      </c>
      <c r="N47" s="505">
        <f t="shared" si="31"/>
        <v>-9000</v>
      </c>
      <c r="P47" s="479">
        <v>2.1080999999999999</v>
      </c>
      <c r="Q47" s="480">
        <v>0</v>
      </c>
      <c r="R47" s="480">
        <v>0</v>
      </c>
      <c r="S47" s="480">
        <v>0</v>
      </c>
      <c r="T47" s="480">
        <v>0</v>
      </c>
      <c r="U47" s="481">
        <v>0</v>
      </c>
      <c r="V47" s="475"/>
      <c r="W47" s="475"/>
      <c r="X47" s="475"/>
    </row>
    <row r="48" spans="2:24">
      <c r="B48" s="462" t="s">
        <v>857</v>
      </c>
      <c r="C48" s="463"/>
      <c r="D48" s="505">
        <f>SUM(D44:D47)</f>
        <v>36513000</v>
      </c>
      <c r="E48" s="505">
        <f>SUM(E44:E47)</f>
        <v>37202000</v>
      </c>
      <c r="F48" s="505">
        <f>SUM(F44:F47)</f>
        <v>39229000</v>
      </c>
      <c r="G48" s="505">
        <f>SUM(G44:G47)</f>
        <v>47468000</v>
      </c>
      <c r="H48" s="505">
        <f>SUM(H44:H47)</f>
        <v>50101000</v>
      </c>
      <c r="I48" s="505">
        <f>SUM(I44:I47)</f>
        <v>54608000</v>
      </c>
      <c r="J48" s="505">
        <f>SUM(J44:J47)</f>
        <v>58676321.799999997</v>
      </c>
      <c r="K48" s="505">
        <f>SUM(K44:K47)</f>
        <v>63176991.77482</v>
      </c>
      <c r="L48" s="505">
        <f>SUM(L44:L47)</f>
        <v>68002636.36593762</v>
      </c>
      <c r="M48" s="505">
        <f>SUM(M44:M47)</f>
        <v>73114181.838907436</v>
      </c>
      <c r="N48" s="505">
        <f>SUM(N44:N47)</f>
        <v>78528608.20463708</v>
      </c>
      <c r="P48" s="479"/>
      <c r="Q48" s="482"/>
      <c r="R48" s="482"/>
      <c r="S48" s="482"/>
      <c r="T48" s="482"/>
      <c r="U48" s="483"/>
      <c r="V48" s="475"/>
      <c r="W48" s="475"/>
      <c r="X48" s="475"/>
    </row>
    <row r="49" spans="2:24">
      <c r="B49" s="462" t="s">
        <v>826</v>
      </c>
      <c r="C49" s="463"/>
      <c r="D49" s="504">
        <f>PitchBook_BS!R141</f>
        <v>8416000</v>
      </c>
      <c r="E49" s="504">
        <f>PitchBook_BS!Q141</f>
        <v>8467000</v>
      </c>
      <c r="F49" s="504">
        <f>PitchBook_BS!P141</f>
        <v>10207000</v>
      </c>
      <c r="G49" s="504">
        <f>PitchBook_BS!O141</f>
        <v>11556000</v>
      </c>
      <c r="H49" s="504">
        <f>PitchBook_BS!N141</f>
        <v>10760000</v>
      </c>
      <c r="I49" s="504">
        <f>PitchBook_BS!M141</f>
        <v>11871000</v>
      </c>
      <c r="J49" s="505">
        <f>I49*(1+Q49)</f>
        <v>11871000</v>
      </c>
      <c r="K49" s="505">
        <f>J49*(1+R49)</f>
        <v>11871000</v>
      </c>
      <c r="L49" s="505">
        <f>K49*(1+S49)</f>
        <v>11871000</v>
      </c>
      <c r="M49" s="505">
        <f>L49*(1+T49)</f>
        <v>11871000</v>
      </c>
      <c r="N49" s="505">
        <f>M49*(1+U49)</f>
        <v>11871000</v>
      </c>
      <c r="P49" s="479">
        <v>1E-4</v>
      </c>
      <c r="Q49" s="482">
        <v>0</v>
      </c>
      <c r="R49" s="482">
        <v>0</v>
      </c>
      <c r="S49" s="482">
        <v>0</v>
      </c>
      <c r="T49" s="482">
        <v>0</v>
      </c>
      <c r="U49" s="483">
        <v>0</v>
      </c>
      <c r="V49" s="475"/>
      <c r="W49" s="475"/>
      <c r="X49" s="475"/>
    </row>
    <row r="50" spans="2:24" ht="16">
      <c r="B50" s="464" t="s">
        <v>827</v>
      </c>
      <c r="C50" s="463"/>
      <c r="D50" s="505">
        <f t="shared" ref="D50:N50" si="32">D48+D49</f>
        <v>44929000</v>
      </c>
      <c r="E50" s="505">
        <f t="shared" si="32"/>
        <v>45669000</v>
      </c>
      <c r="F50" s="505">
        <f t="shared" si="32"/>
        <v>49436000</v>
      </c>
      <c r="G50" s="505">
        <f t="shared" si="32"/>
        <v>59024000</v>
      </c>
      <c r="H50" s="505">
        <f t="shared" si="32"/>
        <v>60861000</v>
      </c>
      <c r="I50" s="505">
        <f t="shared" si="32"/>
        <v>66479000</v>
      </c>
      <c r="J50" s="505">
        <f t="shared" si="32"/>
        <v>70547321.799999997</v>
      </c>
      <c r="K50" s="505">
        <f t="shared" si="32"/>
        <v>75047991.77482</v>
      </c>
      <c r="L50" s="505">
        <f t="shared" si="32"/>
        <v>79873636.36593762</v>
      </c>
      <c r="M50" s="505">
        <f t="shared" si="32"/>
        <v>84985181.838907436</v>
      </c>
      <c r="N50" s="505">
        <f t="shared" si="32"/>
        <v>90399608.20463708</v>
      </c>
      <c r="P50" s="479"/>
      <c r="Q50" s="482"/>
      <c r="R50" s="482"/>
      <c r="S50" s="482"/>
      <c r="T50" s="482"/>
      <c r="U50" s="483"/>
      <c r="V50" s="475"/>
      <c r="W50" s="475"/>
      <c r="X50" s="475"/>
    </row>
    <row r="51" spans="2:24" ht="18">
      <c r="B51" s="467" t="s">
        <v>828</v>
      </c>
      <c r="C51" s="468"/>
      <c r="D51" s="505">
        <f>D42+D50</f>
        <v>119951001</v>
      </c>
      <c r="E51" s="505">
        <f>E42+E50</f>
        <v>140184000</v>
      </c>
      <c r="F51" s="505">
        <f>F42+F50</f>
        <v>155130000</v>
      </c>
      <c r="G51" s="505">
        <f>G42+G50</f>
        <v>176101000</v>
      </c>
      <c r="H51" s="505">
        <f>H42+H50</f>
        <v>189446000</v>
      </c>
      <c r="I51" s="505">
        <f>I42+I50</f>
        <v>210959000</v>
      </c>
      <c r="J51" s="505">
        <f>J42+J50</f>
        <v>230959660.00000006</v>
      </c>
      <c r="K51" s="505">
        <f>K42+K50</f>
        <v>250563170.20000002</v>
      </c>
      <c r="L51" s="505">
        <f>L42+L50</f>
        <v>271848196.17400002</v>
      </c>
      <c r="M51" s="505">
        <f>M42+M50</f>
        <v>292241796.36984003</v>
      </c>
      <c r="N51" s="505">
        <f>N42+N50</f>
        <v>314185629.25146246</v>
      </c>
      <c r="P51" s="485"/>
      <c r="Q51" s="486"/>
      <c r="R51" s="486"/>
      <c r="S51" s="486"/>
      <c r="T51" s="486"/>
      <c r="U51" s="487"/>
      <c r="V51" s="475"/>
      <c r="W51" s="475"/>
      <c r="X51" s="475"/>
    </row>
    <row r="53" spans="2:24">
      <c r="D53" s="151" t="s">
        <v>646</v>
      </c>
      <c r="E53" s="151"/>
      <c r="F53" s="151"/>
      <c r="G53" s="151"/>
      <c r="H53" s="151"/>
      <c r="J53" s="151" t="s">
        <v>11</v>
      </c>
      <c r="K53" s="151"/>
      <c r="L53" s="151"/>
      <c r="M53" s="151"/>
      <c r="N53" s="151"/>
    </row>
    <row r="54" spans="2:24">
      <c r="B54" s="496" t="s">
        <v>786</v>
      </c>
      <c r="C54" s="497"/>
      <c r="D54" s="459">
        <v>2020</v>
      </c>
      <c r="E54" s="459">
        <f>D54+1</f>
        <v>2021</v>
      </c>
      <c r="F54" s="459">
        <f t="shared" ref="F54:I54" si="33">E54+1</f>
        <v>2022</v>
      </c>
      <c r="G54" s="459">
        <f t="shared" si="33"/>
        <v>2023</v>
      </c>
      <c r="H54" s="459">
        <f t="shared" si="33"/>
        <v>2024</v>
      </c>
      <c r="I54" s="459">
        <f t="shared" si="33"/>
        <v>2025</v>
      </c>
      <c r="J54" s="460" t="s">
        <v>787</v>
      </c>
      <c r="K54" s="460" t="s">
        <v>788</v>
      </c>
      <c r="L54" s="460" t="s">
        <v>789</v>
      </c>
      <c r="M54" s="460" t="s">
        <v>790</v>
      </c>
      <c r="N54" s="461" t="s">
        <v>806</v>
      </c>
      <c r="P54" s="411" t="s">
        <v>859</v>
      </c>
      <c r="Q54" s="412"/>
      <c r="R54" s="405"/>
      <c r="S54" s="405"/>
      <c r="T54" s="405"/>
      <c r="U54" s="413"/>
      <c r="V54" s="474"/>
      <c r="W54" s="476"/>
      <c r="X54" s="474"/>
    </row>
    <row r="55" spans="2:24">
      <c r="B55" s="456" t="s">
        <v>834</v>
      </c>
      <c r="C55" s="457"/>
      <c r="D55" s="513"/>
      <c r="E55" s="513"/>
      <c r="F55" s="513"/>
      <c r="G55" s="513"/>
      <c r="H55" s="513"/>
      <c r="I55" s="513"/>
      <c r="J55" s="513"/>
      <c r="K55" s="513"/>
      <c r="L55" s="513"/>
      <c r="M55" s="513"/>
      <c r="N55" s="514"/>
      <c r="P55" s="416" t="s">
        <v>805</v>
      </c>
      <c r="Q55" s="417" t="s">
        <v>787</v>
      </c>
      <c r="R55" s="417" t="s">
        <v>788</v>
      </c>
      <c r="S55" s="417" t="s">
        <v>789</v>
      </c>
      <c r="T55" s="417" t="s">
        <v>790</v>
      </c>
      <c r="U55" s="418" t="s">
        <v>806</v>
      </c>
      <c r="V55" s="477" t="s">
        <v>649</v>
      </c>
      <c r="W55" s="477"/>
      <c r="X55" s="476"/>
    </row>
    <row r="56" spans="2:24">
      <c r="B56" s="462" t="s">
        <v>800</v>
      </c>
      <c r="C56" s="463"/>
      <c r="D56" s="531">
        <f>D17</f>
        <v>4661000</v>
      </c>
      <c r="E56" s="531">
        <f>E17</f>
        <v>3019000</v>
      </c>
      <c r="F56" s="531">
        <f>F17</f>
        <v>4465000</v>
      </c>
      <c r="G56" s="531">
        <f>G17</f>
        <v>7767000</v>
      </c>
      <c r="H56" s="531">
        <f>H17</f>
        <v>6831000</v>
      </c>
      <c r="I56" s="531">
        <f>I17</f>
        <v>6719000</v>
      </c>
      <c r="J56" s="531">
        <f>J17</f>
        <v>2619247.8270217888</v>
      </c>
      <c r="K56" s="531">
        <f>K17</f>
        <v>2601144.1323697674</v>
      </c>
      <c r="L56" s="531">
        <f>L17</f>
        <v>2579593.3885273794</v>
      </c>
      <c r="M56" s="531">
        <f>M17</f>
        <v>2415010.1013705824</v>
      </c>
      <c r="N56" s="532">
        <f>N17</f>
        <v>2403212.1273854747</v>
      </c>
      <c r="P56" s="420"/>
      <c r="Q56" s="498"/>
      <c r="R56" s="498"/>
      <c r="S56" s="498"/>
      <c r="T56" s="498"/>
      <c r="U56" s="499"/>
    </row>
    <row r="57" spans="2:24">
      <c r="B57" s="462" t="s">
        <v>835</v>
      </c>
      <c r="C57" s="463"/>
      <c r="D57" s="515">
        <f>D12</f>
        <v>4052000</v>
      </c>
      <c r="E57" s="515">
        <f>E12</f>
        <v>3924000</v>
      </c>
      <c r="F57" s="515">
        <f>F12</f>
        <v>4503000</v>
      </c>
      <c r="G57" s="515">
        <f>G12</f>
        <v>5879000</v>
      </c>
      <c r="H57" s="515">
        <f>H12</f>
        <v>5462000</v>
      </c>
      <c r="I57" s="515">
        <f>I12</f>
        <v>6580000</v>
      </c>
      <c r="J57" s="515">
        <f>J12</f>
        <v>7105190.4000000004</v>
      </c>
      <c r="K57" s="515">
        <f>K12</f>
        <v>7602553.7280000011</v>
      </c>
      <c r="L57" s="515">
        <f>L12</f>
        <v>8134732.4889600025</v>
      </c>
      <c r="M57" s="515">
        <f>M12</f>
        <v>8622816.4382976014</v>
      </c>
      <c r="N57" s="516">
        <f>N12</f>
        <v>9140185.4245954584</v>
      </c>
      <c r="P57" s="422"/>
      <c r="Q57" s="425"/>
      <c r="R57" s="425"/>
      <c r="S57" s="425"/>
      <c r="T57" s="425"/>
      <c r="U57" s="426"/>
    </row>
    <row r="58" spans="2:24">
      <c r="B58" s="462" t="s">
        <v>836</v>
      </c>
      <c r="C58" s="463"/>
      <c r="D58" s="531">
        <f>(PitchBook_BS!R33+PitchBook_BS!R31+PitchBook_BS!S20+PitchBook_BS!S28)-(PitchBook_BS!R33+PitchBook_BS!R31+PitchBook_BS!R20+PitchBook_BS!S28)</f>
        <v>-224000</v>
      </c>
      <c r="E58" s="531">
        <f>SUM(D25:D27)-SUM(E25:E27)</f>
        <v>-2253000</v>
      </c>
      <c r="F58" s="531">
        <f>SUM(E25:E27)-SUM(F25:F27)</f>
        <v>-2339000</v>
      </c>
      <c r="G58" s="531">
        <f>SUM(F25:F27)-SUM(G25:G27)</f>
        <v>-642000</v>
      </c>
      <c r="H58" s="531">
        <f>SUM(G25:G27)-SUM(H25:H27)</f>
        <v>1356000</v>
      </c>
      <c r="I58" s="531">
        <f>SUM(H25:H27)-SUM(I25:I27)</f>
        <v>-190000</v>
      </c>
      <c r="J58" s="531">
        <f>SUM(I25:I27)-SUM(J25:J27)</f>
        <v>-782000</v>
      </c>
      <c r="K58" s="531">
        <f>SUM(J25:J27)-SUM(K25:K27)</f>
        <v>-738990.00000000186</v>
      </c>
      <c r="L58" s="531">
        <f>SUM(K25:K27)-SUM(L25:L27)</f>
        <v>-790719.30000000261</v>
      </c>
      <c r="M58" s="531">
        <f>SUM(L25:L27)-SUM(M25:M27)</f>
        <v>-725202.55799999833</v>
      </c>
      <c r="N58" s="532">
        <f>SUM(M25:M27)-SUM(N25:N27)</f>
        <v>-768714.71148000099</v>
      </c>
      <c r="P58" s="422" t="s">
        <v>853</v>
      </c>
      <c r="Q58" s="425"/>
      <c r="R58" s="425"/>
      <c r="S58" s="425"/>
      <c r="T58" s="425"/>
      <c r="U58" s="426"/>
    </row>
    <row r="59" spans="2:24">
      <c r="B59" s="462" t="s">
        <v>837</v>
      </c>
      <c r="C59" s="463"/>
      <c r="D59" s="533">
        <f>PitchBook_BS!R92-PitchBook_BS!R98-PitchBook_BS!S92-PitchBook_BS!S98</f>
        <v>1041000</v>
      </c>
      <c r="E59" s="531">
        <f>E37-E36-D37-D36</f>
        <v>-3312000</v>
      </c>
      <c r="F59" s="531">
        <f>F37-F36-E37-E36</f>
        <v>3803000</v>
      </c>
      <c r="G59" s="531">
        <f>G37-G36-F37-F36</f>
        <v>-930000</v>
      </c>
      <c r="H59" s="531">
        <f>H37-H36-G37-G36</f>
        <v>-172000</v>
      </c>
      <c r="I59" s="531">
        <f>I37-I36-H37-H36</f>
        <v>-5964000</v>
      </c>
      <c r="J59" s="531">
        <f>J37-J36-I37-I36</f>
        <v>-4974720</v>
      </c>
      <c r="K59" s="531">
        <f>K37-K36-J37-J36</f>
        <v>-1585040.4000000004</v>
      </c>
      <c r="L59" s="531">
        <f>L37-L36-K37-K36</f>
        <v>-1695993.2280000006</v>
      </c>
      <c r="M59" s="531">
        <f>M37-M36-L37-L36</f>
        <v>-1805946.0256800004</v>
      </c>
      <c r="N59" s="532">
        <f>N37-N36-M37-M36</f>
        <v>-1914302.7872208005</v>
      </c>
      <c r="P59" s="422" t="s">
        <v>854</v>
      </c>
      <c r="Q59" s="500"/>
      <c r="R59" s="500"/>
      <c r="S59" s="500"/>
      <c r="T59" s="500"/>
      <c r="U59" s="501"/>
    </row>
    <row r="60" spans="2:24" ht="16">
      <c r="B60" s="464" t="s">
        <v>838</v>
      </c>
      <c r="C60" s="463"/>
      <c r="D60" s="531">
        <f>SUM(D56:D59)</f>
        <v>9530000</v>
      </c>
      <c r="E60" s="531">
        <f t="shared" ref="E60:I60" si="34">SUM(E56:E59)</f>
        <v>1378000</v>
      </c>
      <c r="F60" s="531">
        <f t="shared" si="34"/>
        <v>10432000</v>
      </c>
      <c r="G60" s="531">
        <f t="shared" si="34"/>
        <v>12074000</v>
      </c>
      <c r="H60" s="531">
        <f t="shared" si="34"/>
        <v>13477000</v>
      </c>
      <c r="I60" s="531">
        <f t="shared" si="34"/>
        <v>7145000</v>
      </c>
      <c r="J60" s="531">
        <f t="shared" ref="J60" si="35">SUM(J56:J59)</f>
        <v>3967718.2270217892</v>
      </c>
      <c r="K60" s="531">
        <f t="shared" ref="K60" si="36">SUM(K56:K59)</f>
        <v>7879667.4603697658</v>
      </c>
      <c r="L60" s="531">
        <f t="shared" ref="L60" si="37">SUM(L56:L59)</f>
        <v>8227613.3494873792</v>
      </c>
      <c r="M60" s="531">
        <f t="shared" ref="M60" si="38">SUM(M56:M59)</f>
        <v>8506677.9559881855</v>
      </c>
      <c r="N60" s="532">
        <f t="shared" ref="N60" si="39">SUM(N56:N59)</f>
        <v>8860380.0532801319</v>
      </c>
      <c r="P60" s="422"/>
      <c r="Q60" s="402"/>
      <c r="R60" s="402"/>
      <c r="S60" s="402"/>
      <c r="T60" s="402"/>
      <c r="U60" s="427"/>
    </row>
    <row r="61" spans="2:24" ht="16">
      <c r="B61" s="464"/>
      <c r="C61" s="463"/>
      <c r="D61" s="531"/>
      <c r="E61" s="531"/>
      <c r="F61" s="531"/>
      <c r="G61" s="531"/>
      <c r="H61" s="531"/>
      <c r="I61" s="531"/>
      <c r="J61" s="531"/>
      <c r="K61" s="531"/>
      <c r="L61" s="531"/>
      <c r="M61" s="531"/>
      <c r="N61" s="532"/>
      <c r="P61" s="422"/>
      <c r="Q61" s="402"/>
      <c r="R61" s="402"/>
      <c r="S61" s="402"/>
      <c r="T61" s="402"/>
      <c r="U61" s="427"/>
    </row>
    <row r="62" spans="2:24">
      <c r="B62" s="462" t="s">
        <v>839</v>
      </c>
      <c r="C62" s="463"/>
      <c r="D62" s="531">
        <f>PitchBook_CF!R69</f>
        <v>-7514000</v>
      </c>
      <c r="E62" s="531">
        <f>PitchBook_CF!Q69</f>
        <v>-7555000</v>
      </c>
      <c r="F62" s="531">
        <f>PitchBook_CF!P69</f>
        <v>-9519000</v>
      </c>
      <c r="G62" s="531">
        <f>PitchBook_CF!O69</f>
        <v>-9363000</v>
      </c>
      <c r="H62" s="531">
        <f>PitchBook_CF!N69</f>
        <v>-8115000</v>
      </c>
      <c r="I62" s="531">
        <f>PitchBook_CF!M69</f>
        <v>-8721000</v>
      </c>
      <c r="J62" s="531">
        <f>J8</f>
        <v>29604960.000000004</v>
      </c>
      <c r="K62" s="531">
        <f t="shared" ref="K62:N62" si="40">K8</f>
        <v>31677307.200000007</v>
      </c>
      <c r="L62" s="531">
        <f t="shared" si="40"/>
        <v>33894718.704000011</v>
      </c>
      <c r="M62" s="531">
        <f t="shared" si="40"/>
        <v>35928401.826240011</v>
      </c>
      <c r="N62" s="532">
        <f t="shared" si="40"/>
        <v>38084105.93581441</v>
      </c>
      <c r="P62" s="422">
        <f>I62/I8</f>
        <v>-0.31814533780825915</v>
      </c>
      <c r="Q62" s="428">
        <f>-Assumptions1!F29</f>
        <v>-0.185</v>
      </c>
      <c r="R62" s="428">
        <v>-0.11</v>
      </c>
      <c r="S62" s="428">
        <v>-0.1075</v>
      </c>
      <c r="T62" s="428">
        <v>-0.10249999999999999</v>
      </c>
      <c r="U62" s="429">
        <v>-0.1</v>
      </c>
      <c r="V62" s="507" t="s">
        <v>851</v>
      </c>
    </row>
    <row r="63" spans="2:24">
      <c r="B63" s="462" t="s">
        <v>840</v>
      </c>
      <c r="C63" s="463"/>
      <c r="D63" s="533">
        <v>0</v>
      </c>
      <c r="E63" s="533">
        <v>0</v>
      </c>
      <c r="F63" s="533">
        <v>0</v>
      </c>
      <c r="G63" s="533">
        <v>0</v>
      </c>
      <c r="H63" s="533">
        <v>0</v>
      </c>
      <c r="I63" s="533">
        <v>0</v>
      </c>
      <c r="J63" s="533">
        <v>0</v>
      </c>
      <c r="K63" s="533">
        <v>0</v>
      </c>
      <c r="L63" s="533">
        <v>0</v>
      </c>
      <c r="M63" s="533">
        <v>0</v>
      </c>
      <c r="N63" s="534">
        <v>0</v>
      </c>
      <c r="P63" s="422"/>
      <c r="Q63" s="502"/>
      <c r="R63" s="502"/>
      <c r="S63" s="425"/>
      <c r="T63" s="425"/>
      <c r="U63" s="426"/>
    </row>
    <row r="64" spans="2:24" ht="16">
      <c r="B64" s="464" t="s">
        <v>841</v>
      </c>
      <c r="C64" s="463"/>
      <c r="D64" s="531">
        <f>SUM(D62:D63)</f>
        <v>-7514000</v>
      </c>
      <c r="E64" s="531">
        <f>SUM(E62:E63)</f>
        <v>-7555000</v>
      </c>
      <c r="F64" s="531">
        <f>SUM(F62:F63)</f>
        <v>-9519000</v>
      </c>
      <c r="G64" s="531">
        <f>SUM(G62:G63)</f>
        <v>-9363000</v>
      </c>
      <c r="H64" s="531">
        <f>SUM(H62:H63)</f>
        <v>-8115000</v>
      </c>
      <c r="I64" s="531">
        <f>SUM(I62:I63)</f>
        <v>-8721000</v>
      </c>
      <c r="J64" s="531">
        <f>SUM(J62:J63)</f>
        <v>29604960.000000004</v>
      </c>
      <c r="K64" s="531">
        <f>SUM(K62:K63)</f>
        <v>31677307.200000007</v>
      </c>
      <c r="L64" s="531">
        <f>SUM(L62:L63)</f>
        <v>33894718.704000011</v>
      </c>
      <c r="M64" s="531">
        <f>SUM(M62:M63)</f>
        <v>35928401.826240011</v>
      </c>
      <c r="N64" s="532">
        <f>SUM(N62:N63)</f>
        <v>38084105.93581441</v>
      </c>
      <c r="P64" s="422"/>
      <c r="Q64" s="402"/>
      <c r="R64" s="402"/>
      <c r="S64" s="402"/>
      <c r="T64" s="402"/>
      <c r="U64" s="427"/>
    </row>
    <row r="65" spans="2:22" ht="16">
      <c r="B65" s="464"/>
      <c r="C65" s="463"/>
      <c r="D65" s="531"/>
      <c r="E65" s="531"/>
      <c r="F65" s="531"/>
      <c r="G65" s="531"/>
      <c r="H65" s="531"/>
      <c r="I65" s="531"/>
      <c r="J65" s="531"/>
      <c r="K65" s="531"/>
      <c r="L65" s="531"/>
      <c r="M65" s="531"/>
      <c r="N65" s="532"/>
      <c r="P65" s="422"/>
      <c r="Q65" s="402"/>
      <c r="R65" s="402"/>
      <c r="S65" s="402"/>
      <c r="T65" s="402"/>
      <c r="U65" s="427"/>
    </row>
    <row r="66" spans="2:22">
      <c r="B66" s="462" t="s">
        <v>842</v>
      </c>
      <c r="C66" s="463"/>
      <c r="D66" s="531">
        <f>PitchBook_CF!R104</f>
        <v>12404000</v>
      </c>
      <c r="E66" s="531">
        <f>PitchBook_CF!Q104</f>
        <v>16683000</v>
      </c>
      <c r="F66" s="531">
        <f>PitchBook_CF!P104</f>
        <v>13856000</v>
      </c>
      <c r="G66" s="531">
        <f>PitchBook_CF!O104</f>
        <v>13857000</v>
      </c>
      <c r="H66" s="531">
        <f>PitchBook_CF!N104</f>
        <v>24769000</v>
      </c>
      <c r="I66" s="531">
        <v>23394000</v>
      </c>
      <c r="J66" s="531">
        <v>23394000</v>
      </c>
      <c r="K66" s="531">
        <v>23394000</v>
      </c>
      <c r="L66" s="531">
        <v>23394000</v>
      </c>
      <c r="M66" s="531">
        <v>23394000</v>
      </c>
      <c r="N66" s="532">
        <v>23394000</v>
      </c>
      <c r="P66" s="422"/>
      <c r="Q66" s="500"/>
      <c r="R66" s="500"/>
      <c r="S66" s="500"/>
      <c r="T66" s="500"/>
      <c r="U66" s="501"/>
    </row>
    <row r="67" spans="2:22">
      <c r="B67" s="462" t="s">
        <v>843</v>
      </c>
      <c r="C67" s="463"/>
      <c r="D67" s="531">
        <f>PitchBook_CF!R105</f>
        <v>-6103000</v>
      </c>
      <c r="E67" s="531">
        <f>PitchBook_CF!Q105</f>
        <v>-9594000</v>
      </c>
      <c r="F67" s="531">
        <f>PitchBook_CF!P105</f>
        <v>-4525000</v>
      </c>
      <c r="G67" s="531">
        <f>PitchBook_CF!O105</f>
        <v>-7978000</v>
      </c>
      <c r="H67" s="531">
        <f>PitchBook_CF!N105</f>
        <v>-10113000</v>
      </c>
      <c r="I67" s="531">
        <f>PitchBook_CF!M105</f>
        <v>-10347000</v>
      </c>
      <c r="J67" s="531">
        <f>I40*Q67</f>
        <v>-8955600</v>
      </c>
      <c r="K67" s="531">
        <f>J40*R67</f>
        <v>-10836600.815200003</v>
      </c>
      <c r="L67" s="531">
        <f>K40*S67</f>
        <v>-12263722.527382001</v>
      </c>
      <c r="M67" s="531">
        <f>L40*T67</f>
        <v>-13820676.993610723</v>
      </c>
      <c r="N67" s="532">
        <f>M40*U67</f>
        <v>-15267271.726666011</v>
      </c>
      <c r="P67" s="422">
        <f>I67/H40</f>
        <v>-0.14294398010637563</v>
      </c>
      <c r="Q67" s="428">
        <v>-0.1</v>
      </c>
      <c r="R67" s="428">
        <v>-0.1</v>
      </c>
      <c r="S67" s="428">
        <v>-0.1</v>
      </c>
      <c r="T67" s="428">
        <v>-0.1</v>
      </c>
      <c r="U67" s="429">
        <v>-0.1</v>
      </c>
      <c r="V67" t="s">
        <v>858</v>
      </c>
    </row>
    <row r="68" spans="2:22">
      <c r="B68" s="462" t="s">
        <v>844</v>
      </c>
      <c r="C68" s="463"/>
      <c r="D68" s="531">
        <f>PitchBook_CF!R93</f>
        <v>-92000</v>
      </c>
      <c r="E68" s="531">
        <f>PitchBook_CF!Q93</f>
        <v>0</v>
      </c>
      <c r="F68" s="531">
        <f>PitchBook_CF!P93</f>
        <v>0</v>
      </c>
      <c r="G68" s="531">
        <f>PitchBook_CF!O93</f>
        <v>0</v>
      </c>
      <c r="H68" s="531">
        <f>PitchBook_CF!N93</f>
        <v>0</v>
      </c>
      <c r="I68" s="531">
        <f>PitchBook_CF!M93</f>
        <v>0</v>
      </c>
      <c r="J68" s="531">
        <v>0</v>
      </c>
      <c r="K68" s="531">
        <v>0</v>
      </c>
      <c r="L68" s="531">
        <v>0</v>
      </c>
      <c r="M68" s="531">
        <v>0</v>
      </c>
      <c r="N68" s="532">
        <v>0</v>
      </c>
      <c r="P68" s="422"/>
      <c r="Q68" s="500"/>
      <c r="R68" s="500"/>
      <c r="S68" s="500"/>
      <c r="T68" s="500"/>
      <c r="U68" s="501"/>
    </row>
    <row r="69" spans="2:22">
      <c r="B69" s="462" t="s">
        <v>845</v>
      </c>
      <c r="C69" s="463"/>
      <c r="D69" s="531">
        <f>PitchBook_CF!R113</f>
        <v>-2743000</v>
      </c>
      <c r="E69" s="531">
        <f>PitchBook_CF!Q113</f>
        <v>-3024000</v>
      </c>
      <c r="F69" s="531">
        <f>PitchBook_CF!P113</f>
        <v>-3352000</v>
      </c>
      <c r="G69" s="531">
        <f>PitchBook_CF!O113</f>
        <v>-3782000</v>
      </c>
      <c r="H69" s="531">
        <f>PitchBook_CF!N113</f>
        <v>-4235000</v>
      </c>
      <c r="I69" s="531">
        <f>PitchBook_CF!M113</f>
        <v>-4680000</v>
      </c>
      <c r="J69" s="531">
        <f>I69*(1+Q69)</f>
        <v>-5171759.1499409676</v>
      </c>
      <c r="K69" s="531">
        <f t="shared" ref="K69:N69" si="41">J69*(1+R69)</f>
        <v>-5715190.7489312226</v>
      </c>
      <c r="L69" s="531">
        <f t="shared" si="41"/>
        <v>-6315724.3695391072</v>
      </c>
      <c r="M69" s="531">
        <f t="shared" si="41"/>
        <v>-6979360.1061258605</v>
      </c>
      <c r="N69" s="532">
        <f t="shared" si="41"/>
        <v>-7712728.523416535</v>
      </c>
      <c r="P69" s="422">
        <v>0.1050767414403778</v>
      </c>
      <c r="Q69" s="428">
        <v>0.1050767414403778</v>
      </c>
      <c r="R69" s="428">
        <v>0.1050767414403778</v>
      </c>
      <c r="S69" s="428">
        <v>0.1050767414403778</v>
      </c>
      <c r="T69" s="428">
        <v>0.1050767414403778</v>
      </c>
      <c r="U69" s="429">
        <v>0.1050767414403778</v>
      </c>
      <c r="V69" t="s">
        <v>860</v>
      </c>
    </row>
    <row r="70" spans="2:22" ht="16">
      <c r="B70" s="464" t="s">
        <v>846</v>
      </c>
      <c r="C70" s="463"/>
      <c r="D70" s="531">
        <f>SUM(D66:D69)</f>
        <v>3466000</v>
      </c>
      <c r="E70" s="531">
        <f>SUM(E66:E69)</f>
        <v>4065000</v>
      </c>
      <c r="F70" s="531">
        <f>SUM(F66:F69)</f>
        <v>5979000</v>
      </c>
      <c r="G70" s="531">
        <f>SUM(G66:G69)</f>
        <v>2097000</v>
      </c>
      <c r="H70" s="531">
        <f>SUM(H66:H69)</f>
        <v>10421000</v>
      </c>
      <c r="I70" s="531">
        <f>SUM(I66:I69)</f>
        <v>8367000</v>
      </c>
      <c r="J70" s="531">
        <f>SUM(J66:J69)</f>
        <v>9266640.8500590324</v>
      </c>
      <c r="K70" s="531">
        <f>SUM(K66:K69)</f>
        <v>6842208.4358687745</v>
      </c>
      <c r="L70" s="531">
        <f>SUM(L66:L69)</f>
        <v>4814553.1030788915</v>
      </c>
      <c r="M70" s="531">
        <f>SUM(M66:M69)</f>
        <v>2593962.9002634166</v>
      </c>
      <c r="N70" s="532">
        <f>SUM(N66:N69)</f>
        <v>413999.74991745409</v>
      </c>
      <c r="P70" s="422"/>
      <c r="Q70" s="402"/>
      <c r="R70" s="402"/>
      <c r="S70" s="402"/>
      <c r="T70" s="402"/>
      <c r="U70" s="427"/>
    </row>
    <row r="71" spans="2:22" ht="16">
      <c r="B71" s="464"/>
      <c r="C71" s="463"/>
      <c r="D71" s="531"/>
      <c r="E71" s="531"/>
      <c r="F71" s="531"/>
      <c r="G71" s="531"/>
      <c r="H71" s="531"/>
      <c r="I71" s="531"/>
      <c r="J71" s="531"/>
      <c r="K71" s="531"/>
      <c r="L71" s="531"/>
      <c r="M71" s="531"/>
      <c r="N71" s="532"/>
      <c r="P71" s="422"/>
      <c r="Q71" s="402"/>
      <c r="R71" s="402"/>
      <c r="S71" s="402"/>
      <c r="T71" s="402"/>
      <c r="U71" s="427"/>
    </row>
    <row r="72" spans="2:22" ht="16">
      <c r="B72" s="464" t="s">
        <v>847</v>
      </c>
      <c r="C72" s="463"/>
      <c r="D72" s="531">
        <f>SUM(D60,D64,D70)</f>
        <v>5482000</v>
      </c>
      <c r="E72" s="531">
        <f>SUM(E60,E64,E70)</f>
        <v>-2112000</v>
      </c>
      <c r="F72" s="531">
        <f>SUM(F60,F64,F70)</f>
        <v>6892000</v>
      </c>
      <c r="G72" s="531">
        <f>SUM(G60,G64,G70)</f>
        <v>4808000</v>
      </c>
      <c r="H72" s="531">
        <f>SUM(H60,H64,H70)</f>
        <v>15783000</v>
      </c>
      <c r="I72" s="531">
        <f>SUM(I60,I64,I70)</f>
        <v>6791000</v>
      </c>
      <c r="J72" s="531">
        <f>SUM(J60,J64,J70)</f>
        <v>42839319.077080823</v>
      </c>
      <c r="K72" s="531">
        <f>SUM(K60,K64,K70)</f>
        <v>46399183.096238546</v>
      </c>
      <c r="L72" s="531">
        <f>SUM(L60,L64,L70)</f>
        <v>46936885.156566285</v>
      </c>
      <c r="M72" s="531">
        <f>SUM(M60,M64,M70)</f>
        <v>47029042.682491608</v>
      </c>
      <c r="N72" s="532">
        <f>SUM(N60,N64,N70)</f>
        <v>47358485.739011995</v>
      </c>
      <c r="P72" s="422"/>
      <c r="Q72" s="402"/>
      <c r="R72" s="402"/>
      <c r="S72" s="402"/>
      <c r="T72" s="402"/>
      <c r="U72" s="427"/>
    </row>
    <row r="73" spans="2:22" ht="16">
      <c r="B73" s="464" t="s">
        <v>848</v>
      </c>
      <c r="C73" s="463"/>
      <c r="D73" s="531">
        <f>PitchBook_BS!S16</f>
        <v>600000</v>
      </c>
      <c r="E73" s="531">
        <f>D74</f>
        <v>1105000</v>
      </c>
      <c r="F73" s="531">
        <f t="shared" ref="F73:N73" si="42">E74</f>
        <v>639000</v>
      </c>
      <c r="G73" s="531">
        <f t="shared" si="42"/>
        <v>1601000</v>
      </c>
      <c r="H73" s="531">
        <f t="shared" si="42"/>
        <v>2690000</v>
      </c>
      <c r="I73" s="531">
        <f t="shared" si="42"/>
        <v>1487000</v>
      </c>
      <c r="J73" s="531">
        <f t="shared" si="42"/>
        <v>2812000</v>
      </c>
      <c r="K73" s="531">
        <f t="shared" si="42"/>
        <v>3036960.0000000005</v>
      </c>
      <c r="L73" s="531">
        <f t="shared" si="42"/>
        <v>3249547.2000000007</v>
      </c>
      <c r="M73" s="531">
        <f t="shared" si="42"/>
        <v>3477015.5040000011</v>
      </c>
      <c r="N73" s="532">
        <f t="shared" si="42"/>
        <v>3685636.4342400008</v>
      </c>
      <c r="P73" s="503"/>
      <c r="Q73" s="409"/>
      <c r="R73" s="409"/>
      <c r="S73" s="409"/>
      <c r="T73" s="409"/>
      <c r="U73" s="432"/>
    </row>
    <row r="74" spans="2:22" ht="16">
      <c r="B74" s="495" t="s">
        <v>849</v>
      </c>
      <c r="C74" s="468"/>
      <c r="D74" s="535">
        <f>PitchBook_BS!R16</f>
        <v>1105000</v>
      </c>
      <c r="E74" s="535">
        <f>E24</f>
        <v>639000</v>
      </c>
      <c r="F74" s="535">
        <f>F24</f>
        <v>1601000</v>
      </c>
      <c r="G74" s="535">
        <f>G24</f>
        <v>2690000</v>
      </c>
      <c r="H74" s="535">
        <f>H24</f>
        <v>1487000</v>
      </c>
      <c r="I74" s="535">
        <f>I24</f>
        <v>2812000</v>
      </c>
      <c r="J74" s="535">
        <f t="shared" ref="J74:N74" si="43">J24</f>
        <v>3036960.0000000005</v>
      </c>
      <c r="K74" s="535">
        <f t="shared" si="43"/>
        <v>3249547.2000000007</v>
      </c>
      <c r="L74" s="535">
        <f t="shared" si="43"/>
        <v>3477015.5040000011</v>
      </c>
      <c r="M74" s="535">
        <f t="shared" si="43"/>
        <v>3685636.4342400008</v>
      </c>
      <c r="N74" s="536">
        <f t="shared" si="43"/>
        <v>3906774.620294401</v>
      </c>
      <c r="P74" s="503"/>
      <c r="Q74" s="409"/>
      <c r="R74" s="409"/>
      <c r="S74" s="409"/>
      <c r="T74" s="409"/>
      <c r="U74" s="432"/>
    </row>
    <row r="76" spans="2:22">
      <c r="D76" s="151" t="s">
        <v>646</v>
      </c>
      <c r="E76" s="151"/>
      <c r="F76" s="151"/>
      <c r="G76" s="151"/>
      <c r="H76" s="151"/>
      <c r="J76" s="151" t="s">
        <v>11</v>
      </c>
      <c r="K76" s="151"/>
      <c r="L76" s="151"/>
      <c r="M76" s="151"/>
      <c r="N76" s="151"/>
    </row>
    <row r="77" spans="2:22">
      <c r="B77" s="518" t="s">
        <v>863</v>
      </c>
      <c r="C77" s="519"/>
      <c r="D77" s="459">
        <v>2020</v>
      </c>
      <c r="E77" s="459">
        <f>D77+1</f>
        <v>2021</v>
      </c>
      <c r="F77" s="459">
        <f t="shared" ref="F77:I77" si="44">E77+1</f>
        <v>2022</v>
      </c>
      <c r="G77" s="459">
        <f t="shared" si="44"/>
        <v>2023</v>
      </c>
      <c r="H77" s="459">
        <f t="shared" si="44"/>
        <v>2024</v>
      </c>
      <c r="I77" s="459">
        <f t="shared" si="44"/>
        <v>2025</v>
      </c>
      <c r="J77" s="460" t="s">
        <v>787</v>
      </c>
      <c r="K77" s="460" t="s">
        <v>788</v>
      </c>
      <c r="L77" s="460" t="s">
        <v>789</v>
      </c>
      <c r="M77" s="460" t="s">
        <v>790</v>
      </c>
      <c r="N77" s="461" t="s">
        <v>806</v>
      </c>
    </row>
    <row r="78" spans="2:22">
      <c r="B78" s="520" t="s">
        <v>864</v>
      </c>
      <c r="C78" s="521" t="s">
        <v>891</v>
      </c>
      <c r="D78" s="521"/>
      <c r="E78" s="521"/>
      <c r="F78" s="521"/>
      <c r="G78" s="521"/>
      <c r="H78" s="521"/>
      <c r="I78" s="521"/>
      <c r="J78" s="521"/>
      <c r="K78" s="521"/>
      <c r="L78" s="521"/>
      <c r="M78" s="521"/>
      <c r="N78" s="521"/>
    </row>
    <row r="79" spans="2:22">
      <c r="B79" s="529" t="s">
        <v>865</v>
      </c>
      <c r="C79" s="530" t="s">
        <v>892</v>
      </c>
      <c r="D79" s="522">
        <f>D29/D38</f>
        <v>9.7866510080250543E-8</v>
      </c>
      <c r="E79" s="522">
        <f>E29/E38</f>
        <v>0.81252952848908622</v>
      </c>
      <c r="F79" s="522">
        <f>F29/F38</f>
        <v>0.68925571966406018</v>
      </c>
      <c r="G79" s="522">
        <f>G29/G38</f>
        <v>0.76133824843610365</v>
      </c>
      <c r="H79" s="522">
        <f>H29/H38</f>
        <v>0.61228778410661944</v>
      </c>
      <c r="I79" s="522">
        <f>I29/I38</f>
        <v>0.85289334598184041</v>
      </c>
      <c r="J79" s="522">
        <f>J29/J38</f>
        <v>1.1442409381790266</v>
      </c>
      <c r="K79" s="522">
        <f>K29/K38</f>
        <v>1.1442409381790266</v>
      </c>
      <c r="L79" s="522">
        <f>L29/L38</f>
        <v>1.1442409381790268</v>
      </c>
      <c r="M79" s="522">
        <f>M29/M38</f>
        <v>1.1442409381790264</v>
      </c>
      <c r="N79" s="522">
        <f>N29/N38</f>
        <v>1.1442409381790264</v>
      </c>
    </row>
    <row r="80" spans="2:22">
      <c r="B80" s="529" t="s">
        <v>866</v>
      </c>
      <c r="C80" s="530" t="s">
        <v>893</v>
      </c>
      <c r="D80" s="522">
        <f>(D29-D26)/D38</f>
        <v>-0.15188872577803875</v>
      </c>
      <c r="E80" s="522">
        <f>(E29-E26)/E38</f>
        <v>0.66502881980534823</v>
      </c>
      <c r="F80" s="522">
        <f>(F29-F26)/F38</f>
        <v>0.57723718505647259</v>
      </c>
      <c r="G80" s="522">
        <f>(G29-G26)/G38</f>
        <v>0.64371090259159969</v>
      </c>
      <c r="H80" s="522">
        <f>(H29-H26)/H38</f>
        <v>0.48985234750870982</v>
      </c>
      <c r="I80" s="522">
        <f>(I29-I26)/I38</f>
        <v>0.68891448705786695</v>
      </c>
      <c r="J80" s="522">
        <f>(J29-J26)/J38</f>
        <v>0.9242470500092288</v>
      </c>
      <c r="K80" s="522">
        <f>(K29-K26)/K38</f>
        <v>0.9242470500092288</v>
      </c>
      <c r="L80" s="522">
        <f>(L29-L26)/L38</f>
        <v>0.92424705000922902</v>
      </c>
      <c r="M80" s="522">
        <f>(M29-M26)/M38</f>
        <v>0.9242470500092288</v>
      </c>
      <c r="N80" s="522">
        <f>(N29-N26)/N38</f>
        <v>0.92424705000922869</v>
      </c>
    </row>
    <row r="81" spans="2:14">
      <c r="B81" s="529" t="s">
        <v>867</v>
      </c>
      <c r="C81" s="530" t="s">
        <v>894</v>
      </c>
      <c r="D81" s="522">
        <f>D8/D25</f>
        <v>6.0514458641560189</v>
      </c>
      <c r="E81" s="522">
        <f>E8/E25</f>
        <v>4.1550632911392409</v>
      </c>
      <c r="F81" s="522">
        <f>F8/F25</f>
        <v>3.8728515985954539</v>
      </c>
      <c r="G81" s="522">
        <f>G8/G25</f>
        <v>4.6546357615894038</v>
      </c>
      <c r="H81" s="522">
        <f>H8/H25</f>
        <v>5.4811780336581046</v>
      </c>
      <c r="I81" s="522">
        <f>I8/I25</f>
        <v>4.7664753955833765</v>
      </c>
      <c r="J81" s="522">
        <f>J8/J25</f>
        <v>4.7664753955833765</v>
      </c>
      <c r="K81" s="522">
        <f>K8/K25</f>
        <v>4.7664753955833765</v>
      </c>
      <c r="L81" s="522">
        <f>L8/L25</f>
        <v>4.7664753955833765</v>
      </c>
      <c r="M81" s="522">
        <f>M8/M25</f>
        <v>4.7664753955833765</v>
      </c>
      <c r="N81" s="522">
        <f>N8/N25</f>
        <v>4.7664753955833765</v>
      </c>
    </row>
    <row r="82" spans="2:14">
      <c r="B82" s="529" t="s">
        <v>868</v>
      </c>
      <c r="C82" s="530" t="s">
        <v>895</v>
      </c>
      <c r="D82" s="522">
        <f>365/D81</f>
        <v>60.316163805078624</v>
      </c>
      <c r="E82" s="522">
        <f t="shared" ref="E82:N82" si="45">365/E81</f>
        <v>87.844630616907835</v>
      </c>
      <c r="F82" s="522">
        <f t="shared" si="45"/>
        <v>94.245800725329261</v>
      </c>
      <c r="G82" s="522">
        <f t="shared" si="45"/>
        <v>78.416447321619131</v>
      </c>
      <c r="H82" s="522">
        <f t="shared" si="45"/>
        <v>66.591524259685698</v>
      </c>
      <c r="I82" s="522">
        <f t="shared" si="45"/>
        <v>76.576499343353277</v>
      </c>
      <c r="J82" s="522">
        <f t="shared" si="45"/>
        <v>76.576499343353277</v>
      </c>
      <c r="K82" s="522">
        <f t="shared" si="45"/>
        <v>76.576499343353277</v>
      </c>
      <c r="L82" s="522">
        <f t="shared" si="45"/>
        <v>76.576499343353277</v>
      </c>
      <c r="M82" s="522">
        <f t="shared" si="45"/>
        <v>76.576499343353277</v>
      </c>
      <c r="N82" s="522">
        <f t="shared" si="45"/>
        <v>76.576499343353277</v>
      </c>
    </row>
    <row r="83" spans="2:14">
      <c r="B83" s="529" t="s">
        <v>869</v>
      </c>
      <c r="C83" s="530" t="s">
        <v>896</v>
      </c>
      <c r="D83" s="522">
        <f>D9/D34</f>
        <v>1.579631635969664</v>
      </c>
      <c r="E83" s="522">
        <f>E9/E34</f>
        <v>1.2268204758471521</v>
      </c>
      <c r="F83" s="522">
        <f>F9/F34</f>
        <v>1.301371511068335</v>
      </c>
      <c r="G83" s="522">
        <f>G9/G34</f>
        <v>1.1921448730009407</v>
      </c>
      <c r="H83" s="522">
        <f>H9/H34</f>
        <v>1.4159266685763392</v>
      </c>
      <c r="I83" s="522">
        <f>I9/I34</f>
        <v>1.3639720427271529</v>
      </c>
      <c r="J83" s="522">
        <f>J9/J34</f>
        <v>1.7351655017802978</v>
      </c>
      <c r="K83" s="522">
        <f>K9/K34</f>
        <v>1.717090861136753</v>
      </c>
      <c r="L83" s="522">
        <f>L9/L34</f>
        <v>1.6990162204932084</v>
      </c>
      <c r="M83" s="522">
        <f>M9/M34</f>
        <v>1.6990162204932084</v>
      </c>
      <c r="N83" s="522">
        <f>N9/N34</f>
        <v>1.6809415798496639</v>
      </c>
    </row>
    <row r="84" spans="2:14">
      <c r="B84" s="529" t="s">
        <v>870</v>
      </c>
      <c r="C84" s="530" t="s">
        <v>897</v>
      </c>
      <c r="D84" s="522">
        <f>365/D83</f>
        <v>231.06652949245543</v>
      </c>
      <c r="E84" s="522">
        <f t="shared" ref="E84:N84" si="46">365/E83</f>
        <v>297.51704278326281</v>
      </c>
      <c r="F84" s="522">
        <f t="shared" si="46"/>
        <v>280.47332901913654</v>
      </c>
      <c r="G84" s="522">
        <f t="shared" si="46"/>
        <v>306.17084237522192</v>
      </c>
      <c r="H84" s="522">
        <f t="shared" si="46"/>
        <v>257.78171151122797</v>
      </c>
      <c r="I84" s="522">
        <f t="shared" si="46"/>
        <v>267.6007928067292</v>
      </c>
      <c r="J84" s="522">
        <f t="shared" si="46"/>
        <v>210.35457403083811</v>
      </c>
      <c r="K84" s="522">
        <f t="shared" si="46"/>
        <v>212.56883270484693</v>
      </c>
      <c r="L84" s="522">
        <f t="shared" si="46"/>
        <v>214.83020326553677</v>
      </c>
      <c r="M84" s="522">
        <f t="shared" si="46"/>
        <v>214.83020326553677</v>
      </c>
      <c r="N84" s="522">
        <f t="shared" si="46"/>
        <v>217.14020545118768</v>
      </c>
    </row>
    <row r="85" spans="2:14">
      <c r="B85" s="520" t="s">
        <v>871</v>
      </c>
      <c r="C85" s="521"/>
      <c r="D85" s="523"/>
      <c r="E85" s="523"/>
      <c r="F85" s="523"/>
      <c r="G85" s="523"/>
      <c r="H85" s="523"/>
      <c r="I85" s="523"/>
      <c r="J85" s="523"/>
      <c r="K85" s="523"/>
      <c r="L85" s="523"/>
      <c r="M85" s="523"/>
      <c r="N85" s="523"/>
    </row>
    <row r="86" spans="2:14">
      <c r="B86" s="529" t="s">
        <v>872</v>
      </c>
      <c r="C86" s="530" t="s">
        <v>898</v>
      </c>
      <c r="D86" s="522">
        <f>D9/D26</f>
        <v>4.697164948453608</v>
      </c>
      <c r="E86" s="522">
        <f>E9/E26</f>
        <v>5.4503523382447145</v>
      </c>
      <c r="F86" s="522">
        <f>F9/F26</f>
        <v>5.5930713547052742</v>
      </c>
      <c r="G86" s="522">
        <f>G9/G26</f>
        <v>4.8138651471984808</v>
      </c>
      <c r="H86" s="522">
        <f>H9/H26</f>
        <v>4.4652213188798555</v>
      </c>
      <c r="I86" s="522">
        <f>I9/I26</f>
        <v>4.2739669421487605</v>
      </c>
      <c r="J86" s="522">
        <f>J9/J26</f>
        <v>5.4370909090909096</v>
      </c>
      <c r="K86" s="522">
        <f>K9/K26</f>
        <v>5.3804545454545449</v>
      </c>
      <c r="L86" s="522">
        <f>L9/L26</f>
        <v>5.323818181818182</v>
      </c>
      <c r="M86" s="522">
        <f>M9/M26</f>
        <v>5.323818181818182</v>
      </c>
      <c r="N86" s="522">
        <f>N9/N26</f>
        <v>5.2671818181818191</v>
      </c>
    </row>
    <row r="87" spans="2:14">
      <c r="B87" s="529" t="s">
        <v>873</v>
      </c>
      <c r="C87" s="530" t="s">
        <v>899</v>
      </c>
      <c r="D87" s="522">
        <f>365/D86</f>
        <v>77.706447187928674</v>
      </c>
      <c r="E87" s="522">
        <f t="shared" ref="E87:N87" si="47">365/E86</f>
        <v>66.96814762576399</v>
      </c>
      <c r="F87" s="522">
        <f t="shared" si="47"/>
        <v>65.259314042710542</v>
      </c>
      <c r="G87" s="522">
        <f t="shared" si="47"/>
        <v>75.822647464983234</v>
      </c>
      <c r="H87" s="522">
        <f t="shared" si="47"/>
        <v>81.742868703216672</v>
      </c>
      <c r="I87" s="522">
        <f t="shared" si="47"/>
        <v>85.400754133230194</v>
      </c>
      <c r="J87" s="522">
        <f t="shared" si="47"/>
        <v>67.131487426431235</v>
      </c>
      <c r="K87" s="522">
        <f t="shared" si="47"/>
        <v>67.838134662498945</v>
      </c>
      <c r="L87" s="522">
        <f t="shared" si="47"/>
        <v>68.559816946142547</v>
      </c>
      <c r="M87" s="522">
        <f t="shared" si="47"/>
        <v>68.559816946142547</v>
      </c>
      <c r="N87" s="522">
        <f t="shared" si="47"/>
        <v>69.297019278896755</v>
      </c>
    </row>
    <row r="88" spans="2:14">
      <c r="B88" s="529" t="s">
        <v>874</v>
      </c>
      <c r="C88" s="530" t="s">
        <v>900</v>
      </c>
      <c r="D88" s="522">
        <f>D8/D32</f>
        <v>0.15003626355731703</v>
      </c>
      <c r="E88" s="522">
        <f>E8/E32</f>
        <v>0.12176139930377218</v>
      </c>
      <c r="F88" s="522">
        <f>F8/F32</f>
        <v>0.13508670147618126</v>
      </c>
      <c r="G88" s="522">
        <f>G8/G32</f>
        <v>0.15964702074377771</v>
      </c>
      <c r="H88" s="522">
        <f>H8/H32</f>
        <v>0.13065992420003589</v>
      </c>
      <c r="I88" s="522">
        <f>I8/I32</f>
        <v>0.1299399409363905</v>
      </c>
      <c r="J88" s="522">
        <f>J8/J32</f>
        <v>0.12818238475065302</v>
      </c>
      <c r="K88" s="522">
        <f>K8/K32</f>
        <v>0.12642443490284355</v>
      </c>
      <c r="L88" s="522">
        <f>L8/L32</f>
        <v>0.12468252201425405</v>
      </c>
      <c r="M88" s="522">
        <f>M8/M32</f>
        <v>0.12294066855779805</v>
      </c>
      <c r="N88" s="522">
        <f>N8/N32</f>
        <v>0.12121530200648774</v>
      </c>
    </row>
    <row r="89" spans="2:14">
      <c r="B89" s="529" t="s">
        <v>875</v>
      </c>
      <c r="C89" s="530" t="s">
        <v>901</v>
      </c>
      <c r="D89" s="522">
        <f>D8/D30</f>
        <v>0.19603934511944054</v>
      </c>
      <c r="E89" s="522">
        <f>E8/E30</f>
        <v>0.17181020252043322</v>
      </c>
      <c r="F89" s="522">
        <f>F8/F30</f>
        <v>0.18869249678099029</v>
      </c>
      <c r="G89" s="522">
        <f>G8/G30</f>
        <v>0.22352436076835008</v>
      </c>
      <c r="H89" s="522">
        <f>H8/H30</f>
        <v>0.1782689482326506</v>
      </c>
      <c r="I89" s="522">
        <f>I8/I30</f>
        <v>0.17549632835457787</v>
      </c>
      <c r="J89" s="522">
        <f>J8/J30</f>
        <v>0.1723054860208583</v>
      </c>
      <c r="K89" s="522">
        <f>K8/K30</f>
        <v>0.16914391747001686</v>
      </c>
      <c r="L89" s="522">
        <f>L8/L30</f>
        <v>0.16604035935130099</v>
      </c>
      <c r="M89" s="522">
        <f>M8/M30</f>
        <v>0.16296553788183243</v>
      </c>
      <c r="N89" s="522">
        <f>N8/N30</f>
        <v>0.15994765755068735</v>
      </c>
    </row>
    <row r="90" spans="2:14">
      <c r="B90" s="520" t="s">
        <v>876</v>
      </c>
      <c r="C90" s="521"/>
      <c r="D90" s="523"/>
      <c r="E90" s="523"/>
      <c r="F90" s="523"/>
      <c r="G90" s="523"/>
      <c r="H90" s="523"/>
      <c r="I90" s="523"/>
      <c r="J90" s="523"/>
      <c r="K90" s="523"/>
      <c r="L90" s="523"/>
      <c r="M90" s="523"/>
      <c r="N90" s="523"/>
    </row>
    <row r="91" spans="2:14">
      <c r="B91" s="529" t="s">
        <v>877</v>
      </c>
      <c r="C91" s="530" t="s">
        <v>902</v>
      </c>
      <c r="D91" s="522">
        <f>D10/D8</f>
        <v>0.59493248874812465</v>
      </c>
      <c r="E91" s="522">
        <f>E10/E8</f>
        <v>0.50155252211611689</v>
      </c>
      <c r="F91" s="522">
        <f>F10/F8</f>
        <v>0.48382324871158616</v>
      </c>
      <c r="G91" s="522">
        <f>G10/G8</f>
        <v>0.63939674183680728</v>
      </c>
      <c r="H91" s="522">
        <f>H10/H8</f>
        <v>0.60061406698177999</v>
      </c>
      <c r="I91" s="522">
        <f>I10/I8</f>
        <v>0.62268349627900188</v>
      </c>
      <c r="J91" s="522">
        <f>J10/J8</f>
        <v>0.52</v>
      </c>
      <c r="K91" s="522">
        <f>K10/K8</f>
        <v>0.52500000000000002</v>
      </c>
      <c r="L91" s="522">
        <f>L10/L8</f>
        <v>0.53000000000000014</v>
      </c>
      <c r="M91" s="522">
        <f>M10/M8</f>
        <v>0.53</v>
      </c>
      <c r="N91" s="522">
        <f>N10/N8</f>
        <v>0.53499999999999992</v>
      </c>
    </row>
    <row r="92" spans="2:14">
      <c r="B92" s="529" t="s">
        <v>878</v>
      </c>
      <c r="C92" s="530" t="s">
        <v>903</v>
      </c>
      <c r="D92" s="522">
        <f>D8/D8</f>
        <v>1</v>
      </c>
      <c r="E92" s="522">
        <f>E8/E8</f>
        <v>1</v>
      </c>
      <c r="F92" s="522">
        <f>F8/F8</f>
        <v>1</v>
      </c>
      <c r="G92" s="522">
        <f>G8/G8</f>
        <v>1</v>
      </c>
      <c r="H92" s="522">
        <f>H8/H8</f>
        <v>1</v>
      </c>
      <c r="I92" s="522">
        <f>I8/I8</f>
        <v>1</v>
      </c>
      <c r="J92" s="522">
        <f>J8/J8</f>
        <v>1</v>
      </c>
      <c r="K92" s="522">
        <f>K8/K8</f>
        <v>1</v>
      </c>
      <c r="L92" s="522">
        <f>L8/L8</f>
        <v>1</v>
      </c>
      <c r="M92" s="522">
        <f>M8/M8</f>
        <v>1</v>
      </c>
      <c r="N92" s="522">
        <f>N8/N8</f>
        <v>1</v>
      </c>
    </row>
    <row r="93" spans="2:14">
      <c r="B93" s="529" t="s">
        <v>879</v>
      </c>
      <c r="C93" s="530" t="s">
        <v>904</v>
      </c>
      <c r="D93" s="522">
        <f>D17/D32</f>
        <v>3.8857533168897854E-2</v>
      </c>
      <c r="E93" s="522">
        <f>E17/E32</f>
        <v>2.1535981281743992E-2</v>
      </c>
      <c r="F93" s="522">
        <f>F17/F32</f>
        <v>2.878231160961774E-2</v>
      </c>
      <c r="G93" s="522">
        <f>G17/G32</f>
        <v>4.4105371349396086E-2</v>
      </c>
      <c r="H93" s="522">
        <f>H17/H32</f>
        <v>3.6057768440611045E-2</v>
      </c>
      <c r="I93" s="522">
        <f>I17/I32</f>
        <v>3.1849790717627599E-2</v>
      </c>
      <c r="J93" s="522">
        <f>J17/J32</f>
        <v>1.1340715634157882E-2</v>
      </c>
      <c r="K93" s="522">
        <f>K17/K32</f>
        <v>1.0381191019787663E-2</v>
      </c>
      <c r="L93" s="522">
        <f>L17/L32</f>
        <v>9.4890951083459706E-3</v>
      </c>
      <c r="M93" s="522">
        <f>M17/M32</f>
        <v>8.2637395860868604E-3</v>
      </c>
      <c r="N93" s="522">
        <f>N17/N32</f>
        <v>7.6490198902828665E-3</v>
      </c>
    </row>
    <row r="94" spans="2:14">
      <c r="B94" s="529" t="s">
        <v>880</v>
      </c>
      <c r="C94" s="530" t="s">
        <v>905</v>
      </c>
      <c r="D94" s="522">
        <f>D17/D8</f>
        <v>0.25898760904595208</v>
      </c>
      <c r="E94" s="522">
        <f>E17/E8</f>
        <v>0.17687034975686919</v>
      </c>
      <c r="F94" s="522">
        <f>F17/F8</f>
        <v>0.21306547050963925</v>
      </c>
      <c r="G94" s="522">
        <f>G17/G8</f>
        <v>0.27626805150458844</v>
      </c>
      <c r="H94" s="522">
        <f>H17/H8</f>
        <v>0.27596654950915039</v>
      </c>
      <c r="I94" s="522">
        <f>I17/I8</f>
        <v>0.24511162994309063</v>
      </c>
      <c r="J94" s="522">
        <f>J17/J8</f>
        <v>8.847327701242591E-2</v>
      </c>
      <c r="K94" s="522">
        <f>K17/K8</f>
        <v>8.2113802033329616E-2</v>
      </c>
      <c r="L94" s="522">
        <f>L17/L8</f>
        <v>7.6106056847816655E-2</v>
      </c>
      <c r="M94" s="522">
        <f>M17/M8</f>
        <v>6.7217298254741736E-2</v>
      </c>
      <c r="N94" s="522">
        <f>N17/N8</f>
        <v>6.3102758180427349E-2</v>
      </c>
    </row>
    <row r="95" spans="2:14">
      <c r="B95" s="520" t="s">
        <v>881</v>
      </c>
      <c r="C95" s="521"/>
      <c r="D95" s="523"/>
      <c r="E95" s="523"/>
      <c r="F95" s="523"/>
      <c r="G95" s="523"/>
      <c r="H95" s="523"/>
      <c r="I95" s="523"/>
      <c r="J95" s="523"/>
      <c r="K95" s="523"/>
      <c r="L95" s="523"/>
      <c r="M95" s="523"/>
      <c r="N95" s="523"/>
    </row>
    <row r="96" spans="2:14">
      <c r="B96" s="529" t="s">
        <v>882</v>
      </c>
      <c r="C96" s="530" t="s">
        <v>906</v>
      </c>
      <c r="D96" s="491">
        <f>D37+D40</f>
        <v>46082000</v>
      </c>
      <c r="E96" s="491">
        <f>E37+E40</f>
        <v>52745000</v>
      </c>
      <c r="F96" s="491">
        <f>F37+F40</f>
        <v>61889000</v>
      </c>
      <c r="G96" s="491">
        <f>G37+G40</f>
        <v>68306000</v>
      </c>
      <c r="H96" s="491">
        <f>H37+H40</f>
        <v>80446000</v>
      </c>
      <c r="I96" s="491">
        <f>I37+I40</f>
        <v>93056000</v>
      </c>
      <c r="J96" s="491">
        <f>J37+J40</f>
        <v>108366008.15200002</v>
      </c>
      <c r="K96" s="491">
        <f>K37+K40</f>
        <v>122637225.27382001</v>
      </c>
      <c r="L96" s="491">
        <f>L37+L40</f>
        <v>138206769.93610722</v>
      </c>
      <c r="M96" s="491">
        <f>M37+M40</f>
        <v>152672717.26666009</v>
      </c>
      <c r="N96" s="491">
        <f>N37+N40</f>
        <v>168337049.94669655</v>
      </c>
    </row>
    <row r="97" spans="2:14">
      <c r="B97" s="529" t="s">
        <v>883</v>
      </c>
      <c r="C97" s="530" t="s">
        <v>907</v>
      </c>
      <c r="D97" s="522">
        <f>D32/D50</f>
        <v>2.6697901355471969</v>
      </c>
      <c r="E97" s="522">
        <f>E32/E50</f>
        <v>3.0695657886093413</v>
      </c>
      <c r="F97" s="522">
        <f>F32/F50</f>
        <v>3.1379966016668015</v>
      </c>
      <c r="G97" s="522">
        <f>G32/G50</f>
        <v>2.9835490647872054</v>
      </c>
      <c r="H97" s="522">
        <f>H32/H50</f>
        <v>3.1127651533822975</v>
      </c>
      <c r="I97" s="522">
        <f>I32/I50</f>
        <v>3.1733178898599559</v>
      </c>
      <c r="J97" s="522">
        <f>J32/J50</f>
        <v>3.2738260518913136</v>
      </c>
      <c r="K97" s="522">
        <f>K32/K50</f>
        <v>3.3387058637333</v>
      </c>
      <c r="L97" s="522">
        <f>L32/L50</f>
        <v>3.4034784009149055</v>
      </c>
      <c r="M97" s="522">
        <f>M32/M50</f>
        <v>3.4387382605569425</v>
      </c>
      <c r="N97" s="522">
        <f>N32/N50</f>
        <v>3.475519811327525</v>
      </c>
    </row>
    <row r="98" spans="2:14">
      <c r="B98" s="529" t="s">
        <v>884</v>
      </c>
      <c r="C98" s="530" t="s">
        <v>908</v>
      </c>
      <c r="D98" s="522">
        <f>D42/D50</f>
        <v>1.6697901355471967</v>
      </c>
      <c r="E98" s="522">
        <f>E42/E50</f>
        <v>2.0695657886093413</v>
      </c>
      <c r="F98" s="522">
        <f>F42/F50</f>
        <v>2.1379966016668015</v>
      </c>
      <c r="G98" s="522">
        <f>G42/G50</f>
        <v>1.9835490647872052</v>
      </c>
      <c r="H98" s="522">
        <f>H42/H50</f>
        <v>2.1127651533822975</v>
      </c>
      <c r="I98" s="522">
        <f>I42/I50</f>
        <v>2.1733178898599559</v>
      </c>
      <c r="J98" s="522">
        <f>J42/J50</f>
        <v>2.2738260518913145</v>
      </c>
      <c r="K98" s="522">
        <f>K42/K50</f>
        <v>2.3387058637333</v>
      </c>
      <c r="L98" s="522">
        <f>L42/L50</f>
        <v>2.4034784009149059</v>
      </c>
      <c r="M98" s="522">
        <f>M42/M50</f>
        <v>2.438738260556943</v>
      </c>
      <c r="N98" s="522">
        <f>N42/N50</f>
        <v>2.4755198113275254</v>
      </c>
    </row>
    <row r="99" spans="2:14">
      <c r="B99" s="529" t="s">
        <v>885</v>
      </c>
      <c r="C99" s="530" t="s">
        <v>909</v>
      </c>
      <c r="D99" s="522">
        <f>D8/D14</f>
        <v>9.2292307692307691</v>
      </c>
      <c r="E99" s="522">
        <f>E8/E14</f>
        <v>13.44015748031496</v>
      </c>
      <c r="F99" s="522">
        <f>F8/F14</f>
        <v>35.822222222222223</v>
      </c>
      <c r="G99" s="522">
        <f>G8/G14</f>
        <v>8.4578820697954278</v>
      </c>
      <c r="H99" s="522">
        <f>H8/H14</f>
        <v>11.0751677852349</v>
      </c>
      <c r="I99" s="522">
        <f>I8/I14</f>
        <v>5.9956255468066493</v>
      </c>
      <c r="J99" s="522">
        <f>J8/J14</f>
        <v>5.351307025852635</v>
      </c>
      <c r="K99" s="522">
        <f>K8/K14</f>
        <v>5.0595792921529803</v>
      </c>
      <c r="L99" s="522">
        <f>L8/L14</f>
        <v>4.8038692990974958</v>
      </c>
      <c r="M99" s="522">
        <f>M8/M14</f>
        <v>4.609617927581029</v>
      </c>
      <c r="N99" s="522">
        <f>N8/N14</f>
        <v>4.4315180079193235</v>
      </c>
    </row>
    <row r="100" spans="2:14">
      <c r="B100" s="520" t="s">
        <v>886</v>
      </c>
      <c r="C100" s="521"/>
      <c r="D100" s="523"/>
      <c r="E100" s="523"/>
      <c r="F100" s="523"/>
      <c r="G100" s="523"/>
      <c r="H100" s="523"/>
      <c r="I100" s="523"/>
      <c r="J100" s="523"/>
      <c r="K100" s="523"/>
      <c r="L100" s="523"/>
      <c r="M100" s="523"/>
      <c r="N100" s="523"/>
    </row>
    <row r="101" spans="2:14">
      <c r="B101" s="529" t="s">
        <v>880</v>
      </c>
      <c r="C101" s="530" t="s">
        <v>905</v>
      </c>
      <c r="D101" s="522">
        <f>D17/D8</f>
        <v>0.25898760904595208</v>
      </c>
      <c r="E101" s="522">
        <f>E17/E8</f>
        <v>0.17687034975686919</v>
      </c>
      <c r="F101" s="522">
        <f>F17/F8</f>
        <v>0.21306547050963925</v>
      </c>
      <c r="G101" s="522">
        <f>G17/G8</f>
        <v>0.27626805150458844</v>
      </c>
      <c r="H101" s="522">
        <f>H17/H8</f>
        <v>0.27596654950915039</v>
      </c>
      <c r="I101" s="522">
        <f>I17/I8</f>
        <v>0.24511162994309063</v>
      </c>
      <c r="J101" s="522">
        <f>J17/J8</f>
        <v>8.847327701242591E-2</v>
      </c>
      <c r="K101" s="522">
        <f>K17/K8</f>
        <v>8.2113802033329616E-2</v>
      </c>
      <c r="L101" s="522">
        <f>L17/L8</f>
        <v>7.6106056847816655E-2</v>
      </c>
      <c r="M101" s="522">
        <f>M17/M8</f>
        <v>6.7217298254741736E-2</v>
      </c>
      <c r="N101" s="522">
        <f>N17/N8</f>
        <v>6.3102758180427349E-2</v>
      </c>
    </row>
    <row r="102" spans="2:14">
      <c r="B102" s="529" t="s">
        <v>887</v>
      </c>
      <c r="C102" s="530" t="s">
        <v>900</v>
      </c>
      <c r="D102" s="522">
        <f>D8/D32</f>
        <v>0.15003626355731703</v>
      </c>
      <c r="E102" s="522">
        <f>E8/E32</f>
        <v>0.12176139930377218</v>
      </c>
      <c r="F102" s="522">
        <f>F8/F32</f>
        <v>0.13508670147618126</v>
      </c>
      <c r="G102" s="522">
        <f>G8/G32</f>
        <v>0.15964702074377771</v>
      </c>
      <c r="H102" s="522">
        <f>H8/H32</f>
        <v>0.13065992420003589</v>
      </c>
      <c r="I102" s="522">
        <f>I8/I32</f>
        <v>0.1299399409363905</v>
      </c>
      <c r="J102" s="522">
        <f>J8/J32</f>
        <v>0.12818238475065302</v>
      </c>
      <c r="K102" s="522">
        <f>K8/K32</f>
        <v>0.12642443490284355</v>
      </c>
      <c r="L102" s="522">
        <f>L8/L32</f>
        <v>0.12468252201425405</v>
      </c>
      <c r="M102" s="522">
        <f>M8/M32</f>
        <v>0.12294066855779805</v>
      </c>
      <c r="N102" s="522">
        <f>N8/N32</f>
        <v>0.12121530200648774</v>
      </c>
    </row>
    <row r="103" spans="2:14">
      <c r="B103" s="529" t="s">
        <v>883</v>
      </c>
      <c r="C103" s="530" t="s">
        <v>907</v>
      </c>
      <c r="D103" s="522">
        <f>D32/D50</f>
        <v>2.6697901355471969</v>
      </c>
      <c r="E103" s="522">
        <f>E32/E50</f>
        <v>3.0695657886093413</v>
      </c>
      <c r="F103" s="522">
        <f>F32/F50</f>
        <v>3.1379966016668015</v>
      </c>
      <c r="G103" s="522">
        <f>G32/G50</f>
        <v>2.9835490647872054</v>
      </c>
      <c r="H103" s="522">
        <f>H32/H50</f>
        <v>3.1127651533822975</v>
      </c>
      <c r="I103" s="522">
        <f>I32/I50</f>
        <v>3.1733178898599559</v>
      </c>
      <c r="J103" s="522">
        <f>J32/J50</f>
        <v>3.2738260518913136</v>
      </c>
      <c r="K103" s="522">
        <f>K32/K50</f>
        <v>3.3387058637333</v>
      </c>
      <c r="L103" s="522">
        <f>L32/L50</f>
        <v>3.4034784009149055</v>
      </c>
      <c r="M103" s="522">
        <f>M32/M50</f>
        <v>3.4387382605569425</v>
      </c>
      <c r="N103" s="522">
        <f>N32/N50</f>
        <v>3.475519811327525</v>
      </c>
    </row>
    <row r="104" spans="2:14">
      <c r="B104" s="529" t="s">
        <v>888</v>
      </c>
      <c r="C104" s="530" t="s">
        <v>910</v>
      </c>
      <c r="D104" s="522">
        <f>PRODUCT(D101:D103)</f>
        <v>0.1037414587460215</v>
      </c>
      <c r="E104" s="522">
        <f t="shared" ref="E104:O104" si="48">PRODUCT(E101:E103)</f>
        <v>6.6106111366572518E-2</v>
      </c>
      <c r="F104" s="522">
        <f t="shared" si="48"/>
        <v>9.0318796019095399E-2</v>
      </c>
      <c r="G104" s="522">
        <f t="shared" si="48"/>
        <v>0.13159053944158308</v>
      </c>
      <c r="H104" s="522">
        <f t="shared" si="48"/>
        <v>0.112239365110662</v>
      </c>
      <c r="I104" s="522">
        <f t="shared" si="48"/>
        <v>0.10106951067254322</v>
      </c>
      <c r="J104" s="522">
        <f t="shared" si="48"/>
        <v>3.7127530290197198E-2</v>
      </c>
      <c r="K104" s="522">
        <f t="shared" si="48"/>
        <v>3.4659743330300544E-2</v>
      </c>
      <c r="L104" s="522">
        <f t="shared" si="48"/>
        <v>3.2295930245482794E-2</v>
      </c>
      <c r="M104" s="522">
        <f t="shared" si="48"/>
        <v>2.8416837489955878E-2</v>
      </c>
      <c r="N104" s="522">
        <f t="shared" si="48"/>
        <v>2.658432016591639E-2</v>
      </c>
    </row>
    <row r="105" spans="2:14">
      <c r="B105" s="520" t="s">
        <v>889</v>
      </c>
      <c r="C105" s="521"/>
      <c r="D105" s="521"/>
      <c r="E105" s="521"/>
      <c r="F105" s="521"/>
      <c r="G105" s="521"/>
      <c r="H105" s="521"/>
      <c r="I105" s="521"/>
      <c r="J105" s="521"/>
      <c r="K105" s="521"/>
      <c r="L105" s="521"/>
      <c r="M105" s="521"/>
      <c r="N105" s="521"/>
    </row>
    <row r="106" spans="2:14">
      <c r="B106" s="529" t="s">
        <v>890</v>
      </c>
      <c r="C106" s="530" t="s">
        <v>911</v>
      </c>
      <c r="D106" s="522">
        <f>D87+D82-D84</f>
        <v>-93.043918499448125</v>
      </c>
      <c r="E106" s="522">
        <f t="shared" ref="E106:N106" si="49">E87+E82-E84</f>
        <v>-142.704264540591</v>
      </c>
      <c r="F106" s="522">
        <f t="shared" si="49"/>
        <v>-120.96821425109675</v>
      </c>
      <c r="G106" s="522">
        <f t="shared" si="49"/>
        <v>-151.93174758861954</v>
      </c>
      <c r="H106" s="522">
        <f t="shared" si="49"/>
        <v>-109.4473185483256</v>
      </c>
      <c r="I106" s="522">
        <f t="shared" si="49"/>
        <v>-105.62353933014572</v>
      </c>
      <c r="J106" s="522">
        <f t="shared" si="49"/>
        <v>-66.646587261053611</v>
      </c>
      <c r="K106" s="522">
        <f t="shared" si="49"/>
        <v>-68.154198698994691</v>
      </c>
      <c r="L106" s="522">
        <f t="shared" si="49"/>
        <v>-69.693886976040943</v>
      </c>
      <c r="M106" s="522">
        <f t="shared" si="49"/>
        <v>-69.693886976040943</v>
      </c>
      <c r="N106" s="522">
        <f t="shared" si="49"/>
        <v>-71.266686828937651</v>
      </c>
    </row>
  </sheetData>
  <mergeCells count="8">
    <mergeCell ref="D76:H76"/>
    <mergeCell ref="J76:N76"/>
    <mergeCell ref="J5:N5"/>
    <mergeCell ref="D5:H5"/>
    <mergeCell ref="D21:H21"/>
    <mergeCell ref="J21:N21"/>
    <mergeCell ref="D53:H53"/>
    <mergeCell ref="J53:N5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F95F4-E9A8-443E-B898-4614265D4B5F}">
  <dimension ref="A1:Q125"/>
  <sheetViews>
    <sheetView topLeftCell="A88" zoomScale="93" workbookViewId="0">
      <selection activeCell="B26" sqref="B26"/>
    </sheetView>
  </sheetViews>
  <sheetFormatPr baseColWidth="10" defaultColWidth="8.83203125" defaultRowHeight="15"/>
  <cols>
    <col min="1" max="2" width="16.83203125" customWidth="1"/>
    <col min="3" max="3" width="12.83203125" customWidth="1"/>
    <col min="4" max="4" width="16.6640625" customWidth="1"/>
    <col min="5" max="5" width="17" customWidth="1"/>
    <col min="6" max="6" width="15.83203125" customWidth="1"/>
    <col min="7" max="7" width="13.6640625" bestFit="1" customWidth="1"/>
    <col min="8" max="8" width="16.1640625" customWidth="1"/>
    <col min="9" max="10" width="16.6640625" customWidth="1"/>
    <col min="11" max="11" width="14.83203125" customWidth="1"/>
    <col min="12" max="12" width="14.33203125" customWidth="1"/>
    <col min="13" max="13" width="15.83203125" customWidth="1"/>
    <col min="14" max="14" width="15.6640625" customWidth="1"/>
    <col min="15" max="15" width="15.1640625" customWidth="1"/>
    <col min="16" max="16" width="13.6640625" bestFit="1" customWidth="1"/>
  </cols>
  <sheetData>
    <row r="1" spans="1:17" s="195" customFormat="1" ht="30" customHeight="1">
      <c r="A1" s="350" t="s">
        <v>718</v>
      </c>
    </row>
    <row r="2" spans="1:17" s="196" customFormat="1" ht="14" customHeight="1">
      <c r="A2" s="351" t="s">
        <v>676</v>
      </c>
    </row>
    <row r="3" spans="1:17" ht="12.75" customHeight="1"/>
    <row r="5" spans="1:17" ht="20" customHeight="1">
      <c r="A5" s="1" t="s">
        <v>714</v>
      </c>
    </row>
    <row r="6" spans="1:17">
      <c r="B6" s="143" t="s">
        <v>24</v>
      </c>
      <c r="C6" s="273">
        <v>1</v>
      </c>
    </row>
    <row r="7" spans="1:17">
      <c r="B7" s="18" t="s">
        <v>644</v>
      </c>
      <c r="C7" s="273" t="s">
        <v>645</v>
      </c>
      <c r="D7" s="190" t="s">
        <v>646</v>
      </c>
      <c r="E7" s="190"/>
      <c r="F7" s="190"/>
      <c r="G7" s="190"/>
      <c r="H7" s="190"/>
      <c r="I7" s="82" t="s">
        <v>647</v>
      </c>
      <c r="J7" s="106"/>
      <c r="K7" s="151" t="s">
        <v>11</v>
      </c>
      <c r="L7" s="151"/>
      <c r="M7" s="151"/>
      <c r="N7" s="151"/>
      <c r="O7" s="151"/>
      <c r="P7" s="82" t="s">
        <v>647</v>
      </c>
    </row>
    <row r="8" spans="1:17">
      <c r="A8" s="135"/>
      <c r="B8" s="106"/>
      <c r="C8" s="106"/>
      <c r="D8" s="14">
        <f t="shared" ref="D8:E8" si="0">+E8-1</f>
        <v>2020</v>
      </c>
      <c r="E8" s="14">
        <f t="shared" si="0"/>
        <v>2021</v>
      </c>
      <c r="F8" s="14">
        <f>+G8-1</f>
        <v>2022</v>
      </c>
      <c r="G8" s="14">
        <f>+H8-1</f>
        <v>2023</v>
      </c>
      <c r="H8" s="14">
        <f>J8-1</f>
        <v>2024</v>
      </c>
      <c r="I8" s="274" t="s">
        <v>677</v>
      </c>
      <c r="J8" s="275">
        <v>2025</v>
      </c>
      <c r="K8" s="14">
        <f>+J8+1</f>
        <v>2026</v>
      </c>
      <c r="L8" s="15">
        <f>+K8+1</f>
        <v>2027</v>
      </c>
      <c r="M8" s="15">
        <f>+L8+1</f>
        <v>2028</v>
      </c>
      <c r="N8" s="15">
        <f>+M8+1</f>
        <v>2029</v>
      </c>
      <c r="O8" s="15">
        <f>+N8+1</f>
        <v>2030</v>
      </c>
      <c r="P8" s="274" t="s">
        <v>648</v>
      </c>
    </row>
    <row r="9" spans="1:17">
      <c r="A9" s="106" t="s">
        <v>629</v>
      </c>
      <c r="B9" s="106"/>
      <c r="C9" s="106"/>
      <c r="D9" s="276">
        <f>PitchBook_IS!R14</f>
        <v>17997000</v>
      </c>
      <c r="E9" s="276">
        <f>PitchBook_IS!Q14</f>
        <v>17069000</v>
      </c>
      <c r="F9" s="276">
        <f>PitchBook_IS!P14</f>
        <v>20956000</v>
      </c>
      <c r="G9" s="276">
        <f>PitchBook_IS!O14</f>
        <v>28114000</v>
      </c>
      <c r="H9" s="276">
        <f>PitchBook_IS!N14</f>
        <v>24753000</v>
      </c>
      <c r="I9" s="116">
        <f>+IF(ISERROR((H9/D9)^(1/($H$8-$D$8))-1),"-",(H9/D9)^(1/($H$8-$D$8))-1)</f>
        <v>8.2946323619974116E-2</v>
      </c>
      <c r="J9" s="276">
        <f>PitchBook_IS!M14</f>
        <v>27412000</v>
      </c>
      <c r="K9" s="117">
        <f>J9*(1+K53)</f>
        <v>29604960.000000004</v>
      </c>
      <c r="L9" s="117">
        <f>K9*(1+L53)</f>
        <v>31677307.200000007</v>
      </c>
      <c r="M9" s="117">
        <f>L9*(1+M53)</f>
        <v>33894718.704000011</v>
      </c>
      <c r="N9" s="117">
        <f>M9*(1+N53)</f>
        <v>35928401.826240011</v>
      </c>
      <c r="O9" s="117">
        <f>N9*(1+O53)</f>
        <v>38084105.93581441</v>
      </c>
      <c r="P9" s="116">
        <f>+IF(ISERROR((O9/J9)^(1/($O$8-$J$8))-1),"-",(O9/J9)^(1/($O$8-$J$8))-1)</f>
        <v>6.79738239914498E-2</v>
      </c>
      <c r="Q9" s="19" t="s">
        <v>701</v>
      </c>
    </row>
    <row r="10" spans="1:17">
      <c r="A10" s="118" t="s">
        <v>630</v>
      </c>
      <c r="B10" s="78"/>
      <c r="C10" s="78"/>
      <c r="D10" s="119" t="s">
        <v>631</v>
      </c>
      <c r="E10" s="119">
        <f t="shared" ref="E10:F10" si="1">+IF(ISERROR(E9/D9-1),0,E9/D9-1)</f>
        <v>-5.1564149580485608E-2</v>
      </c>
      <c r="F10" s="119">
        <f t="shared" si="1"/>
        <v>0.2277227722772277</v>
      </c>
      <c r="G10" s="119">
        <f>+IF(ISERROR(G9/F9-1),0,G9/F9-1)</f>
        <v>0.34157281924031313</v>
      </c>
      <c r="H10" s="119">
        <f>+IF(ISERROR(H9/G9-1),0,H9/G9-1)</f>
        <v>-0.11954897915629226</v>
      </c>
      <c r="I10" s="120"/>
      <c r="J10" s="121">
        <f>+IF(ISERROR(J9/H9-1),0,J9/H9-1)</f>
        <v>0.10742132266795945</v>
      </c>
      <c r="K10" s="119">
        <f>+IF(ISERROR(K9/J9-1),0,K9/J9-1)</f>
        <v>8.0000000000000071E-2</v>
      </c>
      <c r="L10" s="119">
        <f>+IF(ISERROR(L9/K9-1),0,L9/K9-1)</f>
        <v>7.0000000000000062E-2</v>
      </c>
      <c r="M10" s="119">
        <f>+IF(ISERROR(M9/L9-1),0,M9/L9-1)</f>
        <v>7.0000000000000062E-2</v>
      </c>
      <c r="N10" s="119">
        <f>+IF(ISERROR(N9/M9-1),0,N9/M9-1)</f>
        <v>6.0000000000000053E-2</v>
      </c>
      <c r="O10" s="119">
        <f>+IF(ISERROR(O9/N9-1),0,O9/N9-1)</f>
        <v>6.0000000000000053E-2</v>
      </c>
      <c r="P10" s="120"/>
      <c r="Q10" s="234"/>
    </row>
    <row r="11" spans="1:17">
      <c r="A11" s="122" t="s">
        <v>632</v>
      </c>
      <c r="B11" s="78"/>
      <c r="C11" s="78"/>
      <c r="D11" s="272">
        <f>PitchBook_IS!R18</f>
        <v>7290000</v>
      </c>
      <c r="E11" s="272">
        <f>PitchBook_IS!Q18</f>
        <v>8508000</v>
      </c>
      <c r="F11" s="272">
        <f>PitchBook_IS!P18</f>
        <v>10817000</v>
      </c>
      <c r="G11" s="272">
        <f>PitchBook_IS!O18</f>
        <v>10138000</v>
      </c>
      <c r="H11" s="272">
        <f>PitchBook_IS!N18</f>
        <v>9886000</v>
      </c>
      <c r="I11" s="116"/>
      <c r="J11" s="272">
        <f>PitchBook_IS!M18</f>
        <v>10343000</v>
      </c>
      <c r="K11" s="123">
        <f>K9*K54</f>
        <v>14210380.800000001</v>
      </c>
      <c r="L11" s="123">
        <f>L9*L54</f>
        <v>15046720.920000002</v>
      </c>
      <c r="M11" s="123">
        <f>M9*M54</f>
        <v>15930517.790880004</v>
      </c>
      <c r="N11" s="123">
        <f>N9*N54</f>
        <v>16886348.858332805</v>
      </c>
      <c r="O11" s="123">
        <f>O9*O54</f>
        <v>17709109.260153703</v>
      </c>
      <c r="P11" s="116"/>
      <c r="Q11" s="235" t="s">
        <v>702</v>
      </c>
    </row>
    <row r="12" spans="1:17">
      <c r="A12" s="124" t="s">
        <v>634</v>
      </c>
      <c r="B12" s="125"/>
      <c r="C12" s="125"/>
      <c r="D12" s="117">
        <f>+D9-D11</f>
        <v>10707000</v>
      </c>
      <c r="E12" s="117">
        <f>+E9-E11</f>
        <v>8561000</v>
      </c>
      <c r="F12" s="117">
        <f>+F9-F11</f>
        <v>10139000</v>
      </c>
      <c r="G12" s="117">
        <f>+G9-G11</f>
        <v>17976000</v>
      </c>
      <c r="H12" s="117">
        <f>+H9-H11</f>
        <v>14867000</v>
      </c>
      <c r="I12" s="116">
        <f>+IF(ISERROR((H12/D12)^(1/($H$8-$D$8))-1),"-",(H12/D12)^(1/($H$8-$D$8))-1)</f>
        <v>8.5522637554336312E-2</v>
      </c>
      <c r="J12" s="126">
        <f>+J9-J11</f>
        <v>17069000</v>
      </c>
      <c r="K12" s="117">
        <f>+K9-K11</f>
        <v>15394579.200000003</v>
      </c>
      <c r="L12" s="117">
        <f>+L9-L11</f>
        <v>16630586.280000005</v>
      </c>
      <c r="M12" s="117">
        <f>+M9-M11</f>
        <v>17964200.913120009</v>
      </c>
      <c r="N12" s="117">
        <f>+N9-N11</f>
        <v>19042052.967907205</v>
      </c>
      <c r="O12" s="117">
        <f>+O9-O11</f>
        <v>20374996.675660707</v>
      </c>
      <c r="P12" s="116">
        <f>+IF(ISERROR((O12/J12)^(1/($O$8-$J$8))-1),"-",(O12/J12)^(1/($O$8-$J$8))-1)</f>
        <v>3.6043269236463615E-2</v>
      </c>
      <c r="Q12" s="78"/>
    </row>
    <row r="13" spans="1:17">
      <c r="A13" s="118" t="s">
        <v>633</v>
      </c>
      <c r="B13" s="78"/>
      <c r="C13" s="78"/>
      <c r="D13" s="119">
        <f>+IF(ISERROR(D12/D9),0,D12/D9)</f>
        <v>0.59493248874812465</v>
      </c>
      <c r="E13" s="119">
        <f>+IF(ISERROR(E12/E9),0,E12/E9)</f>
        <v>0.50155252211611689</v>
      </c>
      <c r="F13" s="119">
        <f>+IF(ISERROR(F12/F9),0,F12/F9)</f>
        <v>0.48382324871158616</v>
      </c>
      <c r="G13" s="119">
        <f>+IF(ISERROR(G12/G9),0,G12/G9)</f>
        <v>0.63939674183680728</v>
      </c>
      <c r="H13" s="119">
        <f>+IF(ISERROR(H12/H9),0,H12/H9)</f>
        <v>0.60061406698177999</v>
      </c>
      <c r="I13" s="120"/>
      <c r="J13" s="121">
        <f>+IF(ISERROR(J12/J9),0,J12/J9)</f>
        <v>0.62268349627900188</v>
      </c>
      <c r="K13" s="119">
        <f>+IF(ISERROR(K12/K9),0,K12/K9)</f>
        <v>0.52</v>
      </c>
      <c r="L13" s="119">
        <f>+IF(ISERROR(L12/L9),0,L12/L9)</f>
        <v>0.52500000000000002</v>
      </c>
      <c r="M13" s="119">
        <f>+IF(ISERROR(M12/M9),0,M12/M9)</f>
        <v>0.53000000000000014</v>
      </c>
      <c r="N13" s="119">
        <f>+IF(ISERROR(N12/N9),0,N12/N9)</f>
        <v>0.53</v>
      </c>
      <c r="O13" s="119">
        <f>+IF(ISERROR(O12/O9),0,O12/O9)</f>
        <v>0.53499999999999992</v>
      </c>
      <c r="P13" s="120"/>
      <c r="Q13" s="234"/>
    </row>
    <row r="14" spans="1:17">
      <c r="A14" s="122" t="s">
        <v>635</v>
      </c>
      <c r="B14" s="78"/>
      <c r="C14" s="78"/>
      <c r="D14" s="272">
        <f>PitchBook_IS!R23</f>
        <v>4052000</v>
      </c>
      <c r="E14" s="272">
        <f>PitchBook_IS!Q23</f>
        <v>3924000</v>
      </c>
      <c r="F14" s="272">
        <f>PitchBook_IS!P23</f>
        <v>4503000</v>
      </c>
      <c r="G14" s="272">
        <f>PitchBook_IS!O23</f>
        <v>5879000</v>
      </c>
      <c r="H14" s="272">
        <f>PitchBook_IS!N23</f>
        <v>5462000</v>
      </c>
      <c r="I14" s="116"/>
      <c r="J14" s="272">
        <f>PitchBook_IS!M23</f>
        <v>6580000</v>
      </c>
      <c r="K14" s="123">
        <f>K9*K55</f>
        <v>7105190.4000000004</v>
      </c>
      <c r="L14" s="123">
        <f>L9*L55</f>
        <v>7602553.7280000011</v>
      </c>
      <c r="M14" s="123">
        <f>M9*M55</f>
        <v>8134732.4889600025</v>
      </c>
      <c r="N14" s="123">
        <f>N9*N55</f>
        <v>8622816.4382976014</v>
      </c>
      <c r="O14" s="123">
        <f>O9*O55</f>
        <v>9140185.4245954584</v>
      </c>
      <c r="P14" s="116"/>
      <c r="Q14" s="235"/>
    </row>
    <row r="15" spans="1:17">
      <c r="A15" s="124" t="s">
        <v>636</v>
      </c>
      <c r="B15" s="125"/>
      <c r="C15" s="125"/>
      <c r="D15" s="117">
        <f>D12-D14</f>
        <v>6655000</v>
      </c>
      <c r="E15" s="117">
        <f>E12-E14</f>
        <v>4637000</v>
      </c>
      <c r="F15" s="117">
        <f>F12-F14</f>
        <v>5636000</v>
      </c>
      <c r="G15" s="117">
        <f>G12-G14</f>
        <v>12097000</v>
      </c>
      <c r="H15" s="117">
        <f>H12-H14</f>
        <v>9405000</v>
      </c>
      <c r="I15" s="116">
        <f>+IF(ISERROR((H15/D15)^(1/($H$8-$D$8))-1),"-",(H15/D15)^(1/($H$8-$D$8))-1)</f>
        <v>9.0316752584146176E-2</v>
      </c>
      <c r="J15" s="126">
        <f>J12-J14</f>
        <v>10489000</v>
      </c>
      <c r="K15" s="126">
        <f>K12-K14</f>
        <v>8289388.8000000026</v>
      </c>
      <c r="L15" s="126">
        <f>L12-L14</f>
        <v>9028032.5520000048</v>
      </c>
      <c r="M15" s="126">
        <f>M12-M14</f>
        <v>9829468.4241600074</v>
      </c>
      <c r="N15" s="126">
        <f>N12-N14</f>
        <v>10419236.529609604</v>
      </c>
      <c r="O15" s="126">
        <f>O12-O14</f>
        <v>11234811.251065249</v>
      </c>
      <c r="P15" s="116">
        <f>+IF(ISERROR((O15/J15)^(1/($O$8-$J$8))-1),"-",(O15/J15)^(1/($O$8-$J$8))-1)</f>
        <v>1.3832803277262995E-2</v>
      </c>
      <c r="Q15" s="78"/>
    </row>
    <row r="16" spans="1:17">
      <c r="A16" s="118" t="s">
        <v>633</v>
      </c>
      <c r="B16" s="78"/>
      <c r="C16" s="78"/>
      <c r="D16" s="119">
        <f>+IF(ISERROR(D15/D9),0,D15/D9)</f>
        <v>0.36978385286436627</v>
      </c>
      <c r="E16" s="119">
        <f>+IF(ISERROR(E15/E9),0,E15/E9)</f>
        <v>0.27166207745034859</v>
      </c>
      <c r="F16" s="119">
        <f>+IF(ISERROR(F15/F9),0,F15/F9)</f>
        <v>0.26894445504867343</v>
      </c>
      <c r="G16" s="119">
        <f>+IF(ISERROR(G15/G9),0,G15/G9)</f>
        <v>0.43028384434801165</v>
      </c>
      <c r="H16" s="119">
        <f>+IF(ISERROR(H15/H9),0,H15/H9)</f>
        <v>0.37995394497636648</v>
      </c>
      <c r="I16" s="120"/>
      <c r="J16" s="121">
        <f>+IF(ISERROR(J15/J9),0,J15/J9)</f>
        <v>0.38264263826061579</v>
      </c>
      <c r="K16" s="119">
        <f>+IF(ISERROR(K15/K9),0,K15/K9)</f>
        <v>0.28000000000000003</v>
      </c>
      <c r="L16" s="119">
        <f>+IF(ISERROR(L15/L9),0,L15/L9)</f>
        <v>0.28500000000000009</v>
      </c>
      <c r="M16" s="119">
        <f>+IF(ISERROR(M15/M9),0,M15/M9)</f>
        <v>0.29000000000000015</v>
      </c>
      <c r="N16" s="119">
        <f>+IF(ISERROR(N15/N9),0,N15/N9)</f>
        <v>0.29000000000000004</v>
      </c>
      <c r="O16" s="119">
        <f>+IF(ISERROR(O15/O9),0,O15/O9)</f>
        <v>0.29499999999999993</v>
      </c>
      <c r="P16" s="120"/>
      <c r="Q16" s="234"/>
    </row>
    <row r="17" spans="1:17">
      <c r="A17" s="78" t="s">
        <v>637</v>
      </c>
      <c r="B17" s="78"/>
      <c r="C17" s="78"/>
      <c r="D17" s="123">
        <f>+D15*D57</f>
        <v>119789.99999999999</v>
      </c>
      <c r="E17" s="123">
        <f>+E15*E57</f>
        <v>510070</v>
      </c>
      <c r="F17" s="123">
        <f>+F15*F57</f>
        <v>862308</v>
      </c>
      <c r="G17" s="123">
        <f>+G15*G57</f>
        <v>1669386.0000000002</v>
      </c>
      <c r="H17" s="123">
        <f>+H15*H57</f>
        <v>526680</v>
      </c>
      <c r="I17" s="116"/>
      <c r="J17" s="127">
        <f>+J15*J57</f>
        <v>1856553</v>
      </c>
      <c r="K17" s="127">
        <f>+K15*K57</f>
        <v>1467221.8176000004</v>
      </c>
      <c r="L17" s="127">
        <f>+L15*L57</f>
        <v>1597961.7617040009</v>
      </c>
      <c r="M17" s="127">
        <f>+M15*M57</f>
        <v>1739815.9110763213</v>
      </c>
      <c r="N17" s="127">
        <f>+N15*N57</f>
        <v>1844204.8657408997</v>
      </c>
      <c r="O17" s="127">
        <f>+O15*O57</f>
        <v>1988561.5914385489</v>
      </c>
      <c r="P17" s="116"/>
      <c r="Q17" s="235" t="s">
        <v>704</v>
      </c>
    </row>
    <row r="18" spans="1:17">
      <c r="A18" s="124" t="s">
        <v>638</v>
      </c>
      <c r="B18" s="125"/>
      <c r="C18" s="125"/>
      <c r="D18" s="117">
        <f t="shared" ref="D18:E18" si="2">+D15-D17</f>
        <v>6535210</v>
      </c>
      <c r="E18" s="117">
        <f t="shared" si="2"/>
        <v>4126930</v>
      </c>
      <c r="F18" s="117">
        <f>+F15-F17</f>
        <v>4773692</v>
      </c>
      <c r="G18" s="117">
        <f>+G15-G17</f>
        <v>10427614</v>
      </c>
      <c r="H18" s="117">
        <f>+H15-H17</f>
        <v>8878320</v>
      </c>
      <c r="I18" s="116">
        <f>+IF(ISERROR((H18/D18)^(1/($H$8-$D$8))-1),"-",(H18/D18)^(1/($H$8-$D$8))-1)</f>
        <v>7.9612269737245667E-2</v>
      </c>
      <c r="J18" s="126">
        <f t="shared" ref="J18:O18" si="3">+J15-J17</f>
        <v>8632447</v>
      </c>
      <c r="K18" s="117">
        <f t="shared" si="3"/>
        <v>6822166.982400002</v>
      </c>
      <c r="L18" s="117">
        <f t="shared" si="3"/>
        <v>7430070.7902960042</v>
      </c>
      <c r="M18" s="117">
        <f t="shared" si="3"/>
        <v>8089652.5130836861</v>
      </c>
      <c r="N18" s="117">
        <f t="shared" si="3"/>
        <v>8575031.6638687048</v>
      </c>
      <c r="O18" s="117">
        <f t="shared" si="3"/>
        <v>9246249.6596267</v>
      </c>
      <c r="P18" s="116">
        <f>+IF(ISERROR((O18/J18)^(1/($O$8-$J$8))-1),"-",(O18/J18)^(1/($O$8-$J$8))-1)</f>
        <v>1.3832803277262995E-2</v>
      </c>
      <c r="Q18" s="78"/>
    </row>
    <row r="19" spans="1:17">
      <c r="A19" s="78" t="s">
        <v>639</v>
      </c>
      <c r="B19" s="78"/>
      <c r="C19" s="78"/>
      <c r="D19" s="129">
        <f t="shared" ref="D19:E19" si="4">D14</f>
        <v>4052000</v>
      </c>
      <c r="E19" s="129">
        <f t="shared" si="4"/>
        <v>3924000</v>
      </c>
      <c r="F19" s="129">
        <f>F14</f>
        <v>4503000</v>
      </c>
      <c r="G19" s="129">
        <f>G14</f>
        <v>5879000</v>
      </c>
      <c r="H19" s="129">
        <f>H14</f>
        <v>5462000</v>
      </c>
      <c r="I19" s="125"/>
      <c r="J19" s="130">
        <f>J14</f>
        <v>6580000</v>
      </c>
      <c r="K19" s="129">
        <f>K14</f>
        <v>7105190.4000000004</v>
      </c>
      <c r="L19" s="129">
        <f>L14</f>
        <v>7602553.7280000011</v>
      </c>
      <c r="M19" s="129">
        <f>M14</f>
        <v>8134732.4889600025</v>
      </c>
      <c r="N19" s="129">
        <f>N14</f>
        <v>8622816.4382976014</v>
      </c>
      <c r="O19" s="129">
        <f>O14</f>
        <v>9140185.4245954584</v>
      </c>
      <c r="P19" s="116"/>
      <c r="Q19" s="78"/>
    </row>
    <row r="20" spans="1:17">
      <c r="A20" s="78" t="s">
        <v>678</v>
      </c>
      <c r="B20" s="78"/>
      <c r="C20" s="78"/>
      <c r="D20" s="131">
        <f>-D9*D56</f>
        <v>-3329445</v>
      </c>
      <c r="E20" s="131">
        <f>-E9*E56</f>
        <v>-3157765</v>
      </c>
      <c r="F20" s="131">
        <f>-F9*F56</f>
        <v>-3876860</v>
      </c>
      <c r="G20" s="131">
        <f>-G9*G56</f>
        <v>-5201090</v>
      </c>
      <c r="H20" s="131">
        <f>-H9*H56</f>
        <v>-4579305</v>
      </c>
      <c r="I20" s="131"/>
      <c r="J20" s="131">
        <f>-J9*J56</f>
        <v>-5071220</v>
      </c>
      <c r="K20" s="131">
        <f>-K9*K56</f>
        <v>-5476917.6000000006</v>
      </c>
      <c r="L20" s="131">
        <f>-L9*L56</f>
        <v>-5860301.8320000013</v>
      </c>
      <c r="M20" s="131">
        <f>-M9*M56</f>
        <v>-6270522.9602400018</v>
      </c>
      <c r="N20" s="131">
        <f>-N9*N56</f>
        <v>-6646754.3378544021</v>
      </c>
      <c r="O20" s="131">
        <f>-O9*O56</f>
        <v>-7045559.5981256654</v>
      </c>
      <c r="P20" s="116"/>
      <c r="Q20" s="19" t="s">
        <v>713</v>
      </c>
    </row>
    <row r="21" spans="1:17">
      <c r="A21" s="78" t="s">
        <v>640</v>
      </c>
      <c r="B21" s="78"/>
      <c r="C21" s="78"/>
      <c r="D21" s="191"/>
      <c r="E21" s="132">
        <f>-NWC!D25</f>
        <v>-713000</v>
      </c>
      <c r="F21" s="132">
        <f>-NWC!E25</f>
        <v>229000</v>
      </c>
      <c r="G21" s="132">
        <f>-NWC!F25</f>
        <v>-1238000</v>
      </c>
      <c r="H21" s="132">
        <f>-NWC!G25</f>
        <v>425000</v>
      </c>
      <c r="I21" s="191"/>
      <c r="J21" s="132">
        <f>-NWC!H25</f>
        <v>-690000</v>
      </c>
      <c r="K21" s="132">
        <f>-NWC!I25</f>
        <v>-1210806.1961643845</v>
      </c>
      <c r="L21" s="132">
        <f>-NWC!J25</f>
        <v>-270408.86580822058</v>
      </c>
      <c r="M21" s="132">
        <f>-NWC!K25</f>
        <v>-286770.7566601634</v>
      </c>
      <c r="N21" s="132">
        <f>-NWC!L25</f>
        <v>-296639.14911796525</v>
      </c>
      <c r="O21" s="132">
        <f>-NWC!M25</f>
        <v>-270353.84119413793</v>
      </c>
      <c r="P21" s="116"/>
      <c r="Q21" s="78"/>
    </row>
    <row r="22" spans="1:17">
      <c r="A22" s="78"/>
      <c r="B22" s="78"/>
      <c r="C22" s="78"/>
      <c r="D22" s="78"/>
      <c r="E22" s="78"/>
      <c r="F22" s="129"/>
      <c r="G22" s="129"/>
      <c r="H22" s="129"/>
      <c r="I22" s="129"/>
      <c r="J22" s="194"/>
      <c r="K22" s="129"/>
      <c r="L22" s="129"/>
      <c r="M22" s="133"/>
      <c r="N22" s="133"/>
      <c r="O22" s="133"/>
      <c r="P22" s="116"/>
      <c r="Q22" s="78"/>
    </row>
    <row r="23" spans="1:17">
      <c r="A23" s="124" t="s">
        <v>641</v>
      </c>
      <c r="B23" s="125"/>
      <c r="C23" s="125"/>
      <c r="D23" s="117"/>
      <c r="E23" s="117">
        <f>+E18+SUM(E19:E21)</f>
        <v>4180165</v>
      </c>
      <c r="F23" s="117">
        <f>+F18+SUM(F19:F21)</f>
        <v>5628832</v>
      </c>
      <c r="G23" s="117">
        <f>+G18+SUM(G19:G21)</f>
        <v>9867524</v>
      </c>
      <c r="H23" s="117">
        <f>+H18+SUM(H19:H21)</f>
        <v>10186015</v>
      </c>
      <c r="I23" s="117"/>
      <c r="J23" s="117">
        <f>+J18+SUM(J19:J21)</f>
        <v>9451227</v>
      </c>
      <c r="K23" s="117">
        <f>+K18+SUM(K19:K21)</f>
        <v>7239633.5862356173</v>
      </c>
      <c r="L23" s="117">
        <f>+L18+SUM(L19:L21)</f>
        <v>8901913.8204877824</v>
      </c>
      <c r="M23" s="117">
        <f>+M18+SUM(M19:M21)</f>
        <v>9667091.2851435244</v>
      </c>
      <c r="N23" s="117">
        <f>+N18+SUM(N19:N21)</f>
        <v>10254454.615193939</v>
      </c>
      <c r="O23" s="117">
        <f>+O18+SUM(O19:O21)</f>
        <v>11070521.644902356</v>
      </c>
      <c r="P23" s="116"/>
    </row>
    <row r="24" spans="1:17">
      <c r="A24" s="134" t="s">
        <v>605</v>
      </c>
      <c r="B24" s="135"/>
      <c r="C24" s="306">
        <f>'Comparables&amp;WACC'!D26</f>
        <v>5.7490425008101746E-2</v>
      </c>
      <c r="D24" s="135"/>
      <c r="E24" s="135"/>
      <c r="G24" s="135"/>
      <c r="H24" s="136"/>
      <c r="I24" s="136"/>
      <c r="J24" s="116"/>
      <c r="K24" s="137"/>
      <c r="L24" s="137"/>
      <c r="M24" s="137"/>
      <c r="N24" s="137"/>
      <c r="O24" s="137"/>
      <c r="P24" s="116"/>
    </row>
    <row r="25" spans="1:17">
      <c r="A25" s="134" t="s">
        <v>642</v>
      </c>
      <c r="B25" s="135"/>
      <c r="C25" s="135"/>
      <c r="D25" s="135"/>
      <c r="E25" s="193"/>
      <c r="F25" s="193"/>
      <c r="G25" s="193"/>
      <c r="H25" s="193"/>
      <c r="I25" s="139"/>
      <c r="J25" s="116"/>
      <c r="K25" s="137">
        <f>IF($C$7="Y",K8-$J$8-0.5,K8-$J$8)</f>
        <v>0.5</v>
      </c>
      <c r="L25" s="137">
        <f>IF($C$7="Y",L8-$J$8-0.5,L8-$J$8)</f>
        <v>1.5</v>
      </c>
      <c r="M25" s="137">
        <f>IF($C$7="Y",M8-$J$8-0.5,M8-$J$8)</f>
        <v>2.5</v>
      </c>
      <c r="N25" s="137">
        <f>IF($C$7="Y",N8-$J$8-0.5,N8-$J$8)</f>
        <v>3.5</v>
      </c>
      <c r="O25" s="137">
        <f>IF($C$7="Y",O8-$J$8-0.5,O8-$J$8)</f>
        <v>4.5</v>
      </c>
      <c r="P25" s="116"/>
    </row>
    <row r="26" spans="1:17">
      <c r="A26" s="134" t="s">
        <v>643</v>
      </c>
      <c r="B26" s="78" t="s">
        <v>932</v>
      </c>
      <c r="C26" s="78"/>
      <c r="D26" s="78"/>
      <c r="E26" s="78"/>
      <c r="F26" s="78"/>
      <c r="G26" s="78"/>
      <c r="H26" s="78"/>
      <c r="I26" s="78"/>
      <c r="J26" s="140"/>
      <c r="K26" s="141">
        <f>1/((1+$C$24)^(K25))</f>
        <v>0.97243767906585743</v>
      </c>
      <c r="L26" s="141">
        <f t="shared" ref="L26:O26" si="5">1/((1+$C$24)^(L25))</f>
        <v>0.91957114321711941</v>
      </c>
      <c r="M26" s="141">
        <f t="shared" si="5"/>
        <v>0.8695786944927415</v>
      </c>
      <c r="N26" s="141">
        <f t="shared" si="5"/>
        <v>0.82230408326021431</v>
      </c>
      <c r="O26" s="141">
        <f t="shared" si="5"/>
        <v>0.77759955439210193</v>
      </c>
      <c r="P26" s="142"/>
    </row>
    <row r="27" spans="1:17">
      <c r="A27" s="203" t="s">
        <v>912</v>
      </c>
      <c r="B27" s="204"/>
      <c r="C27" s="204"/>
      <c r="D27" s="204"/>
      <c r="E27" s="204"/>
      <c r="F27" s="205"/>
      <c r="G27" s="204"/>
      <c r="H27" s="204"/>
      <c r="I27" s="206"/>
      <c r="J27" s="207"/>
      <c r="K27" s="208">
        <f>+K23*K26</f>
        <v>7040092.4818861941</v>
      </c>
      <c r="L27" s="208">
        <f>+L23*L26</f>
        <v>8185943.0687262248</v>
      </c>
      <c r="M27" s="208">
        <f>+M23*M26</f>
        <v>8406296.6192772649</v>
      </c>
      <c r="N27" s="208">
        <f>+N23*N26</f>
        <v>8432279.9016805254</v>
      </c>
      <c r="O27" s="208">
        <f>+O23*O26</f>
        <v>8608432.6979641914</v>
      </c>
      <c r="P27" s="139"/>
    </row>
    <row r="28" spans="1:17">
      <c r="A28" t="s">
        <v>913</v>
      </c>
      <c r="D28" s="491">
        <f>'Financial Statements'!D14</f>
        <v>1950000</v>
      </c>
      <c r="E28" s="491">
        <f>'Financial Statements'!E14</f>
        <v>1270000</v>
      </c>
      <c r="F28" s="491">
        <f>'Financial Statements'!F14</f>
        <v>585000</v>
      </c>
      <c r="G28" s="491">
        <f>'Financial Statements'!G14</f>
        <v>3324000</v>
      </c>
      <c r="H28" s="491">
        <f>'Financial Statements'!H14</f>
        <v>2235000</v>
      </c>
      <c r="J28" s="491">
        <f>'Financial Statements'!I14</f>
        <v>4572000</v>
      </c>
      <c r="K28" s="491">
        <f>'Financial Statements'!J14</f>
        <v>5532285.8241875935</v>
      </c>
      <c r="L28" s="491">
        <f>'Financial Statements'!K14</f>
        <v>6260857.943095997</v>
      </c>
      <c r="M28" s="491">
        <f>'Financial Statements'!L14</f>
        <v>7055712.0924101369</v>
      </c>
      <c r="N28" s="491">
        <f>'Financial Statements'!M14</f>
        <v>7794225.5498589706</v>
      </c>
      <c r="O28" s="491">
        <f>'Financial Statements'!N14</f>
        <v>8593918.8033889029</v>
      </c>
      <c r="P28" s="491"/>
    </row>
    <row r="29" spans="1:17">
      <c r="A29" s="124" t="s">
        <v>918</v>
      </c>
      <c r="B29" s="125"/>
      <c r="C29" s="125"/>
      <c r="D29" s="117"/>
      <c r="E29" s="117">
        <f>+E18+SUM(E19:E21)+E28</f>
        <v>5450165</v>
      </c>
      <c r="F29" s="117">
        <f>+F18+SUM(F19:F21)+F28</f>
        <v>6213832</v>
      </c>
      <c r="G29" s="117">
        <f>+G18+SUM(G19:G21)+G28</f>
        <v>13191524</v>
      </c>
      <c r="H29" s="117">
        <f>+H18+SUM(H19:H21)+H28</f>
        <v>12421015</v>
      </c>
      <c r="I29" s="117"/>
      <c r="J29" s="117">
        <f>+J18+SUM(J19:J21)+J28</f>
        <v>14023227</v>
      </c>
      <c r="K29" s="117">
        <f>+K18+SUM(K19:K21)+K28</f>
        <v>12771919.410423212</v>
      </c>
      <c r="L29" s="117">
        <f>+L18+SUM(L19:L21)+L28</f>
        <v>15162771.763583779</v>
      </c>
      <c r="M29" s="117">
        <f>+M18+SUM(M19:M21)+M28</f>
        <v>16722803.37755366</v>
      </c>
      <c r="N29" s="117">
        <f>+N18+SUM(N19:N21)+N28</f>
        <v>18048680.165052909</v>
      </c>
      <c r="O29" s="117">
        <f>+O18+SUM(O19:O21)+O28</f>
        <v>19664440.448291257</v>
      </c>
      <c r="P29" s="139"/>
    </row>
    <row r="30" spans="1:17">
      <c r="A30" s="203" t="s">
        <v>862</v>
      </c>
      <c r="B30" s="204"/>
      <c r="C30" s="204"/>
      <c r="D30" s="204"/>
      <c r="E30" s="204"/>
      <c r="F30" s="205"/>
      <c r="G30" s="204"/>
      <c r="H30" s="204"/>
      <c r="I30" s="206"/>
      <c r="J30" s="207"/>
      <c r="K30" s="208">
        <f>K29*K26</f>
        <v>12419895.668688122</v>
      </c>
      <c r="L30" s="208">
        <f t="shared" ref="L30:O30" si="6">L29*L26</f>
        <v>13943247.364978993</v>
      </c>
      <c r="M30" s="208">
        <f>M29*M26</f>
        <v>14541793.52931192</v>
      </c>
      <c r="N30" s="208">
        <f t="shared" si="6"/>
        <v>14841503.397180647</v>
      </c>
      <c r="O30" s="208">
        <f t="shared" si="6"/>
        <v>15291060.129961306</v>
      </c>
      <c r="P30" s="139"/>
    </row>
    <row r="31" spans="1:17">
      <c r="A31" s="145" t="s">
        <v>920</v>
      </c>
      <c r="O31" s="491">
        <f>(O29*(1+O43)/(C24-O43))*O26</f>
        <v>465240760.28591841</v>
      </c>
      <c r="P31" s="139"/>
    </row>
    <row r="32" spans="1:17">
      <c r="A32" t="s">
        <v>922</v>
      </c>
      <c r="D32" s="491">
        <f>'Financial Statements'!D66+'Financial Statements'!D67</f>
        <v>6301000</v>
      </c>
      <c r="E32" s="491">
        <f>'Financial Statements'!E66+'Financial Statements'!E67</f>
        <v>7089000</v>
      </c>
      <c r="F32" s="491">
        <f>'Financial Statements'!F66+'Financial Statements'!F67</f>
        <v>9331000</v>
      </c>
      <c r="G32" s="491">
        <f>'Financial Statements'!G66+'Financial Statements'!G67</f>
        <v>5879000</v>
      </c>
      <c r="H32" s="491">
        <f>'Financial Statements'!H66+'Financial Statements'!H67</f>
        <v>14656000</v>
      </c>
      <c r="I32" s="491"/>
      <c r="J32" s="491">
        <f>'Financial Statements'!I66+'Financial Statements'!I67</f>
        <v>13047000</v>
      </c>
      <c r="K32" s="491">
        <f>'Financial Statements'!J66+'Financial Statements'!J67</f>
        <v>14438400</v>
      </c>
      <c r="L32" s="491">
        <f>'Financial Statements'!K66+'Financial Statements'!K67</f>
        <v>12557399.184799997</v>
      </c>
      <c r="M32" s="491">
        <f>'Financial Statements'!L66+'Financial Statements'!L67</f>
        <v>11130277.472617999</v>
      </c>
      <c r="N32" s="491">
        <f>'Financial Statements'!M66+'Financial Statements'!M67</f>
        <v>9573323.0063892771</v>
      </c>
      <c r="O32" s="491">
        <f>'Financial Statements'!N66+'Financial Statements'!N67</f>
        <v>8126728.2733339891</v>
      </c>
      <c r="P32" s="139"/>
    </row>
    <row r="33" spans="1:16">
      <c r="A33" s="124" t="s">
        <v>919</v>
      </c>
      <c r="D33" s="491"/>
      <c r="E33" s="528">
        <f>E23+E28+E32</f>
        <v>12539165</v>
      </c>
      <c r="F33" s="528">
        <f t="shared" ref="F33:O33" si="7">F23+F28+F32</f>
        <v>15544832</v>
      </c>
      <c r="G33" s="528">
        <f t="shared" si="7"/>
        <v>19070524</v>
      </c>
      <c r="H33" s="528">
        <f t="shared" si="7"/>
        <v>27077015</v>
      </c>
      <c r="I33" s="528"/>
      <c r="J33" s="528">
        <f t="shared" si="7"/>
        <v>27070227</v>
      </c>
      <c r="K33" s="528">
        <f t="shared" si="7"/>
        <v>27210319.410423212</v>
      </c>
      <c r="L33" s="528">
        <f t="shared" si="7"/>
        <v>27720170.948383778</v>
      </c>
      <c r="M33" s="528">
        <f t="shared" si="7"/>
        <v>27853080.850171659</v>
      </c>
      <c r="N33" s="528">
        <f t="shared" si="7"/>
        <v>27622003.171442188</v>
      </c>
      <c r="O33" s="528">
        <f t="shared" si="7"/>
        <v>27791168.721625246</v>
      </c>
      <c r="P33" s="139"/>
    </row>
    <row r="34" spans="1:16">
      <c r="A34" s="203" t="s">
        <v>862</v>
      </c>
      <c r="B34" s="204"/>
      <c r="C34" s="204"/>
      <c r="D34" s="204"/>
      <c r="E34" s="526"/>
      <c r="F34" s="205"/>
      <c r="G34" s="204"/>
      <c r="H34" s="204"/>
      <c r="I34" s="206"/>
      <c r="J34" s="207"/>
      <c r="K34" s="208">
        <f>K33*K26</f>
        <v>26460339.854112599</v>
      </c>
      <c r="L34" s="208">
        <f t="shared" ref="L34:O34" si="8">L33*L26</f>
        <v>25490669.289179251</v>
      </c>
      <c r="M34" s="208">
        <f t="shared" si="8"/>
        <v>24220445.683293048</v>
      </c>
      <c r="N34" s="208">
        <f t="shared" si="8"/>
        <v>22713685.9957035</v>
      </c>
      <c r="O34" s="208">
        <f t="shared" si="8"/>
        <v>21610400.413971514</v>
      </c>
      <c r="P34" s="139"/>
    </row>
    <row r="35" spans="1:16">
      <c r="A35" s="145" t="s">
        <v>921</v>
      </c>
      <c r="O35" s="491">
        <f>(O33*(1+O43))/(C24-O43)*O26</f>
        <v>657510926.85714734</v>
      </c>
      <c r="P35" s="139"/>
    </row>
    <row r="37" spans="1:16">
      <c r="A37" s="455" t="s">
        <v>917</v>
      </c>
      <c r="B37" s="455"/>
      <c r="C37" s="455"/>
      <c r="D37" s="455"/>
      <c r="E37" s="78"/>
      <c r="F37" s="202" t="s">
        <v>683</v>
      </c>
      <c r="G37" s="202"/>
      <c r="H37" s="202"/>
      <c r="I37" s="202"/>
      <c r="J37" s="202"/>
      <c r="L37" s="202" t="s">
        <v>684</v>
      </c>
      <c r="M37" s="202"/>
      <c r="N37" s="202"/>
      <c r="O37" s="202"/>
    </row>
    <row r="38" spans="1:16">
      <c r="H38" s="524" t="s">
        <v>914</v>
      </c>
      <c r="I38" s="524" t="s">
        <v>915</v>
      </c>
      <c r="J38" s="524" t="s">
        <v>916</v>
      </c>
    </row>
    <row r="39" spans="1:16">
      <c r="A39" s="145" t="s">
        <v>685</v>
      </c>
      <c r="B39" s="145"/>
      <c r="C39" s="145"/>
      <c r="D39" s="117">
        <f>+SUM(K27:O27)</f>
        <v>40673044.769534402</v>
      </c>
      <c r="E39" s="78"/>
      <c r="F39" s="78" t="s">
        <v>682</v>
      </c>
      <c r="G39" s="78"/>
      <c r="H39" s="230">
        <f>+D49</f>
        <v>302590383.34723288</v>
      </c>
      <c r="I39" s="525">
        <f>SUM(K29:O29,O31)</f>
        <v>547611375.45082319</v>
      </c>
      <c r="J39" s="527">
        <f>SUM(K34:O34,O35)</f>
        <v>778006468.09340727</v>
      </c>
      <c r="L39" s="78" t="str">
        <f>"Terminal Year Free Cash Flow ("&amp;M4&amp;"E)"</f>
        <v>Terminal Year Free Cash Flow (E)</v>
      </c>
      <c r="M39" s="78"/>
      <c r="N39" s="78"/>
      <c r="O39" s="156">
        <f>O27</f>
        <v>8608432.6979641914</v>
      </c>
    </row>
    <row r="40" spans="1:16">
      <c r="A40" s="197"/>
      <c r="B40" s="100"/>
      <c r="C40" s="100"/>
      <c r="D40" s="198"/>
      <c r="E40" s="78"/>
      <c r="F40" s="78" t="s">
        <v>686</v>
      </c>
      <c r="G40" s="78"/>
      <c r="H40" s="279">
        <f>-PitchBook_BS!M175</f>
        <v>-95619000</v>
      </c>
      <c r="I40" s="279">
        <f>-PitchBook_BS!M175</f>
        <v>-95619000</v>
      </c>
      <c r="J40" s="279">
        <f>-PitchBook_BS!M175</f>
        <v>-95619000</v>
      </c>
      <c r="L40" s="78" t="s">
        <v>607</v>
      </c>
      <c r="M40" s="78"/>
      <c r="N40" s="78"/>
      <c r="O40" s="339">
        <f>C24</f>
        <v>5.7490425008101746E-2</v>
      </c>
      <c r="P40" s="19" t="s">
        <v>707</v>
      </c>
    </row>
    <row r="41" spans="1:16">
      <c r="A41" s="199" t="s">
        <v>687</v>
      </c>
      <c r="B41" s="199"/>
      <c r="C41" s="199"/>
      <c r="D41" s="199"/>
      <c r="E41" s="78"/>
      <c r="F41" s="78" t="s">
        <v>688</v>
      </c>
      <c r="G41" s="78"/>
      <c r="H41" s="279">
        <v>0</v>
      </c>
      <c r="I41" s="279">
        <v>0</v>
      </c>
      <c r="J41" s="279">
        <v>0</v>
      </c>
      <c r="L41" s="78" t="str">
        <f>+A41</f>
        <v>Terminal Value</v>
      </c>
      <c r="M41" s="78"/>
      <c r="N41" s="78"/>
      <c r="O41" s="156">
        <f>+D44</f>
        <v>346374943.48623204</v>
      </c>
    </row>
    <row r="42" spans="1:16">
      <c r="A42" s="78" t="str">
        <f>"Terminal Year EBITDA ("&amp;M4&amp;"E)"</f>
        <v>Terminal Year EBITDA (E)</v>
      </c>
      <c r="B42" s="100"/>
      <c r="C42" s="100"/>
      <c r="D42" s="230">
        <f>O12</f>
        <v>20374996.675660707</v>
      </c>
      <c r="E42" s="78"/>
      <c r="F42" s="78" t="s">
        <v>689</v>
      </c>
      <c r="G42" s="78"/>
      <c r="H42" s="279">
        <f>-PitchBook_BS!M141</f>
        <v>-11871000</v>
      </c>
      <c r="I42" s="279">
        <f>-PitchBook_BS!M141</f>
        <v>-11871000</v>
      </c>
      <c r="J42" s="279">
        <f>-PitchBook_BS!M141</f>
        <v>-11871000</v>
      </c>
      <c r="L42" s="125"/>
      <c r="M42" s="125"/>
      <c r="N42" s="125"/>
      <c r="O42" s="125"/>
      <c r="P42" s="19" t="s">
        <v>708</v>
      </c>
    </row>
    <row r="43" spans="1:16">
      <c r="A43" s="100" t="s">
        <v>690</v>
      </c>
      <c r="B43" s="100"/>
      <c r="C43" s="100"/>
      <c r="D43" s="278">
        <v>17</v>
      </c>
      <c r="E43" s="78"/>
      <c r="F43" s="78" t="s">
        <v>691</v>
      </c>
      <c r="G43" s="78"/>
      <c r="H43" s="280">
        <f>PitchBook_BS!M14</f>
        <v>2812000</v>
      </c>
      <c r="I43" s="280">
        <f>PitchBook_BS!M14</f>
        <v>2812000</v>
      </c>
      <c r="J43" s="280">
        <f>PitchBook_BS!M14</f>
        <v>2812000</v>
      </c>
      <c r="L43" s="106" t="s">
        <v>684</v>
      </c>
      <c r="M43" s="78"/>
      <c r="N43" s="78"/>
      <c r="O43" s="228">
        <f>+IF(ISERROR(IF(C7="Y",((D44*C24)-O23*(1+C24)^0.5)/(D44+O23*(1+C24)^0.5),((O41*O40)-O39)/(O41+O39))),"- %",IF(C7="Y",((D44*C24)-O23*(1+C24)^0.5)/(D44+O23*(1+C24)^0.5),((O41*O40)-O39)/(O41+O39)))</f>
        <v>2.38398965963461E-2</v>
      </c>
      <c r="P43" s="19" t="s">
        <v>709</v>
      </c>
    </row>
    <row r="44" spans="1:16">
      <c r="A44" s="145" t="s">
        <v>692</v>
      </c>
      <c r="B44" s="145"/>
      <c r="C44" s="145"/>
      <c r="D44" s="117">
        <f>D42*D43</f>
        <v>346374943.48623204</v>
      </c>
      <c r="E44" s="78"/>
      <c r="F44" s="106" t="s">
        <v>694</v>
      </c>
      <c r="G44" s="78"/>
      <c r="H44" s="232">
        <f>+H39+SUM(H40:H43)</f>
        <v>197912383.34723288</v>
      </c>
      <c r="I44" s="232">
        <f>+I39+SUM(I40:I43)</f>
        <v>442933375.45082319</v>
      </c>
      <c r="J44" s="232">
        <f>+J39+SUM(J40:J43)</f>
        <v>673328468.09340727</v>
      </c>
      <c r="L44" s="78"/>
      <c r="M44" s="78"/>
      <c r="N44" s="78"/>
      <c r="O44" s="78"/>
      <c r="P44" s="19" t="s">
        <v>705</v>
      </c>
    </row>
    <row r="45" spans="1:16">
      <c r="A45" s="100" t="s">
        <v>693</v>
      </c>
      <c r="B45" s="100"/>
      <c r="C45" s="100"/>
      <c r="D45" s="200">
        <f>1/((1+C24)^5)</f>
        <v>0.75616710591570069</v>
      </c>
      <c r="E45" s="78"/>
      <c r="I45" s="78"/>
      <c r="L45" s="202" t="s">
        <v>695</v>
      </c>
      <c r="M45" s="202"/>
      <c r="N45" s="202"/>
      <c r="O45" s="202"/>
    </row>
    <row r="46" spans="1:16">
      <c r="A46" s="145" t="s">
        <v>696</v>
      </c>
      <c r="B46" s="145"/>
      <c r="C46" s="145"/>
      <c r="D46" s="117">
        <f>+D44*D45</f>
        <v>261917338.57769847</v>
      </c>
      <c r="E46" s="78"/>
      <c r="F46" s="78"/>
      <c r="G46" s="78"/>
      <c r="H46" s="231"/>
      <c r="I46" s="78"/>
      <c r="L46" s="169" t="str">
        <f>+F39</f>
        <v>Enterprise Value</v>
      </c>
      <c r="M46" s="78"/>
      <c r="N46" s="78"/>
      <c r="O46" s="156">
        <f>D49</f>
        <v>302590383.34723288</v>
      </c>
    </row>
    <row r="47" spans="1:16">
      <c r="A47" s="197" t="s">
        <v>697</v>
      </c>
      <c r="B47" s="100"/>
      <c r="C47" s="100"/>
      <c r="D47" s="119">
        <f>+IF(ISERROR(D46/D49),"- %",D46/D49)</f>
        <v>0.86558381558722342</v>
      </c>
      <c r="E47" s="78"/>
      <c r="F47" s="78" t="s">
        <v>698</v>
      </c>
      <c r="G47" s="78"/>
      <c r="H47" s="280">
        <f>PitchBook_IS!M72/1000</f>
        <v>2070600</v>
      </c>
      <c r="I47" s="280">
        <f>PitchBook_IS!M72/1000</f>
        <v>2070600</v>
      </c>
      <c r="J47" s="280">
        <f>PitchBook_IS!M72/1000</f>
        <v>2070600</v>
      </c>
      <c r="L47" s="78" t="s">
        <v>712</v>
      </c>
      <c r="M47" s="78"/>
      <c r="N47" s="78"/>
      <c r="O47" s="281">
        <f>PitchBook_IS!M96</f>
        <v>16043000</v>
      </c>
      <c r="P47" s="19" t="s">
        <v>710</v>
      </c>
    </row>
    <row r="48" spans="1:16">
      <c r="A48" s="100"/>
      <c r="B48" s="100"/>
      <c r="C48" s="100"/>
      <c r="D48" s="201"/>
      <c r="E48" s="78"/>
      <c r="F48" s="78"/>
      <c r="G48" s="78"/>
      <c r="H48" s="231"/>
      <c r="I48" s="78"/>
      <c r="L48" s="78"/>
      <c r="M48" s="78"/>
      <c r="N48" s="78"/>
      <c r="O48" s="78"/>
      <c r="P48" s="19" t="s">
        <v>711</v>
      </c>
    </row>
    <row r="49" spans="1:16">
      <c r="A49" s="145" t="s">
        <v>699</v>
      </c>
      <c r="B49" s="145"/>
      <c r="C49" s="145"/>
      <c r="D49" s="227">
        <f>D46+D39</f>
        <v>302590383.34723288</v>
      </c>
      <c r="E49" s="78"/>
      <c r="F49" s="106" t="s">
        <v>700</v>
      </c>
      <c r="G49" s="78"/>
      <c r="H49" s="233">
        <f>H44/H47</f>
        <v>95.582142058936</v>
      </c>
      <c r="I49" s="233">
        <f t="shared" ref="I49:J49" si="9">I44/I47</f>
        <v>213.91547157868405</v>
      </c>
      <c r="J49" s="233">
        <f t="shared" si="9"/>
        <v>325.1851966064944</v>
      </c>
      <c r="L49" s="106" t="s">
        <v>695</v>
      </c>
      <c r="M49" s="78"/>
      <c r="N49" s="78"/>
      <c r="O49" s="229">
        <f>+IF(ISERROR(O46/O47),"- x",O46/O47)</f>
        <v>18.86120945878158</v>
      </c>
    </row>
    <row r="52" spans="1:16">
      <c r="A52" s="144" t="s">
        <v>649</v>
      </c>
      <c r="B52" s="145"/>
      <c r="C52" s="145"/>
      <c r="D52" s="145"/>
      <c r="E52" s="145"/>
      <c r="F52" s="146"/>
      <c r="G52" s="78"/>
      <c r="H52" s="78"/>
      <c r="I52" s="78"/>
      <c r="J52" s="147"/>
      <c r="K52" s="78"/>
      <c r="L52" s="148"/>
      <c r="M52" s="148"/>
      <c r="N52" s="148"/>
      <c r="O52" s="148"/>
    </row>
    <row r="53" spans="1:16">
      <c r="A53" s="209" t="s">
        <v>13</v>
      </c>
      <c r="B53" s="210"/>
      <c r="C53" s="210"/>
      <c r="D53" s="211" t="s">
        <v>631</v>
      </c>
      <c r="E53" s="211">
        <f>+IF(ISERROR(E9/D9-1),0,E9/D9-1)</f>
        <v>-5.1564149580485608E-2</v>
      </c>
      <c r="F53" s="211">
        <f>+IF(ISERROR(F9/E9-1),0,F9/E9-1)</f>
        <v>0.2277227722772277</v>
      </c>
      <c r="G53" s="211">
        <f>+IF(ISERROR(G9/F9-1),0,G9/F9-1)</f>
        <v>0.34157281924031313</v>
      </c>
      <c r="H53" s="211">
        <f>+IF(ISERROR(H9/G9-1),0,H9/G9-1)</f>
        <v>-0.11954897915629226</v>
      </c>
      <c r="I53" s="211"/>
      <c r="J53" s="211">
        <f>+IF(ISERROR(J9/H9-1),0,J9/H9-1)</f>
        <v>0.10742132266795945</v>
      </c>
      <c r="K53" s="212">
        <f>Assumptions1!F7</f>
        <v>0.08</v>
      </c>
      <c r="L53" s="212">
        <f>Assumptions1!G7</f>
        <v>7.0000000000000007E-2</v>
      </c>
      <c r="M53" s="212">
        <f>Assumptions1!H7</f>
        <v>7.0000000000000007E-2</v>
      </c>
      <c r="N53" s="212">
        <f>Assumptions1!I7</f>
        <v>0.06</v>
      </c>
      <c r="O53" s="213">
        <f>Assumptions1!J7</f>
        <v>0.06</v>
      </c>
    </row>
    <row r="54" spans="1:16">
      <c r="A54" s="214" t="s">
        <v>650</v>
      </c>
      <c r="B54" s="215"/>
      <c r="C54" s="215"/>
      <c r="D54" s="216">
        <f>+IF(ISERROR(D11/D9),0,D11/D9)</f>
        <v>0.40506751125187529</v>
      </c>
      <c r="E54" s="216">
        <f>+IF(ISERROR(E11/E9),0,E11/E9)</f>
        <v>0.49844747788388305</v>
      </c>
      <c r="F54" s="216">
        <f>+IF(ISERROR(F11/F9),0,F11/F9)</f>
        <v>0.51617675128841378</v>
      </c>
      <c r="G54" s="216">
        <f>+IF(ISERROR(G11/G9),0,G11/G9)</f>
        <v>0.36060325816319272</v>
      </c>
      <c r="H54" s="216">
        <f>+IF(ISERROR(H11/H9),0,H11/H9)</f>
        <v>0.39938593301822001</v>
      </c>
      <c r="I54" s="216"/>
      <c r="J54" s="216">
        <f>+IF(ISERROR(J11/J9),0,J11/J9)</f>
        <v>0.37731650372099812</v>
      </c>
      <c r="K54" s="217">
        <f>Assumptions1!F14</f>
        <v>0.48</v>
      </c>
      <c r="L54" s="217">
        <f>Assumptions1!G14</f>
        <v>0.47499999999999998</v>
      </c>
      <c r="M54" s="217">
        <f>Assumptions1!H14</f>
        <v>0.47</v>
      </c>
      <c r="N54" s="217">
        <f>Assumptions1!I14</f>
        <v>0.47</v>
      </c>
      <c r="O54" s="218">
        <f>Assumptions1!J14</f>
        <v>0.46500000000000002</v>
      </c>
    </row>
    <row r="55" spans="1:16">
      <c r="A55" s="214" t="s">
        <v>20</v>
      </c>
      <c r="B55" s="215"/>
      <c r="C55" s="215"/>
      <c r="D55" s="216">
        <f>+IF(ISERROR(D15/D9),0,D15/D9)</f>
        <v>0.36978385286436627</v>
      </c>
      <c r="E55" s="216">
        <f>+IF(ISERROR(E15/E9),0,E15/E9)</f>
        <v>0.27166207745034859</v>
      </c>
      <c r="F55" s="216">
        <f>+IF(ISERROR(F15/F9),0,F15/F9)</f>
        <v>0.26894445504867343</v>
      </c>
      <c r="G55" s="216">
        <f>+IF(ISERROR(G15/G9),0,G15/G9)</f>
        <v>0.43028384434801165</v>
      </c>
      <c r="H55" s="216">
        <f>+IF(ISERROR(H15/H9),0,H15/H9)</f>
        <v>0.37995394497636648</v>
      </c>
      <c r="I55" s="216"/>
      <c r="J55" s="216">
        <f>+IF(ISERROR(J15/J9),0,J15/J9)</f>
        <v>0.38264263826061579</v>
      </c>
      <c r="K55" s="216">
        <f>Assumptions1!F21</f>
        <v>0.24</v>
      </c>
      <c r="L55" s="216">
        <f>Assumptions1!G21</f>
        <v>0.24</v>
      </c>
      <c r="M55" s="216">
        <f>Assumptions1!H21</f>
        <v>0.24</v>
      </c>
      <c r="N55" s="216">
        <f>Assumptions1!I21</f>
        <v>0.24</v>
      </c>
      <c r="O55" s="219">
        <f>Assumptions1!J21</f>
        <v>0.24</v>
      </c>
    </row>
    <row r="56" spans="1:16">
      <c r="A56" s="214" t="s">
        <v>679</v>
      </c>
      <c r="B56" s="215"/>
      <c r="C56" s="215"/>
      <c r="D56" s="216">
        <f>18.5%</f>
        <v>0.185</v>
      </c>
      <c r="E56" s="216">
        <f t="shared" ref="E56:J56" si="10">18.5%</f>
        <v>0.185</v>
      </c>
      <c r="F56" s="216">
        <f t="shared" si="10"/>
        <v>0.185</v>
      </c>
      <c r="G56" s="216">
        <f t="shared" si="10"/>
        <v>0.185</v>
      </c>
      <c r="H56" s="216">
        <f t="shared" si="10"/>
        <v>0.185</v>
      </c>
      <c r="I56" s="216"/>
      <c r="J56" s="216">
        <f t="shared" si="10"/>
        <v>0.185</v>
      </c>
      <c r="K56" s="216">
        <f>Assumptions1!F30</f>
        <v>0.185</v>
      </c>
      <c r="L56" s="216">
        <f>Assumptions1!G30</f>
        <v>0.185</v>
      </c>
      <c r="M56" s="216">
        <f>Assumptions1!H30</f>
        <v>0.185</v>
      </c>
      <c r="N56" s="216">
        <f>Assumptions1!I30</f>
        <v>0.185</v>
      </c>
      <c r="O56" s="219">
        <f>Assumptions1!J30</f>
        <v>0.185</v>
      </c>
    </row>
    <row r="57" spans="1:16">
      <c r="A57" s="214" t="s">
        <v>587</v>
      </c>
      <c r="B57" s="215"/>
      <c r="C57" s="215"/>
      <c r="D57" s="307">
        <f>PitchBook_IS!R93</f>
        <v>1.7999999999999999E-2</v>
      </c>
      <c r="E57" s="307">
        <f>PitchBook_IS!Q93</f>
        <v>0.11</v>
      </c>
      <c r="F57" s="307">
        <f>PitchBook_IS!P93</f>
        <v>0.153</v>
      </c>
      <c r="G57" s="307">
        <f>PitchBook_IS!O93</f>
        <v>0.13800000000000001</v>
      </c>
      <c r="H57" s="307">
        <f>PitchBook_IS!N93</f>
        <v>5.6000000000000001E-2</v>
      </c>
      <c r="I57" s="216"/>
      <c r="J57" s="378">
        <f>-PitchBook_IS!M93</f>
        <v>0.17699999999999999</v>
      </c>
      <c r="K57" s="217">
        <f>J57</f>
        <v>0.17699999999999999</v>
      </c>
      <c r="L57" s="216">
        <f>K57</f>
        <v>0.17699999999999999</v>
      </c>
      <c r="M57" s="216">
        <f>L57</f>
        <v>0.17699999999999999</v>
      </c>
      <c r="N57" s="216">
        <f>M57</f>
        <v>0.17699999999999999</v>
      </c>
      <c r="O57" s="219">
        <f>N57</f>
        <v>0.17699999999999999</v>
      </c>
      <c r="P57" s="19" t="s">
        <v>706</v>
      </c>
    </row>
    <row r="58" spans="1:16">
      <c r="A58" s="220" t="s">
        <v>651</v>
      </c>
      <c r="B58" s="221"/>
      <c r="C58" s="221"/>
      <c r="D58" s="221"/>
      <c r="E58" s="221"/>
      <c r="F58" s="222"/>
      <c r="G58" s="223"/>
      <c r="H58" s="223"/>
      <c r="I58" s="223"/>
      <c r="J58" s="224"/>
      <c r="K58" s="225">
        <f>NWC!I23</f>
        <v>-0.14817808219178083</v>
      </c>
      <c r="L58" s="225">
        <f>NWC!J23</f>
        <v>-0.14702054794520553</v>
      </c>
      <c r="M58" s="225">
        <f>NWC!K23</f>
        <v>-0.14586301369863014</v>
      </c>
      <c r="N58" s="225">
        <f>NWC!L23</f>
        <v>-0.14586301369863011</v>
      </c>
      <c r="O58" s="226">
        <f>NWC!M23</f>
        <v>-0.14470547945205484</v>
      </c>
    </row>
    <row r="60" spans="1:16" ht="23">
      <c r="A60" s="352" t="str">
        <f>A1</f>
        <v>NextEra Energy, Inc (NEE)</v>
      </c>
      <c r="B60" s="353"/>
      <c r="C60" s="353"/>
      <c r="D60" s="353"/>
      <c r="E60" s="353"/>
      <c r="F60" s="353"/>
      <c r="G60" s="353"/>
      <c r="H60" s="353"/>
      <c r="I60" s="353"/>
      <c r="J60" s="353"/>
      <c r="K60" s="353"/>
      <c r="L60" s="353"/>
      <c r="M60" s="353"/>
      <c r="N60" s="353"/>
    </row>
    <row r="61" spans="1:16" ht="20">
      <c r="A61" s="354" t="s">
        <v>715</v>
      </c>
      <c r="B61" s="353"/>
      <c r="C61" s="353"/>
      <c r="D61" s="353"/>
      <c r="E61" s="353"/>
      <c r="F61" s="353"/>
      <c r="G61" s="353"/>
      <c r="H61" s="353"/>
      <c r="I61" s="353"/>
      <c r="J61" s="353"/>
      <c r="K61" s="353"/>
      <c r="L61" s="353"/>
      <c r="M61" s="353"/>
      <c r="N61" s="353"/>
    </row>
    <row r="62" spans="1:16" ht="16" thickBot="1">
      <c r="A62" s="355" t="s">
        <v>676</v>
      </c>
      <c r="B62" s="356"/>
      <c r="C62" s="356"/>
      <c r="D62" s="356"/>
      <c r="E62" s="356"/>
      <c r="F62" s="356"/>
      <c r="G62" s="356"/>
      <c r="H62" s="356"/>
      <c r="I62" s="356"/>
      <c r="J62" s="356"/>
      <c r="K62" s="356"/>
      <c r="L62" s="357"/>
      <c r="M62" s="356"/>
      <c r="N62" s="358"/>
    </row>
    <row r="65" spans="1:14">
      <c r="A65" s="313"/>
      <c r="B65" s="328" t="s">
        <v>741</v>
      </c>
      <c r="C65" s="328"/>
      <c r="D65" s="328"/>
      <c r="E65" s="328"/>
      <c r="F65" s="328"/>
      <c r="G65" s="328"/>
      <c r="H65" s="313"/>
      <c r="I65" s="328" t="s">
        <v>742</v>
      </c>
      <c r="J65" s="328"/>
      <c r="K65" s="328"/>
      <c r="L65" s="328"/>
      <c r="M65" s="328"/>
      <c r="N65" s="328"/>
    </row>
    <row r="66" spans="1:14">
      <c r="A66" s="313"/>
      <c r="B66" s="313"/>
      <c r="C66" s="325" t="s">
        <v>684</v>
      </c>
      <c r="D66" s="325"/>
      <c r="E66" s="325"/>
      <c r="F66" s="325"/>
      <c r="G66" s="325"/>
      <c r="H66" s="313"/>
      <c r="I66" s="313"/>
      <c r="J66" s="325" t="s">
        <v>690</v>
      </c>
      <c r="K66" s="325"/>
      <c r="L66" s="325"/>
      <c r="M66" s="325"/>
      <c r="N66" s="325"/>
    </row>
    <row r="67" spans="1:14">
      <c r="A67" s="313"/>
      <c r="B67" s="338">
        <f>D49</f>
        <v>302590383.34723288</v>
      </c>
      <c r="C67" s="380">
        <f>D67-0.005</f>
        <v>1.3839896596346098E-2</v>
      </c>
      <c r="D67" s="380">
        <f>E67-0.005</f>
        <v>1.8839896596346099E-2</v>
      </c>
      <c r="E67" s="381">
        <f>O43</f>
        <v>2.38398965963461E-2</v>
      </c>
      <c r="F67" s="380">
        <f>E67+0.005</f>
        <v>2.8839896596346101E-2</v>
      </c>
      <c r="G67" s="380">
        <f>F67+0.005</f>
        <v>3.3839896596346099E-2</v>
      </c>
      <c r="H67" s="313"/>
      <c r="I67" s="338">
        <f>D49</f>
        <v>302590383.34723288</v>
      </c>
      <c r="J67" s="334">
        <f>K67-0.25</f>
        <v>16.5</v>
      </c>
      <c r="K67" s="334">
        <f>L67-0.25</f>
        <v>16.75</v>
      </c>
      <c r="L67" s="335">
        <v>17</v>
      </c>
      <c r="M67" s="334">
        <f>L67+0.25</f>
        <v>17.25</v>
      </c>
      <c r="N67" s="334">
        <f>M67+0.25</f>
        <v>17.5</v>
      </c>
    </row>
    <row r="68" spans="1:14" ht="15" customHeight="1">
      <c r="A68" s="327" t="s">
        <v>607</v>
      </c>
      <c r="B68" s="332">
        <v>4.9343500950516546E-2</v>
      </c>
      <c r="C68" s="316">
        <f t="dataTable" ref="C68:G72" dt2D="1" dtr="1" r1="O43" r2="C24" ca="1"/>
        <v>313740037.72215557</v>
      </c>
      <c r="D68" s="317">
        <v>313740037.72215557</v>
      </c>
      <c r="E68" s="317">
        <v>313740037.72215557</v>
      </c>
      <c r="F68" s="317">
        <v>313740037.72215557</v>
      </c>
      <c r="G68" s="317">
        <v>313740037.72215557</v>
      </c>
      <c r="H68" s="327" t="s">
        <v>607</v>
      </c>
      <c r="I68" s="332">
        <f>I69-0.005</f>
        <v>4.7490425008101751E-2</v>
      </c>
      <c r="J68" s="316">
        <f t="dataTable" ref="J68:N72" dt2D="1" dtr="1" r1="D43" r2="C24" ca="1"/>
        <v>308269532.21113932</v>
      </c>
      <c r="K68" s="317">
        <v>312308656.76945734</v>
      </c>
      <c r="L68" s="317">
        <v>316347781.32777536</v>
      </c>
      <c r="M68" s="317">
        <v>320386905.88609326</v>
      </c>
      <c r="N68" s="317">
        <v>324426030.44441116</v>
      </c>
    </row>
    <row r="69" spans="1:14">
      <c r="A69" s="327"/>
      <c r="B69" s="332">
        <v>5.4343500950516543E-2</v>
      </c>
      <c r="C69" s="316">
        <v>306837227.09943616</v>
      </c>
      <c r="D69" s="322">
        <v>306837227.09943616</v>
      </c>
      <c r="E69" s="322">
        <v>306837227.09943616</v>
      </c>
      <c r="F69" s="322">
        <v>306837227.09943616</v>
      </c>
      <c r="G69" s="317">
        <v>306837227.09943616</v>
      </c>
      <c r="H69" s="327"/>
      <c r="I69" s="332">
        <f>I70-0.005</f>
        <v>5.2490425008101749E-2</v>
      </c>
      <c r="J69" s="316">
        <v>315247172.33058685</v>
      </c>
      <c r="K69" s="322">
        <v>319384092.88998371</v>
      </c>
      <c r="L69" s="322">
        <v>323521013.44938064</v>
      </c>
      <c r="M69" s="322">
        <v>327657934.0087775</v>
      </c>
      <c r="N69" s="317">
        <v>331794854.56817436</v>
      </c>
    </row>
    <row r="70" spans="1:14">
      <c r="A70" s="327"/>
      <c r="B70" s="333">
        <v>5.9343500950516541E-2</v>
      </c>
      <c r="C70" s="316">
        <v>300124152.31131834</v>
      </c>
      <c r="D70" s="322">
        <v>300124152.31131834</v>
      </c>
      <c r="E70" s="329">
        <v>300124152.31131834</v>
      </c>
      <c r="F70" s="322">
        <v>300124152.31131834</v>
      </c>
      <c r="G70" s="317">
        <v>300124152.31131834</v>
      </c>
      <c r="H70" s="327"/>
      <c r="I70" s="333">
        <f>C24</f>
        <v>5.7490425008101746E-2</v>
      </c>
      <c r="J70" s="316">
        <v>315247172.33058685</v>
      </c>
      <c r="K70" s="322">
        <v>319384092.88998371</v>
      </c>
      <c r="L70" s="329">
        <v>323521013.44938064</v>
      </c>
      <c r="M70" s="322">
        <v>327657934.0087775</v>
      </c>
      <c r="N70" s="317">
        <v>331794854.56817436</v>
      </c>
    </row>
    <row r="71" spans="1:14">
      <c r="A71" s="327"/>
      <c r="B71" s="332">
        <v>6.4343500950516538E-2</v>
      </c>
      <c r="C71" s="316">
        <v>293594697.28718919</v>
      </c>
      <c r="D71" s="322">
        <v>293594697.28718919</v>
      </c>
      <c r="E71" s="322">
        <v>293594697.28718919</v>
      </c>
      <c r="F71" s="322">
        <v>293594697.28718919</v>
      </c>
      <c r="G71" s="317">
        <v>293594697.28718919</v>
      </c>
      <c r="H71" s="327"/>
      <c r="I71" s="332">
        <f>I70+0.005</f>
        <v>6.2490425008101744E-2</v>
      </c>
      <c r="J71" s="316">
        <v>308269532.21113932</v>
      </c>
      <c r="K71" s="322">
        <v>312308656.76945734</v>
      </c>
      <c r="L71" s="322">
        <v>316347781.32777536</v>
      </c>
      <c r="M71" s="322">
        <v>320386905.88609326</v>
      </c>
      <c r="N71" s="317">
        <v>324426030.44441116</v>
      </c>
    </row>
    <row r="72" spans="1:14">
      <c r="A72" s="327"/>
      <c r="B72" s="332">
        <v>6.9343500950516543E-2</v>
      </c>
      <c r="C72" s="316">
        <v>287242971.12243378</v>
      </c>
      <c r="D72" s="317">
        <v>287242971.12243378</v>
      </c>
      <c r="E72" s="317">
        <v>287242971.12243378</v>
      </c>
      <c r="F72" s="317">
        <v>287242971.12243378</v>
      </c>
      <c r="G72" s="317">
        <v>287242971.12243378</v>
      </c>
      <c r="H72" s="327"/>
      <c r="I72" s="332">
        <f>I71+0.005</f>
        <v>6.7490425008101748E-2</v>
      </c>
      <c r="J72" s="316">
        <v>294886932.21259469</v>
      </c>
      <c r="K72" s="317">
        <v>298738657.77991372</v>
      </c>
      <c r="L72" s="317">
        <v>302590383.34723288</v>
      </c>
      <c r="M72" s="317">
        <v>306442108.91455191</v>
      </c>
      <c r="N72" s="317">
        <v>310293834.48187101</v>
      </c>
    </row>
    <row r="74" spans="1:14">
      <c r="A74" s="125"/>
      <c r="B74" s="125"/>
      <c r="C74" s="125"/>
      <c r="D74" s="125"/>
      <c r="E74" s="125"/>
      <c r="F74" s="125"/>
      <c r="G74" s="125"/>
    </row>
    <row r="75" spans="1:14">
      <c r="A75" s="313"/>
      <c r="B75" s="328" t="s">
        <v>608</v>
      </c>
      <c r="C75" s="328"/>
      <c r="D75" s="328"/>
      <c r="E75" s="328"/>
      <c r="F75" s="328"/>
      <c r="G75" s="328"/>
      <c r="H75" s="313"/>
      <c r="I75" s="328" t="s">
        <v>684</v>
      </c>
      <c r="J75" s="328"/>
      <c r="K75" s="328"/>
      <c r="L75" s="328"/>
      <c r="M75" s="328"/>
      <c r="N75" s="328"/>
    </row>
    <row r="76" spans="1:14">
      <c r="A76" s="313"/>
      <c r="B76" s="326" t="s">
        <v>690</v>
      </c>
      <c r="C76" s="326"/>
      <c r="D76" s="326"/>
      <c r="E76" s="326"/>
      <c r="F76" s="326"/>
      <c r="G76" s="326"/>
      <c r="H76" s="313"/>
      <c r="I76" s="313"/>
      <c r="J76" s="325" t="s">
        <v>690</v>
      </c>
      <c r="K76" s="325"/>
      <c r="L76" s="325"/>
      <c r="M76" s="325"/>
      <c r="N76" s="325"/>
    </row>
    <row r="77" spans="1:14">
      <c r="A77" s="313"/>
      <c r="B77" s="338">
        <f>H49</f>
        <v>95.582142058936</v>
      </c>
      <c r="C77" s="334">
        <f>D77-0.5</f>
        <v>16</v>
      </c>
      <c r="D77" s="334">
        <f>E77-0.5</f>
        <v>16.5</v>
      </c>
      <c r="E77" s="335">
        <v>17</v>
      </c>
      <c r="F77" s="334">
        <f>E77+0.5</f>
        <v>17.5</v>
      </c>
      <c r="G77" s="334">
        <f>F77+0.5</f>
        <v>18</v>
      </c>
      <c r="H77" s="314"/>
      <c r="I77" s="338">
        <f>+O43</f>
        <v>2.38398965963461E-2</v>
      </c>
      <c r="J77" s="334">
        <f>K77-0.5</f>
        <v>16</v>
      </c>
      <c r="K77" s="334">
        <f>L77-0.5</f>
        <v>16.5</v>
      </c>
      <c r="L77" s="335">
        <v>17</v>
      </c>
      <c r="M77" s="334">
        <f>L77+0.5</f>
        <v>17.5</v>
      </c>
      <c r="N77" s="334">
        <f>M77+0.5</f>
        <v>18</v>
      </c>
    </row>
    <row r="78" spans="1:14">
      <c r="A78" s="327" t="s">
        <v>607</v>
      </c>
      <c r="B78" s="336">
        <v>4.9343500950516546E-2</v>
      </c>
      <c r="C78" s="320">
        <f t="dataTable" ref="C78:G82" dt2D="1" dtr="1" r1="D43" r2="C24" ca="1"/>
        <v>93.232731300753656</v>
      </c>
      <c r="D78" s="321">
        <v>97.099809512579938</v>
      </c>
      <c r="E78" s="321">
        <v>100.96688772440625</v>
      </c>
      <c r="F78" s="321">
        <v>104.83396593623253</v>
      </c>
      <c r="G78" s="321">
        <v>108.70104414805884</v>
      </c>
      <c r="H78" s="327" t="s">
        <v>607</v>
      </c>
      <c r="I78" s="332">
        <v>4.9343500950516546E-2</v>
      </c>
      <c r="J78" s="318">
        <f t="dataTable" ref="J78:N82" dt2D="1" dtr="1" r1="D43" r2="C24" ca="1"/>
        <v>1.4067742293844051E-2</v>
      </c>
      <c r="K78" s="319">
        <v>1.5101822805186795E-2</v>
      </c>
      <c r="L78" s="319">
        <v>1.6077003440989421E-2</v>
      </c>
      <c r="M78" s="319">
        <v>1.6998177143444891E-2</v>
      </c>
      <c r="N78" s="319">
        <v>1.7869709500935152E-2</v>
      </c>
    </row>
    <row r="79" spans="1:14">
      <c r="A79" s="327"/>
      <c r="B79" s="336">
        <v>5.4343500950516543E-2</v>
      </c>
      <c r="C79" s="320">
        <v>90.08066331424979</v>
      </c>
      <c r="D79" s="324">
        <v>93.85691310681004</v>
      </c>
      <c r="E79" s="324">
        <v>97.633162899370305</v>
      </c>
      <c r="F79" s="324">
        <v>101.40941269193054</v>
      </c>
      <c r="G79" s="321">
        <v>105.18566248449081</v>
      </c>
      <c r="H79" s="327"/>
      <c r="I79" s="332">
        <v>5.4343500950516543E-2</v>
      </c>
      <c r="J79" s="318">
        <v>1.8818156709867563E-2</v>
      </c>
      <c r="K79" s="323">
        <v>1.9859472763464836E-2</v>
      </c>
      <c r="L79" s="323">
        <v>2.0841481288578299E-2</v>
      </c>
      <c r="M79" s="323">
        <v>2.176910873067299E-2</v>
      </c>
      <c r="N79" s="319">
        <v>2.2646750608365754E-2</v>
      </c>
    </row>
    <row r="80" spans="1:14">
      <c r="A80" s="327"/>
      <c r="B80" s="337">
        <v>5.9343500950516541E-2</v>
      </c>
      <c r="C80" s="320">
        <v>87.015132545291692</v>
      </c>
      <c r="D80" s="324">
        <v>90.703101941369482</v>
      </c>
      <c r="E80" s="331">
        <v>94.391071337447286</v>
      </c>
      <c r="F80" s="324">
        <v>98.079040733525048</v>
      </c>
      <c r="G80" s="321">
        <v>101.76701012960284</v>
      </c>
      <c r="H80" s="327"/>
      <c r="I80" s="333">
        <v>5.9343500950516541E-2</v>
      </c>
      <c r="J80" s="318">
        <v>2.35680051162818E-2</v>
      </c>
      <c r="K80" s="323">
        <v>2.4616572370968599E-2</v>
      </c>
      <c r="L80" s="330">
        <v>2.560542360328457E-2</v>
      </c>
      <c r="M80" s="323">
        <v>2.6539518827762901E-2</v>
      </c>
      <c r="N80" s="319">
        <v>2.7423283552380651E-2</v>
      </c>
    </row>
    <row r="81" spans="1:14">
      <c r="A81" s="327"/>
      <c r="B81" s="336">
        <v>6.4343500950516538E-2</v>
      </c>
      <c r="C81" s="320">
        <v>84.033351235961746</v>
      </c>
      <c r="D81" s="324">
        <v>87.635505253639408</v>
      </c>
      <c r="E81" s="324">
        <v>91.237659271317099</v>
      </c>
      <c r="F81" s="324">
        <v>94.839813288994762</v>
      </c>
      <c r="G81" s="321">
        <v>98.441967306672424</v>
      </c>
      <c r="H81" s="327"/>
      <c r="I81" s="332">
        <v>6.4343500950516538E-2</v>
      </c>
      <c r="J81" s="318">
        <v>2.8317288970228702E-2</v>
      </c>
      <c r="K81" s="323">
        <v>2.9373123041123602E-2</v>
      </c>
      <c r="L81" s="323">
        <v>3.0368831757353658E-2</v>
      </c>
      <c r="M81" s="323">
        <v>3.1309408768102578E-2</v>
      </c>
      <c r="N81" s="319">
        <v>3.2199309629642479E-2</v>
      </c>
    </row>
    <row r="82" spans="1:14">
      <c r="A82" s="327"/>
      <c r="B82" s="336">
        <v>6.9343500950516543E-2</v>
      </c>
      <c r="C82" s="320">
        <v>81.132634220834134</v>
      </c>
      <c r="D82" s="321">
        <v>84.651357949409089</v>
      </c>
      <c r="E82" s="321">
        <v>88.170081677984058</v>
      </c>
      <c r="F82" s="321">
        <v>91.688805406559013</v>
      </c>
      <c r="G82" s="321">
        <v>95.207529135133967</v>
      </c>
      <c r="H82" s="327"/>
      <c r="I82" s="332">
        <v>6.9343500950516543E-2</v>
      </c>
      <c r="J82" s="318">
        <v>3.3066009718534559E-2</v>
      </c>
      <c r="K82" s="319">
        <v>3.4129126177351081E-2</v>
      </c>
      <c r="L82" s="319">
        <v>3.51317071133199E-2</v>
      </c>
      <c r="M82" s="319">
        <v>3.6078779875645367E-2</v>
      </c>
      <c r="N82" s="319">
        <v>3.6974830127640496E-2</v>
      </c>
    </row>
    <row r="84" spans="1:14">
      <c r="H84" s="125"/>
      <c r="I84" s="125"/>
      <c r="J84" s="125"/>
      <c r="K84" s="125"/>
      <c r="L84" s="125"/>
      <c r="M84" s="125"/>
      <c r="N84" s="125"/>
    </row>
    <row r="85" spans="1:14">
      <c r="A85" s="100"/>
      <c r="B85" s="360" t="s">
        <v>717</v>
      </c>
      <c r="C85" s="360"/>
      <c r="D85" s="360"/>
      <c r="E85" s="360"/>
      <c r="F85" s="360"/>
      <c r="G85" s="360"/>
      <c r="H85" s="100"/>
      <c r="I85" s="360" t="s">
        <v>716</v>
      </c>
      <c r="J85" s="360"/>
      <c r="K85" s="360"/>
      <c r="L85" s="360"/>
      <c r="M85" s="360"/>
      <c r="N85" s="360"/>
    </row>
    <row r="86" spans="1:14">
      <c r="A86" s="100"/>
      <c r="B86" s="78"/>
      <c r="C86" s="152" t="s">
        <v>690</v>
      </c>
      <c r="D86" s="152"/>
      <c r="E86" s="152"/>
      <c r="F86" s="152"/>
      <c r="G86" s="152"/>
      <c r="H86" s="100"/>
      <c r="I86" s="78"/>
      <c r="J86" s="152" t="s">
        <v>690</v>
      </c>
      <c r="K86" s="152"/>
      <c r="L86" s="152"/>
      <c r="M86" s="152"/>
      <c r="N86" s="152"/>
    </row>
    <row r="87" spans="1:14">
      <c r="A87" s="100"/>
      <c r="B87" s="268">
        <f>D47</f>
        <v>0.86558381558722342</v>
      </c>
      <c r="C87" s="334">
        <f>D87-0.5</f>
        <v>16</v>
      </c>
      <c r="D87" s="334">
        <f>E87-0.5</f>
        <v>16.5</v>
      </c>
      <c r="E87" s="335">
        <v>17</v>
      </c>
      <c r="F87" s="334">
        <f>E87+0.5</f>
        <v>17.5</v>
      </c>
      <c r="G87" s="334">
        <f>F87+0.5</f>
        <v>18</v>
      </c>
      <c r="H87" s="100"/>
      <c r="I87" s="268">
        <f>O49</f>
        <v>18.86120945878158</v>
      </c>
      <c r="J87" s="334">
        <f>K87-0.5</f>
        <v>16</v>
      </c>
      <c r="K87" s="334">
        <f>L87-0.5</f>
        <v>16.5</v>
      </c>
      <c r="L87" s="335">
        <v>17</v>
      </c>
      <c r="M87" s="334">
        <f>L87+0.5</f>
        <v>17.5</v>
      </c>
      <c r="N87" s="334">
        <f>M87+0.5</f>
        <v>18</v>
      </c>
    </row>
    <row r="88" spans="1:14">
      <c r="A88" s="153" t="s">
        <v>607</v>
      </c>
      <c r="B88" s="332">
        <v>4.9343500950516546E-2</v>
      </c>
      <c r="C88" s="111">
        <f t="dataTable" ref="C88:G92" dt2D="1" dtr="1" r1="D43" r2="C24" ca="1"/>
        <v>0.86062276218068856</v>
      </c>
      <c r="D88" s="340">
        <v>0.86427306498429901</v>
      </c>
      <c r="E88" s="340">
        <v>0.86773704408409658</v>
      </c>
      <c r="F88" s="340">
        <v>0.87102861033237888</v>
      </c>
      <c r="G88" s="340">
        <v>0.87416032343531647</v>
      </c>
      <c r="H88" s="153" t="s">
        <v>607</v>
      </c>
      <c r="I88" s="332">
        <v>4.9343500950516546E-2</v>
      </c>
      <c r="J88" s="341">
        <f t="dataTable" ref="J88:N92" dt2D="1" dtr="1" r1="D43" r2="C24" ca="1"/>
        <v>18.557981264809605</v>
      </c>
      <c r="K88" s="342">
        <v>19.057088174078913</v>
      </c>
      <c r="L88" s="342">
        <v>19.556195083348225</v>
      </c>
      <c r="M88" s="342">
        <v>20.055301992617533</v>
      </c>
      <c r="N88" s="342">
        <v>20.554408901886845</v>
      </c>
    </row>
    <row r="89" spans="1:14">
      <c r="A89" s="153"/>
      <c r="B89" s="332">
        <v>5.4343500950516543E-2</v>
      </c>
      <c r="C89" s="113">
        <v>0.8592449555702899</v>
      </c>
      <c r="D89" s="114">
        <v>0.86292559589117457</v>
      </c>
      <c r="E89" s="114">
        <v>0.86641864942289259</v>
      </c>
      <c r="F89" s="114">
        <v>0.86973810056924716</v>
      </c>
      <c r="G89" s="112">
        <v>0.87289657740757254</v>
      </c>
      <c r="H89" s="153"/>
      <c r="I89" s="332">
        <v>5.4343500950516543E-2</v>
      </c>
      <c r="J89" s="343">
        <v>18.151157605091665</v>
      </c>
      <c r="K89" s="344">
        <v>18.638541686652179</v>
      </c>
      <c r="L89" s="344">
        <v>19.125925768212689</v>
      </c>
      <c r="M89" s="344">
        <v>19.613309849773195</v>
      </c>
      <c r="N89" s="345">
        <v>20.100693931333709</v>
      </c>
    </row>
    <row r="90" spans="1:14">
      <c r="A90" s="153"/>
      <c r="B90" s="333">
        <v>5.9343500950516541E-2</v>
      </c>
      <c r="C90" s="113">
        <v>0.85785706978812826</v>
      </c>
      <c r="D90" s="114">
        <v>0.86156815530851583</v>
      </c>
      <c r="E90" s="265">
        <v>0.86509039233309082</v>
      </c>
      <c r="F90" s="114">
        <v>0.86843783827723597</v>
      </c>
      <c r="G90" s="112">
        <v>0.87162318913753101</v>
      </c>
      <c r="H90" s="153"/>
      <c r="I90" s="333">
        <v>5.9343500950516541E-2</v>
      </c>
      <c r="J90" s="343">
        <v>17.755502926402855</v>
      </c>
      <c r="K90" s="344">
        <v>18.231493042435932</v>
      </c>
      <c r="L90" s="359">
        <v>18.70748315846901</v>
      </c>
      <c r="M90" s="344">
        <v>19.183473274502084</v>
      </c>
      <c r="N90" s="345">
        <v>19.659463390535162</v>
      </c>
    </row>
    <row r="91" spans="1:14">
      <c r="A91" s="153"/>
      <c r="B91" s="332">
        <v>6.4343500950516538E-2</v>
      </c>
      <c r="C91" s="113">
        <v>0.85645909790563501</v>
      </c>
      <c r="D91" s="114">
        <v>0.86020073394602437</v>
      </c>
      <c r="E91" s="114">
        <v>0.86375226136340866</v>
      </c>
      <c r="F91" s="114">
        <v>0.86712781002698225</v>
      </c>
      <c r="G91" s="112">
        <v>0.87034014338456378</v>
      </c>
      <c r="H91" s="153"/>
      <c r="I91" s="332">
        <v>6.4343500950516538E-2</v>
      </c>
      <c r="J91" s="343">
        <v>17.370657424994228</v>
      </c>
      <c r="K91" s="344">
        <v>17.835571724626675</v>
      </c>
      <c r="L91" s="344">
        <v>18.300486024259129</v>
      </c>
      <c r="M91" s="344">
        <v>18.765400323891576</v>
      </c>
      <c r="N91" s="345">
        <v>19.230314623524023</v>
      </c>
    </row>
    <row r="92" spans="1:14">
      <c r="A92" s="153"/>
      <c r="B92" s="332">
        <v>6.9343500950516543E-2</v>
      </c>
      <c r="C92" s="113">
        <v>0.8550510342039821</v>
      </c>
      <c r="D92" s="112">
        <v>0.85882332367574865</v>
      </c>
      <c r="E92" s="112">
        <v>0.86240424617938183</v>
      </c>
      <c r="F92" s="112">
        <v>0.86580800346224784</v>
      </c>
      <c r="G92" s="112">
        <v>0.86904742593926965</v>
      </c>
      <c r="H92" s="153"/>
      <c r="I92" s="332">
        <v>6.9343500950516543E-2</v>
      </c>
      <c r="J92" s="343">
        <v>16.996274538282066</v>
      </c>
      <c r="K92" s="345">
        <v>17.450420854581218</v>
      </c>
      <c r="L92" s="345">
        <v>17.90456717088037</v>
      </c>
      <c r="M92" s="345">
        <v>18.358713487179521</v>
      </c>
      <c r="N92" s="345">
        <v>18.812859803478677</v>
      </c>
    </row>
    <row r="95" spans="1:14">
      <c r="A95" s="12"/>
      <c r="B95" s="145"/>
      <c r="C95" s="145"/>
      <c r="D95" s="146"/>
      <c r="E95" s="138"/>
      <c r="F95" s="138"/>
      <c r="G95" s="138"/>
    </row>
    <row r="96" spans="1:14">
      <c r="A96" s="346"/>
      <c r="B96" s="347"/>
      <c r="C96" s="347"/>
      <c r="D96" s="348"/>
      <c r="E96" s="349"/>
      <c r="F96" s="349"/>
      <c r="G96" s="349"/>
    </row>
    <row r="97" spans="1:7" ht="16">
      <c r="A97" s="361" t="s">
        <v>719</v>
      </c>
      <c r="B97" s="125"/>
      <c r="C97" s="125"/>
      <c r="D97" s="125"/>
      <c r="E97" s="125"/>
    </row>
    <row r="98" spans="1:7">
      <c r="A98" s="362" t="s">
        <v>720</v>
      </c>
      <c r="B98" s="125"/>
      <c r="C98" s="125"/>
      <c r="D98" s="125"/>
      <c r="E98" s="125"/>
    </row>
    <row r="99" spans="1:7">
      <c r="A99" s="125"/>
      <c r="B99" s="125"/>
      <c r="C99" s="125"/>
      <c r="D99" s="125"/>
      <c r="E99" s="365" t="s">
        <v>926</v>
      </c>
      <c r="F99" s="365" t="s">
        <v>927</v>
      </c>
    </row>
    <row r="100" spans="1:7">
      <c r="A100" s="363" t="s">
        <v>728</v>
      </c>
      <c r="B100" s="125"/>
      <c r="C100" s="125"/>
      <c r="D100" s="125"/>
      <c r="E100" s="365">
        <v>92.41</v>
      </c>
      <c r="F100" t="s">
        <v>861</v>
      </c>
      <c r="G100" s="19" t="s">
        <v>729</v>
      </c>
    </row>
    <row r="101" spans="1:7">
      <c r="A101" s="363" t="s">
        <v>924</v>
      </c>
      <c r="B101" s="125"/>
      <c r="C101" s="125"/>
      <c r="D101" s="125"/>
      <c r="E101" s="364">
        <f>H49</f>
        <v>95.582142058936</v>
      </c>
      <c r="F101" s="315">
        <f>(E101-$E$100)/$E$100</f>
        <v>3.4326826738837829E-2</v>
      </c>
    </row>
    <row r="102" spans="1:7">
      <c r="A102" s="363" t="s">
        <v>923</v>
      </c>
      <c r="B102" s="125"/>
      <c r="C102" s="125"/>
      <c r="D102" s="125"/>
      <c r="E102" s="364">
        <f>I49</f>
        <v>213.91547157868405</v>
      </c>
      <c r="F102" s="315">
        <f t="shared" ref="F102:F103" si="11">(E102-$E$100)/$E$100</f>
        <v>1.3148519811566286</v>
      </c>
    </row>
    <row r="103" spans="1:7">
      <c r="A103" s="363" t="s">
        <v>925</v>
      </c>
      <c r="B103" s="125"/>
      <c r="C103" s="125"/>
      <c r="D103" s="125"/>
      <c r="E103" s="364">
        <f>J49</f>
        <v>325.1851966064944</v>
      </c>
      <c r="F103" s="315">
        <f t="shared" si="11"/>
        <v>2.5189394719889018</v>
      </c>
    </row>
    <row r="104" spans="1:7">
      <c r="A104" s="125"/>
      <c r="B104" s="125"/>
      <c r="C104" s="125"/>
      <c r="D104" s="125"/>
      <c r="E104" s="125"/>
    </row>
    <row r="105" spans="1:7">
      <c r="A105" s="363" t="s">
        <v>721</v>
      </c>
      <c r="B105" s="125"/>
      <c r="C105" s="125"/>
      <c r="D105" s="125"/>
      <c r="E105" s="125"/>
    </row>
    <row r="106" spans="1:7">
      <c r="A106" s="363" t="s">
        <v>722</v>
      </c>
      <c r="B106" s="125"/>
      <c r="C106" s="125"/>
      <c r="D106" s="125"/>
      <c r="E106" s="125"/>
    </row>
    <row r="107" spans="1:7">
      <c r="A107" s="363" t="s">
        <v>730</v>
      </c>
      <c r="B107" s="125"/>
      <c r="C107" s="125"/>
      <c r="D107" s="125"/>
      <c r="E107" s="125"/>
    </row>
    <row r="108" spans="1:7" ht="24.5" customHeight="1">
      <c r="A108" s="363" t="s">
        <v>723</v>
      </c>
      <c r="B108" s="125"/>
      <c r="C108" s="125"/>
      <c r="D108" s="125"/>
      <c r="E108" s="125"/>
    </row>
    <row r="109" spans="1:7">
      <c r="A109" s="125"/>
      <c r="B109" s="125"/>
      <c r="C109" s="125"/>
      <c r="D109" s="125"/>
      <c r="E109" s="125"/>
    </row>
    <row r="110" spans="1:7">
      <c r="A110" s="363" t="s">
        <v>724</v>
      </c>
      <c r="B110" s="125"/>
      <c r="C110" s="125"/>
      <c r="D110" s="125"/>
      <c r="E110" s="125"/>
    </row>
    <row r="111" spans="1:7">
      <c r="A111" s="363" t="s">
        <v>725</v>
      </c>
      <c r="B111" s="125"/>
      <c r="C111" s="125"/>
      <c r="D111" s="125"/>
      <c r="E111" s="125"/>
    </row>
    <row r="112" spans="1:7">
      <c r="A112" s="363" t="s">
        <v>731</v>
      </c>
      <c r="B112" s="125"/>
      <c r="C112" s="125"/>
      <c r="D112" s="125"/>
      <c r="E112" s="125"/>
    </row>
    <row r="113" spans="1:5">
      <c r="A113" s="363" t="s">
        <v>732</v>
      </c>
      <c r="B113" s="125"/>
      <c r="C113" s="125"/>
      <c r="D113" s="125"/>
      <c r="E113" s="125"/>
    </row>
    <row r="114" spans="1:5">
      <c r="A114" s="363" t="s">
        <v>733</v>
      </c>
      <c r="B114" s="125"/>
      <c r="C114" s="125"/>
      <c r="D114" s="125"/>
      <c r="E114" s="125"/>
    </row>
    <row r="115" spans="1:5">
      <c r="A115" s="363" t="s">
        <v>734</v>
      </c>
      <c r="B115" s="125"/>
      <c r="C115" s="125"/>
      <c r="D115" s="125"/>
      <c r="E115" s="125"/>
    </row>
    <row r="116" spans="1:5">
      <c r="A116" s="363" t="s">
        <v>735</v>
      </c>
      <c r="B116" s="125"/>
      <c r="C116" s="125"/>
      <c r="D116" s="125"/>
      <c r="E116" s="125"/>
    </row>
    <row r="117" spans="1:5">
      <c r="A117" s="125"/>
      <c r="B117" s="125"/>
      <c r="C117" s="125"/>
      <c r="D117" s="125"/>
      <c r="E117" s="125"/>
    </row>
    <row r="118" spans="1:5">
      <c r="A118" s="363" t="s">
        <v>928</v>
      </c>
      <c r="B118" s="125"/>
      <c r="C118" s="125"/>
      <c r="D118" s="125"/>
      <c r="E118" s="125"/>
    </row>
    <row r="119" spans="1:5">
      <c r="A119" s="363" t="s">
        <v>736</v>
      </c>
      <c r="B119" s="125"/>
      <c r="C119" s="125"/>
      <c r="D119" s="125"/>
      <c r="E119" s="125"/>
    </row>
    <row r="120" spans="1:5">
      <c r="A120" s="363" t="s">
        <v>737</v>
      </c>
      <c r="B120" s="125"/>
      <c r="C120" s="125"/>
      <c r="D120" s="125"/>
      <c r="E120" s="125"/>
    </row>
    <row r="121" spans="1:5">
      <c r="A121" s="125"/>
      <c r="B121" s="125"/>
      <c r="C121" s="125"/>
      <c r="D121" s="125"/>
      <c r="E121" s="125"/>
    </row>
    <row r="122" spans="1:5">
      <c r="A122" s="363" t="s">
        <v>726</v>
      </c>
      <c r="B122" s="125"/>
      <c r="C122" s="125"/>
      <c r="D122" s="125"/>
      <c r="E122" s="125"/>
    </row>
    <row r="123" spans="1:5">
      <c r="A123" s="363" t="s">
        <v>738</v>
      </c>
      <c r="B123" s="125"/>
      <c r="C123" s="125"/>
      <c r="D123" s="125"/>
      <c r="E123" s="125"/>
    </row>
    <row r="124" spans="1:5">
      <c r="A124" s="363" t="s">
        <v>727</v>
      </c>
      <c r="B124" s="125"/>
      <c r="C124" s="125"/>
      <c r="D124" s="125"/>
      <c r="E124" s="125"/>
    </row>
    <row r="125" spans="1:5">
      <c r="A125" s="363" t="s">
        <v>739</v>
      </c>
      <c r="B125" s="125"/>
      <c r="C125" s="125"/>
      <c r="D125" s="125"/>
      <c r="E125" s="125"/>
    </row>
  </sheetData>
  <mergeCells count="24">
    <mergeCell ref="C86:G86"/>
    <mergeCell ref="A88:A92"/>
    <mergeCell ref="B65:G65"/>
    <mergeCell ref="C66:G66"/>
    <mergeCell ref="A68:A72"/>
    <mergeCell ref="J86:N86"/>
    <mergeCell ref="H88:H92"/>
    <mergeCell ref="B85:G85"/>
    <mergeCell ref="I85:N85"/>
    <mergeCell ref="H68:H72"/>
    <mergeCell ref="H78:H82"/>
    <mergeCell ref="A78:A82"/>
    <mergeCell ref="I65:N65"/>
    <mergeCell ref="I75:N75"/>
    <mergeCell ref="B75:G75"/>
    <mergeCell ref="J66:N66"/>
    <mergeCell ref="J76:N76"/>
    <mergeCell ref="B76:G76"/>
    <mergeCell ref="A37:D37"/>
    <mergeCell ref="L37:O37"/>
    <mergeCell ref="L45:O45"/>
    <mergeCell ref="F37:J37"/>
    <mergeCell ref="K7:O7"/>
    <mergeCell ref="D7:H7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8FCC3-4DE7-D34C-9F9A-A5F94AE47447}">
  <dimension ref="A1:U67"/>
  <sheetViews>
    <sheetView topLeftCell="A38" workbookViewId="0">
      <selection activeCell="I62" sqref="I62"/>
    </sheetView>
  </sheetViews>
  <sheetFormatPr baseColWidth="10" defaultColWidth="9.1640625" defaultRowHeight="13"/>
  <cols>
    <col min="1" max="1" width="0.83203125" style="10" customWidth="1"/>
    <col min="2" max="2" width="22.6640625" style="10" customWidth="1"/>
    <col min="3" max="4" width="15.6640625" style="10" customWidth="1"/>
    <col min="5" max="5" width="12" style="10" customWidth="1"/>
    <col min="6" max="6" width="22.6640625" style="10" customWidth="1"/>
    <col min="7" max="7" width="15.33203125" style="10" customWidth="1"/>
    <col min="8" max="8" width="18.1640625" style="10" customWidth="1"/>
    <col min="9" max="9" width="18" style="10" customWidth="1"/>
    <col min="10" max="12" width="15.33203125" style="10" customWidth="1"/>
    <col min="13" max="16384" width="9.1640625" style="10"/>
  </cols>
  <sheetData>
    <row r="1" spans="1:21" s="78" customFormat="1" ht="20">
      <c r="B1" s="236" t="s">
        <v>610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</row>
    <row r="2" spans="1:21" s="78" customFormat="1" ht="18">
      <c r="B2" s="238" t="s">
        <v>573</v>
      </c>
      <c r="C2" s="237"/>
      <c r="D2" s="237"/>
      <c r="E2" s="237"/>
      <c r="F2" s="237"/>
      <c r="G2" s="237"/>
      <c r="H2" s="237"/>
      <c r="I2" s="237"/>
      <c r="J2" s="237"/>
      <c r="K2" s="237"/>
      <c r="L2" s="237"/>
    </row>
    <row r="3" spans="1:21" s="78" customFormat="1">
      <c r="B3" s="239" t="s">
        <v>574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</row>
    <row r="4" spans="1:21" s="80" customForma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78"/>
      <c r="N4" s="78"/>
      <c r="O4" s="78"/>
    </row>
    <row r="6" spans="1:21">
      <c r="B6" s="308" t="s">
        <v>575</v>
      </c>
      <c r="C6" s="308"/>
      <c r="D6" s="308"/>
      <c r="F6" s="309" t="s">
        <v>576</v>
      </c>
      <c r="G6" s="309"/>
      <c r="H6" s="309"/>
      <c r="I6" s="309"/>
      <c r="J6" s="309"/>
      <c r="K6" s="309"/>
      <c r="L6" s="309"/>
      <c r="M6" s="9" t="s">
        <v>10</v>
      </c>
    </row>
    <row r="7" spans="1:21">
      <c r="B7" s="81" t="s">
        <v>577</v>
      </c>
      <c r="F7" s="78"/>
      <c r="G7" s="82" t="s">
        <v>578</v>
      </c>
      <c r="H7" s="82" t="s">
        <v>579</v>
      </c>
      <c r="I7" s="82" t="s">
        <v>579</v>
      </c>
      <c r="J7" s="82" t="s">
        <v>580</v>
      </c>
      <c r="K7" s="82" t="s">
        <v>581</v>
      </c>
      <c r="L7" s="82" t="s">
        <v>582</v>
      </c>
    </row>
    <row r="8" spans="1:21">
      <c r="B8" s="78" t="s">
        <v>583</v>
      </c>
      <c r="C8" s="78"/>
      <c r="D8" s="83">
        <v>0.38</v>
      </c>
      <c r="F8" s="84" t="s">
        <v>584</v>
      </c>
      <c r="G8" s="85" t="s">
        <v>626</v>
      </c>
      <c r="H8" s="85" t="s">
        <v>585</v>
      </c>
      <c r="I8" s="85" t="s">
        <v>586</v>
      </c>
      <c r="J8" s="85" t="s">
        <v>380</v>
      </c>
      <c r="K8" s="85" t="s">
        <v>587</v>
      </c>
      <c r="L8" s="85" t="s">
        <v>588</v>
      </c>
      <c r="M8" s="19" t="s">
        <v>622</v>
      </c>
      <c r="O8" s="86"/>
      <c r="P8" s="86"/>
      <c r="Q8" s="86"/>
      <c r="R8" s="86"/>
      <c r="S8" s="86"/>
      <c r="T8" s="86"/>
      <c r="U8" s="86"/>
    </row>
    <row r="9" spans="1:21">
      <c r="B9" s="87" t="s">
        <v>589</v>
      </c>
      <c r="D9" s="88">
        <f>1-D8</f>
        <v>0.62</v>
      </c>
      <c r="F9" s="89" t="s">
        <v>611</v>
      </c>
      <c r="G9" s="90">
        <v>0.45</v>
      </c>
      <c r="H9" s="91">
        <v>91100000000</v>
      </c>
      <c r="I9" s="91">
        <v>102000000000</v>
      </c>
      <c r="J9" s="88">
        <f>+IF(ISERROR(H9/I9),0,H9/I9)</f>
        <v>0.89313725490196083</v>
      </c>
      <c r="K9" s="83">
        <f>$D$14</f>
        <v>0.17699999999999999</v>
      </c>
      <c r="L9" s="92">
        <f>+G9/(1+(J9)*(1-K9))</f>
        <v>0.2593582268260034</v>
      </c>
      <c r="M9" s="19" t="s">
        <v>616</v>
      </c>
      <c r="O9" s="93"/>
      <c r="P9" s="94"/>
      <c r="Q9" s="94"/>
      <c r="R9" s="94"/>
      <c r="S9" s="95"/>
      <c r="T9" s="96"/>
      <c r="U9" s="94"/>
    </row>
    <row r="10" spans="1:21">
      <c r="B10" s="87"/>
      <c r="D10" s="97"/>
      <c r="F10" s="89" t="s">
        <v>612</v>
      </c>
      <c r="G10" s="90">
        <v>0.4</v>
      </c>
      <c r="H10" s="35">
        <v>73750000000</v>
      </c>
      <c r="I10" s="35">
        <v>95990000000</v>
      </c>
      <c r="J10" s="88">
        <f>+IF(ISERROR(H10/I10),0,H10/I10)</f>
        <v>0.7683091988748828</v>
      </c>
      <c r="K10" s="83">
        <f t="shared" ref="K10:K13" si="0">$D$14</f>
        <v>0.17699999999999999</v>
      </c>
      <c r="L10" s="92">
        <f>+G10/(1+(J10)*(1-K10))</f>
        <v>0.24505021978635652</v>
      </c>
      <c r="M10" s="19" t="s">
        <v>617</v>
      </c>
      <c r="O10" s="93"/>
      <c r="P10" s="94"/>
      <c r="Q10" s="94"/>
      <c r="R10" s="94"/>
      <c r="S10" s="95"/>
      <c r="T10" s="96"/>
      <c r="U10" s="94"/>
    </row>
    <row r="11" spans="1:21" ht="14">
      <c r="F11" s="98" t="s">
        <v>613</v>
      </c>
      <c r="G11" s="90">
        <v>0.45</v>
      </c>
      <c r="H11" s="35">
        <v>50200000000</v>
      </c>
      <c r="I11" s="35">
        <v>55300000000</v>
      </c>
      <c r="J11" s="88">
        <f>+IF(ISERROR(H11/I11),0,H11/I11)</f>
        <v>0.90777576853526221</v>
      </c>
      <c r="K11" s="83">
        <f t="shared" si="0"/>
        <v>0.17699999999999999</v>
      </c>
      <c r="L11" s="92">
        <f>+G11/(1+(J11)*(1-K11))</f>
        <v>0.2575697668882343</v>
      </c>
      <c r="M11" s="19" t="s">
        <v>618</v>
      </c>
      <c r="O11" s="93"/>
      <c r="P11" s="94"/>
      <c r="Q11" s="94"/>
      <c r="R11" s="94"/>
      <c r="S11" s="95"/>
      <c r="T11" s="96"/>
      <c r="U11" s="94"/>
    </row>
    <row r="12" spans="1:21">
      <c r="B12" s="81" t="s">
        <v>590</v>
      </c>
      <c r="C12" s="78"/>
      <c r="D12" s="78"/>
      <c r="F12" s="89" t="s">
        <v>614</v>
      </c>
      <c r="G12" s="90">
        <v>0.55000000000000004</v>
      </c>
      <c r="H12" s="35">
        <v>30200000000</v>
      </c>
      <c r="I12" s="35">
        <v>27600000000</v>
      </c>
      <c r="J12" s="88">
        <f>+IF(ISERROR(H12/I12),0,H12/I12)</f>
        <v>1.0942028985507246</v>
      </c>
      <c r="K12" s="83">
        <f t="shared" si="0"/>
        <v>0.17699999999999999</v>
      </c>
      <c r="L12" s="92">
        <f>+G12/(1+(J12)*(1-K12))</f>
        <v>0.28939311328272449</v>
      </c>
      <c r="M12" s="19" t="s">
        <v>619</v>
      </c>
      <c r="O12" s="93"/>
      <c r="P12" s="94"/>
      <c r="Q12" s="94"/>
      <c r="R12" s="94"/>
      <c r="S12" s="95"/>
      <c r="T12" s="96"/>
      <c r="U12" s="94"/>
    </row>
    <row r="13" spans="1:21">
      <c r="B13" s="78" t="s">
        <v>591</v>
      </c>
      <c r="C13" s="78"/>
      <c r="D13" s="83">
        <v>0.05</v>
      </c>
      <c r="F13" s="89" t="s">
        <v>615</v>
      </c>
      <c r="G13" s="90">
        <v>0.5</v>
      </c>
      <c r="H13" s="35">
        <v>36100000000</v>
      </c>
      <c r="I13" s="35">
        <v>47900000000</v>
      </c>
      <c r="J13" s="88">
        <f>+IF(ISERROR(H13/I13),0,H13/I13)</f>
        <v>0.75365344467640916</v>
      </c>
      <c r="K13" s="83">
        <f t="shared" si="0"/>
        <v>0.17699999999999999</v>
      </c>
      <c r="L13" s="92">
        <f>+G13/(1+(J13)*(1-K13))</f>
        <v>0.3085930604571816</v>
      </c>
      <c r="M13" s="99" t="s">
        <v>620</v>
      </c>
      <c r="O13" s="93"/>
      <c r="P13" s="94"/>
      <c r="Q13" s="94"/>
      <c r="R13" s="94"/>
      <c r="S13" s="95"/>
      <c r="T13" s="96"/>
      <c r="U13" s="94"/>
    </row>
    <row r="14" spans="1:21">
      <c r="B14" s="78" t="s">
        <v>587</v>
      </c>
      <c r="C14" s="78"/>
      <c r="D14" s="83">
        <v>0.17699999999999999</v>
      </c>
      <c r="F14" s="100"/>
      <c r="G14" s="101"/>
      <c r="H14" s="102"/>
      <c r="I14" s="102"/>
      <c r="J14" s="103"/>
      <c r="K14" s="104"/>
      <c r="L14" s="105"/>
      <c r="M14" s="19" t="s">
        <v>621</v>
      </c>
    </row>
    <row r="15" spans="1:21">
      <c r="B15" s="106" t="s">
        <v>592</v>
      </c>
      <c r="C15" s="106"/>
      <c r="D15" s="267">
        <f>+D13*(1-D14)</f>
        <v>4.1149999999999999E-2</v>
      </c>
      <c r="F15" s="262" t="s">
        <v>593</v>
      </c>
      <c r="G15" s="263">
        <f>AVERAGE(G9:G13)</f>
        <v>0.47000000000000003</v>
      </c>
      <c r="H15" s="204"/>
      <c r="I15" s="204"/>
      <c r="J15" s="264">
        <f>AVERAGE(J9:J13)</f>
        <v>0.88341571310784794</v>
      </c>
      <c r="K15" s="204"/>
      <c r="L15" s="263">
        <f>AVERAGE(L9:L13)</f>
        <v>0.27199287744810008</v>
      </c>
    </row>
    <row r="16" spans="1:21">
      <c r="B16" s="106"/>
      <c r="C16" s="106"/>
      <c r="F16" s="262" t="s">
        <v>49</v>
      </c>
      <c r="G16" s="263">
        <f>MEDIAN(G9:G13)</f>
        <v>0.45</v>
      </c>
      <c r="H16" s="204"/>
      <c r="I16" s="204"/>
      <c r="J16" s="264">
        <f>MEDIAN(J9:J13)</f>
        <v>0.89313725490196083</v>
      </c>
      <c r="K16" s="204"/>
      <c r="L16" s="263">
        <f>MEDIAN(L9:L13)</f>
        <v>0.2593582268260034</v>
      </c>
    </row>
    <row r="18" spans="2:13">
      <c r="B18" s="81" t="s">
        <v>594</v>
      </c>
      <c r="C18" s="78"/>
      <c r="D18" s="78"/>
      <c r="E18" s="78"/>
      <c r="F18" s="309" t="s">
        <v>703</v>
      </c>
      <c r="G18" s="309"/>
      <c r="H18" s="309"/>
      <c r="I18" s="309"/>
      <c r="J18" s="309"/>
      <c r="K18" s="309"/>
      <c r="L18" s="309"/>
    </row>
    <row r="19" spans="2:13">
      <c r="B19" s="78" t="s">
        <v>595</v>
      </c>
      <c r="C19" s="78"/>
      <c r="D19" s="83">
        <v>4.4999999999999998E-2</v>
      </c>
      <c r="F19" s="78"/>
      <c r="G19" s="78"/>
      <c r="H19" s="78"/>
      <c r="I19" s="82" t="s">
        <v>50</v>
      </c>
      <c r="J19" s="82" t="s">
        <v>596</v>
      </c>
      <c r="K19" s="82" t="s">
        <v>596</v>
      </c>
      <c r="L19" s="78"/>
      <c r="M19" s="19" t="s">
        <v>623</v>
      </c>
    </row>
    <row r="20" spans="2:13">
      <c r="B20" s="78" t="s">
        <v>597</v>
      </c>
      <c r="C20" s="78"/>
      <c r="D20" s="83">
        <v>5.5E-2</v>
      </c>
      <c r="F20" s="78"/>
      <c r="G20" s="78"/>
      <c r="H20" s="78"/>
      <c r="I20" s="82" t="s">
        <v>582</v>
      </c>
      <c r="J20" s="82" t="s">
        <v>580</v>
      </c>
      <c r="K20" s="82" t="s">
        <v>581</v>
      </c>
      <c r="L20" s="82" t="s">
        <v>598</v>
      </c>
      <c r="M20" s="19" t="s">
        <v>599</v>
      </c>
    </row>
    <row r="21" spans="2:13">
      <c r="B21" s="78" t="s">
        <v>600</v>
      </c>
      <c r="C21" s="78"/>
      <c r="D21" s="92">
        <f>+L22</f>
        <v>0.40919134921119493</v>
      </c>
      <c r="F21" s="78"/>
      <c r="G21" s="78"/>
      <c r="H21" s="78"/>
      <c r="I21" s="85" t="s">
        <v>588</v>
      </c>
      <c r="J21" s="85" t="s">
        <v>380</v>
      </c>
      <c r="K21" s="85" t="s">
        <v>587</v>
      </c>
      <c r="L21" s="85" t="s">
        <v>588</v>
      </c>
    </row>
    <row r="22" spans="2:13" ht="15">
      <c r="D22"/>
      <c r="F22" s="106" t="s">
        <v>601</v>
      </c>
      <c r="G22" s="78"/>
      <c r="H22" s="78"/>
      <c r="I22" s="92">
        <f>L15</f>
        <v>0.27199287744810008</v>
      </c>
      <c r="J22" s="88">
        <f>D8/D9</f>
        <v>0.61290322580645162</v>
      </c>
      <c r="K22" s="88">
        <f>D14</f>
        <v>0.17699999999999999</v>
      </c>
      <c r="L22" s="266">
        <f>+I22*(1+(J22)*(1-K22))</f>
        <v>0.40919134921119493</v>
      </c>
      <c r="M22" s="19" t="s">
        <v>624</v>
      </c>
    </row>
    <row r="23" spans="2:13">
      <c r="B23" s="106" t="s">
        <v>602</v>
      </c>
      <c r="C23" s="78"/>
      <c r="D23" s="267">
        <f>+D19+(D21*D20)</f>
        <v>6.7505524206615722E-2</v>
      </c>
      <c r="F23" s="106"/>
      <c r="G23" s="78"/>
      <c r="H23" s="78"/>
      <c r="I23" s="107"/>
      <c r="J23" s="108"/>
      <c r="K23" s="108"/>
      <c r="L23" s="109"/>
    </row>
    <row r="24" spans="2:13" ht="14">
      <c r="B24" s="106"/>
      <c r="C24" s="78"/>
      <c r="F24" s="310" t="s">
        <v>603</v>
      </c>
      <c r="G24" s="309"/>
      <c r="H24" s="309"/>
      <c r="I24" s="309"/>
      <c r="J24" s="309"/>
      <c r="K24" s="309"/>
      <c r="L24" s="309"/>
    </row>
    <row r="25" spans="2:13">
      <c r="B25" s="81"/>
      <c r="C25" s="78"/>
      <c r="D25" s="78"/>
      <c r="F25" s="100"/>
      <c r="H25" s="270" t="s">
        <v>604</v>
      </c>
      <c r="I25" s="270"/>
      <c r="J25" s="270"/>
      <c r="K25" s="270"/>
      <c r="L25" s="270"/>
    </row>
    <row r="26" spans="2:13">
      <c r="B26" s="106" t="s">
        <v>605</v>
      </c>
      <c r="C26" s="78"/>
      <c r="D26" s="267">
        <f>(D8*D15)+(D9*D23)</f>
        <v>5.7490425008101746E-2</v>
      </c>
      <c r="F26" s="153" t="s">
        <v>583</v>
      </c>
      <c r="G26" s="366">
        <f>D26</f>
        <v>5.7490425008101746E-2</v>
      </c>
      <c r="H26" s="367">
        <f>I26-0.005</f>
        <v>4.0000000000000008E-2</v>
      </c>
      <c r="I26" s="367">
        <f>J26-0.005</f>
        <v>4.5000000000000005E-2</v>
      </c>
      <c r="J26" s="368">
        <v>0.05</v>
      </c>
      <c r="K26" s="367">
        <f>J26+0.005</f>
        <v>5.5E-2</v>
      </c>
      <c r="L26" s="367">
        <f>K26+0.005</f>
        <v>0.06</v>
      </c>
    </row>
    <row r="27" spans="2:13">
      <c r="B27" s="110"/>
      <c r="C27" s="110"/>
      <c r="D27" s="110"/>
      <c r="F27" s="153"/>
      <c r="G27" s="369">
        <f>G28-0.1</f>
        <v>0.18000000000000002</v>
      </c>
      <c r="H27" s="370">
        <f t="dataTable" ref="H27:L31" dt2D="1" dtr="1" r1="D13" r2="D8" ca="1"/>
        <v>5.7308595140493204E-2</v>
      </c>
      <c r="I27" s="371">
        <v>5.8049295140493201E-2</v>
      </c>
      <c r="J27" s="371">
        <v>5.8789995140493198E-2</v>
      </c>
      <c r="K27" s="371">
        <v>5.9530695140493202E-2</v>
      </c>
      <c r="L27" s="371">
        <v>6.0271395140493199E-2</v>
      </c>
    </row>
    <row r="28" spans="2:13">
      <c r="F28" s="153"/>
      <c r="G28" s="369">
        <f>G29-0.1</f>
        <v>0.28000000000000003</v>
      </c>
      <c r="H28" s="370">
        <v>5.8781380206688917E-2</v>
      </c>
      <c r="I28" s="372">
        <v>5.9110580206688919E-2</v>
      </c>
      <c r="J28" s="372">
        <v>5.9439780206688921E-2</v>
      </c>
      <c r="K28" s="372">
        <v>5.9768980206688915E-2</v>
      </c>
      <c r="L28" s="371">
        <v>6.0098180206688917E-2</v>
      </c>
    </row>
    <row r="29" spans="2:13">
      <c r="F29" s="153"/>
      <c r="G29" s="373">
        <f>D8</f>
        <v>0.38</v>
      </c>
      <c r="H29" s="370">
        <v>5.8781380206688917E-2</v>
      </c>
      <c r="I29" s="372">
        <v>5.9110580206688919E-2</v>
      </c>
      <c r="J29" s="374">
        <v>5.9439780206688921E-2</v>
      </c>
      <c r="K29" s="372">
        <v>5.9768980206688915E-2</v>
      </c>
      <c r="L29" s="371">
        <v>6.0098180206688917E-2</v>
      </c>
    </row>
    <row r="30" spans="2:13">
      <c r="F30" s="153"/>
      <c r="G30" s="369">
        <f>G29+0.1</f>
        <v>0.48</v>
      </c>
      <c r="H30" s="370">
        <v>5.7308595140493204E-2</v>
      </c>
      <c r="I30" s="372">
        <v>5.8049295140493201E-2</v>
      </c>
      <c r="J30" s="372">
        <v>5.8789995140493198E-2</v>
      </c>
      <c r="K30" s="372">
        <v>5.9530695140493202E-2</v>
      </c>
      <c r="L30" s="371">
        <v>6.0271395140493199E-2</v>
      </c>
    </row>
    <row r="31" spans="2:13">
      <c r="F31" s="153"/>
      <c r="G31" s="369">
        <f>G30+0.1</f>
        <v>0.57999999999999996</v>
      </c>
      <c r="H31" s="370">
        <v>5.4363025008101751E-2</v>
      </c>
      <c r="I31" s="371">
        <v>5.5926725008101752E-2</v>
      </c>
      <c r="J31" s="371">
        <v>5.7490425008101746E-2</v>
      </c>
      <c r="K31" s="371">
        <v>5.9054125008101747E-2</v>
      </c>
      <c r="L31" s="371">
        <v>6.0617825008101742E-2</v>
      </c>
    </row>
    <row r="32" spans="2:13">
      <c r="B32" s="110"/>
      <c r="C32" s="110"/>
      <c r="D32" s="110"/>
    </row>
    <row r="33" spans="2:17">
      <c r="B33" s="379" t="s">
        <v>625</v>
      </c>
    </row>
    <row r="34" spans="2:17">
      <c r="B34" s="379" t="s">
        <v>606</v>
      </c>
      <c r="F34" s="100"/>
      <c r="H34" s="270" t="s">
        <v>588</v>
      </c>
      <c r="I34" s="270"/>
      <c r="J34" s="270"/>
      <c r="K34" s="270"/>
      <c r="L34" s="270"/>
    </row>
    <row r="35" spans="2:17">
      <c r="B35" s="379" t="s">
        <v>627</v>
      </c>
      <c r="F35" s="375" t="s">
        <v>740</v>
      </c>
      <c r="G35" s="366">
        <f>D26</f>
        <v>5.7490425008101746E-2</v>
      </c>
      <c r="H35" s="376">
        <f>I35-0.02</f>
        <v>0.3691913492111949</v>
      </c>
      <c r="I35" s="376">
        <f>J35-0.02</f>
        <v>0.38919134921119491</v>
      </c>
      <c r="J35" s="377">
        <f>L22</f>
        <v>0.40919134921119493</v>
      </c>
      <c r="K35" s="376">
        <f>J35+0.02</f>
        <v>0.42919134921119495</v>
      </c>
      <c r="L35" s="376">
        <f>K35+0.02</f>
        <v>0.44919134921119497</v>
      </c>
    </row>
    <row r="36" spans="2:17">
      <c r="F36" s="375"/>
      <c r="G36" s="369">
        <f>G37-0.01</f>
        <v>3.4999999999999996E-2</v>
      </c>
      <c r="H36" s="370">
        <f t="dataTable" ref="H36:L40" dt2D="1" dtr="1" r1="L22" r2="D20" ca="1"/>
        <v>5.1548452277882927E-2</v>
      </c>
      <c r="I36" s="371">
        <v>5.1114452277882923E-2</v>
      </c>
      <c r="J36" s="371">
        <v>5.1114452277882923E-2</v>
      </c>
      <c r="K36" s="371">
        <v>5.1548452277882927E-2</v>
      </c>
      <c r="L36" s="371">
        <v>5.2416452277882927E-2</v>
      </c>
    </row>
    <row r="37" spans="2:17">
      <c r="F37" s="375"/>
      <c r="G37" s="369">
        <f>G38-0.01</f>
        <v>4.4999999999999998E-2</v>
      </c>
      <c r="H37" s="370">
        <v>4.9259465912773519E-2</v>
      </c>
      <c r="I37" s="372">
        <v>4.8949465912773514E-2</v>
      </c>
      <c r="J37" s="372">
        <v>4.8949465912773514E-2</v>
      </c>
      <c r="K37" s="372">
        <v>4.9259465912773519E-2</v>
      </c>
      <c r="L37" s="371">
        <v>4.9879465912773514E-2</v>
      </c>
    </row>
    <row r="38" spans="2:17">
      <c r="B38" s="9" t="s">
        <v>609</v>
      </c>
      <c r="F38" s="375"/>
      <c r="G38" s="373">
        <f>D20</f>
        <v>5.5E-2</v>
      </c>
      <c r="H38" s="370">
        <v>4.9259465912773519E-2</v>
      </c>
      <c r="I38" s="372">
        <v>4.8949465912773514E-2</v>
      </c>
      <c r="J38" s="374">
        <v>4.8949465912773514E-2</v>
      </c>
      <c r="K38" s="372">
        <v>4.9259465912773519E-2</v>
      </c>
      <c r="L38" s="371">
        <v>4.9879465912773514E-2</v>
      </c>
    </row>
    <row r="39" spans="2:17">
      <c r="B39" s="115" t="s">
        <v>930</v>
      </c>
      <c r="F39" s="375"/>
      <c r="G39" s="369">
        <f>G38+0.01</f>
        <v>6.5000000000000002E-2</v>
      </c>
      <c r="H39" s="370">
        <v>5.1548452277882927E-2</v>
      </c>
      <c r="I39" s="372">
        <v>5.1114452277882923E-2</v>
      </c>
      <c r="J39" s="372">
        <v>5.1114452277882923E-2</v>
      </c>
      <c r="K39" s="372">
        <v>5.1548452277882927E-2</v>
      </c>
      <c r="L39" s="371">
        <v>5.2416452277882927E-2</v>
      </c>
    </row>
    <row r="40" spans="2:17">
      <c r="B40" s="269" t="s">
        <v>931</v>
      </c>
      <c r="F40" s="375"/>
      <c r="G40" s="369">
        <f>G39+0.01</f>
        <v>7.4999999999999997E-2</v>
      </c>
      <c r="H40" s="370">
        <v>5.6126425008101742E-2</v>
      </c>
      <c r="I40" s="371">
        <v>5.544442500810174E-2</v>
      </c>
      <c r="J40" s="371">
        <v>5.544442500810174E-2</v>
      </c>
      <c r="K40" s="371">
        <v>5.6126425008101742E-2</v>
      </c>
      <c r="L40" s="371">
        <v>5.7490425008101746E-2</v>
      </c>
    </row>
    <row r="41" spans="2:17">
      <c r="B41" s="19" t="s">
        <v>628</v>
      </c>
    </row>
    <row r="42" spans="2:17" ht="15">
      <c r="F42"/>
      <c r="G42" s="17"/>
      <c r="H42" s="17"/>
      <c r="I42" s="17"/>
      <c r="J42" s="17"/>
      <c r="K42" s="17"/>
      <c r="L42" s="17"/>
    </row>
    <row r="43" spans="2:17" ht="20">
      <c r="B43" s="236" t="s">
        <v>610</v>
      </c>
      <c r="C43" s="237"/>
      <c r="D43" s="237"/>
      <c r="E43" s="237"/>
      <c r="F43" s="237"/>
      <c r="G43" s="237"/>
      <c r="H43" s="237"/>
      <c r="I43" s="237"/>
      <c r="J43" s="237"/>
      <c r="K43" s="237"/>
      <c r="L43" s="237"/>
    </row>
    <row r="44" spans="2:17" ht="15" customHeight="1">
      <c r="B44" s="238" t="s">
        <v>785</v>
      </c>
      <c r="C44" s="237"/>
      <c r="D44" s="237"/>
      <c r="E44" s="237"/>
      <c r="F44" s="237"/>
      <c r="G44" s="237"/>
      <c r="H44" s="237"/>
      <c r="I44" s="237"/>
      <c r="J44" s="237"/>
      <c r="K44" s="237"/>
      <c r="L44" s="237"/>
    </row>
    <row r="45" spans="2:17">
      <c r="B45" s="239" t="s">
        <v>574</v>
      </c>
      <c r="C45" s="237"/>
      <c r="D45" s="237"/>
      <c r="E45" s="237"/>
      <c r="F45" s="237"/>
      <c r="G45" s="237"/>
      <c r="H45" s="237"/>
      <c r="I45" s="237"/>
      <c r="J45" s="237"/>
      <c r="K45" s="237"/>
      <c r="L45" s="237"/>
    </row>
    <row r="46" spans="2:17" ht="34">
      <c r="B46" s="383" t="s">
        <v>743</v>
      </c>
      <c r="C46" s="383" t="s">
        <v>752</v>
      </c>
      <c r="D46" s="384" t="s">
        <v>744</v>
      </c>
      <c r="E46" s="384" t="s">
        <v>682</v>
      </c>
      <c r="F46" s="384" t="s">
        <v>745</v>
      </c>
      <c r="G46" s="384" t="s">
        <v>746</v>
      </c>
      <c r="H46" s="384" t="s">
        <v>747</v>
      </c>
      <c r="I46" s="384" t="s">
        <v>748</v>
      </c>
      <c r="J46" s="384" t="s">
        <v>749</v>
      </c>
      <c r="K46" s="384" t="s">
        <v>750</v>
      </c>
      <c r="L46" s="384" t="s">
        <v>751</v>
      </c>
      <c r="Q46" s="387"/>
    </row>
    <row r="47" spans="2:17" ht="15">
      <c r="B47" t="s">
        <v>611</v>
      </c>
      <c r="C47" t="s">
        <v>753</v>
      </c>
      <c r="D47" s="388">
        <v>102</v>
      </c>
      <c r="E47" s="389">
        <v>193.04</v>
      </c>
      <c r="F47" s="389">
        <v>20.76</v>
      </c>
      <c r="G47" s="389">
        <v>19.55</v>
      </c>
      <c r="H47" s="389">
        <v>3.04</v>
      </c>
      <c r="I47" s="389">
        <v>3.21</v>
      </c>
      <c r="J47" s="389">
        <v>2.0299999999999998</v>
      </c>
      <c r="K47" s="389">
        <v>11.86</v>
      </c>
      <c r="L47" s="389">
        <v>6.31</v>
      </c>
      <c r="M47" s="19" t="s">
        <v>766</v>
      </c>
    </row>
    <row r="48" spans="2:17" ht="15">
      <c r="B48" t="s">
        <v>612</v>
      </c>
      <c r="C48" t="s">
        <v>754</v>
      </c>
      <c r="D48" s="388">
        <v>95.99</v>
      </c>
      <c r="E48" s="389">
        <v>166.4</v>
      </c>
      <c r="F48" s="389">
        <v>21.67</v>
      </c>
      <c r="G48" s="389">
        <v>19.3</v>
      </c>
      <c r="H48" s="389">
        <v>2.71</v>
      </c>
      <c r="I48" s="389">
        <v>3.32</v>
      </c>
      <c r="J48" s="389">
        <v>2.74</v>
      </c>
      <c r="K48" s="389">
        <v>12.05</v>
      </c>
      <c r="L48" s="389">
        <v>4.0199999999999996</v>
      </c>
      <c r="M48" s="19" t="s">
        <v>767</v>
      </c>
    </row>
    <row r="49" spans="2:13">
      <c r="B49" s="10" t="s">
        <v>613</v>
      </c>
      <c r="C49" s="10" t="s">
        <v>755</v>
      </c>
      <c r="D49" s="389">
        <v>55.28</v>
      </c>
      <c r="E49" s="389">
        <v>105.18</v>
      </c>
      <c r="F49" s="389">
        <v>18.13</v>
      </c>
      <c r="G49" s="389">
        <v>17.54</v>
      </c>
      <c r="H49" s="389">
        <v>2.54</v>
      </c>
      <c r="I49" s="389">
        <v>3.35</v>
      </c>
      <c r="J49" s="389">
        <v>1.97</v>
      </c>
      <c r="K49" s="389">
        <v>12.97</v>
      </c>
      <c r="L49" s="389">
        <v>3.45</v>
      </c>
      <c r="M49" s="19" t="s">
        <v>768</v>
      </c>
    </row>
    <row r="50" spans="2:13">
      <c r="B50" s="10" t="s">
        <v>614</v>
      </c>
      <c r="C50" s="10" t="s">
        <v>756</v>
      </c>
      <c r="D50" s="389">
        <v>27.57</v>
      </c>
      <c r="E50" s="389">
        <v>57.67</v>
      </c>
      <c r="F50" s="389">
        <v>16.05</v>
      </c>
      <c r="G50" s="389">
        <v>14.99</v>
      </c>
      <c r="H50" s="389">
        <v>2.93</v>
      </c>
      <c r="I50" s="389">
        <v>2.0299999999999998</v>
      </c>
      <c r="J50" s="389">
        <v>1.7</v>
      </c>
      <c r="K50" s="389">
        <v>12.28</v>
      </c>
      <c r="L50" s="389">
        <v>4.5599999999999996</v>
      </c>
      <c r="M50" s="19" t="s">
        <v>769</v>
      </c>
    </row>
    <row r="51" spans="2:13">
      <c r="B51" s="10" t="s">
        <v>615</v>
      </c>
      <c r="C51" s="10" t="s">
        <v>757</v>
      </c>
      <c r="D51" s="389">
        <v>47.9</v>
      </c>
      <c r="E51" s="389">
        <v>83.7</v>
      </c>
      <c r="F51" s="389">
        <v>22.45</v>
      </c>
      <c r="G51" s="389">
        <v>18.66</v>
      </c>
      <c r="H51" s="389">
        <v>2.15</v>
      </c>
      <c r="I51" s="389">
        <v>3.27</v>
      </c>
      <c r="J51" s="389">
        <v>2.0299999999999998</v>
      </c>
      <c r="K51" s="389">
        <v>14</v>
      </c>
      <c r="L51" s="389">
        <v>3.42</v>
      </c>
      <c r="M51" s="19" t="s">
        <v>770</v>
      </c>
    </row>
    <row r="53" spans="2:13" ht="16">
      <c r="C53" s="390" t="s">
        <v>758</v>
      </c>
      <c r="D53" s="390"/>
      <c r="E53" s="391">
        <f>SUMPRODUCT($D$47:$D$51,E47:E51)/SUM($D$47:$D$51)</f>
        <v>143.20240402749894</v>
      </c>
      <c r="F53" s="391">
        <f t="shared" ref="F53:L53" si="1">SUMPRODUCT($D$47:$D$51,F47:F51)/SUM($D$47:$D$51)</f>
        <v>20.434699762730425</v>
      </c>
      <c r="G53" s="391">
        <f t="shared" si="1"/>
        <v>18.626898156597921</v>
      </c>
      <c r="H53" s="391">
        <f t="shared" si="1"/>
        <v>2.7206582709740217</v>
      </c>
      <c r="I53" s="391">
        <f t="shared" si="1"/>
        <v>3.1754422948226559</v>
      </c>
      <c r="J53" s="391">
        <f t="shared" si="1"/>
        <v>2.199550404575044</v>
      </c>
      <c r="K53" s="391">
        <f t="shared" si="1"/>
        <v>12.449171685830747</v>
      </c>
      <c r="L53" s="391">
        <f t="shared" si="1"/>
        <v>4.5925442599014419</v>
      </c>
    </row>
    <row r="54" spans="2:13" ht="16">
      <c r="C54" s="382"/>
    </row>
    <row r="55" spans="2:13" ht="16">
      <c r="C55" s="390" t="s">
        <v>784</v>
      </c>
      <c r="D55" s="390"/>
      <c r="E55" s="392">
        <f>AVERAGE(E47:E51)</f>
        <v>121.19800000000001</v>
      </c>
      <c r="F55" s="392">
        <f t="shared" ref="F55:L55" si="2">AVERAGE(F47:F51)</f>
        <v>19.812000000000001</v>
      </c>
      <c r="G55" s="392">
        <f t="shared" si="2"/>
        <v>18.007999999999999</v>
      </c>
      <c r="H55" s="392">
        <f t="shared" si="2"/>
        <v>2.6739999999999999</v>
      </c>
      <c r="I55" s="392">
        <f t="shared" si="2"/>
        <v>3.0359999999999996</v>
      </c>
      <c r="J55" s="392">
        <f t="shared" si="2"/>
        <v>2.0939999999999999</v>
      </c>
      <c r="K55" s="392">
        <f t="shared" si="2"/>
        <v>12.632000000000001</v>
      </c>
      <c r="L55" s="392">
        <f t="shared" si="2"/>
        <v>4.3519999999999994</v>
      </c>
    </row>
    <row r="56" spans="2:13" ht="16">
      <c r="C56" s="382"/>
    </row>
    <row r="57" spans="2:13" ht="16">
      <c r="C57" s="390" t="s">
        <v>49</v>
      </c>
      <c r="D57" s="390"/>
      <c r="E57" s="392">
        <f>MEDIAN(E47:E51)</f>
        <v>105.18</v>
      </c>
      <c r="F57" s="392">
        <f t="shared" ref="F57:L57" si="3">MEDIAN(F47:F51)</f>
        <v>20.76</v>
      </c>
      <c r="G57" s="392">
        <f t="shared" si="3"/>
        <v>18.66</v>
      </c>
      <c r="H57" s="392">
        <f t="shared" si="3"/>
        <v>2.71</v>
      </c>
      <c r="I57" s="392">
        <f t="shared" si="3"/>
        <v>3.27</v>
      </c>
      <c r="J57" s="392">
        <f t="shared" si="3"/>
        <v>2.0299999999999998</v>
      </c>
      <c r="K57" s="392">
        <f t="shared" si="3"/>
        <v>12.28</v>
      </c>
      <c r="L57" s="392">
        <f t="shared" si="3"/>
        <v>4.0199999999999996</v>
      </c>
    </row>
    <row r="59" spans="2:13">
      <c r="B59" s="385" t="s">
        <v>759</v>
      </c>
      <c r="C59" s="385"/>
      <c r="D59" s="385"/>
      <c r="E59" s="385"/>
      <c r="F59" s="385"/>
      <c r="G59" s="385"/>
      <c r="H59" s="385"/>
      <c r="I59" s="385"/>
      <c r="J59" s="385"/>
      <c r="K59" s="385"/>
      <c r="L59" s="385"/>
    </row>
    <row r="60" spans="2:13" ht="43" customHeight="1">
      <c r="B60" s="397" t="s">
        <v>771</v>
      </c>
      <c r="C60" s="397" t="s">
        <v>780</v>
      </c>
      <c r="D60" s="398" t="s">
        <v>760</v>
      </c>
      <c r="E60" s="398"/>
      <c r="F60" s="398"/>
      <c r="G60" s="399" t="s">
        <v>781</v>
      </c>
      <c r="H60" s="400" t="s">
        <v>782</v>
      </c>
      <c r="I60" s="400" t="s">
        <v>783</v>
      </c>
      <c r="K60" s="395"/>
    </row>
    <row r="61" spans="2:13" ht="16">
      <c r="B61" s="386" t="s">
        <v>629</v>
      </c>
      <c r="C61" s="10">
        <f>PitchBook_IS!M14/1000000</f>
        <v>27.411999999999999</v>
      </c>
      <c r="D61" s="394" t="s">
        <v>774</v>
      </c>
      <c r="G61" s="396">
        <f>C61*I53</f>
        <v>87.045224185678649</v>
      </c>
      <c r="H61" s="396">
        <f>C61*I55</f>
        <v>83.222831999999983</v>
      </c>
      <c r="I61" s="396">
        <f>C61*I57</f>
        <v>89.637239999999991</v>
      </c>
    </row>
    <row r="62" spans="2:13" ht="16">
      <c r="B62" s="386" t="s">
        <v>761</v>
      </c>
      <c r="C62" s="10">
        <f>PitchBook_BS!M177/1000000</f>
        <v>54.607999999999997</v>
      </c>
      <c r="D62" s="394" t="s">
        <v>775</v>
      </c>
      <c r="G62" s="396">
        <f>C62*J53</f>
        <v>120.113048493034</v>
      </c>
      <c r="H62" s="396">
        <f>C62*J55</f>
        <v>114.34915199999999</v>
      </c>
      <c r="I62" s="396">
        <f>C62*J57</f>
        <v>110.85423999999999</v>
      </c>
    </row>
    <row r="63" spans="2:13" ht="16">
      <c r="B63" s="386" t="s">
        <v>762</v>
      </c>
      <c r="C63" s="10">
        <v>27.64</v>
      </c>
      <c r="D63" s="394" t="s">
        <v>776</v>
      </c>
      <c r="G63" s="396">
        <f>C63*F53</f>
        <v>564.81510144186893</v>
      </c>
      <c r="H63" s="396">
        <f>C63*F55</f>
        <v>547.60368000000005</v>
      </c>
      <c r="I63" s="396">
        <f>C63*F57</f>
        <v>573.80640000000005</v>
      </c>
      <c r="M63" s="19" t="s">
        <v>772</v>
      </c>
    </row>
    <row r="64" spans="2:13" ht="16">
      <c r="B64" s="386" t="s">
        <v>763</v>
      </c>
      <c r="C64" s="10">
        <v>22.7</v>
      </c>
      <c r="D64" s="394" t="s">
        <v>777</v>
      </c>
      <c r="G64" s="396">
        <f>C64*G53</f>
        <v>422.83058815477278</v>
      </c>
      <c r="H64" s="396">
        <f>C64*G55</f>
        <v>408.78159999999997</v>
      </c>
      <c r="I64" s="396">
        <f>C64*G57</f>
        <v>423.58199999999999</v>
      </c>
      <c r="M64" s="19" t="s">
        <v>772</v>
      </c>
    </row>
    <row r="65" spans="2:13" ht="16">
      <c r="B65" s="386" t="s">
        <v>634</v>
      </c>
      <c r="C65" s="10">
        <f>PitchBook_IS!M96/1000000</f>
        <v>16.042999999999999</v>
      </c>
      <c r="D65" s="394" t="s">
        <v>778</v>
      </c>
      <c r="G65" s="396">
        <f>C65*K53-C67</f>
        <v>104.10306135578267</v>
      </c>
      <c r="H65" s="396">
        <f>C65*K55-C67</f>
        <v>107.03617600000001</v>
      </c>
      <c r="I65" s="396">
        <f>C65*K57-C67</f>
        <v>101.38903999999999</v>
      </c>
    </row>
    <row r="66" spans="2:13" ht="16">
      <c r="B66" s="386" t="s">
        <v>764</v>
      </c>
      <c r="C66" s="393">
        <v>0.1103</v>
      </c>
      <c r="D66" s="401" t="s">
        <v>779</v>
      </c>
      <c r="G66" s="396">
        <f>H53*(C66*100)*C64</f>
        <v>681.20113854474653</v>
      </c>
      <c r="H66" s="396">
        <f>H55*(C66*100)*C64</f>
        <v>669.51879399999996</v>
      </c>
      <c r="I66" s="396">
        <f>H57*(C66*100)*C64</f>
        <v>678.53250999999989</v>
      </c>
      <c r="M66" s="19" t="s">
        <v>773</v>
      </c>
    </row>
    <row r="67" spans="2:13">
      <c r="B67" s="386" t="s">
        <v>765</v>
      </c>
      <c r="C67" s="10">
        <f>PitchBook_BS!M175/1000000</f>
        <v>95.619</v>
      </c>
    </row>
  </sheetData>
  <mergeCells count="9">
    <mergeCell ref="C57:D57"/>
    <mergeCell ref="B59:L59"/>
    <mergeCell ref="D60:F60"/>
    <mergeCell ref="C53:D53"/>
    <mergeCell ref="C55:D55"/>
    <mergeCell ref="H25:L25"/>
    <mergeCell ref="F26:F31"/>
    <mergeCell ref="H34:L34"/>
    <mergeCell ref="F35:F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2B9CC-5B05-BD43-BD01-5BD64045A823}">
  <dimension ref="A1:P37"/>
  <sheetViews>
    <sheetView tabSelected="1" workbookViewId="0">
      <selection activeCell="C18" sqref="C18"/>
    </sheetView>
  </sheetViews>
  <sheetFormatPr baseColWidth="10" defaultColWidth="9.1640625" defaultRowHeight="13"/>
  <cols>
    <col min="1" max="1" width="0.83203125" style="78" customWidth="1"/>
    <col min="2" max="2" width="40" style="78" customWidth="1"/>
    <col min="3" max="5" width="14.1640625" style="78" customWidth="1"/>
    <col min="6" max="13" width="13.83203125" style="78" customWidth="1"/>
    <col min="14" max="16384" width="9.1640625" style="78"/>
  </cols>
  <sheetData>
    <row r="1" spans="1:16" s="79" customFormat="1" ht="20">
      <c r="B1" s="182" t="s">
        <v>673</v>
      </c>
      <c r="C1" s="183"/>
      <c r="D1" s="183"/>
      <c r="E1" s="183"/>
      <c r="F1" s="183"/>
      <c r="G1" s="183"/>
      <c r="H1" s="183"/>
      <c r="I1" s="184"/>
      <c r="J1" s="184"/>
      <c r="K1" s="184"/>
      <c r="L1" s="184"/>
      <c r="M1" s="185"/>
      <c r="N1" s="155"/>
      <c r="O1" s="155"/>
    </row>
    <row r="2" spans="1:16" s="79" customFormat="1" ht="18">
      <c r="B2" s="183" t="s">
        <v>656</v>
      </c>
      <c r="C2" s="186"/>
      <c r="D2" s="186"/>
      <c r="E2" s="186"/>
      <c r="F2" s="186"/>
      <c r="G2" s="186"/>
      <c r="H2" s="186"/>
      <c r="I2" s="184"/>
      <c r="J2" s="184"/>
      <c r="K2" s="184"/>
      <c r="L2" s="184"/>
      <c r="M2" s="185"/>
      <c r="N2" s="155"/>
      <c r="O2" s="155"/>
    </row>
    <row r="3" spans="1:16" s="79" customFormat="1">
      <c r="B3" s="187" t="s">
        <v>676</v>
      </c>
      <c r="C3" s="187"/>
      <c r="D3" s="187"/>
      <c r="E3" s="187"/>
      <c r="F3" s="187"/>
      <c r="G3" s="187"/>
      <c r="H3" s="187"/>
      <c r="I3" s="184"/>
      <c r="J3" s="184"/>
      <c r="K3" s="184"/>
      <c r="L3" s="184"/>
      <c r="M3" s="185"/>
      <c r="N3" s="155"/>
      <c r="O3" s="155"/>
    </row>
    <row r="4" spans="1:16">
      <c r="A4" s="100"/>
      <c r="B4" s="100"/>
      <c r="C4" s="100"/>
      <c r="D4" s="100"/>
      <c r="E4" s="100"/>
      <c r="F4" s="100"/>
      <c r="G4" s="100"/>
      <c r="H4" s="100"/>
      <c r="I4" s="11"/>
      <c r="J4" s="11"/>
      <c r="K4" s="11"/>
      <c r="L4" s="11"/>
      <c r="M4" s="10"/>
      <c r="N4" s="10"/>
      <c r="O4" s="10"/>
    </row>
    <row r="5" spans="1:16" ht="15" customHeight="1">
      <c r="A5" s="100"/>
      <c r="B5" s="100"/>
      <c r="C5" s="311" t="s">
        <v>646</v>
      </c>
      <c r="D5" s="311"/>
      <c r="E5" s="311"/>
      <c r="F5" s="311"/>
      <c r="G5" s="311"/>
      <c r="I5" s="312" t="s">
        <v>11</v>
      </c>
      <c r="J5" s="312"/>
      <c r="K5" s="312"/>
      <c r="L5" s="312"/>
      <c r="M5" s="312"/>
    </row>
    <row r="6" spans="1:16">
      <c r="A6" s="145"/>
      <c r="B6" s="145"/>
      <c r="C6" s="14">
        <f>'DCF&amp;SensivityAnalysis'!D8</f>
        <v>2020</v>
      </c>
      <c r="D6" s="14">
        <f>'DCF&amp;SensivityAnalysis'!E8</f>
        <v>2021</v>
      </c>
      <c r="E6" s="14">
        <f>'DCF&amp;SensivityAnalysis'!F8</f>
        <v>2022</v>
      </c>
      <c r="F6" s="14">
        <f>'DCF&amp;SensivityAnalysis'!G8</f>
        <v>2023</v>
      </c>
      <c r="G6" s="14">
        <f>'DCF&amp;SensivityAnalysis'!H8</f>
        <v>2024</v>
      </c>
      <c r="H6" s="14">
        <f>'DCF&amp;SensivityAnalysis'!J8</f>
        <v>2025</v>
      </c>
      <c r="I6" s="14">
        <f>'DCF&amp;SensivityAnalysis'!K8</f>
        <v>2026</v>
      </c>
      <c r="J6" s="14">
        <f>'DCF&amp;SensivityAnalysis'!L8</f>
        <v>2027</v>
      </c>
      <c r="K6" s="14">
        <f>'DCF&amp;SensivityAnalysis'!M8</f>
        <v>2028</v>
      </c>
      <c r="L6" s="14">
        <f>'DCF&amp;SensivityAnalysis'!N8</f>
        <v>2029</v>
      </c>
      <c r="M6" s="14">
        <f>'DCF&amp;SensivityAnalysis'!O8</f>
        <v>2030</v>
      </c>
      <c r="P6" s="128"/>
    </row>
    <row r="7" spans="1:16">
      <c r="B7" s="100" t="s">
        <v>629</v>
      </c>
      <c r="C7" s="156">
        <f>'DCF&amp;SensivityAnalysis'!D9</f>
        <v>17997000</v>
      </c>
      <c r="D7" s="156">
        <f>'DCF&amp;SensivityAnalysis'!E9</f>
        <v>17069000</v>
      </c>
      <c r="E7" s="156">
        <f>'DCF&amp;SensivityAnalysis'!F9</f>
        <v>20956000</v>
      </c>
      <c r="F7" s="156">
        <f>'DCF&amp;SensivityAnalysis'!G9</f>
        <v>28114000</v>
      </c>
      <c r="G7" s="156">
        <f>'DCF&amp;SensivityAnalysis'!H9</f>
        <v>24753000</v>
      </c>
      <c r="H7" s="156">
        <f>'DCF&amp;SensivityAnalysis'!J9</f>
        <v>27412000</v>
      </c>
      <c r="I7" s="156">
        <f>'DCF&amp;SensivityAnalysis'!K9</f>
        <v>29604960.000000004</v>
      </c>
      <c r="J7" s="156">
        <f>'DCF&amp;SensivityAnalysis'!L9</f>
        <v>31677307.200000007</v>
      </c>
      <c r="K7" s="156">
        <f>'DCF&amp;SensivityAnalysis'!M9</f>
        <v>33894718.704000011</v>
      </c>
      <c r="L7" s="156">
        <f>'DCF&amp;SensivityAnalysis'!N9</f>
        <v>35928401.826240011</v>
      </c>
      <c r="M7" s="156">
        <f>'DCF&amp;SensivityAnalysis'!O9</f>
        <v>38084105.93581441</v>
      </c>
    </row>
    <row r="8" spans="1:16">
      <c r="B8" s="100" t="s">
        <v>632</v>
      </c>
      <c r="C8" s="157">
        <f>'DCF&amp;SensivityAnalysis'!D11</f>
        <v>7290000</v>
      </c>
      <c r="D8" s="157">
        <f>'DCF&amp;SensivityAnalysis'!E11</f>
        <v>8508000</v>
      </c>
      <c r="E8" s="157">
        <f>'DCF&amp;SensivityAnalysis'!F11</f>
        <v>10817000</v>
      </c>
      <c r="F8" s="157">
        <f>'DCF&amp;SensivityAnalysis'!G11</f>
        <v>10138000</v>
      </c>
      <c r="G8" s="157">
        <f>'DCF&amp;SensivityAnalysis'!H11</f>
        <v>9886000</v>
      </c>
      <c r="H8" s="157">
        <f>'DCF&amp;SensivityAnalysis'!J11</f>
        <v>10343000</v>
      </c>
      <c r="I8" s="157">
        <f>'DCF&amp;SensivityAnalysis'!K11</f>
        <v>14210380.800000001</v>
      </c>
      <c r="J8" s="157">
        <f>'DCF&amp;SensivityAnalysis'!L11</f>
        <v>15046720.920000002</v>
      </c>
      <c r="K8" s="157">
        <f>'DCF&amp;SensivityAnalysis'!M11</f>
        <v>15930517.790880004</v>
      </c>
      <c r="L8" s="157">
        <f>'DCF&amp;SensivityAnalysis'!N11</f>
        <v>16886348.858332805</v>
      </c>
      <c r="M8" s="157">
        <f>'DCF&amp;SensivityAnalysis'!O11</f>
        <v>17709109.260153703</v>
      </c>
    </row>
    <row r="9" spans="1:16">
      <c r="B9" s="100"/>
      <c r="C9" s="158"/>
      <c r="D9" s="158"/>
      <c r="E9" s="158"/>
      <c r="F9" s="158"/>
      <c r="G9" s="158"/>
      <c r="H9" s="158"/>
      <c r="I9" s="159"/>
      <c r="J9" s="133"/>
      <c r="K9" s="133"/>
      <c r="L9" s="133"/>
      <c r="M9" s="133"/>
    </row>
    <row r="10" spans="1:16">
      <c r="B10" s="160" t="s">
        <v>1</v>
      </c>
      <c r="C10" s="161"/>
      <c r="D10" s="161"/>
      <c r="E10" s="161"/>
      <c r="F10" s="161"/>
      <c r="G10" s="161"/>
      <c r="H10" s="161"/>
      <c r="I10" s="162"/>
      <c r="J10" s="163"/>
      <c r="K10" s="163"/>
      <c r="L10" s="163"/>
      <c r="M10" s="163"/>
    </row>
    <row r="11" spans="1:16">
      <c r="B11" s="164" t="s">
        <v>657</v>
      </c>
      <c r="C11" s="271">
        <f>PitchBook_BS!R23</f>
        <v>2330000</v>
      </c>
      <c r="D11" s="271">
        <f>PitchBook_BS!Q23</f>
        <v>3413000</v>
      </c>
      <c r="E11" s="271">
        <f>PitchBook_BS!P23</f>
        <v>4403000</v>
      </c>
      <c r="F11" s="271">
        <f>PitchBook_BS!O23</f>
        <v>3661000</v>
      </c>
      <c r="G11" s="271">
        <f>PitchBook_BS!N23</f>
        <v>3392000</v>
      </c>
      <c r="H11" s="165">
        <f>PitchBook_BS!M23</f>
        <v>4100000</v>
      </c>
      <c r="I11" s="159">
        <f t="shared" ref="H11:M12" si="0">+I7/365*I29</f>
        <v>4379911.8904109597</v>
      </c>
      <c r="J11" s="133">
        <f t="shared" si="0"/>
        <v>4686505.7227397272</v>
      </c>
      <c r="K11" s="133">
        <f t="shared" si="0"/>
        <v>5014561.1233315086</v>
      </c>
      <c r="L11" s="133">
        <f t="shared" si="0"/>
        <v>5315434.7907313993</v>
      </c>
      <c r="M11" s="133">
        <f t="shared" si="0"/>
        <v>5634360.8781752829</v>
      </c>
      <c r="N11" s="189"/>
    </row>
    <row r="12" spans="1:16">
      <c r="B12" s="164" t="s">
        <v>658</v>
      </c>
      <c r="C12" s="271">
        <f>PitchBook_IS!R16</f>
        <v>3539000</v>
      </c>
      <c r="D12" s="271">
        <f>PitchBook_IS!Q16</f>
        <v>4527000</v>
      </c>
      <c r="E12" s="271">
        <f>PitchBook_IS!P16</f>
        <v>6389000</v>
      </c>
      <c r="F12" s="271">
        <f>PitchBook_IS!O16</f>
        <v>5457000</v>
      </c>
      <c r="G12" s="271">
        <f>PitchBook_IS!N16</f>
        <v>5029000</v>
      </c>
      <c r="H12" s="165">
        <f>PitchBook_IS!M16</f>
        <v>4944000</v>
      </c>
      <c r="I12" s="159">
        <f t="shared" si="0"/>
        <v>3383238.6069041099</v>
      </c>
      <c r="J12" s="133">
        <f t="shared" si="0"/>
        <v>3582356.2957479456</v>
      </c>
      <c r="K12" s="133">
        <f t="shared" si="0"/>
        <v>3792772.5918560885</v>
      </c>
      <c r="L12" s="133">
        <f t="shared" si="0"/>
        <v>4020338.9473674544</v>
      </c>
      <c r="M12" s="133">
        <f t="shared" si="0"/>
        <v>4216223.5471434435</v>
      </c>
    </row>
    <row r="13" spans="1:16">
      <c r="B13" s="164" t="s">
        <v>659</v>
      </c>
      <c r="C13" s="272">
        <f>PitchBook_BS!R33</f>
        <v>804000</v>
      </c>
      <c r="D13" s="272">
        <f>PitchBook_BS!Q33</f>
        <v>1166000</v>
      </c>
      <c r="E13" s="272">
        <f>PitchBook_BS!P33</f>
        <v>789000</v>
      </c>
      <c r="F13" s="272">
        <f>PitchBook_BS!O33</f>
        <v>1335000</v>
      </c>
      <c r="G13" s="272">
        <f>PitchBook_BS!N33</f>
        <v>1438000</v>
      </c>
      <c r="H13" s="166">
        <f>PitchBook_BS!M33</f>
        <v>1171000</v>
      </c>
      <c r="I13" s="162">
        <f t="shared" ref="H13:M13" si="1">+I7*I31</f>
        <v>947358.72000000009</v>
      </c>
      <c r="J13" s="163">
        <f t="shared" si="1"/>
        <v>1013673.8304000002</v>
      </c>
      <c r="K13" s="163">
        <f t="shared" si="1"/>
        <v>1084630.9985280004</v>
      </c>
      <c r="L13" s="163">
        <f t="shared" si="1"/>
        <v>1149708.8584396804</v>
      </c>
      <c r="M13" s="163">
        <f t="shared" si="1"/>
        <v>1218691.3899460612</v>
      </c>
    </row>
    <row r="14" spans="1:16" s="106" customFormat="1">
      <c r="B14" s="145" t="s">
        <v>660</v>
      </c>
      <c r="C14" s="117">
        <f t="shared" ref="C14:D14" si="2">SUM(C11:C13)</f>
        <v>6673000</v>
      </c>
      <c r="D14" s="117">
        <f t="shared" si="2"/>
        <v>9106000</v>
      </c>
      <c r="E14" s="117">
        <f t="shared" ref="E14:M14" si="3">SUM(E11:E13)</f>
        <v>11581000</v>
      </c>
      <c r="F14" s="117">
        <f t="shared" si="3"/>
        <v>10453000</v>
      </c>
      <c r="G14" s="117">
        <f t="shared" si="3"/>
        <v>9859000</v>
      </c>
      <c r="H14" s="117">
        <f t="shared" si="3"/>
        <v>10215000</v>
      </c>
      <c r="I14" s="167">
        <f t="shared" si="3"/>
        <v>8710509.2173150703</v>
      </c>
      <c r="J14" s="117">
        <f t="shared" si="3"/>
        <v>9282535.8488876726</v>
      </c>
      <c r="K14" s="117">
        <f t="shared" si="3"/>
        <v>9891964.713715598</v>
      </c>
      <c r="L14" s="117">
        <f t="shared" si="3"/>
        <v>10485482.596538534</v>
      </c>
      <c r="M14" s="117">
        <f t="shared" si="3"/>
        <v>11069275.815264788</v>
      </c>
    </row>
    <row r="15" spans="1:16">
      <c r="B15" s="145"/>
      <c r="C15" s="168"/>
      <c r="D15" s="168"/>
      <c r="E15" s="168"/>
      <c r="G15" s="168"/>
      <c r="H15" s="169"/>
      <c r="I15" s="170"/>
      <c r="J15" s="171"/>
      <c r="K15" s="171"/>
      <c r="L15" s="171"/>
      <c r="M15" s="171"/>
    </row>
    <row r="16" spans="1:16">
      <c r="B16" s="160" t="s">
        <v>35</v>
      </c>
      <c r="C16" s="172"/>
      <c r="D16" s="172"/>
      <c r="E16" s="172"/>
      <c r="F16" s="172"/>
      <c r="G16" s="172"/>
      <c r="H16" s="123"/>
      <c r="I16" s="162"/>
      <c r="J16" s="163"/>
      <c r="K16" s="163"/>
      <c r="L16" s="163"/>
      <c r="M16" s="163"/>
    </row>
    <row r="17" spans="2:15">
      <c r="B17" s="164" t="s">
        <v>661</v>
      </c>
      <c r="C17" s="271">
        <f>PitchBook_BS!R79</f>
        <v>4615000</v>
      </c>
      <c r="D17" s="271">
        <f>PitchBook_BS!Q79</f>
        <v>6935000</v>
      </c>
      <c r="E17" s="271">
        <f>PitchBook_BS!P79</f>
        <v>8312000</v>
      </c>
      <c r="F17" s="271">
        <f>PitchBook_BS!O79</f>
        <v>8504000</v>
      </c>
      <c r="G17" s="271">
        <f>PitchBook_BS!N79</f>
        <v>6982000</v>
      </c>
      <c r="H17" s="165">
        <f>PitchBook_BS!M79</f>
        <v>7583000</v>
      </c>
      <c r="I17" s="159">
        <f t="shared" ref="H17:M17" si="4">+I8/365*I34</f>
        <v>6673039.0934794527</v>
      </c>
      <c r="J17" s="133">
        <f t="shared" si="4"/>
        <v>7065775.2484602751</v>
      </c>
      <c r="K17" s="133">
        <f t="shared" si="4"/>
        <v>7480796.5735803638</v>
      </c>
      <c r="L17" s="133">
        <f t="shared" si="4"/>
        <v>7929644.3679951858</v>
      </c>
      <c r="M17" s="133">
        <f t="shared" si="4"/>
        <v>8316003.6361379316</v>
      </c>
    </row>
    <row r="18" spans="2:15">
      <c r="B18" s="164" t="s">
        <v>662</v>
      </c>
      <c r="C18" s="271">
        <f>PitchBook_BS!R82</f>
        <v>991000</v>
      </c>
      <c r="D18" s="271">
        <f>PitchBook_BS!Q82</f>
        <v>1378000</v>
      </c>
      <c r="E18" s="271">
        <f>PitchBook_BS!P82</f>
        <v>1760000</v>
      </c>
      <c r="F18" s="271">
        <f>PitchBook_BS!O82</f>
        <v>1861000</v>
      </c>
      <c r="G18" s="271">
        <f>PitchBook_BS!N82</f>
        <v>2346000</v>
      </c>
      <c r="H18" s="165">
        <f>PitchBook_BS!M82</f>
        <v>2966000</v>
      </c>
      <c r="I18" s="159">
        <f t="shared" ref="H18:M18" si="5">+I7*I35</f>
        <v>2812471.2</v>
      </c>
      <c r="J18" s="133">
        <f t="shared" si="5"/>
        <v>3009344.1840000008</v>
      </c>
      <c r="K18" s="133">
        <f t="shared" si="5"/>
        <v>3219998.2768800012</v>
      </c>
      <c r="L18" s="133">
        <f t="shared" si="5"/>
        <v>3413198.1734928009</v>
      </c>
      <c r="M18" s="133">
        <f t="shared" si="5"/>
        <v>3617990.0639023692</v>
      </c>
    </row>
    <row r="19" spans="2:15">
      <c r="B19" s="164" t="s">
        <v>663</v>
      </c>
      <c r="C19" s="272">
        <f>PitchBook_BS!R102</f>
        <v>2256000</v>
      </c>
      <c r="D19" s="272">
        <f>PitchBook_BS!Q102</f>
        <v>2695000</v>
      </c>
      <c r="E19" s="272">
        <f>PitchBook_BS!P102</f>
        <v>3182000</v>
      </c>
      <c r="F19" s="272">
        <f>PitchBook_BS!O102</f>
        <v>2999000</v>
      </c>
      <c r="G19" s="272">
        <f>PitchBook_BS!N102</f>
        <v>3017000</v>
      </c>
      <c r="H19" s="166">
        <f>PitchBook_BS!M102</f>
        <v>2842000</v>
      </c>
      <c r="I19" s="162">
        <f t="shared" ref="H19:M19" si="6">+I7*I36</f>
        <v>3611805.1200000006</v>
      </c>
      <c r="J19" s="163">
        <f t="shared" si="6"/>
        <v>3864631.4784000008</v>
      </c>
      <c r="K19" s="163">
        <f t="shared" si="6"/>
        <v>4135155.681888001</v>
      </c>
      <c r="L19" s="163">
        <f t="shared" si="6"/>
        <v>4383265.022801281</v>
      </c>
      <c r="M19" s="163">
        <f t="shared" si="6"/>
        <v>4646260.9241693579</v>
      </c>
    </row>
    <row r="20" spans="2:15" s="106" customFormat="1">
      <c r="B20" s="145" t="s">
        <v>664</v>
      </c>
      <c r="C20" s="117">
        <f t="shared" ref="C20:D20" si="7">SUM(C17:C19)</f>
        <v>7862000</v>
      </c>
      <c r="D20" s="117">
        <f t="shared" si="7"/>
        <v>11008000</v>
      </c>
      <c r="E20" s="117">
        <f t="shared" ref="E20:M20" si="8">SUM(E17:E19)</f>
        <v>13254000</v>
      </c>
      <c r="F20" s="117">
        <f t="shared" si="8"/>
        <v>13364000</v>
      </c>
      <c r="G20" s="117">
        <f t="shared" si="8"/>
        <v>12345000</v>
      </c>
      <c r="H20" s="117">
        <f t="shared" si="8"/>
        <v>13391000</v>
      </c>
      <c r="I20" s="167">
        <f t="shared" si="8"/>
        <v>13097315.413479455</v>
      </c>
      <c r="J20" s="117">
        <f t="shared" si="8"/>
        <v>13939750.910860278</v>
      </c>
      <c r="K20" s="117">
        <f t="shared" si="8"/>
        <v>14835950.532348366</v>
      </c>
      <c r="L20" s="117">
        <f t="shared" si="8"/>
        <v>15726107.564289268</v>
      </c>
      <c r="M20" s="117">
        <f t="shared" si="8"/>
        <v>16580254.624209659</v>
      </c>
    </row>
    <row r="21" spans="2:15">
      <c r="B21" s="100"/>
      <c r="C21" s="173"/>
      <c r="D21" s="173"/>
      <c r="E21" s="173"/>
      <c r="F21" s="173"/>
      <c r="G21" s="173"/>
      <c r="H21" s="174"/>
      <c r="I21" s="175"/>
      <c r="J21" s="176"/>
      <c r="K21" s="176"/>
      <c r="L21" s="176"/>
      <c r="M21" s="176"/>
    </row>
    <row r="22" spans="2:15" s="106" customFormat="1">
      <c r="B22" s="145" t="s">
        <v>665</v>
      </c>
      <c r="C22" s="117">
        <f t="shared" ref="C22:D22" si="9">+C14-C20</f>
        <v>-1189000</v>
      </c>
      <c r="D22" s="117">
        <f t="shared" si="9"/>
        <v>-1902000</v>
      </c>
      <c r="E22" s="117">
        <f t="shared" ref="E22:M22" si="10">+E14-E20</f>
        <v>-1673000</v>
      </c>
      <c r="F22" s="117">
        <f t="shared" si="10"/>
        <v>-2911000</v>
      </c>
      <c r="G22" s="117">
        <f t="shared" si="10"/>
        <v>-2486000</v>
      </c>
      <c r="H22" s="117">
        <f t="shared" si="10"/>
        <v>-3176000</v>
      </c>
      <c r="I22" s="167">
        <f t="shared" si="10"/>
        <v>-4386806.1961643845</v>
      </c>
      <c r="J22" s="117">
        <f t="shared" si="10"/>
        <v>-4657215.0619726051</v>
      </c>
      <c r="K22" s="117">
        <f t="shared" si="10"/>
        <v>-4943985.8186327685</v>
      </c>
      <c r="L22" s="117">
        <f t="shared" si="10"/>
        <v>-5240624.9677507337</v>
      </c>
      <c r="M22" s="117">
        <f t="shared" si="10"/>
        <v>-5510978.8089448716</v>
      </c>
    </row>
    <row r="23" spans="2:15">
      <c r="B23" s="177" t="s">
        <v>666</v>
      </c>
      <c r="C23" s="119">
        <f t="shared" ref="C23:D23" si="11">+IF(ISERROR(C22/C7),0,C22/C7)</f>
        <v>-6.6066566649997216E-2</v>
      </c>
      <c r="D23" s="119">
        <f t="shared" si="11"/>
        <v>-0.1114300779190345</v>
      </c>
      <c r="E23" s="119">
        <f t="shared" ref="E23:M23" si="12">+IF(ISERROR(E22/E7),0,E22/E7)</f>
        <v>-7.9833937774384425E-2</v>
      </c>
      <c r="F23" s="119">
        <f t="shared" si="12"/>
        <v>-0.10354271893007043</v>
      </c>
      <c r="G23" s="119">
        <f t="shared" si="12"/>
        <v>-0.10043227083585828</v>
      </c>
      <c r="H23" s="119">
        <f t="shared" si="12"/>
        <v>-0.11586166642346418</v>
      </c>
      <c r="I23" s="178">
        <f t="shared" si="12"/>
        <v>-0.14817808219178083</v>
      </c>
      <c r="J23" s="119">
        <f t="shared" si="12"/>
        <v>-0.14702054794520553</v>
      </c>
      <c r="K23" s="119">
        <f t="shared" si="12"/>
        <v>-0.14586301369863014</v>
      </c>
      <c r="L23" s="119">
        <f t="shared" si="12"/>
        <v>-0.14586301369863011</v>
      </c>
      <c r="M23" s="119">
        <f t="shared" si="12"/>
        <v>-0.14470547945205484</v>
      </c>
      <c r="N23" s="12"/>
      <c r="O23" s="12"/>
    </row>
    <row r="24" spans="2:15">
      <c r="B24" s="100"/>
      <c r="C24" s="133"/>
      <c r="D24" s="133"/>
      <c r="E24" s="133"/>
      <c r="F24" s="133"/>
      <c r="G24" s="133"/>
      <c r="H24" s="133"/>
      <c r="I24" s="159"/>
      <c r="J24" s="133"/>
      <c r="K24" s="133"/>
      <c r="L24" s="133"/>
      <c r="M24" s="133"/>
    </row>
    <row r="25" spans="2:15" s="179" customFormat="1">
      <c r="B25" s="240" t="s">
        <v>667</v>
      </c>
      <c r="C25" s="208" t="s">
        <v>631</v>
      </c>
      <c r="D25" s="208">
        <f t="shared" ref="D25" si="13">+C22-D22</f>
        <v>713000</v>
      </c>
      <c r="E25" s="208">
        <f t="shared" ref="E25" si="14">+D22-E22</f>
        <v>-229000</v>
      </c>
      <c r="F25" s="208">
        <f t="shared" ref="F25:M25" si="15">+E22-F22</f>
        <v>1238000</v>
      </c>
      <c r="G25" s="208">
        <f t="shared" si="15"/>
        <v>-425000</v>
      </c>
      <c r="H25" s="208">
        <f t="shared" si="15"/>
        <v>690000</v>
      </c>
      <c r="I25" s="241">
        <f t="shared" si="15"/>
        <v>1210806.1961643845</v>
      </c>
      <c r="J25" s="208">
        <f t="shared" si="15"/>
        <v>270408.86580822058</v>
      </c>
      <c r="K25" s="208">
        <f t="shared" si="15"/>
        <v>286770.7566601634</v>
      </c>
      <c r="L25" s="208">
        <f t="shared" si="15"/>
        <v>296639.14911796525</v>
      </c>
      <c r="M25" s="208">
        <f t="shared" si="15"/>
        <v>270353.84119413793</v>
      </c>
    </row>
    <row r="26" spans="2:15" s="179" customFormat="1">
      <c r="B26" s="180"/>
    </row>
    <row r="27" spans="2:15">
      <c r="B27" s="144" t="s">
        <v>649</v>
      </c>
    </row>
    <row r="28" spans="2:15">
      <c r="B28" s="242" t="s">
        <v>1</v>
      </c>
      <c r="C28" s="243"/>
      <c r="D28" s="243"/>
      <c r="E28" s="243"/>
      <c r="F28" s="243"/>
      <c r="G28" s="243"/>
      <c r="H28" s="244"/>
      <c r="I28" s="243"/>
      <c r="J28" s="243"/>
      <c r="K28" s="243"/>
      <c r="L28" s="243"/>
      <c r="M28" s="245"/>
    </row>
    <row r="29" spans="2:15">
      <c r="B29" s="246" t="s">
        <v>668</v>
      </c>
      <c r="C29" s="247">
        <f>+IF(ISERROR(C11/C7*365),0,C11/C7*365)</f>
        <v>47.255098071900875</v>
      </c>
      <c r="D29" s="247">
        <f>+IF(ISERROR(D11/D7*365),0,D11/D7*365)</f>
        <v>72.982892963852606</v>
      </c>
      <c r="E29" s="247">
        <f>+IF(ISERROR(E11/E7*365),0,E11/E7*365)</f>
        <v>76.68901507921359</v>
      </c>
      <c r="F29" s="247">
        <f t="shared" ref="E29:G30" si="16">+IF(ISERROR(F11/F7*365),0,F11/F7*365)</f>
        <v>47.53023404709397</v>
      </c>
      <c r="G29" s="247">
        <f t="shared" si="16"/>
        <v>50.017371631721403</v>
      </c>
      <c r="H29" s="248">
        <f>+G29</f>
        <v>50.017371631721403</v>
      </c>
      <c r="I29" s="247">
        <f>Assumptions2!F7</f>
        <v>54</v>
      </c>
      <c r="J29" s="247">
        <f>Assumptions2!G7</f>
        <v>54</v>
      </c>
      <c r="K29" s="247">
        <f>Assumptions2!H7</f>
        <v>54</v>
      </c>
      <c r="L29" s="247">
        <f>Assumptions2!I7</f>
        <v>54</v>
      </c>
      <c r="M29" s="249">
        <f>Assumptions2!J7</f>
        <v>54</v>
      </c>
    </row>
    <row r="30" spans="2:15">
      <c r="B30" s="246" t="s">
        <v>669</v>
      </c>
      <c r="C30" s="247">
        <f t="shared" ref="C30:D30" si="17">+IF(ISERROR(C12/C8*365),0,C12/C8*365)</f>
        <v>177.19272976680384</v>
      </c>
      <c r="D30" s="247">
        <f t="shared" si="17"/>
        <v>194.21191819464033</v>
      </c>
      <c r="E30" s="247">
        <f t="shared" si="16"/>
        <v>215.58518997873716</v>
      </c>
      <c r="F30" s="247">
        <f t="shared" si="16"/>
        <v>196.46922469915168</v>
      </c>
      <c r="G30" s="247">
        <f t="shared" si="16"/>
        <v>185.67519724863442</v>
      </c>
      <c r="H30" s="248">
        <f>+G30</f>
        <v>185.67519724863442</v>
      </c>
      <c r="I30" s="247">
        <f>Assumptions2!F14</f>
        <v>86.9</v>
      </c>
      <c r="J30" s="247">
        <f>Assumptions2!G14</f>
        <v>86.9</v>
      </c>
      <c r="K30" s="247">
        <f>Assumptions2!H14</f>
        <v>86.9</v>
      </c>
      <c r="L30" s="247">
        <f>Assumptions2!I14</f>
        <v>86.9</v>
      </c>
      <c r="M30" s="249">
        <f>Assumptions2!J14</f>
        <v>86.9</v>
      </c>
    </row>
    <row r="31" spans="2:15">
      <c r="B31" s="246" t="s">
        <v>670</v>
      </c>
      <c r="C31" s="216">
        <f>+IF(ISERROR(C13/C7),0,C13/C7)</f>
        <v>4.4674112352058676E-2</v>
      </c>
      <c r="D31" s="216">
        <f>+IF(ISERROR(D13/D7),0,D13/D7)</f>
        <v>6.8310973109145232E-2</v>
      </c>
      <c r="E31" s="216">
        <f>+IF(ISERROR(E13/E7),0,E13/E7)</f>
        <v>3.7650314945600304E-2</v>
      </c>
      <c r="F31" s="216">
        <f>+IF(ISERROR(F13/F7),0,F13/F7)</f>
        <v>4.7485238671124703E-2</v>
      </c>
      <c r="G31" s="216">
        <f>+IF(ISERROR(G13/G7),0,G13/G7)</f>
        <v>5.8093968407869755E-2</v>
      </c>
      <c r="H31" s="250">
        <f>+G31</f>
        <v>5.8093968407869755E-2</v>
      </c>
      <c r="I31" s="216">
        <f>Assumptions2!F21</f>
        <v>3.2000000000000001E-2</v>
      </c>
      <c r="J31" s="216">
        <f>Assumptions2!G21</f>
        <v>3.2000000000000001E-2</v>
      </c>
      <c r="K31" s="216">
        <f>Assumptions2!H21</f>
        <v>3.2000000000000001E-2</v>
      </c>
      <c r="L31" s="216">
        <f>Assumptions2!I21</f>
        <v>3.2000000000000001E-2</v>
      </c>
      <c r="M31" s="219">
        <f>Assumptions2!J21</f>
        <v>3.2000000000000001E-2</v>
      </c>
    </row>
    <row r="32" spans="2:15">
      <c r="B32" s="246"/>
      <c r="C32" s="251"/>
      <c r="D32" s="251"/>
      <c r="E32" s="251"/>
      <c r="F32" s="251"/>
      <c r="G32" s="251"/>
      <c r="H32" s="252"/>
      <c r="I32" s="253"/>
      <c r="J32" s="253"/>
      <c r="K32" s="253"/>
      <c r="L32" s="253"/>
      <c r="M32" s="254"/>
    </row>
    <row r="33" spans="2:13">
      <c r="B33" s="255" t="s">
        <v>35</v>
      </c>
      <c r="C33" s="251"/>
      <c r="D33" s="251"/>
      <c r="E33" s="251"/>
      <c r="F33" s="251"/>
      <c r="G33" s="251"/>
      <c r="H33" s="256"/>
      <c r="I33" s="204"/>
      <c r="J33" s="204"/>
      <c r="K33" s="204"/>
      <c r="L33" s="204"/>
      <c r="M33" s="257"/>
    </row>
    <row r="34" spans="2:13">
      <c r="B34" s="246" t="s">
        <v>671</v>
      </c>
      <c r="C34" s="247">
        <f>+IF(ISERROR(C17/C8*365),0,C17/C8*365)</f>
        <v>231.06652949245543</v>
      </c>
      <c r="D34" s="247">
        <f>+IF(ISERROR(D17/D8*365),0,D17/D8*365)</f>
        <v>297.51704278326281</v>
      </c>
      <c r="E34" s="247">
        <f>+IF(ISERROR(E17/E8*365),0,E17/E8*365)</f>
        <v>280.47332901913654</v>
      </c>
      <c r="F34" s="247">
        <f>+IF(ISERROR(F17/F8*365),0,F17/F8*365)</f>
        <v>306.17084237522198</v>
      </c>
      <c r="G34" s="247">
        <f>+IF(ISERROR(G17/G8*365),0,G17/G8*365)</f>
        <v>257.78171151122802</v>
      </c>
      <c r="H34" s="248">
        <f>+G34</f>
        <v>257.78171151122802</v>
      </c>
      <c r="I34" s="247">
        <f>Assumptions2!F29</f>
        <v>171.4</v>
      </c>
      <c r="J34" s="247">
        <f>Assumptions2!G29</f>
        <v>171.4</v>
      </c>
      <c r="K34" s="247">
        <f>Assumptions2!H29</f>
        <v>171.4</v>
      </c>
      <c r="L34" s="247">
        <f>Assumptions2!I29</f>
        <v>171.4</v>
      </c>
      <c r="M34" s="249">
        <f>Assumptions2!J29</f>
        <v>171.4</v>
      </c>
    </row>
    <row r="35" spans="2:13" ht="15" customHeight="1">
      <c r="B35" s="246" t="s">
        <v>672</v>
      </c>
      <c r="C35" s="216">
        <f>+IF(ISERROR(C18/C7),0,C18/C7)</f>
        <v>5.5064733011057396E-2</v>
      </c>
      <c r="D35" s="216">
        <f>+IF(ISERROR(D18/D7),0,D18/D7)</f>
        <v>8.0731150038080735E-2</v>
      </c>
      <c r="E35" s="216">
        <f>+IF(ISERROR(E18/E7),0,E18/E7)</f>
        <v>8.3985493414773807E-2</v>
      </c>
      <c r="F35" s="216">
        <f>+IF(ISERROR(F18/F7),0,F18/F7)</f>
        <v>6.6194778402219531E-2</v>
      </c>
      <c r="G35" s="216">
        <f>+IF(ISERROR(G18/G7),0,G18/G7)</f>
        <v>9.4776390740516303E-2</v>
      </c>
      <c r="H35" s="250">
        <f>+G35</f>
        <v>9.4776390740516303E-2</v>
      </c>
      <c r="I35" s="216">
        <f>Assumptions2!F36</f>
        <v>9.5000000000000001E-2</v>
      </c>
      <c r="J35" s="216">
        <f>Assumptions2!G36</f>
        <v>9.5000000000000001E-2</v>
      </c>
      <c r="K35" s="216">
        <f>Assumptions2!H36</f>
        <v>9.5000000000000001E-2</v>
      </c>
      <c r="L35" s="216">
        <f>Assumptions2!I36</f>
        <v>9.5000000000000001E-2</v>
      </c>
      <c r="M35" s="219">
        <f>Assumptions2!J36</f>
        <v>9.5000000000000001E-2</v>
      </c>
    </row>
    <row r="36" spans="2:13" ht="15" customHeight="1">
      <c r="B36" s="258" t="s">
        <v>37</v>
      </c>
      <c r="C36" s="259">
        <f>+IF(ISERROR(C19/C7),0,C19/C7)</f>
        <v>0.12535422570428403</v>
      </c>
      <c r="D36" s="259">
        <f>+IF(ISERROR(D19/D7),0,D19/D7)</f>
        <v>0.15788856992208097</v>
      </c>
      <c r="E36" s="259">
        <f>+IF(ISERROR(E19/E7),0,E19/E7)</f>
        <v>0.15184195457148311</v>
      </c>
      <c r="F36" s="259">
        <f>+IF(ISERROR(F19/F7),0,F19/F7)</f>
        <v>0.10667283204097602</v>
      </c>
      <c r="G36" s="259">
        <f>+IF(ISERROR(G19/G7),0,G19/G7)</f>
        <v>0.12188421605461965</v>
      </c>
      <c r="H36" s="260">
        <f>+G36</f>
        <v>0.12188421605461965</v>
      </c>
      <c r="I36" s="259">
        <f>Assumptions2!F43</f>
        <v>0.122</v>
      </c>
      <c r="J36" s="259">
        <f>Assumptions2!G43</f>
        <v>0.122</v>
      </c>
      <c r="K36" s="259">
        <f>Assumptions2!H43</f>
        <v>0.122</v>
      </c>
      <c r="L36" s="259">
        <f>Assumptions2!I43</f>
        <v>0.122</v>
      </c>
      <c r="M36" s="261">
        <f>Assumptions2!J43</f>
        <v>0.122</v>
      </c>
    </row>
    <row r="37" spans="2:13">
      <c r="B37" s="164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</row>
  </sheetData>
  <mergeCells count="2">
    <mergeCell ref="I5:M5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</vt:lpstr>
      <vt:lpstr>PitchBook_IS</vt:lpstr>
      <vt:lpstr>PitchBook_BS</vt:lpstr>
      <vt:lpstr>PitchBook_CF</vt:lpstr>
      <vt:lpstr>Assumptions1</vt:lpstr>
      <vt:lpstr>Assumptions2</vt:lpstr>
      <vt:lpstr>Financial Statements</vt:lpstr>
      <vt:lpstr>DCF&amp;SensivityAnalysis</vt:lpstr>
      <vt:lpstr>Comparables&amp;WACC</vt:lpstr>
      <vt:lpstr>NWC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gallagher</dc:creator>
  <cp:lastModifiedBy>Alexandre LY</cp:lastModifiedBy>
  <dcterms:created xsi:type="dcterms:W3CDTF">2025-01-20T20:07:56Z</dcterms:created>
  <dcterms:modified xsi:type="dcterms:W3CDTF">2026-03-29T03:36:08Z</dcterms:modified>
</cp:coreProperties>
</file>