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pdime/Desktop/"/>
    </mc:Choice>
  </mc:AlternateContent>
  <xr:revisionPtr revIDLastSave="0" documentId="13_ncr:1_{55B08113-3A03-444A-9461-A64F1FC3C125}" xr6:coauthVersionLast="47" xr6:coauthVersionMax="47" xr10:uidLastSave="{00000000-0000-0000-0000-000000000000}"/>
  <bookViews>
    <workbookView xWindow="0" yWindow="680" windowWidth="30240" windowHeight="17460" xr2:uid="{CE3C5885-1838-4618-95CA-2D9865482C63}"/>
  </bookViews>
  <sheets>
    <sheet name="Assumptions" sheetId="1" r:id="rId1"/>
    <sheet name="Operating Budgets" sheetId="2" r:id="rId2"/>
    <sheet name="Financial Budgets" sheetId="3" r:id="rId3"/>
    <sheet name="NPV" sheetId="4" r:id="rId4"/>
  </sheets>
  <definedNames>
    <definedName name="cost">'Operating Budgets'!#REF!</definedName>
    <definedName name="hours">'Operating Budgets'!$C$37:$F$37</definedName>
    <definedName name="minimum">Assumptions!#REF!</definedName>
    <definedName name="price">'Operating Budgets'!$C$12:$F$12</definedName>
    <definedName name="rate">Assumptions!#REF!</definedName>
    <definedName name="sales">'Operating Budgets'!$C$18:$F$18</definedName>
    <definedName name="units">'Operating Budgets'!$C$11:$F$11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2" l="1"/>
  <c r="C40" i="4" l="1"/>
  <c r="C49" i="3"/>
  <c r="D49" i="3"/>
  <c r="E49" i="3"/>
  <c r="F49" i="3"/>
  <c r="G49" i="3"/>
  <c r="D25" i="2"/>
  <c r="E25" i="2"/>
  <c r="F25" i="2"/>
  <c r="G25" i="2"/>
  <c r="C25" i="2"/>
  <c r="D18" i="2"/>
  <c r="E18" i="2"/>
  <c r="F18" i="2"/>
  <c r="G18" i="2"/>
  <c r="C18" i="2"/>
  <c r="D15" i="2"/>
  <c r="E15" i="2"/>
  <c r="F15" i="2"/>
  <c r="G15" i="2"/>
  <c r="C15" i="2"/>
  <c r="C43" i="4"/>
  <c r="D43" i="4" s="1"/>
  <c r="E43" i="4" s="1"/>
  <c r="F43" i="4" s="1"/>
  <c r="G43" i="4" s="1"/>
  <c r="C36" i="4"/>
  <c r="C37" i="4"/>
  <c r="C16" i="2"/>
  <c r="C8" i="4"/>
  <c r="C34" i="4" s="1"/>
  <c r="E12" i="4"/>
  <c r="F12" i="4"/>
  <c r="G12" i="4"/>
  <c r="H12" i="4"/>
  <c r="E15" i="4"/>
  <c r="F15" i="4"/>
  <c r="G15" i="4"/>
  <c r="H15" i="4"/>
  <c r="E20" i="4"/>
  <c r="F20" i="4"/>
  <c r="G20" i="4"/>
  <c r="H20" i="4"/>
  <c r="E22" i="4"/>
  <c r="F22" i="4"/>
  <c r="G22" i="4"/>
  <c r="H22" i="4"/>
  <c r="E24" i="4"/>
  <c r="F24" i="4"/>
  <c r="G24" i="4"/>
  <c r="H24" i="4"/>
  <c r="E27" i="4"/>
  <c r="F27" i="4"/>
  <c r="G27" i="4"/>
  <c r="H27" i="4"/>
  <c r="D12" i="4"/>
  <c r="D15" i="4"/>
  <c r="D20" i="4"/>
  <c r="D22" i="4"/>
  <c r="D24" i="4"/>
  <c r="D27" i="4"/>
  <c r="D47" i="3" l="1"/>
  <c r="E47" i="3"/>
  <c r="F47" i="3"/>
  <c r="G47" i="3"/>
  <c r="C47" i="3"/>
  <c r="C40" i="3"/>
  <c r="D40" i="3" s="1"/>
  <c r="E40" i="3" s="1"/>
  <c r="F40" i="3" s="1"/>
  <c r="G40" i="3" s="1"/>
  <c r="G41" i="3" s="1"/>
  <c r="G106" i="2"/>
  <c r="H17" i="4" s="1"/>
  <c r="C22" i="1"/>
  <c r="F68" i="2" s="1"/>
  <c r="G68" i="2" s="1"/>
  <c r="D16" i="2"/>
  <c r="E16" i="2" s="1"/>
  <c r="F16" i="2" s="1"/>
  <c r="G16" i="2" s="1"/>
  <c r="G99" i="2" s="1"/>
  <c r="D13" i="2"/>
  <c r="E13" i="2"/>
  <c r="F13" i="2"/>
  <c r="G13" i="2"/>
  <c r="C13" i="2"/>
  <c r="C27" i="2" s="1"/>
  <c r="D27" i="2" s="1"/>
  <c r="E27" i="2" s="1"/>
  <c r="F27" i="2" s="1"/>
  <c r="G27" i="2" s="1"/>
  <c r="D87" i="2"/>
  <c r="D88" i="2" s="1"/>
  <c r="D21" i="3" s="1"/>
  <c r="E87" i="2"/>
  <c r="E88" i="2" s="1"/>
  <c r="E21" i="3" s="1"/>
  <c r="F87" i="2"/>
  <c r="F88" i="2" s="1"/>
  <c r="F21" i="3" s="1"/>
  <c r="G87" i="2"/>
  <c r="G88" i="2" s="1"/>
  <c r="G21" i="3" s="1"/>
  <c r="C87" i="2"/>
  <c r="C88" i="2" s="1"/>
  <c r="C21" i="3" s="1"/>
  <c r="C29" i="1"/>
  <c r="F69" i="2" s="1"/>
  <c r="G69" i="2" s="1"/>
  <c r="F70" i="2"/>
  <c r="G70" i="2" s="1"/>
  <c r="D54" i="2"/>
  <c r="E54" i="2"/>
  <c r="F54" i="2"/>
  <c r="G54" i="2"/>
  <c r="C54" i="2"/>
  <c r="D53" i="2"/>
  <c r="E53" i="2"/>
  <c r="F53" i="2"/>
  <c r="G53" i="2"/>
  <c r="C53" i="2"/>
  <c r="D52" i="2"/>
  <c r="D106" i="2" s="1"/>
  <c r="E17" i="4" s="1"/>
  <c r="E52" i="2"/>
  <c r="E106" i="2" s="1"/>
  <c r="F17" i="4" s="1"/>
  <c r="F52" i="2"/>
  <c r="F106" i="2" s="1"/>
  <c r="G17" i="4" s="1"/>
  <c r="G52" i="2"/>
  <c r="C52" i="2"/>
  <c r="C106" i="2" s="1"/>
  <c r="D17" i="4" s="1"/>
  <c r="G37" i="2"/>
  <c r="F37" i="2"/>
  <c r="E37" i="2"/>
  <c r="D37" i="2"/>
  <c r="C37" i="2"/>
  <c r="C36" i="2" s="1"/>
  <c r="D36" i="2" s="1"/>
  <c r="E36" i="2" s="1"/>
  <c r="F36" i="2" s="1"/>
  <c r="G36" i="2" s="1"/>
  <c r="C98" i="2" l="1"/>
  <c r="D9" i="4" s="1"/>
  <c r="C99" i="2"/>
  <c r="D10" i="4" s="1"/>
  <c r="C56" i="2"/>
  <c r="C107" i="2" s="1"/>
  <c r="D18" i="4" s="1"/>
  <c r="G56" i="2"/>
  <c r="G107" i="2" s="1"/>
  <c r="H18" i="4" s="1"/>
  <c r="H10" i="4"/>
  <c r="F41" i="3"/>
  <c r="D41" i="3"/>
  <c r="E41" i="3"/>
  <c r="C41" i="3"/>
  <c r="C100" i="2"/>
  <c r="D11" i="4" s="1"/>
  <c r="D99" i="2"/>
  <c r="F56" i="2"/>
  <c r="F107" i="2" s="1"/>
  <c r="G18" i="4" s="1"/>
  <c r="D56" i="2"/>
  <c r="D107" i="2" s="1"/>
  <c r="E18" i="4" s="1"/>
  <c r="F112" i="2"/>
  <c r="G23" i="4" s="1"/>
  <c r="E56" i="2"/>
  <c r="E107" i="2" s="1"/>
  <c r="F18" i="4" s="1"/>
  <c r="E112" i="2"/>
  <c r="F23" i="4" s="1"/>
  <c r="D112" i="2"/>
  <c r="E23" i="4" s="1"/>
  <c r="F99" i="2"/>
  <c r="C112" i="2"/>
  <c r="D23" i="4" s="1"/>
  <c r="E99" i="2"/>
  <c r="G112" i="2"/>
  <c r="H23" i="4" s="1"/>
  <c r="C47" i="2"/>
  <c r="C49" i="2" s="1"/>
  <c r="C50" i="2" s="1"/>
  <c r="C103" i="2" s="1"/>
  <c r="D14" i="4" s="1"/>
  <c r="G60" i="2"/>
  <c r="C35" i="2"/>
  <c r="C26" i="2"/>
  <c r="D26" i="2" s="1"/>
  <c r="E26" i="2" s="1"/>
  <c r="F26" i="2" s="1"/>
  <c r="G26" i="2" s="1"/>
  <c r="D28" i="2"/>
  <c r="E28" i="2" s="1"/>
  <c r="F28" i="2" s="1"/>
  <c r="G28" i="2" s="1"/>
  <c r="D49" i="2" l="1"/>
  <c r="D50" i="2" s="1"/>
  <c r="G10" i="4"/>
  <c r="E10" i="4"/>
  <c r="F10" i="4"/>
  <c r="C38" i="2"/>
  <c r="D35" i="2"/>
  <c r="C29" i="2"/>
  <c r="E49" i="2" l="1"/>
  <c r="C105" i="2"/>
  <c r="D16" i="4" s="1"/>
  <c r="C19" i="3"/>
  <c r="C102" i="2"/>
  <c r="D13" i="4" s="1"/>
  <c r="C18" i="3"/>
  <c r="C108" i="2"/>
  <c r="D55" i="2"/>
  <c r="D57" i="2" s="1"/>
  <c r="D20" i="3" s="1"/>
  <c r="D103" i="2"/>
  <c r="E14" i="4" s="1"/>
  <c r="F49" i="2"/>
  <c r="E50" i="2"/>
  <c r="E35" i="2"/>
  <c r="D38" i="2"/>
  <c r="C110" i="2" l="1"/>
  <c r="D19" i="4"/>
  <c r="D105" i="2"/>
  <c r="E16" i="4" s="1"/>
  <c r="D19" i="3"/>
  <c r="E55" i="2"/>
  <c r="E57" i="2" s="1"/>
  <c r="E20" i="3" s="1"/>
  <c r="E103" i="2"/>
  <c r="F14" i="4" s="1"/>
  <c r="F35" i="2"/>
  <c r="E38" i="2"/>
  <c r="G49" i="2"/>
  <c r="F50" i="2"/>
  <c r="E105" i="2" l="1"/>
  <c r="F16" i="4" s="1"/>
  <c r="E19" i="3"/>
  <c r="C114" i="2"/>
  <c r="D21" i="4"/>
  <c r="F55" i="2"/>
  <c r="F57" i="2" s="1"/>
  <c r="F20" i="3" s="1"/>
  <c r="F103" i="2"/>
  <c r="G14" i="4" s="1"/>
  <c r="G50" i="2"/>
  <c r="G35" i="2"/>
  <c r="G38" i="2" s="1"/>
  <c r="F38" i="2"/>
  <c r="G105" i="2" l="1"/>
  <c r="H16" i="4" s="1"/>
  <c r="G19" i="3"/>
  <c r="C115" i="2"/>
  <c r="D25" i="4"/>
  <c r="C117" i="2"/>
  <c r="F105" i="2"/>
  <c r="G16" i="4" s="1"/>
  <c r="F19" i="3"/>
  <c r="G55" i="2"/>
  <c r="G57" i="2" s="1"/>
  <c r="G20" i="3" s="1"/>
  <c r="G103" i="2"/>
  <c r="H14" i="4" s="1"/>
  <c r="C50" i="3" l="1"/>
  <c r="C51" i="3" s="1"/>
  <c r="D28" i="4"/>
  <c r="D34" i="4" s="1"/>
  <c r="G59" i="2"/>
  <c r="G61" i="2" s="1"/>
  <c r="C22" i="3"/>
  <c r="D26" i="4"/>
  <c r="B3" i="3"/>
  <c r="C45" i="4" l="1"/>
  <c r="C7" i="1"/>
  <c r="C13" i="3"/>
  <c r="C15" i="3" s="1"/>
  <c r="G72" i="2"/>
  <c r="D47" i="2" l="1"/>
  <c r="D98" i="2"/>
  <c r="C8" i="1"/>
  <c r="D13" i="3"/>
  <c r="D15" i="3" s="1"/>
  <c r="C9" i="1"/>
  <c r="E13" i="3"/>
  <c r="E15" i="3" s="1"/>
  <c r="E47" i="2" l="1"/>
  <c r="E98" i="2"/>
  <c r="E9" i="4"/>
  <c r="D100" i="2"/>
  <c r="E11" i="4" s="1"/>
  <c r="D29" i="2"/>
  <c r="F47" i="2" l="1"/>
  <c r="F98" i="2"/>
  <c r="F9" i="4"/>
  <c r="E100" i="2"/>
  <c r="F11" i="4" s="1"/>
  <c r="D102" i="2"/>
  <c r="D18" i="3"/>
  <c r="C10" i="1"/>
  <c r="F13" i="3"/>
  <c r="F15" i="3" s="1"/>
  <c r="E29" i="2"/>
  <c r="G9" i="4" l="1"/>
  <c r="F100" i="2"/>
  <c r="G11" i="4" s="1"/>
  <c r="G47" i="2"/>
  <c r="G98" i="2"/>
  <c r="E102" i="2"/>
  <c r="E18" i="3"/>
  <c r="D108" i="2"/>
  <c r="E13" i="4"/>
  <c r="C11" i="1"/>
  <c r="G13" i="3"/>
  <c r="G15" i="3" s="1"/>
  <c r="F29" i="2"/>
  <c r="H9" i="4" l="1"/>
  <c r="G100" i="2"/>
  <c r="H11" i="4" s="1"/>
  <c r="D110" i="2"/>
  <c r="E19" i="4"/>
  <c r="E108" i="2"/>
  <c r="F13" i="4"/>
  <c r="F102" i="2"/>
  <c r="F18" i="3"/>
  <c r="G29" i="2"/>
  <c r="G102" i="2" l="1"/>
  <c r="G18" i="3"/>
  <c r="F108" i="2"/>
  <c r="G13" i="4"/>
  <c r="E110" i="2"/>
  <c r="F19" i="4"/>
  <c r="D114" i="2"/>
  <c r="E21" i="4"/>
  <c r="E25" i="4" l="1"/>
  <c r="D115" i="2"/>
  <c r="D117" i="2" s="1"/>
  <c r="F110" i="2"/>
  <c r="G19" i="4"/>
  <c r="E114" i="2"/>
  <c r="F21" i="4"/>
  <c r="G108" i="2"/>
  <c r="H13" i="4"/>
  <c r="F114" i="2" l="1"/>
  <c r="G21" i="4"/>
  <c r="F25" i="4"/>
  <c r="E115" i="2"/>
  <c r="E28" i="4"/>
  <c r="E34" i="4" s="1"/>
  <c r="D50" i="3"/>
  <c r="D51" i="3" s="1"/>
  <c r="D22" i="3"/>
  <c r="D24" i="3" s="1"/>
  <c r="D26" i="3" s="1"/>
  <c r="E26" i="4"/>
  <c r="G110" i="2"/>
  <c r="H19" i="4"/>
  <c r="C55" i="2"/>
  <c r="C57" i="2" s="1"/>
  <c r="C20" i="3" s="1"/>
  <c r="C24" i="3" s="1"/>
  <c r="C26" i="3" s="1"/>
  <c r="D45" i="4" l="1"/>
  <c r="G114" i="2"/>
  <c r="H21" i="4"/>
  <c r="E117" i="2"/>
  <c r="F26" i="4"/>
  <c r="E22" i="3"/>
  <c r="E24" i="3" s="1"/>
  <c r="E26" i="3" s="1"/>
  <c r="G25" i="4"/>
  <c r="F115" i="2"/>
  <c r="D10" i="3"/>
  <c r="D28" i="3" s="1"/>
  <c r="D36" i="3" s="1"/>
  <c r="D37" i="3" s="1"/>
  <c r="D43" i="3" s="1"/>
  <c r="C28" i="3"/>
  <c r="C36" i="3" s="1"/>
  <c r="C37" i="3" s="1"/>
  <c r="C43" i="3" s="1"/>
  <c r="F28" i="4" l="1"/>
  <c r="F34" i="4" s="1"/>
  <c r="E50" i="3"/>
  <c r="E51" i="3" s="1"/>
  <c r="F117" i="2"/>
  <c r="G28" i="4" s="1"/>
  <c r="G34" i="4" s="1"/>
  <c r="F45" i="4" s="1"/>
  <c r="G26" i="4"/>
  <c r="F22" i="3"/>
  <c r="F24" i="3" s="1"/>
  <c r="F26" i="3" s="1"/>
  <c r="H25" i="4"/>
  <c r="G115" i="2"/>
  <c r="G117" i="2" s="1"/>
  <c r="H28" i="4" s="1"/>
  <c r="H34" i="4" s="1"/>
  <c r="E10" i="3"/>
  <c r="E28" i="3" s="1"/>
  <c r="D52" i="4" l="1"/>
  <c r="G45" i="4"/>
  <c r="E45" i="4"/>
  <c r="D50" i="4"/>
  <c r="F50" i="3"/>
  <c r="F51" i="3" s="1"/>
  <c r="G50" i="3"/>
  <c r="G51" i="3" s="1"/>
  <c r="G22" i="3"/>
  <c r="G24" i="3" s="1"/>
  <c r="G26" i="3" s="1"/>
  <c r="H26" i="4"/>
  <c r="F10" i="3"/>
  <c r="F28" i="3" s="1"/>
  <c r="E36" i="3"/>
  <c r="E37" i="3" s="1"/>
  <c r="E43" i="3" s="1"/>
  <c r="G10" i="3" l="1"/>
  <c r="G28" i="3" s="1"/>
  <c r="G36" i="3" s="1"/>
  <c r="G37" i="3" s="1"/>
  <c r="G43" i="3" s="1"/>
  <c r="F36" i="3"/>
  <c r="F37" i="3" s="1"/>
  <c r="F43" i="3" s="1"/>
</calcChain>
</file>

<file path=xl/sharedStrings.xml><?xml version="1.0" encoding="utf-8"?>
<sst xmlns="http://schemas.openxmlformats.org/spreadsheetml/2006/main" count="266" uniqueCount="160">
  <si>
    <t>Master Budget</t>
  </si>
  <si>
    <t>Input Section</t>
  </si>
  <si>
    <t>Sales Budget</t>
  </si>
  <si>
    <t>Selling price</t>
  </si>
  <si>
    <t>Direct Materials Budget</t>
  </si>
  <si>
    <t>Beginning material inventory</t>
  </si>
  <si>
    <t>Direct Labor Budget</t>
  </si>
  <si>
    <t>Manufacturing Overhead Budget</t>
  </si>
  <si>
    <t>per hour</t>
  </si>
  <si>
    <t>Depreciation</t>
  </si>
  <si>
    <t>Selling and Administrative Expense Budget</t>
  </si>
  <si>
    <t>Cash Budget</t>
  </si>
  <si>
    <t>Assets</t>
  </si>
  <si>
    <t>Liabilities and Stockholders' Equity</t>
  </si>
  <si>
    <t>Operating Budgets</t>
  </si>
  <si>
    <t>Total Sales</t>
  </si>
  <si>
    <t>Total cost of raw materials purchases</t>
  </si>
  <si>
    <t>Total direct labor hours required</t>
  </si>
  <si>
    <t>Total direct labor cost</t>
  </si>
  <si>
    <t>Variable Costs</t>
  </si>
  <si>
    <t>Variable manufacturing overhead cost</t>
  </si>
  <si>
    <t>Fixed Costs</t>
  </si>
  <si>
    <t>Total Manufacturing Overhead</t>
  </si>
  <si>
    <t>Less Depreciation (non-cash disbursement)</t>
  </si>
  <si>
    <t>Cash disbursement for manufacturing overhead</t>
  </si>
  <si>
    <t>Manufacturing Overhead Cost (A/B)</t>
  </si>
  <si>
    <t>Quantity</t>
  </si>
  <si>
    <t>Cost/Rate</t>
  </si>
  <si>
    <t>Total</t>
  </si>
  <si>
    <t>Direct materials</t>
  </si>
  <si>
    <t>Direct labor</t>
  </si>
  <si>
    <t>Manufacturing overhead</t>
  </si>
  <si>
    <t>Budgeted Finished Goods Inventory</t>
  </si>
  <si>
    <t>Ending inventory in units</t>
  </si>
  <si>
    <t>Unit product cost</t>
  </si>
  <si>
    <t>Ending finished goods inventory</t>
  </si>
  <si>
    <t>Total selling and administrative expenses</t>
  </si>
  <si>
    <t>Budgeted Income Statement</t>
  </si>
  <si>
    <t>Financial Budgets</t>
  </si>
  <si>
    <t>Beginning cash balance</t>
  </si>
  <si>
    <t>Add: Receipts</t>
  </si>
  <si>
    <t>Collections from customers</t>
  </si>
  <si>
    <t>Total cash available</t>
  </si>
  <si>
    <t>Cash paid for Manufacturing overhead</t>
  </si>
  <si>
    <t>Cash paid for S&amp;A expenses</t>
  </si>
  <si>
    <t>Total disbursements</t>
  </si>
  <si>
    <t>Excess (deficiency) of receipts over disbursement</t>
  </si>
  <si>
    <t>Ending Cash Balance</t>
  </si>
  <si>
    <t>Budgeted Balance Sheet</t>
  </si>
  <si>
    <t>Cash</t>
  </si>
  <si>
    <t>Total current assets</t>
  </si>
  <si>
    <t>Less: Accumulated depreciation</t>
  </si>
  <si>
    <t>Total assets</t>
  </si>
  <si>
    <t>Total liabilities and stockholders' equity</t>
  </si>
  <si>
    <t>Year 1</t>
  </si>
  <si>
    <t>Year 2</t>
  </si>
  <si>
    <t>Year 3</t>
  </si>
  <si>
    <t>Year 4</t>
  </si>
  <si>
    <t>Year 5</t>
  </si>
  <si>
    <t>Expected unit sales in Year 1</t>
  </si>
  <si>
    <t>Expected unit sales in Year 2</t>
  </si>
  <si>
    <t>Expected unit sales in Year 3</t>
  </si>
  <si>
    <t>Expected unit sales in Year 4</t>
  </si>
  <si>
    <t>Expected unit sales in Year 5</t>
  </si>
  <si>
    <t>Trucks</t>
  </si>
  <si>
    <t>Trips per day</t>
  </si>
  <si>
    <t>Days of work</t>
  </si>
  <si>
    <t>Electric Micro-Mixers ( X m³ output capacity)</t>
  </si>
  <si>
    <t>Premium Service Rate</t>
  </si>
  <si>
    <t>For the next 5 years</t>
  </si>
  <si>
    <t>Cement &amp; Aggregates Cost</t>
  </si>
  <si>
    <t>Chemical Additives Cost</t>
  </si>
  <si>
    <t>Electricity (Fuel) Cost</t>
  </si>
  <si>
    <t>*none because concrete is used during the day of</t>
  </si>
  <si>
    <t>Output Capacity (in cubic meter)</t>
  </si>
  <si>
    <t xml:space="preserve">Chemical Additives Cost  </t>
  </si>
  <si>
    <t xml:space="preserve">Electricity (Fuel) Cost </t>
  </si>
  <si>
    <t>3 Micro-Mixer Driver</t>
  </si>
  <si>
    <t>1 Shuttle Driver (to transport the micro-Mixer) per hour</t>
  </si>
  <si>
    <t>Shuttle Driver hourly rate</t>
  </si>
  <si>
    <t>Micro-Mixer Hourly rate</t>
  </si>
  <si>
    <t>Total direct labor hours required (40h per week*52 weeks)</t>
  </si>
  <si>
    <t>Variable Overhead</t>
  </si>
  <si>
    <t>Tires &amp; Suspension</t>
  </si>
  <si>
    <t>Fixed Overhead</t>
  </si>
  <si>
    <t>Insurance (ZTL/Risk)</t>
  </si>
  <si>
    <t>Charging Infra Depreciation</t>
  </si>
  <si>
    <t>Fleet Depreciation</t>
  </si>
  <si>
    <t>Tires and Suspension</t>
  </si>
  <si>
    <t>per cubic meter</t>
  </si>
  <si>
    <t>per year</t>
  </si>
  <si>
    <t>Total Manufacturing Overhead for Year 1</t>
  </si>
  <si>
    <t>Total Direct Material Cost</t>
  </si>
  <si>
    <t>Cost per Cubic Meter</t>
  </si>
  <si>
    <t>Electric Micro-Mixers ( X m³ output capacity, cement poured)</t>
  </si>
  <si>
    <t>Total Cubic Meter cost</t>
  </si>
  <si>
    <t>Zona a Traffico Limitato (Limited Traffic Zone) Permit</t>
  </si>
  <si>
    <t>Fixed SG&amp;A</t>
  </si>
  <si>
    <t>Tax Credit Inflow (50% of €234k)</t>
  </si>
  <si>
    <t>% conservative increase of selling price to inflation</t>
  </si>
  <si>
    <t>% conservative increase of Cement &amp; Aggregates Cost to inflation</t>
  </si>
  <si>
    <t>% conservative increase of Chemical Additives Cost to inflation</t>
  </si>
  <si>
    <t>% conservative increase of Electricity (Fuel) Cost to inflation</t>
  </si>
  <si>
    <t>% conservative increase of Salary Spending due to CCNL wage indexing</t>
  </si>
  <si>
    <t>Sales Volume in cubic meters</t>
  </si>
  <si>
    <t>Unit Price</t>
  </si>
  <si>
    <t>Sales Revenue</t>
  </si>
  <si>
    <t>Variable Cost of Goods</t>
  </si>
  <si>
    <t>Direct Materials &amp; Energy</t>
  </si>
  <si>
    <t>Variable MOH (Tires)</t>
  </si>
  <si>
    <t>Fixed Cost of Goods</t>
  </si>
  <si>
    <t>Direct Labor</t>
  </si>
  <si>
    <t>Fixed MOH (Insurance/Infrastructure)</t>
  </si>
  <si>
    <t>Total COGS</t>
  </si>
  <si>
    <t>Gross Margin</t>
  </si>
  <si>
    <t>SG&amp;A Expenses</t>
  </si>
  <si>
    <t>Operating Income (EBIT)</t>
  </si>
  <si>
    <t>Income Tax (27.9%)</t>
  </si>
  <si>
    <t xml:space="preserve">Net Income </t>
  </si>
  <si>
    <t>Insurance/Infrastructure (ZTL/Risk)</t>
  </si>
  <si>
    <t>Income Statement Budget</t>
  </si>
  <si>
    <t xml:space="preserve">Income Tax </t>
  </si>
  <si>
    <t>Cash Outflows</t>
  </si>
  <si>
    <t>Direct Materials (Var)</t>
  </si>
  <si>
    <t>Direct Labor (Fixed)</t>
  </si>
  <si>
    <t>Income Taxes Paid</t>
  </si>
  <si>
    <t>Capital Expenditures (Fleet)</t>
  </si>
  <si>
    <t>Gross Plant &amp; Equipment</t>
  </si>
  <si>
    <t>Net Plant &amp; Equipment</t>
  </si>
  <si>
    <t>Retained earnings (Cumulative) year end</t>
  </si>
  <si>
    <t xml:space="preserve">Capital Expenditure </t>
  </si>
  <si>
    <t>Purchase of 3 Micro-Mixers</t>
  </si>
  <si>
    <t xml:space="preserve">PP&amp;E </t>
  </si>
  <si>
    <t>Year 0</t>
  </si>
  <si>
    <t>Fixed Capital Investment</t>
  </si>
  <si>
    <t>FCFF is calculated using the formula given below</t>
  </si>
  <si>
    <t>FCFF = EBIT (1-t) + Depreciation &amp; Amortization - Fixed Capital Investment - Working Capital Investment</t>
  </si>
  <si>
    <t>FCFF</t>
  </si>
  <si>
    <t>Economic Growth Rate (g)</t>
  </si>
  <si>
    <t>WACC</t>
  </si>
  <si>
    <t>Balance Sheet Budget</t>
  </si>
  <si>
    <t>Net Present Value Analysis</t>
  </si>
  <si>
    <t>*Unibeton Balance Sheet</t>
  </si>
  <si>
    <t>Corporate Tax Rate</t>
  </si>
  <si>
    <t>Discount Rate (WACC) Based on the 2025 cost of capital for Italian industrial SMEs</t>
  </si>
  <si>
    <t>Depreciation (Italian Ministerial Decree 31/12/88 &amp; Unibeton 2024 Financials)</t>
  </si>
  <si>
    <t>Incentives (Tax Credit: ZES Unica &amp; Transizione 5.0)</t>
  </si>
  <si>
    <t>Economic Growth Rate</t>
  </si>
  <si>
    <t>Discounted Terminal Value is calculated as</t>
  </si>
  <si>
    <t xml:space="preserve">Discounted Terminal Value </t>
  </si>
  <si>
    <t>Net Present Value is calculated using the formula given below</t>
  </si>
  <si>
    <r>
      <t>NPV = ∑(CF</t>
    </r>
    <r>
      <rPr>
        <b/>
        <vertAlign val="subscript"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 xml:space="preserve"> / (1 + i)</t>
    </r>
    <r>
      <rPr>
        <b/>
        <vertAlign val="superscript"/>
        <sz val="11"/>
        <color theme="1"/>
        <rFont val="Aptos Narrow"/>
        <family val="2"/>
        <scheme val="minor"/>
      </rPr>
      <t>n</t>
    </r>
    <r>
      <rPr>
        <b/>
        <sz val="11"/>
        <color theme="1"/>
        <rFont val="Aptos Narrow"/>
        <family val="2"/>
        <scheme val="minor"/>
      </rPr>
      <t>) - Initial Investment</t>
    </r>
  </si>
  <si>
    <t>Net Present Value</t>
  </si>
  <si>
    <t>*cell for validation</t>
  </si>
  <si>
    <t>Charging Infrastructure (Electric Powertrain Kit) Depreciation</t>
  </si>
  <si>
    <t>a</t>
  </si>
  <si>
    <r>
      <t>Deferred Income (</t>
    </r>
    <r>
      <rPr>
        <i/>
        <sz val="11"/>
        <color theme="1"/>
        <rFont val="Aptos Narrow"/>
        <scheme val="minor"/>
      </rPr>
      <t>Risconti Passivi)</t>
    </r>
  </si>
  <si>
    <t>Wicked Smart Concrete Group</t>
  </si>
  <si>
    <t>* this section is empty due to the fact that our cement is a ready to mix, and the materials are bought directly from the supplier</t>
  </si>
  <si>
    <t>Salvage Value (25% of fleet value of 390000) at end of year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</si>
</sst>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  <numFmt numFmtId="166" formatCode="[$-409]mmmm\ d\,\ yyyy;@"/>
    <numFmt numFmtId="167" formatCode="_([$€-2]\ * #,##0.00_);_([$€-2]\ * \(#,##0.00\);_([$€-2]\ * &quot;-&quot;??_);_(@_)"/>
  </numFmts>
  <fonts count="1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sz val="1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b/>
      <vertAlign val="sub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i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9">
    <xf numFmtId="0" fontId="0" fillId="0" borderId="0" xfId="0"/>
    <xf numFmtId="164" fontId="0" fillId="0" borderId="0" xfId="1" applyNumberFormat="1" applyFont="1"/>
    <xf numFmtId="164" fontId="4" fillId="0" borderId="0" xfId="1" applyNumberFormat="1" applyFont="1"/>
    <xf numFmtId="164" fontId="5" fillId="0" borderId="0" xfId="1" applyNumberFormat="1" applyFont="1"/>
    <xf numFmtId="164" fontId="6" fillId="0" borderId="0" xfId="1" applyNumberFormat="1" applyFont="1" applyAlignment="1">
      <alignment horizontal="left" indent="1"/>
    </xf>
    <xf numFmtId="164" fontId="0" fillId="0" borderId="0" xfId="1" applyNumberFormat="1" applyFont="1" applyAlignment="1">
      <alignment horizontal="left" indent="1"/>
    </xf>
    <xf numFmtId="44" fontId="5" fillId="0" borderId="0" xfId="2" applyFont="1"/>
    <xf numFmtId="164" fontId="6" fillId="0" borderId="0" xfId="1" applyNumberFormat="1" applyFont="1"/>
    <xf numFmtId="165" fontId="5" fillId="0" borderId="0" xfId="2" applyNumberFormat="1" applyFont="1"/>
    <xf numFmtId="43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49" fontId="0" fillId="0" borderId="0" xfId="1" applyNumberFormat="1" applyFont="1" applyAlignment="1"/>
    <xf numFmtId="164" fontId="4" fillId="0" borderId="1" xfId="1" applyNumberFormat="1" applyFont="1" applyBorder="1" applyAlignment="1">
      <alignment horizontal="center"/>
    </xf>
    <xf numFmtId="37" fontId="0" fillId="0" borderId="0" xfId="1" applyNumberFormat="1" applyFont="1" applyFill="1" applyBorder="1" applyAlignment="1">
      <alignment horizontal="center" vertical="center"/>
    </xf>
    <xf numFmtId="49" fontId="6" fillId="0" borderId="0" xfId="1" applyNumberFormat="1" applyFont="1" applyAlignment="1"/>
    <xf numFmtId="44" fontId="0" fillId="0" borderId="0" xfId="2" applyFont="1"/>
    <xf numFmtId="165" fontId="0" fillId="0" borderId="0" xfId="2" applyNumberFormat="1" applyFont="1"/>
    <xf numFmtId="165" fontId="0" fillId="0" borderId="2" xfId="2" applyNumberFormat="1" applyFont="1" applyBorder="1"/>
    <xf numFmtId="164" fontId="0" fillId="0" borderId="0" xfId="1" applyNumberFormat="1" applyFont="1" applyAlignment="1"/>
    <xf numFmtId="43" fontId="0" fillId="0" borderId="3" xfId="1" applyFont="1" applyBorder="1"/>
    <xf numFmtId="9" fontId="0" fillId="0" borderId="0" xfId="3" applyFont="1"/>
    <xf numFmtId="49" fontId="6" fillId="0" borderId="0" xfId="1" applyNumberFormat="1" applyFont="1" applyAlignment="1">
      <alignment horizontal="left" indent="1"/>
    </xf>
    <xf numFmtId="49" fontId="0" fillId="0" borderId="0" xfId="1" applyNumberFormat="1" applyFont="1" applyAlignment="1">
      <alignment horizontal="left" indent="1"/>
    </xf>
    <xf numFmtId="165" fontId="0" fillId="0" borderId="0" xfId="1" applyNumberFormat="1" applyFont="1"/>
    <xf numFmtId="44" fontId="0" fillId="0" borderId="0" xfId="1" applyNumberFormat="1" applyFont="1"/>
    <xf numFmtId="164" fontId="4" fillId="0" borderId="3" xfId="1" applyNumberFormat="1" applyFont="1" applyBorder="1" applyAlignment="1">
      <alignment horizontal="center"/>
    </xf>
    <xf numFmtId="43" fontId="0" fillId="0" borderId="0" xfId="1" applyFont="1"/>
    <xf numFmtId="1" fontId="0" fillId="0" borderId="0" xfId="2" applyNumberFormat="1" applyFont="1"/>
    <xf numFmtId="164" fontId="4" fillId="0" borderId="0" xfId="1" applyNumberFormat="1" applyFont="1" applyBorder="1" applyAlignment="1">
      <alignment horizontal="center"/>
    </xf>
    <xf numFmtId="164" fontId="0" fillId="0" borderId="0" xfId="1" applyNumberFormat="1" applyFont="1" applyBorder="1"/>
    <xf numFmtId="165" fontId="0" fillId="0" borderId="0" xfId="2" applyNumberFormat="1" applyFont="1" applyBorder="1"/>
    <xf numFmtId="164" fontId="6" fillId="0" borderId="0" xfId="1" applyNumberFormat="1" applyFont="1" applyAlignment="1">
      <alignment horizontal="left"/>
    </xf>
    <xf numFmtId="164" fontId="0" fillId="0" borderId="0" xfId="1" applyNumberFormat="1" applyFont="1" applyFill="1"/>
    <xf numFmtId="164" fontId="0" fillId="0" borderId="0" xfId="1" applyNumberFormat="1" applyFont="1" applyAlignment="1">
      <alignment horizontal="left" indent="2"/>
    </xf>
    <xf numFmtId="164" fontId="1" fillId="0" borderId="0" xfId="1" applyNumberFormat="1" applyFont="1" applyAlignment="1">
      <alignment horizontal="left" indent="1"/>
    </xf>
    <xf numFmtId="49" fontId="1" fillId="0" borderId="0" xfId="1" applyNumberFormat="1" applyFont="1" applyAlignment="1"/>
    <xf numFmtId="39" fontId="0" fillId="0" borderId="0" xfId="1" applyNumberFormat="1" applyFont="1" applyFill="1" applyBorder="1" applyAlignment="1">
      <alignment horizontal="center" vertical="center"/>
    </xf>
    <xf numFmtId="167" fontId="5" fillId="0" borderId="0" xfId="2" applyNumberFormat="1" applyFont="1"/>
    <xf numFmtId="167" fontId="5" fillId="0" borderId="0" xfId="1" applyNumberFormat="1" applyFont="1"/>
    <xf numFmtId="2" fontId="5" fillId="0" borderId="0" xfId="2" applyNumberFormat="1" applyFont="1"/>
    <xf numFmtId="164" fontId="6" fillId="0" borderId="0" xfId="1" applyNumberFormat="1" applyFont="1" applyAlignment="1"/>
    <xf numFmtId="49" fontId="1" fillId="0" borderId="0" xfId="1" applyNumberFormat="1" applyFont="1" applyAlignment="1">
      <alignment horizontal="left" indent="1"/>
    </xf>
    <xf numFmtId="167" fontId="0" fillId="0" borderId="0" xfId="2" applyNumberFormat="1" applyFont="1" applyFill="1" applyBorder="1" applyAlignment="1">
      <alignment horizontal="center" vertical="center"/>
    </xf>
    <xf numFmtId="167" fontId="0" fillId="0" borderId="2" xfId="2" applyNumberFormat="1" applyFont="1" applyBorder="1"/>
    <xf numFmtId="167" fontId="0" fillId="0" borderId="0" xfId="1" applyNumberFormat="1" applyFont="1" applyAlignment="1"/>
    <xf numFmtId="167" fontId="0" fillId="0" borderId="0" xfId="1" applyNumberFormat="1" applyFont="1" applyBorder="1"/>
    <xf numFmtId="167" fontId="0" fillId="0" borderId="3" xfId="1" applyNumberFormat="1" applyFont="1" applyBorder="1"/>
    <xf numFmtId="167" fontId="0" fillId="0" borderId="0" xfId="1" applyNumberFormat="1" applyFont="1"/>
    <xf numFmtId="167" fontId="0" fillId="0" borderId="0" xfId="2" applyNumberFormat="1" applyFont="1"/>
    <xf numFmtId="167" fontId="0" fillId="0" borderId="4" xfId="1" applyNumberFormat="1" applyFont="1" applyBorder="1"/>
    <xf numFmtId="49" fontId="1" fillId="0" borderId="0" xfId="1" applyNumberFormat="1" applyFont="1" applyAlignment="1">
      <alignment horizontal="left"/>
    </xf>
    <xf numFmtId="164" fontId="1" fillId="0" borderId="0" xfId="1" applyNumberFormat="1" applyFont="1"/>
    <xf numFmtId="167" fontId="0" fillId="0" borderId="0" xfId="2" applyNumberFormat="1" applyFont="1" applyAlignment="1"/>
    <xf numFmtId="167" fontId="0" fillId="0" borderId="5" xfId="1" applyNumberFormat="1" applyFont="1" applyBorder="1"/>
    <xf numFmtId="10" fontId="5" fillId="0" borderId="0" xfId="2" applyNumberFormat="1" applyFont="1"/>
    <xf numFmtId="49" fontId="8" fillId="0" borderId="0" xfId="1" applyNumberFormat="1" applyFont="1" applyAlignment="1"/>
    <xf numFmtId="164" fontId="8" fillId="0" borderId="0" xfId="1" applyNumberFormat="1" applyFont="1"/>
    <xf numFmtId="164" fontId="8" fillId="0" borderId="0" xfId="1" applyNumberFormat="1" applyFont="1" applyAlignment="1">
      <alignment horizontal="left" indent="1"/>
    </xf>
    <xf numFmtId="166" fontId="4" fillId="0" borderId="0" xfId="1" applyNumberFormat="1" applyFont="1" applyAlignment="1"/>
    <xf numFmtId="164" fontId="1" fillId="0" borderId="0" xfId="1" applyNumberFormat="1" applyFont="1" applyAlignment="1">
      <alignment horizontal="left"/>
    </xf>
    <xf numFmtId="0" fontId="9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/>
    <xf numFmtId="0" fontId="9" fillId="3" borderId="6" xfId="0" applyFont="1" applyFill="1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/>
    </xf>
    <xf numFmtId="10" fontId="5" fillId="0" borderId="0" xfId="1" applyNumberFormat="1" applyFont="1"/>
    <xf numFmtId="0" fontId="11" fillId="0" borderId="0" xfId="0" applyFont="1"/>
    <xf numFmtId="10" fontId="0" fillId="0" borderId="6" xfId="3" applyNumberFormat="1" applyFont="1" applyBorder="1" applyAlignment="1">
      <alignment horizontal="center" vertical="center"/>
    </xf>
    <xf numFmtId="6" fontId="0" fillId="0" borderId="0" xfId="0" applyNumberFormat="1"/>
    <xf numFmtId="0" fontId="9" fillId="3" borderId="6" xfId="0" applyFont="1" applyFill="1" applyBorder="1" applyAlignment="1">
      <alignment wrapText="1"/>
    </xf>
    <xf numFmtId="167" fontId="0" fillId="0" borderId="0" xfId="0" applyNumberFormat="1"/>
    <xf numFmtId="167" fontId="10" fillId="0" borderId="6" xfId="0" applyNumberFormat="1" applyFont="1" applyBorder="1" applyAlignment="1">
      <alignment horizontal="center" vertical="center"/>
    </xf>
    <xf numFmtId="167" fontId="10" fillId="4" borderId="6" xfId="0" applyNumberFormat="1" applyFont="1" applyFill="1" applyBorder="1" applyAlignment="1">
      <alignment horizontal="center" vertical="center" wrapText="1"/>
    </xf>
    <xf numFmtId="167" fontId="0" fillId="0" borderId="0" xfId="1" applyNumberFormat="1" applyFont="1" applyFill="1"/>
    <xf numFmtId="167" fontId="0" fillId="0" borderId="3" xfId="2" applyNumberFormat="1" applyFont="1" applyBorder="1"/>
    <xf numFmtId="167" fontId="0" fillId="0" borderId="0" xfId="2" applyNumberFormat="1" applyFont="1" applyBorder="1"/>
    <xf numFmtId="164" fontId="2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43" fontId="2" fillId="0" borderId="0" xfId="1" applyFont="1" applyAlignment="1">
      <alignment horizontal="center"/>
    </xf>
    <xf numFmtId="43" fontId="3" fillId="0" borderId="0" xfId="1" applyFont="1" applyAlignment="1">
      <alignment horizontal="center"/>
    </xf>
    <xf numFmtId="43" fontId="4" fillId="0" borderId="0" xfId="1" applyFont="1" applyAlignment="1">
      <alignment horizontal="center"/>
    </xf>
    <xf numFmtId="166" fontId="4" fillId="0" borderId="0" xfId="1" applyNumberFormat="1" applyFont="1" applyAlignment="1">
      <alignment horizontal="center"/>
    </xf>
    <xf numFmtId="164" fontId="4" fillId="0" borderId="3" xfId="1" applyNumberFormat="1" applyFont="1" applyBorder="1" applyAlignment="1">
      <alignment horizontal="center"/>
    </xf>
    <xf numFmtId="167" fontId="10" fillId="4" borderId="6" xfId="0" applyNumberFormat="1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167" fontId="10" fillId="0" borderId="6" xfId="0" applyNumberFormat="1" applyFont="1" applyBorder="1" applyAlignment="1">
      <alignment horizontal="center"/>
    </xf>
    <xf numFmtId="164" fontId="0" fillId="0" borderId="0" xfId="1" applyNumberFormat="1" applyFont="1" applyFill="1" applyAlignment="1">
      <alignment horizontal="left" indent="1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4474C-1E34-40A8-BF9D-24F606D5DABE}">
  <dimension ref="B1:D65"/>
  <sheetViews>
    <sheetView tabSelected="1" topLeftCell="A38" zoomScale="112" zoomScaleNormal="100" workbookViewId="0">
      <selection activeCell="C20" sqref="C20"/>
    </sheetView>
  </sheetViews>
  <sheetFormatPr baseColWidth="10" defaultColWidth="9.1640625" defaultRowHeight="15" x14ac:dyDescent="0.2"/>
  <cols>
    <col min="1" max="1" width="5.5" style="1" customWidth="1"/>
    <col min="2" max="2" width="65.5" style="1" customWidth="1"/>
    <col min="3" max="3" width="14" style="3" bestFit="1" customWidth="1"/>
    <col min="4" max="4" width="21.6640625" style="1" bestFit="1" customWidth="1"/>
    <col min="5" max="256" width="9.1640625" style="1"/>
    <col min="257" max="257" width="5.5" style="1" customWidth="1"/>
    <col min="258" max="258" width="65.5" style="1" bestFit="1" customWidth="1"/>
    <col min="259" max="259" width="14" style="1" bestFit="1" customWidth="1"/>
    <col min="260" max="260" width="21.6640625" style="1" bestFit="1" customWidth="1"/>
    <col min="261" max="512" width="9.1640625" style="1"/>
    <col min="513" max="513" width="5.5" style="1" customWidth="1"/>
    <col min="514" max="514" width="65.5" style="1" bestFit="1" customWidth="1"/>
    <col min="515" max="515" width="14" style="1" bestFit="1" customWidth="1"/>
    <col min="516" max="516" width="21.6640625" style="1" bestFit="1" customWidth="1"/>
    <col min="517" max="768" width="9.1640625" style="1"/>
    <col min="769" max="769" width="5.5" style="1" customWidth="1"/>
    <col min="770" max="770" width="65.5" style="1" bestFit="1" customWidth="1"/>
    <col min="771" max="771" width="14" style="1" bestFit="1" customWidth="1"/>
    <col min="772" max="772" width="21.6640625" style="1" bestFit="1" customWidth="1"/>
    <col min="773" max="1024" width="9.1640625" style="1"/>
    <col min="1025" max="1025" width="5.5" style="1" customWidth="1"/>
    <col min="1026" max="1026" width="65.5" style="1" bestFit="1" customWidth="1"/>
    <col min="1027" max="1027" width="14" style="1" bestFit="1" customWidth="1"/>
    <col min="1028" max="1028" width="21.6640625" style="1" bestFit="1" customWidth="1"/>
    <col min="1029" max="1280" width="9.1640625" style="1"/>
    <col min="1281" max="1281" width="5.5" style="1" customWidth="1"/>
    <col min="1282" max="1282" width="65.5" style="1" bestFit="1" customWidth="1"/>
    <col min="1283" max="1283" width="14" style="1" bestFit="1" customWidth="1"/>
    <col min="1284" max="1284" width="21.6640625" style="1" bestFit="1" customWidth="1"/>
    <col min="1285" max="1536" width="9.1640625" style="1"/>
    <col min="1537" max="1537" width="5.5" style="1" customWidth="1"/>
    <col min="1538" max="1538" width="65.5" style="1" bestFit="1" customWidth="1"/>
    <col min="1539" max="1539" width="14" style="1" bestFit="1" customWidth="1"/>
    <col min="1540" max="1540" width="21.6640625" style="1" bestFit="1" customWidth="1"/>
    <col min="1541" max="1792" width="9.1640625" style="1"/>
    <col min="1793" max="1793" width="5.5" style="1" customWidth="1"/>
    <col min="1794" max="1794" width="65.5" style="1" bestFit="1" customWidth="1"/>
    <col min="1795" max="1795" width="14" style="1" bestFit="1" customWidth="1"/>
    <col min="1796" max="1796" width="21.6640625" style="1" bestFit="1" customWidth="1"/>
    <col min="1797" max="2048" width="9.1640625" style="1"/>
    <col min="2049" max="2049" width="5.5" style="1" customWidth="1"/>
    <col min="2050" max="2050" width="65.5" style="1" bestFit="1" customWidth="1"/>
    <col min="2051" max="2051" width="14" style="1" bestFit="1" customWidth="1"/>
    <col min="2052" max="2052" width="21.6640625" style="1" bestFit="1" customWidth="1"/>
    <col min="2053" max="2304" width="9.1640625" style="1"/>
    <col min="2305" max="2305" width="5.5" style="1" customWidth="1"/>
    <col min="2306" max="2306" width="65.5" style="1" bestFit="1" customWidth="1"/>
    <col min="2307" max="2307" width="14" style="1" bestFit="1" customWidth="1"/>
    <col min="2308" max="2308" width="21.6640625" style="1" bestFit="1" customWidth="1"/>
    <col min="2309" max="2560" width="9.1640625" style="1"/>
    <col min="2561" max="2561" width="5.5" style="1" customWidth="1"/>
    <col min="2562" max="2562" width="65.5" style="1" bestFit="1" customWidth="1"/>
    <col min="2563" max="2563" width="14" style="1" bestFit="1" customWidth="1"/>
    <col min="2564" max="2564" width="21.6640625" style="1" bestFit="1" customWidth="1"/>
    <col min="2565" max="2816" width="9.1640625" style="1"/>
    <col min="2817" max="2817" width="5.5" style="1" customWidth="1"/>
    <col min="2818" max="2818" width="65.5" style="1" bestFit="1" customWidth="1"/>
    <col min="2819" max="2819" width="14" style="1" bestFit="1" customWidth="1"/>
    <col min="2820" max="2820" width="21.6640625" style="1" bestFit="1" customWidth="1"/>
    <col min="2821" max="3072" width="9.1640625" style="1"/>
    <col min="3073" max="3073" width="5.5" style="1" customWidth="1"/>
    <col min="3074" max="3074" width="65.5" style="1" bestFit="1" customWidth="1"/>
    <col min="3075" max="3075" width="14" style="1" bestFit="1" customWidth="1"/>
    <col min="3076" max="3076" width="21.6640625" style="1" bestFit="1" customWidth="1"/>
    <col min="3077" max="3328" width="9.1640625" style="1"/>
    <col min="3329" max="3329" width="5.5" style="1" customWidth="1"/>
    <col min="3330" max="3330" width="65.5" style="1" bestFit="1" customWidth="1"/>
    <col min="3331" max="3331" width="14" style="1" bestFit="1" customWidth="1"/>
    <col min="3332" max="3332" width="21.6640625" style="1" bestFit="1" customWidth="1"/>
    <col min="3333" max="3584" width="9.1640625" style="1"/>
    <col min="3585" max="3585" width="5.5" style="1" customWidth="1"/>
    <col min="3586" max="3586" width="65.5" style="1" bestFit="1" customWidth="1"/>
    <col min="3587" max="3587" width="14" style="1" bestFit="1" customWidth="1"/>
    <col min="3588" max="3588" width="21.6640625" style="1" bestFit="1" customWidth="1"/>
    <col min="3589" max="3840" width="9.1640625" style="1"/>
    <col min="3841" max="3841" width="5.5" style="1" customWidth="1"/>
    <col min="3842" max="3842" width="65.5" style="1" bestFit="1" customWidth="1"/>
    <col min="3843" max="3843" width="14" style="1" bestFit="1" customWidth="1"/>
    <col min="3844" max="3844" width="21.6640625" style="1" bestFit="1" customWidth="1"/>
    <col min="3845" max="4096" width="9.1640625" style="1"/>
    <col min="4097" max="4097" width="5.5" style="1" customWidth="1"/>
    <col min="4098" max="4098" width="65.5" style="1" bestFit="1" customWidth="1"/>
    <col min="4099" max="4099" width="14" style="1" bestFit="1" customWidth="1"/>
    <col min="4100" max="4100" width="21.6640625" style="1" bestFit="1" customWidth="1"/>
    <col min="4101" max="4352" width="9.1640625" style="1"/>
    <col min="4353" max="4353" width="5.5" style="1" customWidth="1"/>
    <col min="4354" max="4354" width="65.5" style="1" bestFit="1" customWidth="1"/>
    <col min="4355" max="4355" width="14" style="1" bestFit="1" customWidth="1"/>
    <col min="4356" max="4356" width="21.6640625" style="1" bestFit="1" customWidth="1"/>
    <col min="4357" max="4608" width="9.1640625" style="1"/>
    <col min="4609" max="4609" width="5.5" style="1" customWidth="1"/>
    <col min="4610" max="4610" width="65.5" style="1" bestFit="1" customWidth="1"/>
    <col min="4611" max="4611" width="14" style="1" bestFit="1" customWidth="1"/>
    <col min="4612" max="4612" width="21.6640625" style="1" bestFit="1" customWidth="1"/>
    <col min="4613" max="4864" width="9.1640625" style="1"/>
    <col min="4865" max="4865" width="5.5" style="1" customWidth="1"/>
    <col min="4866" max="4866" width="65.5" style="1" bestFit="1" customWidth="1"/>
    <col min="4867" max="4867" width="14" style="1" bestFit="1" customWidth="1"/>
    <col min="4868" max="4868" width="21.6640625" style="1" bestFit="1" customWidth="1"/>
    <col min="4869" max="5120" width="9.1640625" style="1"/>
    <col min="5121" max="5121" width="5.5" style="1" customWidth="1"/>
    <col min="5122" max="5122" width="65.5" style="1" bestFit="1" customWidth="1"/>
    <col min="5123" max="5123" width="14" style="1" bestFit="1" customWidth="1"/>
    <col min="5124" max="5124" width="21.6640625" style="1" bestFit="1" customWidth="1"/>
    <col min="5125" max="5376" width="9.1640625" style="1"/>
    <col min="5377" max="5377" width="5.5" style="1" customWidth="1"/>
    <col min="5378" max="5378" width="65.5" style="1" bestFit="1" customWidth="1"/>
    <col min="5379" max="5379" width="14" style="1" bestFit="1" customWidth="1"/>
    <col min="5380" max="5380" width="21.6640625" style="1" bestFit="1" customWidth="1"/>
    <col min="5381" max="5632" width="9.1640625" style="1"/>
    <col min="5633" max="5633" width="5.5" style="1" customWidth="1"/>
    <col min="5634" max="5634" width="65.5" style="1" bestFit="1" customWidth="1"/>
    <col min="5635" max="5635" width="14" style="1" bestFit="1" customWidth="1"/>
    <col min="5636" max="5636" width="21.6640625" style="1" bestFit="1" customWidth="1"/>
    <col min="5637" max="5888" width="9.1640625" style="1"/>
    <col min="5889" max="5889" width="5.5" style="1" customWidth="1"/>
    <col min="5890" max="5890" width="65.5" style="1" bestFit="1" customWidth="1"/>
    <col min="5891" max="5891" width="14" style="1" bestFit="1" customWidth="1"/>
    <col min="5892" max="5892" width="21.6640625" style="1" bestFit="1" customWidth="1"/>
    <col min="5893" max="6144" width="9.1640625" style="1"/>
    <col min="6145" max="6145" width="5.5" style="1" customWidth="1"/>
    <col min="6146" max="6146" width="65.5" style="1" bestFit="1" customWidth="1"/>
    <col min="6147" max="6147" width="14" style="1" bestFit="1" customWidth="1"/>
    <col min="6148" max="6148" width="21.6640625" style="1" bestFit="1" customWidth="1"/>
    <col min="6149" max="6400" width="9.1640625" style="1"/>
    <col min="6401" max="6401" width="5.5" style="1" customWidth="1"/>
    <col min="6402" max="6402" width="65.5" style="1" bestFit="1" customWidth="1"/>
    <col min="6403" max="6403" width="14" style="1" bestFit="1" customWidth="1"/>
    <col min="6404" max="6404" width="21.6640625" style="1" bestFit="1" customWidth="1"/>
    <col min="6405" max="6656" width="9.1640625" style="1"/>
    <col min="6657" max="6657" width="5.5" style="1" customWidth="1"/>
    <col min="6658" max="6658" width="65.5" style="1" bestFit="1" customWidth="1"/>
    <col min="6659" max="6659" width="14" style="1" bestFit="1" customWidth="1"/>
    <col min="6660" max="6660" width="21.6640625" style="1" bestFit="1" customWidth="1"/>
    <col min="6661" max="6912" width="9.1640625" style="1"/>
    <col min="6913" max="6913" width="5.5" style="1" customWidth="1"/>
    <col min="6914" max="6914" width="65.5" style="1" bestFit="1" customWidth="1"/>
    <col min="6915" max="6915" width="14" style="1" bestFit="1" customWidth="1"/>
    <col min="6916" max="6916" width="21.6640625" style="1" bestFit="1" customWidth="1"/>
    <col min="6917" max="7168" width="9.1640625" style="1"/>
    <col min="7169" max="7169" width="5.5" style="1" customWidth="1"/>
    <col min="7170" max="7170" width="65.5" style="1" bestFit="1" customWidth="1"/>
    <col min="7171" max="7171" width="14" style="1" bestFit="1" customWidth="1"/>
    <col min="7172" max="7172" width="21.6640625" style="1" bestFit="1" customWidth="1"/>
    <col min="7173" max="7424" width="9.1640625" style="1"/>
    <col min="7425" max="7425" width="5.5" style="1" customWidth="1"/>
    <col min="7426" max="7426" width="65.5" style="1" bestFit="1" customWidth="1"/>
    <col min="7427" max="7427" width="14" style="1" bestFit="1" customWidth="1"/>
    <col min="7428" max="7428" width="21.6640625" style="1" bestFit="1" customWidth="1"/>
    <col min="7429" max="7680" width="9.1640625" style="1"/>
    <col min="7681" max="7681" width="5.5" style="1" customWidth="1"/>
    <col min="7682" max="7682" width="65.5" style="1" bestFit="1" customWidth="1"/>
    <col min="7683" max="7683" width="14" style="1" bestFit="1" customWidth="1"/>
    <col min="7684" max="7684" width="21.6640625" style="1" bestFit="1" customWidth="1"/>
    <col min="7685" max="7936" width="9.1640625" style="1"/>
    <col min="7937" max="7937" width="5.5" style="1" customWidth="1"/>
    <col min="7938" max="7938" width="65.5" style="1" bestFit="1" customWidth="1"/>
    <col min="7939" max="7939" width="14" style="1" bestFit="1" customWidth="1"/>
    <col min="7940" max="7940" width="21.6640625" style="1" bestFit="1" customWidth="1"/>
    <col min="7941" max="8192" width="9.1640625" style="1"/>
    <col min="8193" max="8193" width="5.5" style="1" customWidth="1"/>
    <col min="8194" max="8194" width="65.5" style="1" bestFit="1" customWidth="1"/>
    <col min="8195" max="8195" width="14" style="1" bestFit="1" customWidth="1"/>
    <col min="8196" max="8196" width="21.6640625" style="1" bestFit="1" customWidth="1"/>
    <col min="8197" max="8448" width="9.1640625" style="1"/>
    <col min="8449" max="8449" width="5.5" style="1" customWidth="1"/>
    <col min="8450" max="8450" width="65.5" style="1" bestFit="1" customWidth="1"/>
    <col min="8451" max="8451" width="14" style="1" bestFit="1" customWidth="1"/>
    <col min="8452" max="8452" width="21.6640625" style="1" bestFit="1" customWidth="1"/>
    <col min="8453" max="8704" width="9.1640625" style="1"/>
    <col min="8705" max="8705" width="5.5" style="1" customWidth="1"/>
    <col min="8706" max="8706" width="65.5" style="1" bestFit="1" customWidth="1"/>
    <col min="8707" max="8707" width="14" style="1" bestFit="1" customWidth="1"/>
    <col min="8708" max="8708" width="21.6640625" style="1" bestFit="1" customWidth="1"/>
    <col min="8709" max="8960" width="9.1640625" style="1"/>
    <col min="8961" max="8961" width="5.5" style="1" customWidth="1"/>
    <col min="8962" max="8962" width="65.5" style="1" bestFit="1" customWidth="1"/>
    <col min="8963" max="8963" width="14" style="1" bestFit="1" customWidth="1"/>
    <col min="8964" max="8964" width="21.6640625" style="1" bestFit="1" customWidth="1"/>
    <col min="8965" max="9216" width="9.1640625" style="1"/>
    <col min="9217" max="9217" width="5.5" style="1" customWidth="1"/>
    <col min="9218" max="9218" width="65.5" style="1" bestFit="1" customWidth="1"/>
    <col min="9219" max="9219" width="14" style="1" bestFit="1" customWidth="1"/>
    <col min="9220" max="9220" width="21.6640625" style="1" bestFit="1" customWidth="1"/>
    <col min="9221" max="9472" width="9.1640625" style="1"/>
    <col min="9473" max="9473" width="5.5" style="1" customWidth="1"/>
    <col min="9474" max="9474" width="65.5" style="1" bestFit="1" customWidth="1"/>
    <col min="9475" max="9475" width="14" style="1" bestFit="1" customWidth="1"/>
    <col min="9476" max="9476" width="21.6640625" style="1" bestFit="1" customWidth="1"/>
    <col min="9477" max="9728" width="9.1640625" style="1"/>
    <col min="9729" max="9729" width="5.5" style="1" customWidth="1"/>
    <col min="9730" max="9730" width="65.5" style="1" bestFit="1" customWidth="1"/>
    <col min="9731" max="9731" width="14" style="1" bestFit="1" customWidth="1"/>
    <col min="9732" max="9732" width="21.6640625" style="1" bestFit="1" customWidth="1"/>
    <col min="9733" max="9984" width="9.1640625" style="1"/>
    <col min="9985" max="9985" width="5.5" style="1" customWidth="1"/>
    <col min="9986" max="9986" width="65.5" style="1" bestFit="1" customWidth="1"/>
    <col min="9987" max="9987" width="14" style="1" bestFit="1" customWidth="1"/>
    <col min="9988" max="9988" width="21.6640625" style="1" bestFit="1" customWidth="1"/>
    <col min="9989" max="10240" width="9.1640625" style="1"/>
    <col min="10241" max="10241" width="5.5" style="1" customWidth="1"/>
    <col min="10242" max="10242" width="65.5" style="1" bestFit="1" customWidth="1"/>
    <col min="10243" max="10243" width="14" style="1" bestFit="1" customWidth="1"/>
    <col min="10244" max="10244" width="21.6640625" style="1" bestFit="1" customWidth="1"/>
    <col min="10245" max="10496" width="9.1640625" style="1"/>
    <col min="10497" max="10497" width="5.5" style="1" customWidth="1"/>
    <col min="10498" max="10498" width="65.5" style="1" bestFit="1" customWidth="1"/>
    <col min="10499" max="10499" width="14" style="1" bestFit="1" customWidth="1"/>
    <col min="10500" max="10500" width="21.6640625" style="1" bestFit="1" customWidth="1"/>
    <col min="10501" max="10752" width="9.1640625" style="1"/>
    <col min="10753" max="10753" width="5.5" style="1" customWidth="1"/>
    <col min="10754" max="10754" width="65.5" style="1" bestFit="1" customWidth="1"/>
    <col min="10755" max="10755" width="14" style="1" bestFit="1" customWidth="1"/>
    <col min="10756" max="10756" width="21.6640625" style="1" bestFit="1" customWidth="1"/>
    <col min="10757" max="11008" width="9.1640625" style="1"/>
    <col min="11009" max="11009" width="5.5" style="1" customWidth="1"/>
    <col min="11010" max="11010" width="65.5" style="1" bestFit="1" customWidth="1"/>
    <col min="11011" max="11011" width="14" style="1" bestFit="1" customWidth="1"/>
    <col min="11012" max="11012" width="21.6640625" style="1" bestFit="1" customWidth="1"/>
    <col min="11013" max="11264" width="9.1640625" style="1"/>
    <col min="11265" max="11265" width="5.5" style="1" customWidth="1"/>
    <col min="11266" max="11266" width="65.5" style="1" bestFit="1" customWidth="1"/>
    <col min="11267" max="11267" width="14" style="1" bestFit="1" customWidth="1"/>
    <col min="11268" max="11268" width="21.6640625" style="1" bestFit="1" customWidth="1"/>
    <col min="11269" max="11520" width="9.1640625" style="1"/>
    <col min="11521" max="11521" width="5.5" style="1" customWidth="1"/>
    <col min="11522" max="11522" width="65.5" style="1" bestFit="1" customWidth="1"/>
    <col min="11523" max="11523" width="14" style="1" bestFit="1" customWidth="1"/>
    <col min="11524" max="11524" width="21.6640625" style="1" bestFit="1" customWidth="1"/>
    <col min="11525" max="11776" width="9.1640625" style="1"/>
    <col min="11777" max="11777" width="5.5" style="1" customWidth="1"/>
    <col min="11778" max="11778" width="65.5" style="1" bestFit="1" customWidth="1"/>
    <col min="11779" max="11779" width="14" style="1" bestFit="1" customWidth="1"/>
    <col min="11780" max="11780" width="21.6640625" style="1" bestFit="1" customWidth="1"/>
    <col min="11781" max="12032" width="9.1640625" style="1"/>
    <col min="12033" max="12033" width="5.5" style="1" customWidth="1"/>
    <col min="12034" max="12034" width="65.5" style="1" bestFit="1" customWidth="1"/>
    <col min="12035" max="12035" width="14" style="1" bestFit="1" customWidth="1"/>
    <col min="12036" max="12036" width="21.6640625" style="1" bestFit="1" customWidth="1"/>
    <col min="12037" max="12288" width="9.1640625" style="1"/>
    <col min="12289" max="12289" width="5.5" style="1" customWidth="1"/>
    <col min="12290" max="12290" width="65.5" style="1" bestFit="1" customWidth="1"/>
    <col min="12291" max="12291" width="14" style="1" bestFit="1" customWidth="1"/>
    <col min="12292" max="12292" width="21.6640625" style="1" bestFit="1" customWidth="1"/>
    <col min="12293" max="12544" width="9.1640625" style="1"/>
    <col min="12545" max="12545" width="5.5" style="1" customWidth="1"/>
    <col min="12546" max="12546" width="65.5" style="1" bestFit="1" customWidth="1"/>
    <col min="12547" max="12547" width="14" style="1" bestFit="1" customWidth="1"/>
    <col min="12548" max="12548" width="21.6640625" style="1" bestFit="1" customWidth="1"/>
    <col min="12549" max="12800" width="9.1640625" style="1"/>
    <col min="12801" max="12801" width="5.5" style="1" customWidth="1"/>
    <col min="12802" max="12802" width="65.5" style="1" bestFit="1" customWidth="1"/>
    <col min="12803" max="12803" width="14" style="1" bestFit="1" customWidth="1"/>
    <col min="12804" max="12804" width="21.6640625" style="1" bestFit="1" customWidth="1"/>
    <col min="12805" max="13056" width="9.1640625" style="1"/>
    <col min="13057" max="13057" width="5.5" style="1" customWidth="1"/>
    <col min="13058" max="13058" width="65.5" style="1" bestFit="1" customWidth="1"/>
    <col min="13059" max="13059" width="14" style="1" bestFit="1" customWidth="1"/>
    <col min="13060" max="13060" width="21.6640625" style="1" bestFit="1" customWidth="1"/>
    <col min="13061" max="13312" width="9.1640625" style="1"/>
    <col min="13313" max="13313" width="5.5" style="1" customWidth="1"/>
    <col min="13314" max="13314" width="65.5" style="1" bestFit="1" customWidth="1"/>
    <col min="13315" max="13315" width="14" style="1" bestFit="1" customWidth="1"/>
    <col min="13316" max="13316" width="21.6640625" style="1" bestFit="1" customWidth="1"/>
    <col min="13317" max="13568" width="9.1640625" style="1"/>
    <col min="13569" max="13569" width="5.5" style="1" customWidth="1"/>
    <col min="13570" max="13570" width="65.5" style="1" bestFit="1" customWidth="1"/>
    <col min="13571" max="13571" width="14" style="1" bestFit="1" customWidth="1"/>
    <col min="13572" max="13572" width="21.6640625" style="1" bestFit="1" customWidth="1"/>
    <col min="13573" max="13824" width="9.1640625" style="1"/>
    <col min="13825" max="13825" width="5.5" style="1" customWidth="1"/>
    <col min="13826" max="13826" width="65.5" style="1" bestFit="1" customWidth="1"/>
    <col min="13827" max="13827" width="14" style="1" bestFit="1" customWidth="1"/>
    <col min="13828" max="13828" width="21.6640625" style="1" bestFit="1" customWidth="1"/>
    <col min="13829" max="14080" width="9.1640625" style="1"/>
    <col min="14081" max="14081" width="5.5" style="1" customWidth="1"/>
    <col min="14082" max="14082" width="65.5" style="1" bestFit="1" customWidth="1"/>
    <col min="14083" max="14083" width="14" style="1" bestFit="1" customWidth="1"/>
    <col min="14084" max="14084" width="21.6640625" style="1" bestFit="1" customWidth="1"/>
    <col min="14085" max="14336" width="9.1640625" style="1"/>
    <col min="14337" max="14337" width="5.5" style="1" customWidth="1"/>
    <col min="14338" max="14338" width="65.5" style="1" bestFit="1" customWidth="1"/>
    <col min="14339" max="14339" width="14" style="1" bestFit="1" customWidth="1"/>
    <col min="14340" max="14340" width="21.6640625" style="1" bestFit="1" customWidth="1"/>
    <col min="14341" max="14592" width="9.1640625" style="1"/>
    <col min="14593" max="14593" width="5.5" style="1" customWidth="1"/>
    <col min="14594" max="14594" width="65.5" style="1" bestFit="1" customWidth="1"/>
    <col min="14595" max="14595" width="14" style="1" bestFit="1" customWidth="1"/>
    <col min="14596" max="14596" width="21.6640625" style="1" bestFit="1" customWidth="1"/>
    <col min="14597" max="14848" width="9.1640625" style="1"/>
    <col min="14849" max="14849" width="5.5" style="1" customWidth="1"/>
    <col min="14850" max="14850" width="65.5" style="1" bestFit="1" customWidth="1"/>
    <col min="14851" max="14851" width="14" style="1" bestFit="1" customWidth="1"/>
    <col min="14852" max="14852" width="21.6640625" style="1" bestFit="1" customWidth="1"/>
    <col min="14853" max="15104" width="9.1640625" style="1"/>
    <col min="15105" max="15105" width="5.5" style="1" customWidth="1"/>
    <col min="15106" max="15106" width="65.5" style="1" bestFit="1" customWidth="1"/>
    <col min="15107" max="15107" width="14" style="1" bestFit="1" customWidth="1"/>
    <col min="15108" max="15108" width="21.6640625" style="1" bestFit="1" customWidth="1"/>
    <col min="15109" max="15360" width="9.1640625" style="1"/>
    <col min="15361" max="15361" width="5.5" style="1" customWidth="1"/>
    <col min="15362" max="15362" width="65.5" style="1" bestFit="1" customWidth="1"/>
    <col min="15363" max="15363" width="14" style="1" bestFit="1" customWidth="1"/>
    <col min="15364" max="15364" width="21.6640625" style="1" bestFit="1" customWidth="1"/>
    <col min="15365" max="15616" width="9.1640625" style="1"/>
    <col min="15617" max="15617" width="5.5" style="1" customWidth="1"/>
    <col min="15618" max="15618" width="65.5" style="1" bestFit="1" customWidth="1"/>
    <col min="15619" max="15619" width="14" style="1" bestFit="1" customWidth="1"/>
    <col min="15620" max="15620" width="21.6640625" style="1" bestFit="1" customWidth="1"/>
    <col min="15621" max="15872" width="9.1640625" style="1"/>
    <col min="15873" max="15873" width="5.5" style="1" customWidth="1"/>
    <col min="15874" max="15874" width="65.5" style="1" bestFit="1" customWidth="1"/>
    <col min="15875" max="15875" width="14" style="1" bestFit="1" customWidth="1"/>
    <col min="15876" max="15876" width="21.6640625" style="1" bestFit="1" customWidth="1"/>
    <col min="15877" max="16128" width="9.1640625" style="1"/>
    <col min="16129" max="16129" width="5.5" style="1" customWidth="1"/>
    <col min="16130" max="16130" width="65.5" style="1" bestFit="1" customWidth="1"/>
    <col min="16131" max="16131" width="14" style="1" bestFit="1" customWidth="1"/>
    <col min="16132" max="16132" width="21.6640625" style="1" bestFit="1" customWidth="1"/>
    <col min="16133" max="16384" width="9.1640625" style="1"/>
  </cols>
  <sheetData>
    <row r="1" spans="2:4" ht="23" x14ac:dyDescent="0.25">
      <c r="B1" s="77" t="s">
        <v>157</v>
      </c>
      <c r="C1" s="77"/>
      <c r="D1" s="77"/>
    </row>
    <row r="2" spans="2:4" ht="18" x14ac:dyDescent="0.2">
      <c r="B2" s="78" t="s">
        <v>0</v>
      </c>
      <c r="C2" s="78"/>
      <c r="D2" s="78"/>
    </row>
    <row r="3" spans="2:4" x14ac:dyDescent="0.2">
      <c r="B3" s="79" t="s">
        <v>1</v>
      </c>
      <c r="C3" s="79"/>
      <c r="D3" s="79"/>
    </row>
    <row r="6" spans="2:4" x14ac:dyDescent="0.2">
      <c r="B6" s="2" t="s">
        <v>2</v>
      </c>
    </row>
    <row r="7" spans="2:4" x14ac:dyDescent="0.2">
      <c r="B7" s="34" t="s">
        <v>59</v>
      </c>
      <c r="C7" s="38">
        <f>'Operating Budgets'!C18</f>
        <v>891000</v>
      </c>
    </row>
    <row r="8" spans="2:4" x14ac:dyDescent="0.2">
      <c r="B8" s="34" t="s">
        <v>60</v>
      </c>
      <c r="C8" s="38">
        <f>'Operating Budgets'!D18</f>
        <v>908820</v>
      </c>
    </row>
    <row r="9" spans="2:4" x14ac:dyDescent="0.2">
      <c r="B9" s="34" t="s">
        <v>61</v>
      </c>
      <c r="C9" s="38">
        <f>'Operating Budgets'!E18</f>
        <v>926996.39999999991</v>
      </c>
    </row>
    <row r="10" spans="2:4" x14ac:dyDescent="0.2">
      <c r="B10" s="34" t="s">
        <v>62</v>
      </c>
      <c r="C10" s="38">
        <f>'Operating Budgets'!F18</f>
        <v>945536.32799999998</v>
      </c>
    </row>
    <row r="11" spans="2:4" x14ac:dyDescent="0.2">
      <c r="B11" s="34" t="s">
        <v>63</v>
      </c>
      <c r="C11" s="38">
        <f>'Operating Budgets'!G18</f>
        <v>964447.05455999996</v>
      </c>
    </row>
    <row r="12" spans="2:4" x14ac:dyDescent="0.2">
      <c r="B12" s="5" t="s">
        <v>3</v>
      </c>
      <c r="C12" s="37">
        <v>180</v>
      </c>
    </row>
    <row r="13" spans="2:4" x14ac:dyDescent="0.2">
      <c r="B13" s="5" t="s">
        <v>99</v>
      </c>
      <c r="C13" s="54">
        <v>0.02</v>
      </c>
    </row>
    <row r="15" spans="2:4" x14ac:dyDescent="0.2">
      <c r="B15" s="2" t="s">
        <v>4</v>
      </c>
    </row>
    <row r="16" spans="2:4" x14ac:dyDescent="0.2">
      <c r="B16" s="5" t="s">
        <v>70</v>
      </c>
      <c r="C16" s="37">
        <v>85</v>
      </c>
      <c r="D16" s="1" t="s">
        <v>89</v>
      </c>
    </row>
    <row r="17" spans="2:4" x14ac:dyDescent="0.2">
      <c r="B17" s="5" t="s">
        <v>100</v>
      </c>
      <c r="C17" s="54">
        <v>0.02</v>
      </c>
    </row>
    <row r="18" spans="2:4" x14ac:dyDescent="0.2">
      <c r="B18" s="5" t="s">
        <v>71</v>
      </c>
      <c r="C18" s="37">
        <v>14.6</v>
      </c>
      <c r="D18" s="1" t="s">
        <v>89</v>
      </c>
    </row>
    <row r="19" spans="2:4" x14ac:dyDescent="0.2">
      <c r="B19" s="5" t="s">
        <v>101</v>
      </c>
      <c r="C19" s="54">
        <v>0.02</v>
      </c>
    </row>
    <row r="20" spans="2:4" x14ac:dyDescent="0.2">
      <c r="B20" s="34" t="s">
        <v>72</v>
      </c>
      <c r="C20" s="37">
        <v>0.6</v>
      </c>
      <c r="D20" s="1" t="s">
        <v>89</v>
      </c>
    </row>
    <row r="21" spans="2:4" x14ac:dyDescent="0.2">
      <c r="B21" s="34" t="s">
        <v>102</v>
      </c>
      <c r="C21" s="54">
        <v>0.02</v>
      </c>
    </row>
    <row r="22" spans="2:4" x14ac:dyDescent="0.2">
      <c r="B22" s="34" t="s">
        <v>92</v>
      </c>
      <c r="C22" s="37">
        <f>SUM(C16,C18,C20)</f>
        <v>100.19999999999999</v>
      </c>
      <c r="D22" s="1" t="s">
        <v>89</v>
      </c>
    </row>
    <row r="23" spans="2:4" x14ac:dyDescent="0.2">
      <c r="B23" s="34" t="s">
        <v>5</v>
      </c>
      <c r="C23" s="37">
        <v>0</v>
      </c>
      <c r="D23" s="1" t="s">
        <v>73</v>
      </c>
    </row>
    <row r="25" spans="2:4" x14ac:dyDescent="0.2">
      <c r="B25" s="2" t="s">
        <v>6</v>
      </c>
    </row>
    <row r="26" spans="2:4" x14ac:dyDescent="0.2">
      <c r="B26" s="5" t="s">
        <v>79</v>
      </c>
      <c r="C26" s="37">
        <v>20.186</v>
      </c>
      <c r="D26" s="1" t="s">
        <v>8</v>
      </c>
    </row>
    <row r="27" spans="2:4" x14ac:dyDescent="0.2">
      <c r="B27" s="34" t="s">
        <v>80</v>
      </c>
      <c r="C27" s="37">
        <v>22.39</v>
      </c>
      <c r="D27" s="1" t="s">
        <v>8</v>
      </c>
    </row>
    <row r="28" spans="2:4" x14ac:dyDescent="0.2">
      <c r="B28" s="34" t="s">
        <v>103</v>
      </c>
      <c r="C28" s="54">
        <v>0.02</v>
      </c>
    </row>
    <row r="29" spans="2:4" x14ac:dyDescent="0.2">
      <c r="B29" s="35" t="s">
        <v>94</v>
      </c>
      <c r="C29" s="39">
        <f>22.5/8</f>
        <v>2.8125</v>
      </c>
      <c r="D29" s="1" t="s">
        <v>8</v>
      </c>
    </row>
    <row r="30" spans="2:4" x14ac:dyDescent="0.2">
      <c r="B30" s="5"/>
      <c r="C30" s="37"/>
    </row>
    <row r="31" spans="2:4" x14ac:dyDescent="0.2">
      <c r="B31" s="2" t="s">
        <v>7</v>
      </c>
    </row>
    <row r="32" spans="2:4" x14ac:dyDescent="0.2">
      <c r="B32" s="4" t="s">
        <v>82</v>
      </c>
      <c r="C32" s="8"/>
      <c r="D32" s="7"/>
    </row>
    <row r="33" spans="2:4" x14ac:dyDescent="0.2">
      <c r="B33" s="5" t="s">
        <v>83</v>
      </c>
      <c r="C33" s="37">
        <v>0.73</v>
      </c>
      <c r="D33" s="1" t="s">
        <v>89</v>
      </c>
    </row>
    <row r="34" spans="2:4" x14ac:dyDescent="0.2">
      <c r="B34" s="5" t="s">
        <v>84</v>
      </c>
      <c r="C34" s="8"/>
    </row>
    <row r="35" spans="2:4" x14ac:dyDescent="0.2">
      <c r="B35" s="5" t="s">
        <v>85</v>
      </c>
      <c r="C35" s="37">
        <v>7500</v>
      </c>
      <c r="D35" s="1" t="s">
        <v>90</v>
      </c>
    </row>
    <row r="36" spans="2:4" x14ac:dyDescent="0.2">
      <c r="B36" s="5" t="s">
        <v>86</v>
      </c>
      <c r="C36" s="37">
        <v>3000</v>
      </c>
      <c r="D36" s="1" t="s">
        <v>90</v>
      </c>
    </row>
    <row r="37" spans="2:4" x14ac:dyDescent="0.2">
      <c r="B37" s="5" t="s">
        <v>87</v>
      </c>
      <c r="C37" s="37">
        <v>75000</v>
      </c>
      <c r="D37" s="1" t="s">
        <v>90</v>
      </c>
    </row>
    <row r="39" spans="2:4" x14ac:dyDescent="0.2">
      <c r="B39" s="2" t="s">
        <v>10</v>
      </c>
      <c r="C39" s="37"/>
    </row>
    <row r="40" spans="2:4" x14ac:dyDescent="0.2">
      <c r="B40" s="11" t="s">
        <v>97</v>
      </c>
      <c r="C40" s="6"/>
      <c r="D40" s="7"/>
    </row>
    <row r="41" spans="2:4" x14ac:dyDescent="0.2">
      <c r="B41" s="50" t="s">
        <v>96</v>
      </c>
      <c r="C41" s="37">
        <v>10000</v>
      </c>
      <c r="D41" s="51" t="s">
        <v>90</v>
      </c>
    </row>
    <row r="42" spans="2:4" x14ac:dyDescent="0.2">
      <c r="B42" s="50"/>
      <c r="C42" s="37"/>
      <c r="D42" s="51"/>
    </row>
    <row r="43" spans="2:4" x14ac:dyDescent="0.2">
      <c r="B43" s="2" t="s">
        <v>120</v>
      </c>
      <c r="C43" s="37"/>
      <c r="D43" s="51"/>
    </row>
    <row r="44" spans="2:4" x14ac:dyDescent="0.2">
      <c r="B44" s="50" t="s">
        <v>121</v>
      </c>
      <c r="C44" s="54">
        <v>0.27900000000000003</v>
      </c>
      <c r="D44" s="1" t="s">
        <v>142</v>
      </c>
    </row>
    <row r="46" spans="2:4" x14ac:dyDescent="0.2">
      <c r="B46" s="2" t="s">
        <v>11</v>
      </c>
    </row>
    <row r="47" spans="2:4" x14ac:dyDescent="0.2">
      <c r="B47" s="50" t="s">
        <v>98</v>
      </c>
      <c r="C47" s="37">
        <v>234000</v>
      </c>
    </row>
    <row r="48" spans="2:4" x14ac:dyDescent="0.2">
      <c r="B48" s="51" t="s">
        <v>130</v>
      </c>
      <c r="C48" s="6"/>
    </row>
    <row r="49" spans="2:4" x14ac:dyDescent="0.2">
      <c r="B49" s="51" t="s">
        <v>131</v>
      </c>
      <c r="C49" s="6">
        <v>390000</v>
      </c>
    </row>
    <row r="50" spans="2:4" x14ac:dyDescent="0.2">
      <c r="B50" s="50" t="s">
        <v>121</v>
      </c>
      <c r="C50" s="54">
        <v>0.27900000000000003</v>
      </c>
      <c r="D50" s="1" t="s">
        <v>142</v>
      </c>
    </row>
    <row r="52" spans="2:4" x14ac:dyDescent="0.2">
      <c r="B52" s="2" t="s">
        <v>140</v>
      </c>
    </row>
    <row r="53" spans="2:4" x14ac:dyDescent="0.2">
      <c r="B53" s="2"/>
    </row>
    <row r="54" spans="2:4" x14ac:dyDescent="0.2">
      <c r="B54" s="2" t="s">
        <v>12</v>
      </c>
    </row>
    <row r="55" spans="2:4" x14ac:dyDescent="0.2">
      <c r="B55" s="4"/>
      <c r="C55" s="8"/>
    </row>
    <row r="56" spans="2:4" x14ac:dyDescent="0.2">
      <c r="B56" s="2" t="s">
        <v>13</v>
      </c>
      <c r="C56" s="8"/>
    </row>
    <row r="57" spans="2:4" x14ac:dyDescent="0.2">
      <c r="B57" s="1" t="s">
        <v>132</v>
      </c>
    </row>
    <row r="58" spans="2:4" x14ac:dyDescent="0.2">
      <c r="B58" s="51" t="s">
        <v>131</v>
      </c>
      <c r="C58" s="37">
        <v>390000</v>
      </c>
    </row>
    <row r="59" spans="2:4" x14ac:dyDescent="0.2">
      <c r="B59" s="4"/>
      <c r="C59" s="8"/>
    </row>
    <row r="60" spans="2:4" x14ac:dyDescent="0.2">
      <c r="B60" s="56" t="s">
        <v>141</v>
      </c>
      <c r="C60" s="1"/>
    </row>
    <row r="61" spans="2:4" x14ac:dyDescent="0.2">
      <c r="B61" s="67" t="s">
        <v>144</v>
      </c>
      <c r="C61" s="66">
        <v>8.5000000000000006E-2</v>
      </c>
    </row>
    <row r="62" spans="2:4" x14ac:dyDescent="0.2">
      <c r="B62" s="67" t="s">
        <v>143</v>
      </c>
      <c r="C62" s="54">
        <v>0.27900000000000003</v>
      </c>
      <c r="D62" s="1" t="s">
        <v>142</v>
      </c>
    </row>
    <row r="63" spans="2:4" x14ac:dyDescent="0.2">
      <c r="B63" s="67" t="s">
        <v>145</v>
      </c>
      <c r="C63" s="54">
        <v>0.2</v>
      </c>
      <c r="D63" s="1" t="s">
        <v>142</v>
      </c>
    </row>
    <row r="64" spans="2:4" x14ac:dyDescent="0.2">
      <c r="B64" s="67" t="s">
        <v>146</v>
      </c>
      <c r="C64" s="54">
        <v>0.6</v>
      </c>
      <c r="D64" s="1" t="s">
        <v>142</v>
      </c>
    </row>
    <row r="65" spans="2:3" x14ac:dyDescent="0.2">
      <c r="B65" s="67" t="s">
        <v>147</v>
      </c>
      <c r="C65" s="54">
        <v>0.02</v>
      </c>
    </row>
  </sheetData>
  <mergeCells count="3">
    <mergeCell ref="B1:D1"/>
    <mergeCell ref="B2:D2"/>
    <mergeCell ref="B3:D3"/>
  </mergeCell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B70C0-7CE3-4E73-81B9-56471C3E1697}">
  <dimension ref="B1:H117"/>
  <sheetViews>
    <sheetView topLeftCell="A10" zoomScale="115" zoomScaleNormal="115" workbookViewId="0">
      <selection activeCell="C28" sqref="C28"/>
    </sheetView>
  </sheetViews>
  <sheetFormatPr baseColWidth="10" defaultColWidth="9.1640625" defaultRowHeight="15" x14ac:dyDescent="0.2"/>
  <cols>
    <col min="1" max="1" width="3.83203125" style="1" customWidth="1"/>
    <col min="2" max="2" width="47.5" style="11" customWidth="1"/>
    <col min="3" max="3" width="13.1640625" style="1" customWidth="1"/>
    <col min="4" max="5" width="13" style="1" customWidth="1"/>
    <col min="6" max="6" width="13.6640625" style="1" customWidth="1"/>
    <col min="7" max="7" width="13.1640625" style="1" customWidth="1"/>
    <col min="8" max="256" width="9.1640625" style="1"/>
    <col min="257" max="257" width="3.83203125" style="1" customWidth="1"/>
    <col min="258" max="258" width="44" style="1" customWidth="1"/>
    <col min="259" max="262" width="12.6640625" style="1" customWidth="1"/>
    <col min="263" max="263" width="11.33203125" style="1" bestFit="1" customWidth="1"/>
    <col min="264" max="512" width="9.1640625" style="1"/>
    <col min="513" max="513" width="3.83203125" style="1" customWidth="1"/>
    <col min="514" max="514" width="44" style="1" customWidth="1"/>
    <col min="515" max="518" width="12.6640625" style="1" customWidth="1"/>
    <col min="519" max="519" width="11.33203125" style="1" bestFit="1" customWidth="1"/>
    <col min="520" max="768" width="9.1640625" style="1"/>
    <col min="769" max="769" width="3.83203125" style="1" customWidth="1"/>
    <col min="770" max="770" width="44" style="1" customWidth="1"/>
    <col min="771" max="774" width="12.6640625" style="1" customWidth="1"/>
    <col min="775" max="775" width="11.33203125" style="1" bestFit="1" customWidth="1"/>
    <col min="776" max="1024" width="9.1640625" style="1"/>
    <col min="1025" max="1025" width="3.83203125" style="1" customWidth="1"/>
    <col min="1026" max="1026" width="44" style="1" customWidth="1"/>
    <col min="1027" max="1030" width="12.6640625" style="1" customWidth="1"/>
    <col min="1031" max="1031" width="11.33203125" style="1" bestFit="1" customWidth="1"/>
    <col min="1032" max="1280" width="9.1640625" style="1"/>
    <col min="1281" max="1281" width="3.83203125" style="1" customWidth="1"/>
    <col min="1282" max="1282" width="44" style="1" customWidth="1"/>
    <col min="1283" max="1286" width="12.6640625" style="1" customWidth="1"/>
    <col min="1287" max="1287" width="11.33203125" style="1" bestFit="1" customWidth="1"/>
    <col min="1288" max="1536" width="9.1640625" style="1"/>
    <col min="1537" max="1537" width="3.83203125" style="1" customWidth="1"/>
    <col min="1538" max="1538" width="44" style="1" customWidth="1"/>
    <col min="1539" max="1542" width="12.6640625" style="1" customWidth="1"/>
    <col min="1543" max="1543" width="11.33203125" style="1" bestFit="1" customWidth="1"/>
    <col min="1544" max="1792" width="9.1640625" style="1"/>
    <col min="1793" max="1793" width="3.83203125" style="1" customWidth="1"/>
    <col min="1794" max="1794" width="44" style="1" customWidth="1"/>
    <col min="1795" max="1798" width="12.6640625" style="1" customWidth="1"/>
    <col min="1799" max="1799" width="11.33203125" style="1" bestFit="1" customWidth="1"/>
    <col min="1800" max="2048" width="9.1640625" style="1"/>
    <col min="2049" max="2049" width="3.83203125" style="1" customWidth="1"/>
    <col min="2050" max="2050" width="44" style="1" customWidth="1"/>
    <col min="2051" max="2054" width="12.6640625" style="1" customWidth="1"/>
    <col min="2055" max="2055" width="11.33203125" style="1" bestFit="1" customWidth="1"/>
    <col min="2056" max="2304" width="9.1640625" style="1"/>
    <col min="2305" max="2305" width="3.83203125" style="1" customWidth="1"/>
    <col min="2306" max="2306" width="44" style="1" customWidth="1"/>
    <col min="2307" max="2310" width="12.6640625" style="1" customWidth="1"/>
    <col min="2311" max="2311" width="11.33203125" style="1" bestFit="1" customWidth="1"/>
    <col min="2312" max="2560" width="9.1640625" style="1"/>
    <col min="2561" max="2561" width="3.83203125" style="1" customWidth="1"/>
    <col min="2562" max="2562" width="44" style="1" customWidth="1"/>
    <col min="2563" max="2566" width="12.6640625" style="1" customWidth="1"/>
    <col min="2567" max="2567" width="11.33203125" style="1" bestFit="1" customWidth="1"/>
    <col min="2568" max="2816" width="9.1640625" style="1"/>
    <col min="2817" max="2817" width="3.83203125" style="1" customWidth="1"/>
    <col min="2818" max="2818" width="44" style="1" customWidth="1"/>
    <col min="2819" max="2822" width="12.6640625" style="1" customWidth="1"/>
    <col min="2823" max="2823" width="11.33203125" style="1" bestFit="1" customWidth="1"/>
    <col min="2824" max="3072" width="9.1640625" style="1"/>
    <col min="3073" max="3073" width="3.83203125" style="1" customWidth="1"/>
    <col min="3074" max="3074" width="44" style="1" customWidth="1"/>
    <col min="3075" max="3078" width="12.6640625" style="1" customWidth="1"/>
    <col min="3079" max="3079" width="11.33203125" style="1" bestFit="1" customWidth="1"/>
    <col min="3080" max="3328" width="9.1640625" style="1"/>
    <col min="3329" max="3329" width="3.83203125" style="1" customWidth="1"/>
    <col min="3330" max="3330" width="44" style="1" customWidth="1"/>
    <col min="3331" max="3334" width="12.6640625" style="1" customWidth="1"/>
    <col min="3335" max="3335" width="11.33203125" style="1" bestFit="1" customWidth="1"/>
    <col min="3336" max="3584" width="9.1640625" style="1"/>
    <col min="3585" max="3585" width="3.83203125" style="1" customWidth="1"/>
    <col min="3586" max="3586" width="44" style="1" customWidth="1"/>
    <col min="3587" max="3590" width="12.6640625" style="1" customWidth="1"/>
    <col min="3591" max="3591" width="11.33203125" style="1" bestFit="1" customWidth="1"/>
    <col min="3592" max="3840" width="9.1640625" style="1"/>
    <col min="3841" max="3841" width="3.83203125" style="1" customWidth="1"/>
    <col min="3842" max="3842" width="44" style="1" customWidth="1"/>
    <col min="3843" max="3846" width="12.6640625" style="1" customWidth="1"/>
    <col min="3847" max="3847" width="11.33203125" style="1" bestFit="1" customWidth="1"/>
    <col min="3848" max="4096" width="9.1640625" style="1"/>
    <col min="4097" max="4097" width="3.83203125" style="1" customWidth="1"/>
    <col min="4098" max="4098" width="44" style="1" customWidth="1"/>
    <col min="4099" max="4102" width="12.6640625" style="1" customWidth="1"/>
    <col min="4103" max="4103" width="11.33203125" style="1" bestFit="1" customWidth="1"/>
    <col min="4104" max="4352" width="9.1640625" style="1"/>
    <col min="4353" max="4353" width="3.83203125" style="1" customWidth="1"/>
    <col min="4354" max="4354" width="44" style="1" customWidth="1"/>
    <col min="4355" max="4358" width="12.6640625" style="1" customWidth="1"/>
    <col min="4359" max="4359" width="11.33203125" style="1" bestFit="1" customWidth="1"/>
    <col min="4360" max="4608" width="9.1640625" style="1"/>
    <col min="4609" max="4609" width="3.83203125" style="1" customWidth="1"/>
    <col min="4610" max="4610" width="44" style="1" customWidth="1"/>
    <col min="4611" max="4614" width="12.6640625" style="1" customWidth="1"/>
    <col min="4615" max="4615" width="11.33203125" style="1" bestFit="1" customWidth="1"/>
    <col min="4616" max="4864" width="9.1640625" style="1"/>
    <col min="4865" max="4865" width="3.83203125" style="1" customWidth="1"/>
    <col min="4866" max="4866" width="44" style="1" customWidth="1"/>
    <col min="4867" max="4870" width="12.6640625" style="1" customWidth="1"/>
    <col min="4871" max="4871" width="11.33203125" style="1" bestFit="1" customWidth="1"/>
    <col min="4872" max="5120" width="9.1640625" style="1"/>
    <col min="5121" max="5121" width="3.83203125" style="1" customWidth="1"/>
    <col min="5122" max="5122" width="44" style="1" customWidth="1"/>
    <col min="5123" max="5126" width="12.6640625" style="1" customWidth="1"/>
    <col min="5127" max="5127" width="11.33203125" style="1" bestFit="1" customWidth="1"/>
    <col min="5128" max="5376" width="9.1640625" style="1"/>
    <col min="5377" max="5377" width="3.83203125" style="1" customWidth="1"/>
    <col min="5378" max="5378" width="44" style="1" customWidth="1"/>
    <col min="5379" max="5382" width="12.6640625" style="1" customWidth="1"/>
    <col min="5383" max="5383" width="11.33203125" style="1" bestFit="1" customWidth="1"/>
    <col min="5384" max="5632" width="9.1640625" style="1"/>
    <col min="5633" max="5633" width="3.83203125" style="1" customWidth="1"/>
    <col min="5634" max="5634" width="44" style="1" customWidth="1"/>
    <col min="5635" max="5638" width="12.6640625" style="1" customWidth="1"/>
    <col min="5639" max="5639" width="11.33203125" style="1" bestFit="1" customWidth="1"/>
    <col min="5640" max="5888" width="9.1640625" style="1"/>
    <col min="5889" max="5889" width="3.83203125" style="1" customWidth="1"/>
    <col min="5890" max="5890" width="44" style="1" customWidth="1"/>
    <col min="5891" max="5894" width="12.6640625" style="1" customWidth="1"/>
    <col min="5895" max="5895" width="11.33203125" style="1" bestFit="1" customWidth="1"/>
    <col min="5896" max="6144" width="9.1640625" style="1"/>
    <col min="6145" max="6145" width="3.83203125" style="1" customWidth="1"/>
    <col min="6146" max="6146" width="44" style="1" customWidth="1"/>
    <col min="6147" max="6150" width="12.6640625" style="1" customWidth="1"/>
    <col min="6151" max="6151" width="11.33203125" style="1" bestFit="1" customWidth="1"/>
    <col min="6152" max="6400" width="9.1640625" style="1"/>
    <col min="6401" max="6401" width="3.83203125" style="1" customWidth="1"/>
    <col min="6402" max="6402" width="44" style="1" customWidth="1"/>
    <col min="6403" max="6406" width="12.6640625" style="1" customWidth="1"/>
    <col min="6407" max="6407" width="11.33203125" style="1" bestFit="1" customWidth="1"/>
    <col min="6408" max="6656" width="9.1640625" style="1"/>
    <col min="6657" max="6657" width="3.83203125" style="1" customWidth="1"/>
    <col min="6658" max="6658" width="44" style="1" customWidth="1"/>
    <col min="6659" max="6662" width="12.6640625" style="1" customWidth="1"/>
    <col min="6663" max="6663" width="11.33203125" style="1" bestFit="1" customWidth="1"/>
    <col min="6664" max="6912" width="9.1640625" style="1"/>
    <col min="6913" max="6913" width="3.83203125" style="1" customWidth="1"/>
    <col min="6914" max="6914" width="44" style="1" customWidth="1"/>
    <col min="6915" max="6918" width="12.6640625" style="1" customWidth="1"/>
    <col min="6919" max="6919" width="11.33203125" style="1" bestFit="1" customWidth="1"/>
    <col min="6920" max="7168" width="9.1640625" style="1"/>
    <col min="7169" max="7169" width="3.83203125" style="1" customWidth="1"/>
    <col min="7170" max="7170" width="44" style="1" customWidth="1"/>
    <col min="7171" max="7174" width="12.6640625" style="1" customWidth="1"/>
    <col min="7175" max="7175" width="11.33203125" style="1" bestFit="1" customWidth="1"/>
    <col min="7176" max="7424" width="9.1640625" style="1"/>
    <col min="7425" max="7425" width="3.83203125" style="1" customWidth="1"/>
    <col min="7426" max="7426" width="44" style="1" customWidth="1"/>
    <col min="7427" max="7430" width="12.6640625" style="1" customWidth="1"/>
    <col min="7431" max="7431" width="11.33203125" style="1" bestFit="1" customWidth="1"/>
    <col min="7432" max="7680" width="9.1640625" style="1"/>
    <col min="7681" max="7681" width="3.83203125" style="1" customWidth="1"/>
    <col min="7682" max="7682" width="44" style="1" customWidth="1"/>
    <col min="7683" max="7686" width="12.6640625" style="1" customWidth="1"/>
    <col min="7687" max="7687" width="11.33203125" style="1" bestFit="1" customWidth="1"/>
    <col min="7688" max="7936" width="9.1640625" style="1"/>
    <col min="7937" max="7937" width="3.83203125" style="1" customWidth="1"/>
    <col min="7938" max="7938" width="44" style="1" customWidth="1"/>
    <col min="7939" max="7942" width="12.6640625" style="1" customWidth="1"/>
    <col min="7943" max="7943" width="11.33203125" style="1" bestFit="1" customWidth="1"/>
    <col min="7944" max="8192" width="9.1640625" style="1"/>
    <col min="8193" max="8193" width="3.83203125" style="1" customWidth="1"/>
    <col min="8194" max="8194" width="44" style="1" customWidth="1"/>
    <col min="8195" max="8198" width="12.6640625" style="1" customWidth="1"/>
    <col min="8199" max="8199" width="11.33203125" style="1" bestFit="1" customWidth="1"/>
    <col min="8200" max="8448" width="9.1640625" style="1"/>
    <col min="8449" max="8449" width="3.83203125" style="1" customWidth="1"/>
    <col min="8450" max="8450" width="44" style="1" customWidth="1"/>
    <col min="8451" max="8454" width="12.6640625" style="1" customWidth="1"/>
    <col min="8455" max="8455" width="11.33203125" style="1" bestFit="1" customWidth="1"/>
    <col min="8456" max="8704" width="9.1640625" style="1"/>
    <col min="8705" max="8705" width="3.83203125" style="1" customWidth="1"/>
    <col min="8706" max="8706" width="44" style="1" customWidth="1"/>
    <col min="8707" max="8710" width="12.6640625" style="1" customWidth="1"/>
    <col min="8711" max="8711" width="11.33203125" style="1" bestFit="1" customWidth="1"/>
    <col min="8712" max="8960" width="9.1640625" style="1"/>
    <col min="8961" max="8961" width="3.83203125" style="1" customWidth="1"/>
    <col min="8962" max="8962" width="44" style="1" customWidth="1"/>
    <col min="8963" max="8966" width="12.6640625" style="1" customWidth="1"/>
    <col min="8967" max="8967" width="11.33203125" style="1" bestFit="1" customWidth="1"/>
    <col min="8968" max="9216" width="9.1640625" style="1"/>
    <col min="9217" max="9217" width="3.83203125" style="1" customWidth="1"/>
    <col min="9218" max="9218" width="44" style="1" customWidth="1"/>
    <col min="9219" max="9222" width="12.6640625" style="1" customWidth="1"/>
    <col min="9223" max="9223" width="11.33203125" style="1" bestFit="1" customWidth="1"/>
    <col min="9224" max="9472" width="9.1640625" style="1"/>
    <col min="9473" max="9473" width="3.83203125" style="1" customWidth="1"/>
    <col min="9474" max="9474" width="44" style="1" customWidth="1"/>
    <col min="9475" max="9478" width="12.6640625" style="1" customWidth="1"/>
    <col min="9479" max="9479" width="11.33203125" style="1" bestFit="1" customWidth="1"/>
    <col min="9480" max="9728" width="9.1640625" style="1"/>
    <col min="9729" max="9729" width="3.83203125" style="1" customWidth="1"/>
    <col min="9730" max="9730" width="44" style="1" customWidth="1"/>
    <col min="9731" max="9734" width="12.6640625" style="1" customWidth="1"/>
    <col min="9735" max="9735" width="11.33203125" style="1" bestFit="1" customWidth="1"/>
    <col min="9736" max="9984" width="9.1640625" style="1"/>
    <col min="9985" max="9985" width="3.83203125" style="1" customWidth="1"/>
    <col min="9986" max="9986" width="44" style="1" customWidth="1"/>
    <col min="9987" max="9990" width="12.6640625" style="1" customWidth="1"/>
    <col min="9991" max="9991" width="11.33203125" style="1" bestFit="1" customWidth="1"/>
    <col min="9992" max="10240" width="9.1640625" style="1"/>
    <col min="10241" max="10241" width="3.83203125" style="1" customWidth="1"/>
    <col min="10242" max="10242" width="44" style="1" customWidth="1"/>
    <col min="10243" max="10246" width="12.6640625" style="1" customWidth="1"/>
    <col min="10247" max="10247" width="11.33203125" style="1" bestFit="1" customWidth="1"/>
    <col min="10248" max="10496" width="9.1640625" style="1"/>
    <col min="10497" max="10497" width="3.83203125" style="1" customWidth="1"/>
    <col min="10498" max="10498" width="44" style="1" customWidth="1"/>
    <col min="10499" max="10502" width="12.6640625" style="1" customWidth="1"/>
    <col min="10503" max="10503" width="11.33203125" style="1" bestFit="1" customWidth="1"/>
    <col min="10504" max="10752" width="9.1640625" style="1"/>
    <col min="10753" max="10753" width="3.83203125" style="1" customWidth="1"/>
    <col min="10754" max="10754" width="44" style="1" customWidth="1"/>
    <col min="10755" max="10758" width="12.6640625" style="1" customWidth="1"/>
    <col min="10759" max="10759" width="11.33203125" style="1" bestFit="1" customWidth="1"/>
    <col min="10760" max="11008" width="9.1640625" style="1"/>
    <col min="11009" max="11009" width="3.83203125" style="1" customWidth="1"/>
    <col min="11010" max="11010" width="44" style="1" customWidth="1"/>
    <col min="11011" max="11014" width="12.6640625" style="1" customWidth="1"/>
    <col min="11015" max="11015" width="11.33203125" style="1" bestFit="1" customWidth="1"/>
    <col min="11016" max="11264" width="9.1640625" style="1"/>
    <col min="11265" max="11265" width="3.83203125" style="1" customWidth="1"/>
    <col min="11266" max="11266" width="44" style="1" customWidth="1"/>
    <col min="11267" max="11270" width="12.6640625" style="1" customWidth="1"/>
    <col min="11271" max="11271" width="11.33203125" style="1" bestFit="1" customWidth="1"/>
    <col min="11272" max="11520" width="9.1640625" style="1"/>
    <col min="11521" max="11521" width="3.83203125" style="1" customWidth="1"/>
    <col min="11522" max="11522" width="44" style="1" customWidth="1"/>
    <col min="11523" max="11526" width="12.6640625" style="1" customWidth="1"/>
    <col min="11527" max="11527" width="11.33203125" style="1" bestFit="1" customWidth="1"/>
    <col min="11528" max="11776" width="9.1640625" style="1"/>
    <col min="11777" max="11777" width="3.83203125" style="1" customWidth="1"/>
    <col min="11778" max="11778" width="44" style="1" customWidth="1"/>
    <col min="11779" max="11782" width="12.6640625" style="1" customWidth="1"/>
    <col min="11783" max="11783" width="11.33203125" style="1" bestFit="1" customWidth="1"/>
    <col min="11784" max="12032" width="9.1640625" style="1"/>
    <col min="12033" max="12033" width="3.83203125" style="1" customWidth="1"/>
    <col min="12034" max="12034" width="44" style="1" customWidth="1"/>
    <col min="12035" max="12038" width="12.6640625" style="1" customWidth="1"/>
    <col min="12039" max="12039" width="11.33203125" style="1" bestFit="1" customWidth="1"/>
    <col min="12040" max="12288" width="9.1640625" style="1"/>
    <col min="12289" max="12289" width="3.83203125" style="1" customWidth="1"/>
    <col min="12290" max="12290" width="44" style="1" customWidth="1"/>
    <col min="12291" max="12294" width="12.6640625" style="1" customWidth="1"/>
    <col min="12295" max="12295" width="11.33203125" style="1" bestFit="1" customWidth="1"/>
    <col min="12296" max="12544" width="9.1640625" style="1"/>
    <col min="12545" max="12545" width="3.83203125" style="1" customWidth="1"/>
    <col min="12546" max="12546" width="44" style="1" customWidth="1"/>
    <col min="12547" max="12550" width="12.6640625" style="1" customWidth="1"/>
    <col min="12551" max="12551" width="11.33203125" style="1" bestFit="1" customWidth="1"/>
    <col min="12552" max="12800" width="9.1640625" style="1"/>
    <col min="12801" max="12801" width="3.83203125" style="1" customWidth="1"/>
    <col min="12802" max="12802" width="44" style="1" customWidth="1"/>
    <col min="12803" max="12806" width="12.6640625" style="1" customWidth="1"/>
    <col min="12807" max="12807" width="11.33203125" style="1" bestFit="1" customWidth="1"/>
    <col min="12808" max="13056" width="9.1640625" style="1"/>
    <col min="13057" max="13057" width="3.83203125" style="1" customWidth="1"/>
    <col min="13058" max="13058" width="44" style="1" customWidth="1"/>
    <col min="13059" max="13062" width="12.6640625" style="1" customWidth="1"/>
    <col min="13063" max="13063" width="11.33203125" style="1" bestFit="1" customWidth="1"/>
    <col min="13064" max="13312" width="9.1640625" style="1"/>
    <col min="13313" max="13313" width="3.83203125" style="1" customWidth="1"/>
    <col min="13314" max="13314" width="44" style="1" customWidth="1"/>
    <col min="13315" max="13318" width="12.6640625" style="1" customWidth="1"/>
    <col min="13319" max="13319" width="11.33203125" style="1" bestFit="1" customWidth="1"/>
    <col min="13320" max="13568" width="9.1640625" style="1"/>
    <col min="13569" max="13569" width="3.83203125" style="1" customWidth="1"/>
    <col min="13570" max="13570" width="44" style="1" customWidth="1"/>
    <col min="13571" max="13574" width="12.6640625" style="1" customWidth="1"/>
    <col min="13575" max="13575" width="11.33203125" style="1" bestFit="1" customWidth="1"/>
    <col min="13576" max="13824" width="9.1640625" style="1"/>
    <col min="13825" max="13825" width="3.83203125" style="1" customWidth="1"/>
    <col min="13826" max="13826" width="44" style="1" customWidth="1"/>
    <col min="13827" max="13830" width="12.6640625" style="1" customWidth="1"/>
    <col min="13831" max="13831" width="11.33203125" style="1" bestFit="1" customWidth="1"/>
    <col min="13832" max="14080" width="9.1640625" style="1"/>
    <col min="14081" max="14081" width="3.83203125" style="1" customWidth="1"/>
    <col min="14082" max="14082" width="44" style="1" customWidth="1"/>
    <col min="14083" max="14086" width="12.6640625" style="1" customWidth="1"/>
    <col min="14087" max="14087" width="11.33203125" style="1" bestFit="1" customWidth="1"/>
    <col min="14088" max="14336" width="9.1640625" style="1"/>
    <col min="14337" max="14337" width="3.83203125" style="1" customWidth="1"/>
    <col min="14338" max="14338" width="44" style="1" customWidth="1"/>
    <col min="14339" max="14342" width="12.6640625" style="1" customWidth="1"/>
    <col min="14343" max="14343" width="11.33203125" style="1" bestFit="1" customWidth="1"/>
    <col min="14344" max="14592" width="9.1640625" style="1"/>
    <col min="14593" max="14593" width="3.83203125" style="1" customWidth="1"/>
    <col min="14594" max="14594" width="44" style="1" customWidth="1"/>
    <col min="14595" max="14598" width="12.6640625" style="1" customWidth="1"/>
    <col min="14599" max="14599" width="11.33203125" style="1" bestFit="1" customWidth="1"/>
    <col min="14600" max="14848" width="9.1640625" style="1"/>
    <col min="14849" max="14849" width="3.83203125" style="1" customWidth="1"/>
    <col min="14850" max="14850" width="44" style="1" customWidth="1"/>
    <col min="14851" max="14854" width="12.6640625" style="1" customWidth="1"/>
    <col min="14855" max="14855" width="11.33203125" style="1" bestFit="1" customWidth="1"/>
    <col min="14856" max="15104" width="9.1640625" style="1"/>
    <col min="15105" max="15105" width="3.83203125" style="1" customWidth="1"/>
    <col min="15106" max="15106" width="44" style="1" customWidth="1"/>
    <col min="15107" max="15110" width="12.6640625" style="1" customWidth="1"/>
    <col min="15111" max="15111" width="11.33203125" style="1" bestFit="1" customWidth="1"/>
    <col min="15112" max="15360" width="9.1640625" style="1"/>
    <col min="15361" max="15361" width="3.83203125" style="1" customWidth="1"/>
    <col min="15362" max="15362" width="44" style="1" customWidth="1"/>
    <col min="15363" max="15366" width="12.6640625" style="1" customWidth="1"/>
    <col min="15367" max="15367" width="11.33203125" style="1" bestFit="1" customWidth="1"/>
    <col min="15368" max="15616" width="9.1640625" style="1"/>
    <col min="15617" max="15617" width="3.83203125" style="1" customWidth="1"/>
    <col min="15618" max="15618" width="44" style="1" customWidth="1"/>
    <col min="15619" max="15622" width="12.6640625" style="1" customWidth="1"/>
    <col min="15623" max="15623" width="11.33203125" style="1" bestFit="1" customWidth="1"/>
    <col min="15624" max="15872" width="9.1640625" style="1"/>
    <col min="15873" max="15873" width="3.83203125" style="1" customWidth="1"/>
    <col min="15874" max="15874" width="44" style="1" customWidth="1"/>
    <col min="15875" max="15878" width="12.6640625" style="1" customWidth="1"/>
    <col min="15879" max="15879" width="11.33203125" style="1" bestFit="1" customWidth="1"/>
    <col min="15880" max="16128" width="9.1640625" style="1"/>
    <col min="16129" max="16129" width="3.83203125" style="1" customWidth="1"/>
    <col min="16130" max="16130" width="44" style="1" customWidth="1"/>
    <col min="16131" max="16134" width="12.6640625" style="1" customWidth="1"/>
    <col min="16135" max="16135" width="11.33203125" style="1" bestFit="1" customWidth="1"/>
    <col min="16136" max="16384" width="9.1640625" style="1"/>
  </cols>
  <sheetData>
    <row r="1" spans="2:7" ht="23" x14ac:dyDescent="0.25">
      <c r="B1" s="80" t="s">
        <v>157</v>
      </c>
      <c r="C1" s="80"/>
      <c r="D1" s="80"/>
      <c r="E1" s="80"/>
      <c r="F1" s="80"/>
      <c r="G1" s="80"/>
    </row>
    <row r="2" spans="2:7" ht="18" x14ac:dyDescent="0.2">
      <c r="B2" s="81" t="s">
        <v>14</v>
      </c>
      <c r="C2" s="81"/>
      <c r="D2" s="81"/>
      <c r="E2" s="81"/>
      <c r="F2" s="81"/>
      <c r="G2" s="81"/>
    </row>
    <row r="3" spans="2:7" x14ac:dyDescent="0.2">
      <c r="B3" s="82" t="s">
        <v>69</v>
      </c>
      <c r="C3" s="82"/>
      <c r="D3" s="82"/>
      <c r="E3" s="82"/>
      <c r="F3" s="82"/>
      <c r="G3" s="82"/>
    </row>
    <row r="4" spans="2:7" x14ac:dyDescent="0.2">
      <c r="B4" s="10"/>
      <c r="C4" s="9"/>
      <c r="D4" s="9"/>
      <c r="E4" s="9"/>
      <c r="F4" s="9"/>
    </row>
    <row r="5" spans="2:7" x14ac:dyDescent="0.2">
      <c r="B5" s="10"/>
      <c r="C5" s="9"/>
      <c r="D5" s="9"/>
      <c r="E5" s="9"/>
      <c r="F5" s="9"/>
    </row>
    <row r="7" spans="2:7" ht="18" x14ac:dyDescent="0.2">
      <c r="B7" s="81" t="s">
        <v>2</v>
      </c>
      <c r="C7" s="81"/>
      <c r="D7" s="81"/>
      <c r="E7" s="81"/>
      <c r="F7" s="81"/>
      <c r="G7" s="81"/>
    </row>
    <row r="9" spans="2:7" ht="16" thickBot="1" x14ac:dyDescent="0.25">
      <c r="C9" s="12" t="s">
        <v>54</v>
      </c>
      <c r="D9" s="12" t="s">
        <v>55</v>
      </c>
      <c r="E9" s="12" t="s">
        <v>56</v>
      </c>
      <c r="F9" s="12" t="s">
        <v>57</v>
      </c>
      <c r="G9" s="12" t="s">
        <v>58</v>
      </c>
    </row>
    <row r="11" spans="2:7" x14ac:dyDescent="0.2">
      <c r="B11" s="11" t="s">
        <v>64</v>
      </c>
      <c r="C11" s="13">
        <v>3</v>
      </c>
      <c r="D11" s="13">
        <v>3</v>
      </c>
      <c r="E11" s="13">
        <v>3</v>
      </c>
      <c r="F11" s="13">
        <v>3</v>
      </c>
      <c r="G11" s="13">
        <v>3</v>
      </c>
    </row>
    <row r="12" spans="2:7" s="16" customFormat="1" x14ac:dyDescent="0.2">
      <c r="B12" s="35" t="s">
        <v>65</v>
      </c>
      <c r="C12" s="13">
        <v>3</v>
      </c>
      <c r="D12" s="13">
        <v>3</v>
      </c>
      <c r="E12" s="13">
        <v>3</v>
      </c>
      <c r="F12" s="13">
        <v>3</v>
      </c>
      <c r="G12" s="13">
        <v>3</v>
      </c>
    </row>
    <row r="13" spans="2:7" s="16" customFormat="1" x14ac:dyDescent="0.2">
      <c r="B13" s="35" t="s">
        <v>67</v>
      </c>
      <c r="C13" s="36">
        <f>2.5</f>
        <v>2.5</v>
      </c>
      <c r="D13" s="36">
        <f t="shared" ref="D13:G13" si="0">2.5</f>
        <v>2.5</v>
      </c>
      <c r="E13" s="36">
        <f t="shared" si="0"/>
        <v>2.5</v>
      </c>
      <c r="F13" s="36">
        <f t="shared" si="0"/>
        <v>2.5</v>
      </c>
      <c r="G13" s="36">
        <f t="shared" si="0"/>
        <v>2.5</v>
      </c>
    </row>
    <row r="14" spans="2:7" s="16" customFormat="1" x14ac:dyDescent="0.2">
      <c r="B14" s="35" t="s">
        <v>66</v>
      </c>
      <c r="C14" s="13">
        <v>220</v>
      </c>
      <c r="D14" s="13">
        <v>220</v>
      </c>
      <c r="E14" s="13">
        <v>220</v>
      </c>
      <c r="F14" s="13">
        <v>220</v>
      </c>
      <c r="G14" s="13">
        <v>220</v>
      </c>
    </row>
    <row r="15" spans="2:7" s="16" customFormat="1" x14ac:dyDescent="0.2">
      <c r="B15" s="1" t="s">
        <v>74</v>
      </c>
      <c r="C15" s="19">
        <f>C11*C12*C13*C14</f>
        <v>4950</v>
      </c>
      <c r="D15" s="19">
        <f t="shared" ref="D15:G15" si="1">D11*D12*D13*D14</f>
        <v>4950</v>
      </c>
      <c r="E15" s="19">
        <f t="shared" si="1"/>
        <v>4950</v>
      </c>
      <c r="F15" s="19">
        <f t="shared" si="1"/>
        <v>4950</v>
      </c>
      <c r="G15" s="19">
        <f t="shared" si="1"/>
        <v>4950</v>
      </c>
    </row>
    <row r="16" spans="2:7" s="16" customFormat="1" x14ac:dyDescent="0.2">
      <c r="B16" s="35" t="s">
        <v>68</v>
      </c>
      <c r="C16" s="42">
        <f>Assumptions!C12</f>
        <v>180</v>
      </c>
      <c r="D16" s="42">
        <f>C16*(1+Assumptions!$C$13)</f>
        <v>183.6</v>
      </c>
      <c r="E16" s="42">
        <f>D16*(1+Assumptions!$C$13)</f>
        <v>187.27199999999999</v>
      </c>
      <c r="F16" s="42">
        <f>E16*(1+Assumptions!$C$13)</f>
        <v>191.01743999999999</v>
      </c>
      <c r="G16" s="42">
        <f>F16*(1+Assumptions!$C$13)</f>
        <v>194.8377888</v>
      </c>
    </row>
    <row r="18" spans="2:7" s="16" customFormat="1" ht="16" thickBot="1" x14ac:dyDescent="0.25">
      <c r="B18" s="11" t="s">
        <v>15</v>
      </c>
      <c r="C18" s="43">
        <f>C15*C16</f>
        <v>891000</v>
      </c>
      <c r="D18" s="43">
        <f t="shared" ref="D18:G18" si="2">D15*D16</f>
        <v>908820</v>
      </c>
      <c r="E18" s="43">
        <f t="shared" si="2"/>
        <v>926996.39999999991</v>
      </c>
      <c r="F18" s="43">
        <f t="shared" si="2"/>
        <v>945536.32799999998</v>
      </c>
      <c r="G18" s="43">
        <f t="shared" si="2"/>
        <v>964447.05455999996</v>
      </c>
    </row>
    <row r="19" spans="2:7" ht="16" thickTop="1" x14ac:dyDescent="0.2"/>
    <row r="20" spans="2:7" x14ac:dyDescent="0.2">
      <c r="B20" s="14"/>
      <c r="C20" s="16"/>
    </row>
    <row r="21" spans="2:7" ht="18" x14ac:dyDescent="0.2">
      <c r="B21" s="81" t="s">
        <v>4</v>
      </c>
      <c r="C21" s="81"/>
      <c r="D21" s="81"/>
      <c r="E21" s="81"/>
      <c r="F21" s="81"/>
      <c r="G21" s="81"/>
    </row>
    <row r="23" spans="2:7" ht="16" thickBot="1" x14ac:dyDescent="0.25">
      <c r="C23" s="12" t="s">
        <v>54</v>
      </c>
      <c r="D23" s="12" t="s">
        <v>55</v>
      </c>
      <c r="E23" s="12" t="s">
        <v>56</v>
      </c>
      <c r="F23" s="12" t="s">
        <v>57</v>
      </c>
      <c r="G23" s="12" t="s">
        <v>58</v>
      </c>
    </row>
    <row r="25" spans="2:7" x14ac:dyDescent="0.2">
      <c r="B25" s="1" t="s">
        <v>74</v>
      </c>
      <c r="C25" s="19">
        <f>C15</f>
        <v>4950</v>
      </c>
      <c r="D25" s="19">
        <f t="shared" ref="D25:G25" si="3">D15</f>
        <v>4950</v>
      </c>
      <c r="E25" s="19">
        <f t="shared" si="3"/>
        <v>4950</v>
      </c>
      <c r="F25" s="19">
        <f t="shared" si="3"/>
        <v>4950</v>
      </c>
      <c r="G25" s="19">
        <f t="shared" si="3"/>
        <v>4950</v>
      </c>
    </row>
    <row r="26" spans="2:7" x14ac:dyDescent="0.2">
      <c r="B26" s="5" t="s">
        <v>70</v>
      </c>
      <c r="C26" s="44">
        <f>C25*Assumptions!$C$16</f>
        <v>420750</v>
      </c>
      <c r="D26" s="44">
        <f>C26*(1+Assumptions!$C$13)</f>
        <v>429165</v>
      </c>
      <c r="E26" s="44">
        <f>D26*(1+Assumptions!$C$13)</f>
        <v>437748.3</v>
      </c>
      <c r="F26" s="44">
        <f>E26*(1+Assumptions!$C$13)</f>
        <v>446503.266</v>
      </c>
      <c r="G26" s="44">
        <f>F26*(1+Assumptions!$C$13)</f>
        <v>455433.33132</v>
      </c>
    </row>
    <row r="27" spans="2:7" x14ac:dyDescent="0.2">
      <c r="B27" s="5" t="s">
        <v>75</v>
      </c>
      <c r="C27" s="45">
        <f>C25*Assumptions!$C$18</f>
        <v>72270</v>
      </c>
      <c r="D27" s="45">
        <f>C27*(1+Assumptions!$C$13)</f>
        <v>73715.399999999994</v>
      </c>
      <c r="E27" s="45">
        <f>D27*(1+Assumptions!$C$13)</f>
        <v>75189.707999999999</v>
      </c>
      <c r="F27" s="45">
        <f>E27*(1+Assumptions!$C$13)</f>
        <v>76693.502160000004</v>
      </c>
      <c r="G27" s="45">
        <f>F27*(1+Assumptions!$C$13)</f>
        <v>78227.372203200008</v>
      </c>
    </row>
    <row r="28" spans="2:7" x14ac:dyDescent="0.2">
      <c r="B28" s="34" t="s">
        <v>76</v>
      </c>
      <c r="C28" s="46">
        <f>C25*Assumptions!$C$20</f>
        <v>2970</v>
      </c>
      <c r="D28" s="46">
        <f>C28*(1+Assumptions!$C$13)</f>
        <v>3029.4</v>
      </c>
      <c r="E28" s="46">
        <f>D28*(1+Assumptions!$C$13)</f>
        <v>3089.9880000000003</v>
      </c>
      <c r="F28" s="46">
        <f>E28*(1+Assumptions!$C$13)</f>
        <v>3151.7877600000002</v>
      </c>
      <c r="G28" s="46">
        <f>F28*(1+Assumptions!$C$13)</f>
        <v>3214.8235152000002</v>
      </c>
    </row>
    <row r="29" spans="2:7" ht="16" thickBot="1" x14ac:dyDescent="0.25">
      <c r="B29" s="11" t="s">
        <v>16</v>
      </c>
      <c r="C29" s="43">
        <f>SUM(C26:C28)</f>
        <v>495990</v>
      </c>
      <c r="D29" s="43">
        <f t="shared" ref="D29:G29" si="4">SUM(D26:D28)</f>
        <v>505909.80000000005</v>
      </c>
      <c r="E29" s="43">
        <f t="shared" si="4"/>
        <v>516027.99599999998</v>
      </c>
      <c r="F29" s="43">
        <f t="shared" si="4"/>
        <v>526348.55591999996</v>
      </c>
      <c r="G29" s="43">
        <f t="shared" si="4"/>
        <v>536875.52703840006</v>
      </c>
    </row>
    <row r="30" spans="2:7" ht="16" thickTop="1" x14ac:dyDescent="0.2">
      <c r="B30" s="14"/>
      <c r="C30" s="20"/>
    </row>
    <row r="31" spans="2:7" ht="18" x14ac:dyDescent="0.2">
      <c r="B31" s="81" t="s">
        <v>6</v>
      </c>
      <c r="C31" s="81"/>
      <c r="D31" s="81"/>
      <c r="E31" s="81"/>
      <c r="F31" s="81"/>
      <c r="G31" s="81"/>
    </row>
    <row r="33" spans="2:7" ht="16" thickBot="1" x14ac:dyDescent="0.25">
      <c r="C33" s="12" t="s">
        <v>54</v>
      </c>
      <c r="D33" s="12" t="s">
        <v>55</v>
      </c>
      <c r="E33" s="12" t="s">
        <v>56</v>
      </c>
      <c r="F33" s="12" t="s">
        <v>57</v>
      </c>
      <c r="G33" s="12" t="s">
        <v>58</v>
      </c>
    </row>
    <row r="34" spans="2:7" x14ac:dyDescent="0.2">
      <c r="B34"/>
      <c r="C34"/>
      <c r="D34"/>
      <c r="E34"/>
      <c r="F34"/>
      <c r="G34"/>
    </row>
    <row r="35" spans="2:7" x14ac:dyDescent="0.2">
      <c r="B35" s="35" t="s">
        <v>78</v>
      </c>
      <c r="C35" s="47">
        <f>'Operating Budgets'!C37*Assumptions!$C$26</f>
        <v>41986.879999999997</v>
      </c>
      <c r="D35" s="47">
        <f>C35*(1+Assumptions!$C$13)</f>
        <v>42826.617599999998</v>
      </c>
      <c r="E35" s="47">
        <f>D35*(1+Assumptions!$C$13)</f>
        <v>43683.149952</v>
      </c>
      <c r="F35" s="47">
        <f>E35*(1+Assumptions!$C$13)</f>
        <v>44556.812951040003</v>
      </c>
      <c r="G35" s="47">
        <f>F35*(1+Assumptions!$C$13)</f>
        <v>45447.949210060804</v>
      </c>
    </row>
    <row r="36" spans="2:7" x14ac:dyDescent="0.2">
      <c r="B36" s="11" t="s">
        <v>77</v>
      </c>
      <c r="C36" s="46">
        <f>C37*Assumptions!$C$27*3</f>
        <v>139713.60000000001</v>
      </c>
      <c r="D36" s="46">
        <f>C36*(1+Assumptions!$C$13)</f>
        <v>142507.872</v>
      </c>
      <c r="E36" s="46">
        <f>D36*(1+Assumptions!$C$13)</f>
        <v>145358.02944000001</v>
      </c>
      <c r="F36" s="46">
        <f>E36*(1+Assumptions!$C$13)</f>
        <v>148265.19002880002</v>
      </c>
      <c r="G36" s="46">
        <f>F36*(1+Assumptions!$C$13)</f>
        <v>151230.49382937604</v>
      </c>
    </row>
    <row r="37" spans="2:7" x14ac:dyDescent="0.2">
      <c r="B37" s="35" t="s">
        <v>81</v>
      </c>
      <c r="C37" s="1">
        <f>40*52</f>
        <v>2080</v>
      </c>
      <c r="D37" s="1">
        <f t="shared" ref="D37:G37" si="5">40*52</f>
        <v>2080</v>
      </c>
      <c r="E37" s="1">
        <f t="shared" si="5"/>
        <v>2080</v>
      </c>
      <c r="F37" s="1">
        <f t="shared" si="5"/>
        <v>2080</v>
      </c>
      <c r="G37" s="1">
        <f t="shared" si="5"/>
        <v>2080</v>
      </c>
    </row>
    <row r="38" spans="2:7" ht="16" thickBot="1" x14ac:dyDescent="0.25">
      <c r="B38" s="11" t="s">
        <v>18</v>
      </c>
      <c r="C38" s="43">
        <f>SUM(C35:C36)</f>
        <v>181700.48000000001</v>
      </c>
      <c r="D38" s="43">
        <f t="shared" ref="D38:G38" si="6">SUM(D35:D36)</f>
        <v>185334.4896</v>
      </c>
      <c r="E38" s="43">
        <f t="shared" si="6"/>
        <v>189041.17939200002</v>
      </c>
      <c r="F38" s="43">
        <f t="shared" si="6"/>
        <v>192822.00297984004</v>
      </c>
      <c r="G38" s="43">
        <f t="shared" si="6"/>
        <v>196678.44303943682</v>
      </c>
    </row>
    <row r="39" spans="2:7" ht="16" thickTop="1" x14ac:dyDescent="0.2"/>
    <row r="41" spans="2:7" x14ac:dyDescent="0.2">
      <c r="B41" s="14"/>
      <c r="C41" s="16"/>
    </row>
    <row r="42" spans="2:7" x14ac:dyDescent="0.2">
      <c r="B42" s="14"/>
      <c r="C42" s="16"/>
    </row>
    <row r="43" spans="2:7" ht="18" x14ac:dyDescent="0.2">
      <c r="B43" s="81" t="s">
        <v>7</v>
      </c>
      <c r="C43" s="81"/>
      <c r="D43" s="81"/>
      <c r="E43" s="81"/>
      <c r="F43" s="81"/>
    </row>
    <row r="45" spans="2:7" ht="16" thickBot="1" x14ac:dyDescent="0.25">
      <c r="C45" s="12" t="s">
        <v>54</v>
      </c>
      <c r="D45" s="12" t="s">
        <v>55</v>
      </c>
      <c r="E45" s="12" t="s">
        <v>56</v>
      </c>
      <c r="F45" s="12" t="s">
        <v>57</v>
      </c>
      <c r="G45" s="12" t="s">
        <v>58</v>
      </c>
    </row>
    <row r="47" spans="2:7" x14ac:dyDescent="0.2">
      <c r="B47" s="40" t="s">
        <v>74</v>
      </c>
      <c r="C47" s="26">
        <f>C25</f>
        <v>4950</v>
      </c>
      <c r="D47" s="26">
        <f t="shared" ref="D47:G47" si="7">D25</f>
        <v>4950</v>
      </c>
      <c r="E47" s="26">
        <f t="shared" si="7"/>
        <v>4950</v>
      </c>
      <c r="F47" s="26">
        <f t="shared" si="7"/>
        <v>4950</v>
      </c>
      <c r="G47" s="26">
        <f t="shared" si="7"/>
        <v>4950</v>
      </c>
    </row>
    <row r="48" spans="2:7" x14ac:dyDescent="0.2">
      <c r="B48" s="11" t="s">
        <v>19</v>
      </c>
    </row>
    <row r="49" spans="2:7" x14ac:dyDescent="0.2">
      <c r="B49" s="41" t="s">
        <v>88</v>
      </c>
      <c r="C49" s="48">
        <f>Assumptions!$C$33*'Operating Budgets'!C47</f>
        <v>3613.5</v>
      </c>
      <c r="D49" s="48">
        <f>C49*(1+Assumptions!$C$13)</f>
        <v>3685.77</v>
      </c>
      <c r="E49" s="48">
        <f>D49*(1+Assumptions!$C$13)</f>
        <v>3759.4854</v>
      </c>
      <c r="F49" s="48">
        <f>E49*(1+Assumptions!$C$13)</f>
        <v>3834.6751079999999</v>
      </c>
      <c r="G49" s="48">
        <f>F49*(1+Assumptions!$C$13)</f>
        <v>3911.3686101600001</v>
      </c>
    </row>
    <row r="50" spans="2:7" x14ac:dyDescent="0.2">
      <c r="B50" s="21" t="s">
        <v>20</v>
      </c>
      <c r="C50" s="48">
        <f>C49</f>
        <v>3613.5</v>
      </c>
      <c r="D50" s="48">
        <f t="shared" ref="D50:G50" si="8">D49</f>
        <v>3685.77</v>
      </c>
      <c r="E50" s="48">
        <f t="shared" si="8"/>
        <v>3759.4854</v>
      </c>
      <c r="F50" s="48">
        <f t="shared" si="8"/>
        <v>3834.6751079999999</v>
      </c>
      <c r="G50" s="48">
        <f t="shared" si="8"/>
        <v>3911.3686101600001</v>
      </c>
    </row>
    <row r="51" spans="2:7" x14ac:dyDescent="0.2">
      <c r="B51" s="14" t="s">
        <v>21</v>
      </c>
    </row>
    <row r="52" spans="2:7" x14ac:dyDescent="0.2">
      <c r="B52" s="5" t="s">
        <v>119</v>
      </c>
      <c r="C52" s="47">
        <f>Assumptions!$C$35</f>
        <v>7500</v>
      </c>
      <c r="D52" s="47">
        <f>Assumptions!$C$35</f>
        <v>7500</v>
      </c>
      <c r="E52" s="47">
        <f>Assumptions!$C$35</f>
        <v>7500</v>
      </c>
      <c r="F52" s="47">
        <f>Assumptions!$C$35</f>
        <v>7500</v>
      </c>
      <c r="G52" s="47">
        <f>Assumptions!$C$35</f>
        <v>7500</v>
      </c>
    </row>
    <row r="53" spans="2:7" x14ac:dyDescent="0.2">
      <c r="B53" s="5" t="s">
        <v>154</v>
      </c>
      <c r="C53" s="47">
        <f>Assumptions!$C$36</f>
        <v>3000</v>
      </c>
      <c r="D53" s="47">
        <f>Assumptions!$C$36</f>
        <v>3000</v>
      </c>
      <c r="E53" s="47">
        <f>Assumptions!$C$36</f>
        <v>3000</v>
      </c>
      <c r="F53" s="47">
        <f>Assumptions!$C$36</f>
        <v>3000</v>
      </c>
      <c r="G53" s="47">
        <f>Assumptions!$C$36</f>
        <v>3000</v>
      </c>
    </row>
    <row r="54" spans="2:7" x14ac:dyDescent="0.2">
      <c r="B54" s="88" t="s">
        <v>87</v>
      </c>
      <c r="C54" s="47">
        <f>Assumptions!$C$37</f>
        <v>75000</v>
      </c>
      <c r="D54" s="47">
        <f>Assumptions!$C$37</f>
        <v>75000</v>
      </c>
      <c r="E54" s="47">
        <f>Assumptions!$C$37</f>
        <v>75000</v>
      </c>
      <c r="F54" s="47">
        <f>Assumptions!$C$37</f>
        <v>75000</v>
      </c>
      <c r="G54" s="47">
        <f>Assumptions!$C$37</f>
        <v>75000</v>
      </c>
    </row>
    <row r="55" spans="2:7" x14ac:dyDescent="0.2">
      <c r="B55" s="14" t="s">
        <v>22</v>
      </c>
      <c r="C55" s="49">
        <f>SUM(C50,C52:C54)</f>
        <v>89113.5</v>
      </c>
      <c r="D55" s="49">
        <f t="shared" ref="D55:G55" si="9">SUM(D50,D52:D54)</f>
        <v>89185.77</v>
      </c>
      <c r="E55" s="49">
        <f t="shared" si="9"/>
        <v>89259.485400000005</v>
      </c>
      <c r="F55" s="49">
        <f t="shared" si="9"/>
        <v>89334.675107999996</v>
      </c>
      <c r="G55" s="49">
        <f t="shared" si="9"/>
        <v>89411.368610160003</v>
      </c>
    </row>
    <row r="56" spans="2:7" x14ac:dyDescent="0.2">
      <c r="B56" s="21" t="s">
        <v>23</v>
      </c>
      <c r="C56" s="46">
        <f>SUM(C53:C54)</f>
        <v>78000</v>
      </c>
      <c r="D56" s="46">
        <f t="shared" ref="D56:G56" si="10">SUM(D53:D54)</f>
        <v>78000</v>
      </c>
      <c r="E56" s="46">
        <f t="shared" si="10"/>
        <v>78000</v>
      </c>
      <c r="F56" s="46">
        <f t="shared" si="10"/>
        <v>78000</v>
      </c>
      <c r="G56" s="46">
        <f t="shared" si="10"/>
        <v>78000</v>
      </c>
    </row>
    <row r="57" spans="2:7" ht="16" thickBot="1" x14ac:dyDescent="0.25">
      <c r="B57" s="14" t="s">
        <v>24</v>
      </c>
      <c r="C57" s="43">
        <f>C55-C56</f>
        <v>11113.5</v>
      </c>
      <c r="D57" s="43">
        <f t="shared" ref="D57:G57" si="11">D55-D56</f>
        <v>11185.770000000004</v>
      </c>
      <c r="E57" s="43">
        <f t="shared" si="11"/>
        <v>11259.485400000005</v>
      </c>
      <c r="F57" s="43">
        <f t="shared" si="11"/>
        <v>11334.675107999996</v>
      </c>
      <c r="G57" s="43">
        <f t="shared" si="11"/>
        <v>11411.368610160003</v>
      </c>
    </row>
    <row r="58" spans="2:7" ht="16" thickTop="1" x14ac:dyDescent="0.2"/>
    <row r="59" spans="2:7" x14ac:dyDescent="0.2">
      <c r="B59" s="35" t="s">
        <v>91</v>
      </c>
      <c r="C59" s="23"/>
      <c r="G59" s="48">
        <f>G56+G57</f>
        <v>89411.368610160003</v>
      </c>
    </row>
    <row r="60" spans="2:7" x14ac:dyDescent="0.2">
      <c r="B60" s="14" t="s">
        <v>17</v>
      </c>
      <c r="G60" s="1">
        <f>G37</f>
        <v>2080</v>
      </c>
    </row>
    <row r="61" spans="2:7" x14ac:dyDescent="0.2">
      <c r="B61" s="14" t="s">
        <v>25</v>
      </c>
      <c r="C61" s="24"/>
      <c r="F61" s="26"/>
      <c r="G61" s="48">
        <f>G59/G60</f>
        <v>42.986234908730772</v>
      </c>
    </row>
    <row r="65" spans="2:8" ht="18" x14ac:dyDescent="0.2">
      <c r="B65" s="81" t="s">
        <v>93</v>
      </c>
      <c r="C65" s="81"/>
      <c r="D65" s="81"/>
      <c r="E65" s="81"/>
      <c r="F65" s="81"/>
    </row>
    <row r="67" spans="2:8" x14ac:dyDescent="0.2">
      <c r="D67" s="84" t="s">
        <v>26</v>
      </c>
      <c r="E67" s="84"/>
      <c r="F67" s="25" t="s">
        <v>27</v>
      </c>
      <c r="G67" s="25" t="s">
        <v>28</v>
      </c>
    </row>
    <row r="68" spans="2:8" x14ac:dyDescent="0.2">
      <c r="B68" s="11" t="s">
        <v>29</v>
      </c>
      <c r="D68" s="26"/>
      <c r="E68" s="7">
        <v>1</v>
      </c>
      <c r="F68" s="48">
        <f>Assumptions!C22</f>
        <v>100.19999999999999</v>
      </c>
      <c r="G68" s="48">
        <f>E68*F68</f>
        <v>100.19999999999999</v>
      </c>
    </row>
    <row r="69" spans="2:8" x14ac:dyDescent="0.2">
      <c r="B69" s="11" t="s">
        <v>30</v>
      </c>
      <c r="D69" s="26"/>
      <c r="E69" s="7">
        <v>1</v>
      </c>
      <c r="F69" s="48">
        <f>(Assumptions!C26+Assumptions!C27*3)/Assumptions!C29</f>
        <v>31.059911111111109</v>
      </c>
      <c r="G69" s="48">
        <f t="shared" ref="G69:G70" si="12">E69*F69</f>
        <v>31.059911111111109</v>
      </c>
    </row>
    <row r="70" spans="2:8" x14ac:dyDescent="0.2">
      <c r="B70" s="11" t="s">
        <v>31</v>
      </c>
      <c r="D70" s="26"/>
      <c r="E70" s="1">
        <v>1</v>
      </c>
      <c r="F70" s="48">
        <f>Assumptions!C33</f>
        <v>0.73</v>
      </c>
      <c r="G70" s="48">
        <f t="shared" si="12"/>
        <v>0.73</v>
      </c>
    </row>
    <row r="72" spans="2:8" x14ac:dyDescent="0.2">
      <c r="B72" s="22" t="s">
        <v>95</v>
      </c>
      <c r="G72" s="48">
        <f>SUM(G68:G70)</f>
        <v>131.9899111111111</v>
      </c>
    </row>
    <row r="74" spans="2:8" ht="18" x14ac:dyDescent="0.2">
      <c r="B74" s="81" t="s">
        <v>32</v>
      </c>
      <c r="C74" s="81"/>
      <c r="D74" s="81"/>
      <c r="E74" s="81"/>
      <c r="F74" s="81"/>
      <c r="G74" s="81"/>
    </row>
    <row r="75" spans="2:8" x14ac:dyDescent="0.2">
      <c r="H75" s="1" t="s">
        <v>158</v>
      </c>
    </row>
    <row r="76" spans="2:8" x14ac:dyDescent="0.2">
      <c r="D76" s="84"/>
      <c r="E76" s="84"/>
      <c r="F76" s="25"/>
      <c r="G76" s="25"/>
    </row>
    <row r="77" spans="2:8" x14ac:dyDescent="0.2">
      <c r="B77" s="14" t="s">
        <v>33</v>
      </c>
      <c r="D77" s="26"/>
      <c r="F77" s="15"/>
      <c r="G77" s="27"/>
    </row>
    <row r="78" spans="2:8" x14ac:dyDescent="0.2">
      <c r="B78" s="14" t="s">
        <v>34</v>
      </c>
      <c r="D78" s="26"/>
      <c r="F78" s="15"/>
      <c r="G78" s="15"/>
    </row>
    <row r="79" spans="2:8" ht="16" thickBot="1" x14ac:dyDescent="0.25">
      <c r="B79" s="14" t="s">
        <v>35</v>
      </c>
      <c r="D79" s="26"/>
      <c r="F79" s="15"/>
      <c r="G79" s="17"/>
    </row>
    <row r="80" spans="2:8" ht="16" thickTop="1" x14ac:dyDescent="0.2"/>
    <row r="82" spans="2:7" ht="18" x14ac:dyDescent="0.2">
      <c r="B82" s="81" t="s">
        <v>10</v>
      </c>
      <c r="C82" s="81"/>
      <c r="D82" s="81"/>
      <c r="E82" s="81"/>
      <c r="F82" s="81"/>
      <c r="G82" s="81"/>
    </row>
    <row r="84" spans="2:7" ht="16" thickBot="1" x14ac:dyDescent="0.25">
      <c r="C84" s="12" t="s">
        <v>54</v>
      </c>
      <c r="D84" s="12" t="s">
        <v>55</v>
      </c>
      <c r="E84" s="12" t="s">
        <v>56</v>
      </c>
      <c r="F84" s="12" t="s">
        <v>57</v>
      </c>
      <c r="G84" s="12" t="s">
        <v>58</v>
      </c>
    </row>
    <row r="85" spans="2:7" x14ac:dyDescent="0.2">
      <c r="C85" s="28"/>
      <c r="D85" s="28"/>
      <c r="E85" s="28"/>
      <c r="F85" s="28"/>
      <c r="G85" s="28"/>
    </row>
    <row r="86" spans="2:7" x14ac:dyDescent="0.2">
      <c r="B86" s="11" t="s">
        <v>97</v>
      </c>
    </row>
    <row r="87" spans="2:7" x14ac:dyDescent="0.2">
      <c r="B87" s="50" t="s">
        <v>96</v>
      </c>
      <c r="C87" s="52">
        <f>Assumptions!$C$41</f>
        <v>10000</v>
      </c>
      <c r="D87" s="52">
        <f>Assumptions!$C$41</f>
        <v>10000</v>
      </c>
      <c r="E87" s="52">
        <f>Assumptions!$C$41</f>
        <v>10000</v>
      </c>
      <c r="F87" s="52">
        <f>Assumptions!$C$41</f>
        <v>10000</v>
      </c>
      <c r="G87" s="52">
        <f>Assumptions!$C$41</f>
        <v>10000</v>
      </c>
    </row>
    <row r="88" spans="2:7" ht="16" thickBot="1" x14ac:dyDescent="0.25">
      <c r="B88" s="11" t="s">
        <v>36</v>
      </c>
      <c r="C88" s="43">
        <f>C87</f>
        <v>10000</v>
      </c>
      <c r="D88" s="43">
        <f t="shared" ref="D88:G88" si="13">D87</f>
        <v>10000</v>
      </c>
      <c r="E88" s="43">
        <f t="shared" si="13"/>
        <v>10000</v>
      </c>
      <c r="F88" s="43">
        <f t="shared" si="13"/>
        <v>10000</v>
      </c>
      <c r="G88" s="43">
        <f t="shared" si="13"/>
        <v>10000</v>
      </c>
    </row>
    <row r="89" spans="2:7" ht="16" thickTop="1" x14ac:dyDescent="0.2"/>
    <row r="93" spans="2:7" ht="18" x14ac:dyDescent="0.2">
      <c r="B93" s="81" t="s">
        <v>37</v>
      </c>
      <c r="C93" s="81"/>
      <c r="D93" s="81"/>
      <c r="E93" s="81"/>
      <c r="F93" s="81"/>
      <c r="G93" s="81"/>
    </row>
    <row r="94" spans="2:7" x14ac:dyDescent="0.2">
      <c r="B94" s="83"/>
      <c r="C94" s="83"/>
      <c r="D94" s="83"/>
      <c r="E94" s="83"/>
    </row>
    <row r="96" spans="2:7" ht="16" thickBot="1" x14ac:dyDescent="0.25">
      <c r="C96" s="12" t="s">
        <v>54</v>
      </c>
      <c r="D96" s="12" t="s">
        <v>55</v>
      </c>
      <c r="E96" s="12" t="s">
        <v>56</v>
      </c>
      <c r="F96" s="12" t="s">
        <v>57</v>
      </c>
      <c r="G96" s="12" t="s">
        <v>58</v>
      </c>
    </row>
    <row r="97" spans="2:7" x14ac:dyDescent="0.2">
      <c r="C97" s="28"/>
      <c r="D97" s="28"/>
      <c r="E97" s="28"/>
      <c r="F97" s="28"/>
      <c r="G97" s="28"/>
    </row>
    <row r="98" spans="2:7" x14ac:dyDescent="0.2">
      <c r="B98" s="11" t="s">
        <v>104</v>
      </c>
      <c r="C98" s="45">
        <f>C25</f>
        <v>4950</v>
      </c>
      <c r="D98" s="45">
        <f t="shared" ref="D98:G98" si="14">D25</f>
        <v>4950</v>
      </c>
      <c r="E98" s="45">
        <f t="shared" si="14"/>
        <v>4950</v>
      </c>
      <c r="F98" s="45">
        <f t="shared" si="14"/>
        <v>4950</v>
      </c>
      <c r="G98" s="45">
        <f t="shared" si="14"/>
        <v>4950</v>
      </c>
    </row>
    <row r="99" spans="2:7" x14ac:dyDescent="0.2">
      <c r="B99" s="35" t="s">
        <v>105</v>
      </c>
      <c r="C99" s="75">
        <f>C16</f>
        <v>180</v>
      </c>
      <c r="D99" s="75">
        <f t="shared" ref="D99:G99" si="15">D16</f>
        <v>183.6</v>
      </c>
      <c r="E99" s="75">
        <f t="shared" si="15"/>
        <v>187.27199999999999</v>
      </c>
      <c r="F99" s="75">
        <f t="shared" si="15"/>
        <v>191.01743999999999</v>
      </c>
      <c r="G99" s="75">
        <f t="shared" si="15"/>
        <v>194.8377888</v>
      </c>
    </row>
    <row r="100" spans="2:7" x14ac:dyDescent="0.2">
      <c r="B100" s="35" t="s">
        <v>106</v>
      </c>
      <c r="C100" s="76">
        <f>C98*C99</f>
        <v>891000</v>
      </c>
      <c r="D100" s="76">
        <f t="shared" ref="D100:G100" si="16">D98*D99</f>
        <v>908820</v>
      </c>
      <c r="E100" s="76">
        <f t="shared" si="16"/>
        <v>926996.39999999991</v>
      </c>
      <c r="F100" s="76">
        <f t="shared" si="16"/>
        <v>945536.32799999998</v>
      </c>
      <c r="G100" s="76">
        <f t="shared" si="16"/>
        <v>964447.05455999996</v>
      </c>
    </row>
    <row r="101" spans="2:7" x14ac:dyDescent="0.2">
      <c r="B101" s="41" t="s">
        <v>107</v>
      </c>
      <c r="C101" s="30"/>
      <c r="D101" s="52"/>
      <c r="E101" s="52"/>
    </row>
    <row r="102" spans="2:7" x14ac:dyDescent="0.2">
      <c r="B102" s="35" t="s">
        <v>108</v>
      </c>
      <c r="C102" s="45">
        <f>-C29</f>
        <v>-495990</v>
      </c>
      <c r="D102" s="45">
        <f t="shared" ref="D102:G102" si="17">-D29</f>
        <v>-505909.80000000005</v>
      </c>
      <c r="E102" s="45">
        <f t="shared" si="17"/>
        <v>-516027.99599999998</v>
      </c>
      <c r="F102" s="45">
        <f t="shared" si="17"/>
        <v>-526348.55591999996</v>
      </c>
      <c r="G102" s="45">
        <f t="shared" si="17"/>
        <v>-536875.52703840006</v>
      </c>
    </row>
    <row r="103" spans="2:7" x14ac:dyDescent="0.2">
      <c r="B103" s="35" t="s">
        <v>109</v>
      </c>
      <c r="C103" s="45">
        <f>-C50</f>
        <v>-3613.5</v>
      </c>
      <c r="D103" s="45">
        <f t="shared" ref="D103:G103" si="18">-D50</f>
        <v>-3685.77</v>
      </c>
      <c r="E103" s="45">
        <f t="shared" si="18"/>
        <v>-3759.4854</v>
      </c>
      <c r="F103" s="45">
        <f t="shared" si="18"/>
        <v>-3834.6751079999999</v>
      </c>
      <c r="G103" s="45">
        <f t="shared" si="18"/>
        <v>-3911.3686101600001</v>
      </c>
    </row>
    <row r="104" spans="2:7" x14ac:dyDescent="0.2">
      <c r="B104" s="41" t="s">
        <v>110</v>
      </c>
      <c r="C104" s="30"/>
      <c r="D104" s="52"/>
      <c r="E104" s="52"/>
    </row>
    <row r="105" spans="2:7" x14ac:dyDescent="0.2">
      <c r="B105" s="35" t="s">
        <v>111</v>
      </c>
      <c r="C105" s="45">
        <f>-C38</f>
        <v>-181700.48000000001</v>
      </c>
      <c r="D105" s="45">
        <f t="shared" ref="D105:G105" si="19">-D38</f>
        <v>-185334.4896</v>
      </c>
      <c r="E105" s="45">
        <f t="shared" si="19"/>
        <v>-189041.17939200002</v>
      </c>
      <c r="F105" s="45">
        <f t="shared" si="19"/>
        <v>-192822.00297984004</v>
      </c>
      <c r="G105" s="45">
        <f t="shared" si="19"/>
        <v>-196678.44303943682</v>
      </c>
    </row>
    <row r="106" spans="2:7" x14ac:dyDescent="0.2">
      <c r="B106" s="11" t="s">
        <v>112</v>
      </c>
      <c r="C106" s="45">
        <f>-C52</f>
        <v>-7500</v>
      </c>
      <c r="D106" s="45">
        <f t="shared" ref="D106:G106" si="20">-D52</f>
        <v>-7500</v>
      </c>
      <c r="E106" s="45">
        <f t="shared" si="20"/>
        <v>-7500</v>
      </c>
      <c r="F106" s="45">
        <f t="shared" si="20"/>
        <v>-7500</v>
      </c>
      <c r="G106" s="45">
        <f t="shared" si="20"/>
        <v>-7500</v>
      </c>
    </row>
    <row r="107" spans="2:7" x14ac:dyDescent="0.2">
      <c r="B107" s="35" t="s">
        <v>9</v>
      </c>
      <c r="C107" s="45">
        <f>-C56</f>
        <v>-78000</v>
      </c>
      <c r="D107" s="45">
        <f t="shared" ref="D107:G107" si="21">-D56</f>
        <v>-78000</v>
      </c>
      <c r="E107" s="45">
        <f t="shared" si="21"/>
        <v>-78000</v>
      </c>
      <c r="F107" s="45">
        <f t="shared" si="21"/>
        <v>-78000</v>
      </c>
      <c r="G107" s="45">
        <f t="shared" si="21"/>
        <v>-78000</v>
      </c>
    </row>
    <row r="108" spans="2:7" x14ac:dyDescent="0.2">
      <c r="B108" s="11" t="s">
        <v>113</v>
      </c>
      <c r="C108" s="47">
        <f>SUM(C102:C107)</f>
        <v>-766803.98</v>
      </c>
      <c r="D108" s="47">
        <f t="shared" ref="D108:G108" si="22">SUM(D102:D107)</f>
        <v>-780430.05960000004</v>
      </c>
      <c r="E108" s="47">
        <f t="shared" si="22"/>
        <v>-794328.66079200001</v>
      </c>
      <c r="F108" s="47">
        <f t="shared" si="22"/>
        <v>-808505.23400784004</v>
      </c>
      <c r="G108" s="47">
        <f t="shared" si="22"/>
        <v>-822965.33868799685</v>
      </c>
    </row>
    <row r="110" spans="2:7" x14ac:dyDescent="0.2">
      <c r="B110" s="55" t="s">
        <v>114</v>
      </c>
      <c r="C110" s="47">
        <f>SUM(C100,C108)</f>
        <v>124196.02000000002</v>
      </c>
      <c r="D110" s="47">
        <f t="shared" ref="D110:G110" si="23">SUM(D100,D108)</f>
        <v>128389.94039999996</v>
      </c>
      <c r="E110" s="47">
        <f t="shared" si="23"/>
        <v>132667.7392079999</v>
      </c>
      <c r="F110" s="47">
        <f t="shared" si="23"/>
        <v>137031.09399215993</v>
      </c>
      <c r="G110" s="47">
        <f t="shared" si="23"/>
        <v>141481.71587200311</v>
      </c>
    </row>
    <row r="111" spans="2:7" x14ac:dyDescent="0.2">
      <c r="B111" s="41" t="s">
        <v>115</v>
      </c>
    </row>
    <row r="112" spans="2:7" x14ac:dyDescent="0.2">
      <c r="B112" s="11" t="s">
        <v>96</v>
      </c>
      <c r="C112" s="47">
        <f>-C87</f>
        <v>-10000</v>
      </c>
      <c r="D112" s="47">
        <f t="shared" ref="D112:G112" si="24">-D87</f>
        <v>-10000</v>
      </c>
      <c r="E112" s="47">
        <f t="shared" si="24"/>
        <v>-10000</v>
      </c>
      <c r="F112" s="47">
        <f t="shared" si="24"/>
        <v>-10000</v>
      </c>
      <c r="G112" s="47">
        <f t="shared" si="24"/>
        <v>-10000</v>
      </c>
    </row>
    <row r="114" spans="2:7" x14ac:dyDescent="0.2">
      <c r="B114" s="55" t="s">
        <v>116</v>
      </c>
      <c r="C114" s="47">
        <f>SUM(C110,C112)</f>
        <v>114196.02000000002</v>
      </c>
      <c r="D114" s="47">
        <f t="shared" ref="D114:G114" si="25">SUM(D110,D112)</f>
        <v>118389.94039999996</v>
      </c>
      <c r="E114" s="47">
        <f t="shared" si="25"/>
        <v>122667.7392079999</v>
      </c>
      <c r="F114" s="47">
        <f t="shared" si="25"/>
        <v>127031.09399215993</v>
      </c>
      <c r="G114" s="47">
        <f t="shared" si="25"/>
        <v>131481.71587200311</v>
      </c>
    </row>
    <row r="115" spans="2:7" x14ac:dyDescent="0.2">
      <c r="B115" s="41" t="s">
        <v>117</v>
      </c>
      <c r="C115" s="47">
        <f>-C114*Assumptions!$C$44</f>
        <v>-31860.689580000009</v>
      </c>
      <c r="D115" s="47">
        <f>-D114*Assumptions!$C$44</f>
        <v>-33030.79337159999</v>
      </c>
      <c r="E115" s="47">
        <f>-E114*Assumptions!$C$44</f>
        <v>-34224.299239031978</v>
      </c>
      <c r="F115" s="47">
        <f>-F114*Assumptions!$C$44</f>
        <v>-35441.675223812628</v>
      </c>
      <c r="G115" s="47">
        <f>-G114*Assumptions!$C$44</f>
        <v>-36683.39872828887</v>
      </c>
    </row>
    <row r="117" spans="2:7" x14ac:dyDescent="0.2">
      <c r="B117" s="55" t="s">
        <v>118</v>
      </c>
      <c r="C117" s="47">
        <f>SUM(C114:C115)</f>
        <v>82335.330420000013</v>
      </c>
      <c r="D117" s="47">
        <f t="shared" ref="D117:G117" si="26">SUM(D114:D115)</f>
        <v>85359.147028399981</v>
      </c>
      <c r="E117" s="47">
        <f t="shared" si="26"/>
        <v>88443.439968967927</v>
      </c>
      <c r="F117" s="47">
        <f t="shared" si="26"/>
        <v>91589.418768347299</v>
      </c>
      <c r="G117" s="47">
        <f t="shared" si="26"/>
        <v>94798.317143714245</v>
      </c>
    </row>
  </sheetData>
  <mergeCells count="14">
    <mergeCell ref="B1:G1"/>
    <mergeCell ref="B2:G2"/>
    <mergeCell ref="B3:G3"/>
    <mergeCell ref="B94:E94"/>
    <mergeCell ref="B43:F43"/>
    <mergeCell ref="B65:F65"/>
    <mergeCell ref="D67:E67"/>
    <mergeCell ref="D76:E76"/>
    <mergeCell ref="B31:G31"/>
    <mergeCell ref="B74:G74"/>
    <mergeCell ref="B82:G82"/>
    <mergeCell ref="B93:G93"/>
    <mergeCell ref="B21:G21"/>
    <mergeCell ref="B7:G7"/>
  </mergeCells>
  <phoneticPr fontId="7" type="noConversion"/>
  <pageMargins left="0.75" right="0.75" top="1" bottom="1" header="0.5" footer="0.5"/>
  <pageSetup fitToHeight="3" orientation="portrait" r:id="rId1"/>
  <headerFooter alignWithMargins="0"/>
  <rowBreaks count="1" manualBreakCount="1">
    <brk id="3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0703-AE71-4759-BE62-C96D3AB9C4D0}">
  <dimension ref="B1:J56"/>
  <sheetViews>
    <sheetView zoomScale="157" zoomScaleNormal="157" workbookViewId="0">
      <selection activeCell="B37" sqref="B37"/>
    </sheetView>
  </sheetViews>
  <sheetFormatPr baseColWidth="10" defaultColWidth="9.1640625" defaultRowHeight="15" x14ac:dyDescent="0.2"/>
  <cols>
    <col min="1" max="1" width="3" style="1" customWidth="1"/>
    <col min="2" max="2" width="43.6640625" style="1" customWidth="1"/>
    <col min="3" max="3" width="14.33203125" style="1" customWidth="1"/>
    <col min="4" max="4" width="15.33203125" style="1" customWidth="1"/>
    <col min="5" max="6" width="14.83203125" style="1" customWidth="1"/>
    <col min="7" max="7" width="16" style="1" customWidth="1"/>
    <col min="8" max="256" width="9.1640625" style="1"/>
    <col min="257" max="257" width="3" style="1" customWidth="1"/>
    <col min="258" max="258" width="43.6640625" style="1" customWidth="1"/>
    <col min="259" max="262" width="12.6640625" style="1" customWidth="1"/>
    <col min="263" max="512" width="9.1640625" style="1"/>
    <col min="513" max="513" width="3" style="1" customWidth="1"/>
    <col min="514" max="514" width="43.6640625" style="1" customWidth="1"/>
    <col min="515" max="518" width="12.6640625" style="1" customWidth="1"/>
    <col min="519" max="768" width="9.1640625" style="1"/>
    <col min="769" max="769" width="3" style="1" customWidth="1"/>
    <col min="770" max="770" width="43.6640625" style="1" customWidth="1"/>
    <col min="771" max="774" width="12.6640625" style="1" customWidth="1"/>
    <col min="775" max="1024" width="9.1640625" style="1"/>
    <col min="1025" max="1025" width="3" style="1" customWidth="1"/>
    <col min="1026" max="1026" width="43.6640625" style="1" customWidth="1"/>
    <col min="1027" max="1030" width="12.6640625" style="1" customWidth="1"/>
    <col min="1031" max="1280" width="9.1640625" style="1"/>
    <col min="1281" max="1281" width="3" style="1" customWidth="1"/>
    <col min="1282" max="1282" width="43.6640625" style="1" customWidth="1"/>
    <col min="1283" max="1286" width="12.6640625" style="1" customWidth="1"/>
    <col min="1287" max="1536" width="9.1640625" style="1"/>
    <col min="1537" max="1537" width="3" style="1" customWidth="1"/>
    <col min="1538" max="1538" width="43.6640625" style="1" customWidth="1"/>
    <col min="1539" max="1542" width="12.6640625" style="1" customWidth="1"/>
    <col min="1543" max="1792" width="9.1640625" style="1"/>
    <col min="1793" max="1793" width="3" style="1" customWidth="1"/>
    <col min="1794" max="1794" width="43.6640625" style="1" customWidth="1"/>
    <col min="1795" max="1798" width="12.6640625" style="1" customWidth="1"/>
    <col min="1799" max="2048" width="9.1640625" style="1"/>
    <col min="2049" max="2049" width="3" style="1" customWidth="1"/>
    <col min="2050" max="2050" width="43.6640625" style="1" customWidth="1"/>
    <col min="2051" max="2054" width="12.6640625" style="1" customWidth="1"/>
    <col min="2055" max="2304" width="9.1640625" style="1"/>
    <col min="2305" max="2305" width="3" style="1" customWidth="1"/>
    <col min="2306" max="2306" width="43.6640625" style="1" customWidth="1"/>
    <col min="2307" max="2310" width="12.6640625" style="1" customWidth="1"/>
    <col min="2311" max="2560" width="9.1640625" style="1"/>
    <col min="2561" max="2561" width="3" style="1" customWidth="1"/>
    <col min="2562" max="2562" width="43.6640625" style="1" customWidth="1"/>
    <col min="2563" max="2566" width="12.6640625" style="1" customWidth="1"/>
    <col min="2567" max="2816" width="9.1640625" style="1"/>
    <col min="2817" max="2817" width="3" style="1" customWidth="1"/>
    <col min="2818" max="2818" width="43.6640625" style="1" customWidth="1"/>
    <col min="2819" max="2822" width="12.6640625" style="1" customWidth="1"/>
    <col min="2823" max="3072" width="9.1640625" style="1"/>
    <col min="3073" max="3073" width="3" style="1" customWidth="1"/>
    <col min="3074" max="3074" width="43.6640625" style="1" customWidth="1"/>
    <col min="3075" max="3078" width="12.6640625" style="1" customWidth="1"/>
    <col min="3079" max="3328" width="9.1640625" style="1"/>
    <col min="3329" max="3329" width="3" style="1" customWidth="1"/>
    <col min="3330" max="3330" width="43.6640625" style="1" customWidth="1"/>
    <col min="3331" max="3334" width="12.6640625" style="1" customWidth="1"/>
    <col min="3335" max="3584" width="9.1640625" style="1"/>
    <col min="3585" max="3585" width="3" style="1" customWidth="1"/>
    <col min="3586" max="3586" width="43.6640625" style="1" customWidth="1"/>
    <col min="3587" max="3590" width="12.6640625" style="1" customWidth="1"/>
    <col min="3591" max="3840" width="9.1640625" style="1"/>
    <col min="3841" max="3841" width="3" style="1" customWidth="1"/>
    <col min="3842" max="3842" width="43.6640625" style="1" customWidth="1"/>
    <col min="3843" max="3846" width="12.6640625" style="1" customWidth="1"/>
    <col min="3847" max="4096" width="9.1640625" style="1"/>
    <col min="4097" max="4097" width="3" style="1" customWidth="1"/>
    <col min="4098" max="4098" width="43.6640625" style="1" customWidth="1"/>
    <col min="4099" max="4102" width="12.6640625" style="1" customWidth="1"/>
    <col min="4103" max="4352" width="9.1640625" style="1"/>
    <col min="4353" max="4353" width="3" style="1" customWidth="1"/>
    <col min="4354" max="4354" width="43.6640625" style="1" customWidth="1"/>
    <col min="4355" max="4358" width="12.6640625" style="1" customWidth="1"/>
    <col min="4359" max="4608" width="9.1640625" style="1"/>
    <col min="4609" max="4609" width="3" style="1" customWidth="1"/>
    <col min="4610" max="4610" width="43.6640625" style="1" customWidth="1"/>
    <col min="4611" max="4614" width="12.6640625" style="1" customWidth="1"/>
    <col min="4615" max="4864" width="9.1640625" style="1"/>
    <col min="4865" max="4865" width="3" style="1" customWidth="1"/>
    <col min="4866" max="4866" width="43.6640625" style="1" customWidth="1"/>
    <col min="4867" max="4870" width="12.6640625" style="1" customWidth="1"/>
    <col min="4871" max="5120" width="9.1640625" style="1"/>
    <col min="5121" max="5121" width="3" style="1" customWidth="1"/>
    <col min="5122" max="5122" width="43.6640625" style="1" customWidth="1"/>
    <col min="5123" max="5126" width="12.6640625" style="1" customWidth="1"/>
    <col min="5127" max="5376" width="9.1640625" style="1"/>
    <col min="5377" max="5377" width="3" style="1" customWidth="1"/>
    <col min="5378" max="5378" width="43.6640625" style="1" customWidth="1"/>
    <col min="5379" max="5382" width="12.6640625" style="1" customWidth="1"/>
    <col min="5383" max="5632" width="9.1640625" style="1"/>
    <col min="5633" max="5633" width="3" style="1" customWidth="1"/>
    <col min="5634" max="5634" width="43.6640625" style="1" customWidth="1"/>
    <col min="5635" max="5638" width="12.6640625" style="1" customWidth="1"/>
    <col min="5639" max="5888" width="9.1640625" style="1"/>
    <col min="5889" max="5889" width="3" style="1" customWidth="1"/>
    <col min="5890" max="5890" width="43.6640625" style="1" customWidth="1"/>
    <col min="5891" max="5894" width="12.6640625" style="1" customWidth="1"/>
    <col min="5895" max="6144" width="9.1640625" style="1"/>
    <col min="6145" max="6145" width="3" style="1" customWidth="1"/>
    <col min="6146" max="6146" width="43.6640625" style="1" customWidth="1"/>
    <col min="6147" max="6150" width="12.6640625" style="1" customWidth="1"/>
    <col min="6151" max="6400" width="9.1640625" style="1"/>
    <col min="6401" max="6401" width="3" style="1" customWidth="1"/>
    <col min="6402" max="6402" width="43.6640625" style="1" customWidth="1"/>
    <col min="6403" max="6406" width="12.6640625" style="1" customWidth="1"/>
    <col min="6407" max="6656" width="9.1640625" style="1"/>
    <col min="6657" max="6657" width="3" style="1" customWidth="1"/>
    <col min="6658" max="6658" width="43.6640625" style="1" customWidth="1"/>
    <col min="6659" max="6662" width="12.6640625" style="1" customWidth="1"/>
    <col min="6663" max="6912" width="9.1640625" style="1"/>
    <col min="6913" max="6913" width="3" style="1" customWidth="1"/>
    <col min="6914" max="6914" width="43.6640625" style="1" customWidth="1"/>
    <col min="6915" max="6918" width="12.6640625" style="1" customWidth="1"/>
    <col min="6919" max="7168" width="9.1640625" style="1"/>
    <col min="7169" max="7169" width="3" style="1" customWidth="1"/>
    <col min="7170" max="7170" width="43.6640625" style="1" customWidth="1"/>
    <col min="7171" max="7174" width="12.6640625" style="1" customWidth="1"/>
    <col min="7175" max="7424" width="9.1640625" style="1"/>
    <col min="7425" max="7425" width="3" style="1" customWidth="1"/>
    <col min="7426" max="7426" width="43.6640625" style="1" customWidth="1"/>
    <col min="7427" max="7430" width="12.6640625" style="1" customWidth="1"/>
    <col min="7431" max="7680" width="9.1640625" style="1"/>
    <col min="7681" max="7681" width="3" style="1" customWidth="1"/>
    <col min="7682" max="7682" width="43.6640625" style="1" customWidth="1"/>
    <col min="7683" max="7686" width="12.6640625" style="1" customWidth="1"/>
    <col min="7687" max="7936" width="9.1640625" style="1"/>
    <col min="7937" max="7937" width="3" style="1" customWidth="1"/>
    <col min="7938" max="7938" width="43.6640625" style="1" customWidth="1"/>
    <col min="7939" max="7942" width="12.6640625" style="1" customWidth="1"/>
    <col min="7943" max="8192" width="9.1640625" style="1"/>
    <col min="8193" max="8193" width="3" style="1" customWidth="1"/>
    <col min="8194" max="8194" width="43.6640625" style="1" customWidth="1"/>
    <col min="8195" max="8198" width="12.6640625" style="1" customWidth="1"/>
    <col min="8199" max="8448" width="9.1640625" style="1"/>
    <col min="8449" max="8449" width="3" style="1" customWidth="1"/>
    <col min="8450" max="8450" width="43.6640625" style="1" customWidth="1"/>
    <col min="8451" max="8454" width="12.6640625" style="1" customWidth="1"/>
    <col min="8455" max="8704" width="9.1640625" style="1"/>
    <col min="8705" max="8705" width="3" style="1" customWidth="1"/>
    <col min="8706" max="8706" width="43.6640625" style="1" customWidth="1"/>
    <col min="8707" max="8710" width="12.6640625" style="1" customWidth="1"/>
    <col min="8711" max="8960" width="9.1640625" style="1"/>
    <col min="8961" max="8961" width="3" style="1" customWidth="1"/>
    <col min="8962" max="8962" width="43.6640625" style="1" customWidth="1"/>
    <col min="8963" max="8966" width="12.6640625" style="1" customWidth="1"/>
    <col min="8967" max="9216" width="9.1640625" style="1"/>
    <col min="9217" max="9217" width="3" style="1" customWidth="1"/>
    <col min="9218" max="9218" width="43.6640625" style="1" customWidth="1"/>
    <col min="9219" max="9222" width="12.6640625" style="1" customWidth="1"/>
    <col min="9223" max="9472" width="9.1640625" style="1"/>
    <col min="9473" max="9473" width="3" style="1" customWidth="1"/>
    <col min="9474" max="9474" width="43.6640625" style="1" customWidth="1"/>
    <col min="9475" max="9478" width="12.6640625" style="1" customWidth="1"/>
    <col min="9479" max="9728" width="9.1640625" style="1"/>
    <col min="9729" max="9729" width="3" style="1" customWidth="1"/>
    <col min="9730" max="9730" width="43.6640625" style="1" customWidth="1"/>
    <col min="9731" max="9734" width="12.6640625" style="1" customWidth="1"/>
    <col min="9735" max="9984" width="9.1640625" style="1"/>
    <col min="9985" max="9985" width="3" style="1" customWidth="1"/>
    <col min="9986" max="9986" width="43.6640625" style="1" customWidth="1"/>
    <col min="9987" max="9990" width="12.6640625" style="1" customWidth="1"/>
    <col min="9991" max="10240" width="9.1640625" style="1"/>
    <col min="10241" max="10241" width="3" style="1" customWidth="1"/>
    <col min="10242" max="10242" width="43.6640625" style="1" customWidth="1"/>
    <col min="10243" max="10246" width="12.6640625" style="1" customWidth="1"/>
    <col min="10247" max="10496" width="9.1640625" style="1"/>
    <col min="10497" max="10497" width="3" style="1" customWidth="1"/>
    <col min="10498" max="10498" width="43.6640625" style="1" customWidth="1"/>
    <col min="10499" max="10502" width="12.6640625" style="1" customWidth="1"/>
    <col min="10503" max="10752" width="9.1640625" style="1"/>
    <col min="10753" max="10753" width="3" style="1" customWidth="1"/>
    <col min="10754" max="10754" width="43.6640625" style="1" customWidth="1"/>
    <col min="10755" max="10758" width="12.6640625" style="1" customWidth="1"/>
    <col min="10759" max="11008" width="9.1640625" style="1"/>
    <col min="11009" max="11009" width="3" style="1" customWidth="1"/>
    <col min="11010" max="11010" width="43.6640625" style="1" customWidth="1"/>
    <col min="11011" max="11014" width="12.6640625" style="1" customWidth="1"/>
    <col min="11015" max="11264" width="9.1640625" style="1"/>
    <col min="11265" max="11265" width="3" style="1" customWidth="1"/>
    <col min="11266" max="11266" width="43.6640625" style="1" customWidth="1"/>
    <col min="11267" max="11270" width="12.6640625" style="1" customWidth="1"/>
    <col min="11271" max="11520" width="9.1640625" style="1"/>
    <col min="11521" max="11521" width="3" style="1" customWidth="1"/>
    <col min="11522" max="11522" width="43.6640625" style="1" customWidth="1"/>
    <col min="11523" max="11526" width="12.6640625" style="1" customWidth="1"/>
    <col min="11527" max="11776" width="9.1640625" style="1"/>
    <col min="11777" max="11777" width="3" style="1" customWidth="1"/>
    <col min="11778" max="11778" width="43.6640625" style="1" customWidth="1"/>
    <col min="11779" max="11782" width="12.6640625" style="1" customWidth="1"/>
    <col min="11783" max="12032" width="9.1640625" style="1"/>
    <col min="12033" max="12033" width="3" style="1" customWidth="1"/>
    <col min="12034" max="12034" width="43.6640625" style="1" customWidth="1"/>
    <col min="12035" max="12038" width="12.6640625" style="1" customWidth="1"/>
    <col min="12039" max="12288" width="9.1640625" style="1"/>
    <col min="12289" max="12289" width="3" style="1" customWidth="1"/>
    <col min="12290" max="12290" width="43.6640625" style="1" customWidth="1"/>
    <col min="12291" max="12294" width="12.6640625" style="1" customWidth="1"/>
    <col min="12295" max="12544" width="9.1640625" style="1"/>
    <col min="12545" max="12545" width="3" style="1" customWidth="1"/>
    <col min="12546" max="12546" width="43.6640625" style="1" customWidth="1"/>
    <col min="12547" max="12550" width="12.6640625" style="1" customWidth="1"/>
    <col min="12551" max="12800" width="9.1640625" style="1"/>
    <col min="12801" max="12801" width="3" style="1" customWidth="1"/>
    <col min="12802" max="12802" width="43.6640625" style="1" customWidth="1"/>
    <col min="12803" max="12806" width="12.6640625" style="1" customWidth="1"/>
    <col min="12807" max="13056" width="9.1640625" style="1"/>
    <col min="13057" max="13057" width="3" style="1" customWidth="1"/>
    <col min="13058" max="13058" width="43.6640625" style="1" customWidth="1"/>
    <col min="13059" max="13062" width="12.6640625" style="1" customWidth="1"/>
    <col min="13063" max="13312" width="9.1640625" style="1"/>
    <col min="13313" max="13313" width="3" style="1" customWidth="1"/>
    <col min="13314" max="13314" width="43.6640625" style="1" customWidth="1"/>
    <col min="13315" max="13318" width="12.6640625" style="1" customWidth="1"/>
    <col min="13319" max="13568" width="9.1640625" style="1"/>
    <col min="13569" max="13569" width="3" style="1" customWidth="1"/>
    <col min="13570" max="13570" width="43.6640625" style="1" customWidth="1"/>
    <col min="13571" max="13574" width="12.6640625" style="1" customWidth="1"/>
    <col min="13575" max="13824" width="9.1640625" style="1"/>
    <col min="13825" max="13825" width="3" style="1" customWidth="1"/>
    <col min="13826" max="13826" width="43.6640625" style="1" customWidth="1"/>
    <col min="13827" max="13830" width="12.6640625" style="1" customWidth="1"/>
    <col min="13831" max="14080" width="9.1640625" style="1"/>
    <col min="14081" max="14081" width="3" style="1" customWidth="1"/>
    <col min="14082" max="14082" width="43.6640625" style="1" customWidth="1"/>
    <col min="14083" max="14086" width="12.6640625" style="1" customWidth="1"/>
    <col min="14087" max="14336" width="9.1640625" style="1"/>
    <col min="14337" max="14337" width="3" style="1" customWidth="1"/>
    <col min="14338" max="14338" width="43.6640625" style="1" customWidth="1"/>
    <col min="14339" max="14342" width="12.6640625" style="1" customWidth="1"/>
    <col min="14343" max="14592" width="9.1640625" style="1"/>
    <col min="14593" max="14593" width="3" style="1" customWidth="1"/>
    <col min="14594" max="14594" width="43.6640625" style="1" customWidth="1"/>
    <col min="14595" max="14598" width="12.6640625" style="1" customWidth="1"/>
    <col min="14599" max="14848" width="9.1640625" style="1"/>
    <col min="14849" max="14849" width="3" style="1" customWidth="1"/>
    <col min="14850" max="14850" width="43.6640625" style="1" customWidth="1"/>
    <col min="14851" max="14854" width="12.6640625" style="1" customWidth="1"/>
    <col min="14855" max="15104" width="9.1640625" style="1"/>
    <col min="15105" max="15105" width="3" style="1" customWidth="1"/>
    <col min="15106" max="15106" width="43.6640625" style="1" customWidth="1"/>
    <col min="15107" max="15110" width="12.6640625" style="1" customWidth="1"/>
    <col min="15111" max="15360" width="9.1640625" style="1"/>
    <col min="15361" max="15361" width="3" style="1" customWidth="1"/>
    <col min="15362" max="15362" width="43.6640625" style="1" customWidth="1"/>
    <col min="15363" max="15366" width="12.6640625" style="1" customWidth="1"/>
    <col min="15367" max="15616" width="9.1640625" style="1"/>
    <col min="15617" max="15617" width="3" style="1" customWidth="1"/>
    <col min="15618" max="15618" width="43.6640625" style="1" customWidth="1"/>
    <col min="15619" max="15622" width="12.6640625" style="1" customWidth="1"/>
    <col min="15623" max="15872" width="9.1640625" style="1"/>
    <col min="15873" max="15873" width="3" style="1" customWidth="1"/>
    <col min="15874" max="15874" width="43.6640625" style="1" customWidth="1"/>
    <col min="15875" max="15878" width="12.6640625" style="1" customWidth="1"/>
    <col min="15879" max="16128" width="9.1640625" style="1"/>
    <col min="16129" max="16129" width="3" style="1" customWidth="1"/>
    <col min="16130" max="16130" width="43.6640625" style="1" customWidth="1"/>
    <col min="16131" max="16134" width="12.6640625" style="1" customWidth="1"/>
    <col min="16135" max="16384" width="9.1640625" style="1"/>
  </cols>
  <sheetData>
    <row r="1" spans="2:7" ht="23" x14ac:dyDescent="0.25">
      <c r="B1" s="77" t="s">
        <v>157</v>
      </c>
      <c r="C1" s="77"/>
      <c r="D1" s="77"/>
      <c r="E1" s="77"/>
      <c r="F1" s="77"/>
      <c r="G1" s="77"/>
    </row>
    <row r="2" spans="2:7" ht="18" x14ac:dyDescent="0.2">
      <c r="B2" s="78" t="s">
        <v>38</v>
      </c>
      <c r="C2" s="78"/>
      <c r="D2" s="78"/>
      <c r="E2" s="78"/>
      <c r="F2" s="78"/>
      <c r="G2" s="78"/>
    </row>
    <row r="3" spans="2:7" x14ac:dyDescent="0.2">
      <c r="B3" s="79" t="str">
        <f>'Operating Budgets'!B3:F3</f>
        <v>For the next 5 years</v>
      </c>
      <c r="C3" s="79"/>
      <c r="D3" s="79"/>
      <c r="E3" s="79"/>
      <c r="F3" s="79"/>
      <c r="G3" s="79"/>
    </row>
    <row r="6" spans="2:7" ht="18" x14ac:dyDescent="0.2">
      <c r="B6" s="78" t="s">
        <v>11</v>
      </c>
      <c r="C6" s="78"/>
      <c r="D6" s="78"/>
      <c r="E6" s="78"/>
      <c r="F6" s="78"/>
      <c r="G6" s="78"/>
    </row>
    <row r="7" spans="2:7" x14ac:dyDescent="0.2">
      <c r="B7" s="18"/>
    </row>
    <row r="8" spans="2:7" ht="16" thickBot="1" x14ac:dyDescent="0.25">
      <c r="B8" s="18"/>
      <c r="C8" s="12" t="s">
        <v>54</v>
      </c>
      <c r="D8" s="12" t="s">
        <v>55</v>
      </c>
      <c r="E8" s="12" t="s">
        <v>56</v>
      </c>
      <c r="F8" s="12" t="s">
        <v>57</v>
      </c>
      <c r="G8" s="12" t="s">
        <v>58</v>
      </c>
    </row>
    <row r="10" spans="2:7" x14ac:dyDescent="0.2">
      <c r="B10" s="16" t="s">
        <v>39</v>
      </c>
      <c r="C10" s="48">
        <v>0</v>
      </c>
      <c r="D10" s="48">
        <f>C26</f>
        <v>-112664.66957999999</v>
      </c>
      <c r="E10" s="48">
        <f>D28</f>
        <v>167694.47744839999</v>
      </c>
      <c r="F10" s="48">
        <f t="shared" ref="F10:G10" si="0">E28</f>
        <v>334137.91741736792</v>
      </c>
      <c r="G10" s="48">
        <f t="shared" si="0"/>
        <v>503727.33618571528</v>
      </c>
    </row>
    <row r="12" spans="2:7" x14ac:dyDescent="0.2">
      <c r="B12" s="1" t="s">
        <v>40</v>
      </c>
    </row>
    <row r="13" spans="2:7" x14ac:dyDescent="0.2">
      <c r="B13" s="5" t="s">
        <v>41</v>
      </c>
      <c r="C13" s="48">
        <f>'Operating Budgets'!C18</f>
        <v>891000</v>
      </c>
      <c r="D13" s="48">
        <f>'Operating Budgets'!D18</f>
        <v>908820</v>
      </c>
      <c r="E13" s="48">
        <f>'Operating Budgets'!E18</f>
        <v>926996.39999999991</v>
      </c>
      <c r="F13" s="48">
        <f>'Operating Budgets'!F18</f>
        <v>945536.32799999998</v>
      </c>
      <c r="G13" s="48">
        <f>'Operating Budgets'!G18</f>
        <v>964447.05455999996</v>
      </c>
    </row>
    <row r="14" spans="2:7" x14ac:dyDescent="0.2">
      <c r="B14" t="s">
        <v>98</v>
      </c>
      <c r="C14" s="48">
        <v>117000</v>
      </c>
      <c r="D14" s="48">
        <v>117000</v>
      </c>
      <c r="E14" s="48"/>
      <c r="F14" s="48"/>
      <c r="G14" s="48"/>
    </row>
    <row r="15" spans="2:7" x14ac:dyDescent="0.2">
      <c r="B15" s="1" t="s">
        <v>42</v>
      </c>
      <c r="C15" s="53">
        <f>SUM(C13:C14)</f>
        <v>1008000</v>
      </c>
      <c r="D15" s="53">
        <f t="shared" ref="D15:G15" si="1">SUM(D13:D14)</f>
        <v>1025820</v>
      </c>
      <c r="E15" s="53">
        <f t="shared" si="1"/>
        <v>926996.39999999991</v>
      </c>
      <c r="F15" s="53">
        <f t="shared" si="1"/>
        <v>945536.32799999998</v>
      </c>
      <c r="G15" s="53">
        <f t="shared" si="1"/>
        <v>964447.05455999996</v>
      </c>
    </row>
    <row r="17" spans="2:7" x14ac:dyDescent="0.2">
      <c r="B17" s="56" t="s">
        <v>122</v>
      </c>
    </row>
    <row r="18" spans="2:7" x14ac:dyDescent="0.2">
      <c r="B18" s="34" t="s">
        <v>123</v>
      </c>
      <c r="C18" s="47">
        <f>-'Operating Budgets'!C29</f>
        <v>-495990</v>
      </c>
      <c r="D18" s="47">
        <f>-'Operating Budgets'!D29</f>
        <v>-505909.80000000005</v>
      </c>
      <c r="E18" s="47">
        <f>-'Operating Budgets'!E29</f>
        <v>-516027.99599999998</v>
      </c>
      <c r="F18" s="47">
        <f>-'Operating Budgets'!F29</f>
        <v>-526348.55591999996</v>
      </c>
      <c r="G18" s="47">
        <f>-'Operating Budgets'!G29</f>
        <v>-536875.52703840006</v>
      </c>
    </row>
    <row r="19" spans="2:7" x14ac:dyDescent="0.2">
      <c r="B19" s="34" t="s">
        <v>124</v>
      </c>
      <c r="C19" s="47">
        <f>-'Operating Budgets'!C38</f>
        <v>-181700.48000000001</v>
      </c>
      <c r="D19" s="47">
        <f>-'Operating Budgets'!D38</f>
        <v>-185334.4896</v>
      </c>
      <c r="E19" s="47">
        <f>-'Operating Budgets'!E38</f>
        <v>-189041.17939200002</v>
      </c>
      <c r="F19" s="47">
        <f>-'Operating Budgets'!F38</f>
        <v>-192822.00297984004</v>
      </c>
      <c r="G19" s="47">
        <f>-'Operating Budgets'!G38</f>
        <v>-196678.44303943682</v>
      </c>
    </row>
    <row r="20" spans="2:7" x14ac:dyDescent="0.2">
      <c r="B20" s="4" t="s">
        <v>43</v>
      </c>
      <c r="C20" s="47">
        <f>-'Operating Budgets'!C57</f>
        <v>-11113.5</v>
      </c>
      <c r="D20" s="47">
        <f>-'Operating Budgets'!D57</f>
        <v>-11185.770000000004</v>
      </c>
      <c r="E20" s="47">
        <f>-'Operating Budgets'!E57</f>
        <v>-11259.485400000005</v>
      </c>
      <c r="F20" s="47">
        <f>-'Operating Budgets'!F57</f>
        <v>-11334.675107999996</v>
      </c>
      <c r="G20" s="47">
        <f>-'Operating Budgets'!G57</f>
        <v>-11411.368610160003</v>
      </c>
    </row>
    <row r="21" spans="2:7" x14ac:dyDescent="0.2">
      <c r="B21" s="4" t="s">
        <v>44</v>
      </c>
      <c r="C21" s="47">
        <f>-'Operating Budgets'!C88</f>
        <v>-10000</v>
      </c>
      <c r="D21" s="47">
        <f>-'Operating Budgets'!D88</f>
        <v>-10000</v>
      </c>
      <c r="E21" s="47">
        <f>-'Operating Budgets'!E88</f>
        <v>-10000</v>
      </c>
      <c r="F21" s="47">
        <f>-'Operating Budgets'!F88</f>
        <v>-10000</v>
      </c>
      <c r="G21" s="47">
        <f>-'Operating Budgets'!G88</f>
        <v>-10000</v>
      </c>
    </row>
    <row r="22" spans="2:7" x14ac:dyDescent="0.2">
      <c r="B22" s="5" t="s">
        <v>125</v>
      </c>
      <c r="C22" s="47">
        <f>'Operating Budgets'!C115</f>
        <v>-31860.689580000009</v>
      </c>
      <c r="D22" s="47">
        <f>'Operating Budgets'!D115</f>
        <v>-33030.79337159999</v>
      </c>
      <c r="E22" s="47">
        <f>'Operating Budgets'!E115</f>
        <v>-34224.299239031978</v>
      </c>
      <c r="F22" s="47">
        <f>'Operating Budgets'!F115</f>
        <v>-35441.675223812628</v>
      </c>
      <c r="G22" s="47">
        <f>'Operating Budgets'!G115</f>
        <v>-36683.39872828887</v>
      </c>
    </row>
    <row r="23" spans="2:7" x14ac:dyDescent="0.2">
      <c r="B23" s="34" t="s">
        <v>126</v>
      </c>
      <c r="C23" s="47">
        <v>-390000</v>
      </c>
      <c r="D23" s="47"/>
      <c r="E23" s="47"/>
      <c r="F23" s="47"/>
      <c r="G23" s="47"/>
    </row>
    <row r="24" spans="2:7" x14ac:dyDescent="0.2">
      <c r="B24" s="5" t="s">
        <v>45</v>
      </c>
      <c r="C24" s="53">
        <f>SUM(C18:C23)</f>
        <v>-1120664.66958</v>
      </c>
      <c r="D24" s="53">
        <f t="shared" ref="D24:G24" si="2">SUM(D18:D23)</f>
        <v>-745460.85297160002</v>
      </c>
      <c r="E24" s="53">
        <f t="shared" si="2"/>
        <v>-760552.96003103198</v>
      </c>
      <c r="F24" s="53">
        <f t="shared" si="2"/>
        <v>-775946.90923165262</v>
      </c>
      <c r="G24" s="53">
        <f t="shared" si="2"/>
        <v>-791648.73741628567</v>
      </c>
    </row>
    <row r="25" spans="2:7" x14ac:dyDescent="0.2">
      <c r="B25" s="5"/>
      <c r="C25" s="29"/>
      <c r="D25" s="29"/>
      <c r="E25" s="29"/>
      <c r="F25" s="29"/>
    </row>
    <row r="26" spans="2:7" x14ac:dyDescent="0.2">
      <c r="B26" s="31" t="s">
        <v>46</v>
      </c>
      <c r="C26" s="45">
        <f>SUM(C15,C24)</f>
        <v>-112664.66957999999</v>
      </c>
      <c r="D26" s="45">
        <f t="shared" ref="D26:G26" si="3">SUM(D15,D24)</f>
        <v>280359.14702839998</v>
      </c>
      <c r="E26" s="45">
        <f t="shared" si="3"/>
        <v>166443.43996896793</v>
      </c>
      <c r="F26" s="45">
        <f t="shared" si="3"/>
        <v>169589.41876834736</v>
      </c>
      <c r="G26" s="45">
        <f t="shared" si="3"/>
        <v>172798.31714371429</v>
      </c>
    </row>
    <row r="27" spans="2:7" x14ac:dyDescent="0.2">
      <c r="B27" s="5"/>
      <c r="C27" s="29"/>
      <c r="D27" s="29"/>
      <c r="E27" s="29"/>
      <c r="F27" s="29"/>
    </row>
    <row r="28" spans="2:7" x14ac:dyDescent="0.2">
      <c r="B28" s="57" t="s">
        <v>47</v>
      </c>
      <c r="C28" s="45">
        <f>C26</f>
        <v>-112664.66957999999</v>
      </c>
      <c r="D28" s="45">
        <f>SUM(D10,D26)</f>
        <v>167694.47744839999</v>
      </c>
      <c r="E28" s="45">
        <f>SUM(E10,E26)</f>
        <v>334137.91741736792</v>
      </c>
      <c r="F28" s="45">
        <f>SUM(F10,F26)</f>
        <v>503727.33618571528</v>
      </c>
      <c r="G28" s="45">
        <f>SUM(G10,G26)</f>
        <v>676525.65332942957</v>
      </c>
    </row>
    <row r="30" spans="2:7" ht="18" x14ac:dyDescent="0.2">
      <c r="B30" s="78" t="s">
        <v>48</v>
      </c>
      <c r="C30" s="78"/>
      <c r="D30" s="78"/>
      <c r="E30" s="78"/>
      <c r="F30" s="78"/>
      <c r="G30" s="78"/>
    </row>
    <row r="31" spans="2:7" x14ac:dyDescent="0.2">
      <c r="B31" s="58"/>
      <c r="C31" s="58"/>
      <c r="D31" s="58"/>
      <c r="E31" s="58"/>
    </row>
    <row r="32" spans="2:7" ht="16" thickBot="1" x14ac:dyDescent="0.25">
      <c r="B32" s="18"/>
      <c r="C32" s="12" t="s">
        <v>54</v>
      </c>
      <c r="D32" s="12" t="s">
        <v>55</v>
      </c>
      <c r="E32" s="12" t="s">
        <v>56</v>
      </c>
      <c r="F32" s="12" t="s">
        <v>57</v>
      </c>
      <c r="G32" s="12" t="s">
        <v>58</v>
      </c>
    </row>
    <row r="34" spans="2:10" x14ac:dyDescent="0.2">
      <c r="B34" s="2" t="s">
        <v>12</v>
      </c>
    </row>
    <row r="35" spans="2:10" x14ac:dyDescent="0.2">
      <c r="B35" s="2"/>
    </row>
    <row r="36" spans="2:10" x14ac:dyDescent="0.2">
      <c r="B36" s="5" t="s">
        <v>49</v>
      </c>
      <c r="C36" s="45">
        <f>C28</f>
        <v>-112664.66957999999</v>
      </c>
      <c r="D36" s="45">
        <f t="shared" ref="D36:G36" si="4">D28</f>
        <v>167694.47744839999</v>
      </c>
      <c r="E36" s="45">
        <f t="shared" si="4"/>
        <v>334137.91741736792</v>
      </c>
      <c r="F36" s="45">
        <f t="shared" si="4"/>
        <v>503727.33618571528</v>
      </c>
      <c r="G36" s="45">
        <f t="shared" si="4"/>
        <v>676525.65332942957</v>
      </c>
    </row>
    <row r="37" spans="2:10" x14ac:dyDescent="0.2">
      <c r="B37" s="31" t="s">
        <v>50</v>
      </c>
      <c r="C37" s="45">
        <f>C36</f>
        <v>-112664.66957999999</v>
      </c>
      <c r="D37" s="45">
        <f t="shared" ref="D37:G37" si="5">D36</f>
        <v>167694.47744839999</v>
      </c>
      <c r="E37" s="45">
        <f t="shared" si="5"/>
        <v>334137.91741736792</v>
      </c>
      <c r="F37" s="45">
        <f t="shared" si="5"/>
        <v>503727.33618571528</v>
      </c>
      <c r="G37" s="45">
        <f t="shared" si="5"/>
        <v>676525.65332942957</v>
      </c>
    </row>
    <row r="38" spans="2:10" customFormat="1" x14ac:dyDescent="0.2">
      <c r="C38" s="71"/>
      <c r="D38" s="71"/>
      <c r="E38" s="71"/>
      <c r="F38" s="71"/>
      <c r="G38" s="71"/>
    </row>
    <row r="39" spans="2:10" x14ac:dyDescent="0.2">
      <c r="B39" s="5" t="s">
        <v>127</v>
      </c>
      <c r="C39" s="47">
        <v>390000</v>
      </c>
      <c r="D39" s="47">
        <v>390000</v>
      </c>
      <c r="E39" s="47">
        <v>390000</v>
      </c>
      <c r="F39" s="47">
        <v>390000</v>
      </c>
      <c r="G39" s="47">
        <v>390000</v>
      </c>
    </row>
    <row r="40" spans="2:10" x14ac:dyDescent="0.2">
      <c r="B40" s="5" t="s">
        <v>51</v>
      </c>
      <c r="C40" s="47">
        <f>-78000</f>
        <v>-78000</v>
      </c>
      <c r="D40" s="47">
        <f>C40-78000</f>
        <v>-156000</v>
      </c>
      <c r="E40" s="47">
        <f t="shared" ref="E40:G40" si="6">D40-78000</f>
        <v>-234000</v>
      </c>
      <c r="F40" s="47">
        <f t="shared" si="6"/>
        <v>-312000</v>
      </c>
      <c r="G40" s="47">
        <f t="shared" si="6"/>
        <v>-390000</v>
      </c>
    </row>
    <row r="41" spans="2:10" x14ac:dyDescent="0.2">
      <c r="B41" s="59" t="s">
        <v>128</v>
      </c>
      <c r="C41" s="47">
        <f>SUM(C39:C40)</f>
        <v>312000</v>
      </c>
      <c r="D41" s="47">
        <f t="shared" ref="D41:G41" si="7">SUM(D39:D40)</f>
        <v>234000</v>
      </c>
      <c r="E41" s="47">
        <f t="shared" si="7"/>
        <v>156000</v>
      </c>
      <c r="F41" s="47">
        <f t="shared" si="7"/>
        <v>78000</v>
      </c>
      <c r="G41" s="47">
        <f t="shared" si="7"/>
        <v>0</v>
      </c>
    </row>
    <row r="42" spans="2:10" x14ac:dyDescent="0.2">
      <c r="B42" s="59"/>
      <c r="C42" s="47"/>
      <c r="D42" s="47"/>
      <c r="E42" s="47"/>
      <c r="F42" s="47"/>
      <c r="G42" s="47"/>
    </row>
    <row r="43" spans="2:10" x14ac:dyDescent="0.2">
      <c r="B43" s="33" t="s">
        <v>52</v>
      </c>
      <c r="C43" s="47">
        <f>SUM(C37,C41)</f>
        <v>199335.33042000001</v>
      </c>
      <c r="D43" s="47">
        <f t="shared" ref="D43:G43" si="8">SUM(D37,D41)</f>
        <v>401694.47744839999</v>
      </c>
      <c r="E43" s="47">
        <f t="shared" si="8"/>
        <v>490137.91741736792</v>
      </c>
      <c r="F43" s="47">
        <f t="shared" si="8"/>
        <v>581727.33618571528</v>
      </c>
      <c r="G43" s="47">
        <f t="shared" si="8"/>
        <v>676525.65332942957</v>
      </c>
    </row>
    <row r="44" spans="2:10" x14ac:dyDescent="0.2">
      <c r="E44" s="32"/>
      <c r="J44" s="1" t="s">
        <v>155</v>
      </c>
    </row>
    <row r="45" spans="2:10" x14ac:dyDescent="0.2">
      <c r="B45" s="2" t="s">
        <v>13</v>
      </c>
      <c r="E45" s="32"/>
    </row>
    <row r="46" spans="2:10" x14ac:dyDescent="0.2">
      <c r="B46" s="5"/>
      <c r="E46" s="32"/>
    </row>
    <row r="47" spans="2:10" x14ac:dyDescent="0.2">
      <c r="B47" s="33" t="s">
        <v>53</v>
      </c>
      <c r="C47" s="1">
        <f>0</f>
        <v>0</v>
      </c>
      <c r="D47" s="1">
        <f>0</f>
        <v>0</v>
      </c>
      <c r="E47" s="1">
        <f>0</f>
        <v>0</v>
      </c>
      <c r="F47" s="1">
        <f>0</f>
        <v>0</v>
      </c>
      <c r="G47" s="1">
        <f>0</f>
        <v>0</v>
      </c>
    </row>
    <row r="48" spans="2:10" x14ac:dyDescent="0.2">
      <c r="E48" s="32"/>
    </row>
    <row r="49" spans="2:7" x14ac:dyDescent="0.2">
      <c r="B49" t="s">
        <v>156</v>
      </c>
      <c r="C49" s="47">
        <f>390000*0.3</f>
        <v>117000</v>
      </c>
      <c r="D49" s="47">
        <f>390000*0.6</f>
        <v>234000</v>
      </c>
      <c r="E49" s="74">
        <f>390000*0.6</f>
        <v>234000</v>
      </c>
      <c r="F49" s="74">
        <f t="shared" ref="F49:G49" si="9">390000*0.6</f>
        <v>234000</v>
      </c>
      <c r="G49" s="74">
        <f t="shared" si="9"/>
        <v>234000</v>
      </c>
    </row>
    <row r="50" spans="2:7" x14ac:dyDescent="0.2">
      <c r="B50" s="51" t="s">
        <v>129</v>
      </c>
      <c r="C50" s="47">
        <f>'Operating Budgets'!C117</f>
        <v>82335.330420000013</v>
      </c>
      <c r="D50" s="47">
        <f>SUM('Operating Budgets'!C117:D117)</f>
        <v>167694.47744839999</v>
      </c>
      <c r="E50" s="47">
        <f>SUM('Operating Budgets'!C117:E117)</f>
        <v>256137.91741736792</v>
      </c>
      <c r="F50" s="47">
        <f>SUM('Operating Budgets'!C117:F117)</f>
        <v>347727.33618571522</v>
      </c>
      <c r="G50" s="47">
        <f>SUM('Operating Budgets'!C117:G117)</f>
        <v>442525.65332942945</v>
      </c>
    </row>
    <row r="51" spans="2:7" x14ac:dyDescent="0.2">
      <c r="B51" s="33" t="s">
        <v>53</v>
      </c>
      <c r="C51" s="47">
        <f>SUM(C47,C49:C50)</f>
        <v>199335.33042000001</v>
      </c>
      <c r="D51" s="47">
        <f t="shared" ref="D51:G51" si="10">SUM(D47,D49:D50)</f>
        <v>401694.47744839999</v>
      </c>
      <c r="E51" s="47">
        <f t="shared" si="10"/>
        <v>490137.91741736792</v>
      </c>
      <c r="F51" s="47">
        <f t="shared" si="10"/>
        <v>581727.33618571516</v>
      </c>
      <c r="G51" s="47">
        <f t="shared" si="10"/>
        <v>676525.65332942945</v>
      </c>
    </row>
    <row r="52" spans="2:7" x14ac:dyDescent="0.2">
      <c r="B52"/>
      <c r="E52" s="23"/>
    </row>
    <row r="53" spans="2:7" x14ac:dyDescent="0.2">
      <c r="B53"/>
      <c r="E53"/>
    </row>
    <row r="54" spans="2:7" x14ac:dyDescent="0.2">
      <c r="B54"/>
      <c r="E54"/>
    </row>
    <row r="55" spans="2:7" x14ac:dyDescent="0.2">
      <c r="E55"/>
    </row>
    <row r="56" spans="2:7" x14ac:dyDescent="0.2">
      <c r="E56"/>
    </row>
  </sheetData>
  <mergeCells count="5">
    <mergeCell ref="B6:G6"/>
    <mergeCell ref="B30:G30"/>
    <mergeCell ref="B1:G1"/>
    <mergeCell ref="B2:G2"/>
    <mergeCell ref="B3:G3"/>
  </mergeCells>
  <pageMargins left="0.75" right="0.75" top="1" bottom="1" header="0.5" footer="0.5"/>
  <pageSetup orientation="portrait" r:id="rId1"/>
  <headerFooter alignWithMargins="0"/>
  <rowBreaks count="1" manualBreakCount="1">
    <brk id="2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3EFF-6670-BB4A-977A-952899709C17}">
  <dimension ref="B1:H52"/>
  <sheetViews>
    <sheetView topLeftCell="A4" zoomScaleNormal="100" workbookViewId="0">
      <selection activeCell="K37" sqref="K37"/>
    </sheetView>
  </sheetViews>
  <sheetFormatPr baseColWidth="10" defaultRowHeight="15" x14ac:dyDescent="0.2"/>
  <cols>
    <col min="2" max="2" width="38.1640625" customWidth="1"/>
    <col min="3" max="3" width="12.6640625" bestFit="1" customWidth="1"/>
    <col min="4" max="4" width="12.6640625" customWidth="1"/>
    <col min="5" max="5" width="12.83203125" customWidth="1"/>
    <col min="6" max="6" width="14.5" bestFit="1" customWidth="1"/>
    <col min="7" max="7" width="13" customWidth="1"/>
    <col min="8" max="8" width="13.33203125" customWidth="1"/>
  </cols>
  <sheetData>
    <row r="1" spans="2:8" ht="23" x14ac:dyDescent="0.25">
      <c r="B1" s="80" t="s">
        <v>157</v>
      </c>
      <c r="C1" s="80"/>
      <c r="D1" s="80"/>
      <c r="E1" s="80"/>
      <c r="F1" s="80"/>
      <c r="G1" s="80"/>
      <c r="H1" s="80"/>
    </row>
    <row r="2" spans="2:8" ht="18" x14ac:dyDescent="0.2">
      <c r="B2" s="81" t="s">
        <v>152</v>
      </c>
      <c r="C2" s="81"/>
      <c r="D2" s="81"/>
      <c r="E2" s="81"/>
      <c r="F2" s="81"/>
      <c r="G2" s="81"/>
      <c r="H2" s="81"/>
    </row>
    <row r="3" spans="2:8" ht="18" x14ac:dyDescent="0.2">
      <c r="B3" s="81" t="s">
        <v>37</v>
      </c>
      <c r="C3" s="81"/>
      <c r="D3" s="81"/>
      <c r="E3" s="81"/>
      <c r="F3" s="81"/>
      <c r="G3" s="81"/>
      <c r="H3" s="81"/>
    </row>
    <row r="4" spans="2:8" x14ac:dyDescent="0.2">
      <c r="B4" s="83"/>
      <c r="C4" s="83"/>
      <c r="D4" s="83"/>
      <c r="E4" s="83"/>
      <c r="F4" s="1"/>
      <c r="G4" s="1"/>
    </row>
    <row r="5" spans="2:8" x14ac:dyDescent="0.2">
      <c r="B5" s="11"/>
      <c r="C5" s="1"/>
      <c r="D5" s="1"/>
      <c r="E5" s="1"/>
      <c r="F5" s="1"/>
      <c r="G5" s="1"/>
    </row>
    <row r="6" spans="2:8" x14ac:dyDescent="0.2">
      <c r="B6" s="60"/>
      <c r="C6" s="60" t="s">
        <v>133</v>
      </c>
      <c r="D6" s="60" t="s">
        <v>54</v>
      </c>
      <c r="E6" s="60" t="s">
        <v>55</v>
      </c>
      <c r="F6" s="60" t="s">
        <v>56</v>
      </c>
      <c r="G6" s="60" t="s">
        <v>57</v>
      </c>
      <c r="H6" s="60" t="s">
        <v>58</v>
      </c>
    </row>
    <row r="7" spans="2:8" x14ac:dyDescent="0.2">
      <c r="B7" s="11"/>
      <c r="D7" s="28"/>
      <c r="E7" s="28"/>
      <c r="F7" s="28"/>
      <c r="G7" s="28"/>
      <c r="H7" s="28"/>
    </row>
    <row r="8" spans="2:8" x14ac:dyDescent="0.2">
      <c r="B8" s="11" t="s">
        <v>134</v>
      </c>
      <c r="C8" s="71">
        <f>Assumptions!C49</f>
        <v>390000</v>
      </c>
      <c r="D8" s="28"/>
      <c r="E8" s="28"/>
      <c r="F8" s="28"/>
      <c r="G8" s="28"/>
      <c r="H8" s="28"/>
    </row>
    <row r="9" spans="2:8" x14ac:dyDescent="0.2">
      <c r="B9" s="11" t="s">
        <v>104</v>
      </c>
      <c r="D9" s="45">
        <f>'Operating Budgets'!C98</f>
        <v>4950</v>
      </c>
      <c r="E9" s="45">
        <f>'Operating Budgets'!D98</f>
        <v>4950</v>
      </c>
      <c r="F9" s="45">
        <f>'Operating Budgets'!E98</f>
        <v>4950</v>
      </c>
      <c r="G9" s="45">
        <f>'Operating Budgets'!F98</f>
        <v>4950</v>
      </c>
      <c r="H9" s="45">
        <f>'Operating Budgets'!G98</f>
        <v>4950</v>
      </c>
    </row>
    <row r="10" spans="2:8" x14ac:dyDescent="0.2">
      <c r="B10" s="35" t="s">
        <v>105</v>
      </c>
      <c r="D10" s="45">
        <f>'Operating Budgets'!C99</f>
        <v>180</v>
      </c>
      <c r="E10" s="45">
        <f>'Operating Budgets'!D99</f>
        <v>183.6</v>
      </c>
      <c r="F10" s="45">
        <f>'Operating Budgets'!E99</f>
        <v>187.27199999999999</v>
      </c>
      <c r="G10" s="45">
        <f>'Operating Budgets'!F99</f>
        <v>191.01743999999999</v>
      </c>
      <c r="H10" s="45">
        <f>'Operating Budgets'!G99</f>
        <v>194.8377888</v>
      </c>
    </row>
    <row r="11" spans="2:8" x14ac:dyDescent="0.2">
      <c r="B11" s="35" t="s">
        <v>106</v>
      </c>
      <c r="D11" s="45">
        <f>'Operating Budgets'!C100</f>
        <v>891000</v>
      </c>
      <c r="E11" s="45">
        <f>'Operating Budgets'!D100</f>
        <v>908820</v>
      </c>
      <c r="F11" s="45">
        <f>'Operating Budgets'!E100</f>
        <v>926996.39999999991</v>
      </c>
      <c r="G11" s="45">
        <f>'Operating Budgets'!F100</f>
        <v>945536.32799999998</v>
      </c>
      <c r="H11" s="45">
        <f>'Operating Budgets'!G100</f>
        <v>964447.05455999996</v>
      </c>
    </row>
    <row r="12" spans="2:8" x14ac:dyDescent="0.2">
      <c r="B12" s="41" t="s">
        <v>107</v>
      </c>
      <c r="D12" s="45">
        <f>'Operating Budgets'!C101</f>
        <v>0</v>
      </c>
      <c r="E12" s="45">
        <f>'Operating Budgets'!D101</f>
        <v>0</v>
      </c>
      <c r="F12" s="45">
        <f>'Operating Budgets'!E101</f>
        <v>0</v>
      </c>
      <c r="G12" s="45">
        <f>'Operating Budgets'!F101</f>
        <v>0</v>
      </c>
      <c r="H12" s="45">
        <f>'Operating Budgets'!G101</f>
        <v>0</v>
      </c>
    </row>
    <row r="13" spans="2:8" x14ac:dyDescent="0.2">
      <c r="B13" s="35" t="s">
        <v>108</v>
      </c>
      <c r="D13" s="45">
        <f>'Operating Budgets'!C102</f>
        <v>-495990</v>
      </c>
      <c r="E13" s="45">
        <f>'Operating Budgets'!D102</f>
        <v>-505909.80000000005</v>
      </c>
      <c r="F13" s="45">
        <f>'Operating Budgets'!E102</f>
        <v>-516027.99599999998</v>
      </c>
      <c r="G13" s="45">
        <f>'Operating Budgets'!F102</f>
        <v>-526348.55591999996</v>
      </c>
      <c r="H13" s="45">
        <f>'Operating Budgets'!G102</f>
        <v>-536875.52703840006</v>
      </c>
    </row>
    <row r="14" spans="2:8" x14ac:dyDescent="0.2">
      <c r="B14" s="35" t="s">
        <v>109</v>
      </c>
      <c r="D14" s="45">
        <f>'Operating Budgets'!C103</f>
        <v>-3613.5</v>
      </c>
      <c r="E14" s="45">
        <f>'Operating Budgets'!D103</f>
        <v>-3685.77</v>
      </c>
      <c r="F14" s="45">
        <f>'Operating Budgets'!E103</f>
        <v>-3759.4854</v>
      </c>
      <c r="G14" s="45">
        <f>'Operating Budgets'!F103</f>
        <v>-3834.6751079999999</v>
      </c>
      <c r="H14" s="45">
        <f>'Operating Budgets'!G103</f>
        <v>-3911.3686101600001</v>
      </c>
    </row>
    <row r="15" spans="2:8" x14ac:dyDescent="0.2">
      <c r="B15" s="41" t="s">
        <v>110</v>
      </c>
      <c r="D15" s="45">
        <f>'Operating Budgets'!C104</f>
        <v>0</v>
      </c>
      <c r="E15" s="45">
        <f>'Operating Budgets'!D104</f>
        <v>0</v>
      </c>
      <c r="F15" s="45">
        <f>'Operating Budgets'!E104</f>
        <v>0</v>
      </c>
      <c r="G15" s="45">
        <f>'Operating Budgets'!F104</f>
        <v>0</v>
      </c>
      <c r="H15" s="45">
        <f>'Operating Budgets'!G104</f>
        <v>0</v>
      </c>
    </row>
    <row r="16" spans="2:8" x14ac:dyDescent="0.2">
      <c r="B16" s="35" t="s">
        <v>111</v>
      </c>
      <c r="D16" s="45">
        <f>'Operating Budgets'!C105</f>
        <v>-181700.48000000001</v>
      </c>
      <c r="E16" s="45">
        <f>'Operating Budgets'!D105</f>
        <v>-185334.4896</v>
      </c>
      <c r="F16" s="45">
        <f>'Operating Budgets'!E105</f>
        <v>-189041.17939200002</v>
      </c>
      <c r="G16" s="45">
        <f>'Operating Budgets'!F105</f>
        <v>-192822.00297984004</v>
      </c>
      <c r="H16" s="45">
        <f>'Operating Budgets'!G105</f>
        <v>-196678.44303943682</v>
      </c>
    </row>
    <row r="17" spans="2:8" x14ac:dyDescent="0.2">
      <c r="B17" s="11" t="s">
        <v>112</v>
      </c>
      <c r="D17" s="45">
        <f>'Operating Budgets'!C106</f>
        <v>-7500</v>
      </c>
      <c r="E17" s="45">
        <f>'Operating Budgets'!D106</f>
        <v>-7500</v>
      </c>
      <c r="F17" s="45">
        <f>'Operating Budgets'!E106</f>
        <v>-7500</v>
      </c>
      <c r="G17" s="45">
        <f>'Operating Budgets'!F106</f>
        <v>-7500</v>
      </c>
      <c r="H17" s="45">
        <f>'Operating Budgets'!G106</f>
        <v>-7500</v>
      </c>
    </row>
    <row r="18" spans="2:8" x14ac:dyDescent="0.2">
      <c r="B18" s="35" t="s">
        <v>9</v>
      </c>
      <c r="D18" s="45">
        <f>'Operating Budgets'!C107</f>
        <v>-78000</v>
      </c>
      <c r="E18" s="45">
        <f>'Operating Budgets'!D107</f>
        <v>-78000</v>
      </c>
      <c r="F18" s="45">
        <f>'Operating Budgets'!E107</f>
        <v>-78000</v>
      </c>
      <c r="G18" s="45">
        <f>'Operating Budgets'!F107</f>
        <v>-78000</v>
      </c>
      <c r="H18" s="45">
        <f>'Operating Budgets'!G107</f>
        <v>-78000</v>
      </c>
    </row>
    <row r="19" spans="2:8" x14ac:dyDescent="0.2">
      <c r="B19" s="11" t="s">
        <v>113</v>
      </c>
      <c r="D19" s="45">
        <f>'Operating Budgets'!C108</f>
        <v>-766803.98</v>
      </c>
      <c r="E19" s="45">
        <f>'Operating Budgets'!D108</f>
        <v>-780430.05960000004</v>
      </c>
      <c r="F19" s="45">
        <f>'Operating Budgets'!E108</f>
        <v>-794328.66079200001</v>
      </c>
      <c r="G19" s="45">
        <f>'Operating Budgets'!F108</f>
        <v>-808505.23400784004</v>
      </c>
      <c r="H19" s="45">
        <f>'Operating Budgets'!G108</f>
        <v>-822965.33868799685</v>
      </c>
    </row>
    <row r="20" spans="2:8" x14ac:dyDescent="0.2">
      <c r="B20" s="11"/>
      <c r="D20" s="45">
        <f>'Operating Budgets'!C109</f>
        <v>0</v>
      </c>
      <c r="E20" s="45">
        <f>'Operating Budgets'!D109</f>
        <v>0</v>
      </c>
      <c r="F20" s="45">
        <f>'Operating Budgets'!E109</f>
        <v>0</v>
      </c>
      <c r="G20" s="45">
        <f>'Operating Budgets'!F109</f>
        <v>0</v>
      </c>
      <c r="H20" s="45">
        <f>'Operating Budgets'!G109</f>
        <v>0</v>
      </c>
    </row>
    <row r="21" spans="2:8" x14ac:dyDescent="0.2">
      <c r="B21" s="55" t="s">
        <v>114</v>
      </c>
      <c r="D21" s="45">
        <f>'Operating Budgets'!C110</f>
        <v>124196.02000000002</v>
      </c>
      <c r="E21" s="45">
        <f>'Operating Budgets'!D110</f>
        <v>128389.94039999996</v>
      </c>
      <c r="F21" s="45">
        <f>'Operating Budgets'!E110</f>
        <v>132667.7392079999</v>
      </c>
      <c r="G21" s="45">
        <f>'Operating Budgets'!F110</f>
        <v>137031.09399215993</v>
      </c>
      <c r="H21" s="45">
        <f>'Operating Budgets'!G110</f>
        <v>141481.71587200311</v>
      </c>
    </row>
    <row r="22" spans="2:8" x14ac:dyDescent="0.2">
      <c r="B22" s="41" t="s">
        <v>115</v>
      </c>
      <c r="D22" s="45">
        <f>'Operating Budgets'!C111</f>
        <v>0</v>
      </c>
      <c r="E22" s="45">
        <f>'Operating Budgets'!D111</f>
        <v>0</v>
      </c>
      <c r="F22" s="45">
        <f>'Operating Budgets'!E111</f>
        <v>0</v>
      </c>
      <c r="G22" s="45">
        <f>'Operating Budgets'!F111</f>
        <v>0</v>
      </c>
      <c r="H22" s="45">
        <f>'Operating Budgets'!G111</f>
        <v>0</v>
      </c>
    </row>
    <row r="23" spans="2:8" x14ac:dyDescent="0.2">
      <c r="B23" s="11" t="s">
        <v>96</v>
      </c>
      <c r="D23" s="45">
        <f>'Operating Budgets'!C112</f>
        <v>-10000</v>
      </c>
      <c r="E23" s="45">
        <f>'Operating Budgets'!D112</f>
        <v>-10000</v>
      </c>
      <c r="F23" s="45">
        <f>'Operating Budgets'!E112</f>
        <v>-10000</v>
      </c>
      <c r="G23" s="45">
        <f>'Operating Budgets'!F112</f>
        <v>-10000</v>
      </c>
      <c r="H23" s="45">
        <f>'Operating Budgets'!G112</f>
        <v>-10000</v>
      </c>
    </row>
    <row r="24" spans="2:8" x14ac:dyDescent="0.2">
      <c r="B24" s="11"/>
      <c r="D24" s="45">
        <f>'Operating Budgets'!C113</f>
        <v>0</v>
      </c>
      <c r="E24" s="45">
        <f>'Operating Budgets'!D113</f>
        <v>0</v>
      </c>
      <c r="F24" s="45">
        <f>'Operating Budgets'!E113</f>
        <v>0</v>
      </c>
      <c r="G24" s="45">
        <f>'Operating Budgets'!F113</f>
        <v>0</v>
      </c>
      <c r="H24" s="45">
        <f>'Operating Budgets'!G113</f>
        <v>0</v>
      </c>
    </row>
    <row r="25" spans="2:8" x14ac:dyDescent="0.2">
      <c r="B25" s="55" t="s">
        <v>116</v>
      </c>
      <c r="D25" s="45">
        <f>'Operating Budgets'!C114</f>
        <v>114196.02000000002</v>
      </c>
      <c r="E25" s="45">
        <f>'Operating Budgets'!D114</f>
        <v>118389.94039999996</v>
      </c>
      <c r="F25" s="45">
        <f>'Operating Budgets'!E114</f>
        <v>122667.7392079999</v>
      </c>
      <c r="G25" s="45">
        <f>'Operating Budgets'!F114</f>
        <v>127031.09399215993</v>
      </c>
      <c r="H25" s="45">
        <f>'Operating Budgets'!G114</f>
        <v>131481.71587200311</v>
      </c>
    </row>
    <row r="26" spans="2:8" x14ac:dyDescent="0.2">
      <c r="B26" s="41" t="s">
        <v>117</v>
      </c>
      <c r="D26" s="45">
        <f>'Operating Budgets'!C115</f>
        <v>-31860.689580000009</v>
      </c>
      <c r="E26" s="45">
        <f>'Operating Budgets'!D115</f>
        <v>-33030.79337159999</v>
      </c>
      <c r="F26" s="45">
        <f>'Operating Budgets'!E115</f>
        <v>-34224.299239031978</v>
      </c>
      <c r="G26" s="45">
        <f>'Operating Budgets'!F115</f>
        <v>-35441.675223812628</v>
      </c>
      <c r="H26" s="45">
        <f>'Operating Budgets'!G115</f>
        <v>-36683.39872828887</v>
      </c>
    </row>
    <row r="27" spans="2:8" x14ac:dyDescent="0.2">
      <c r="B27" s="11"/>
      <c r="D27" s="45">
        <f>'Operating Budgets'!C116</f>
        <v>0</v>
      </c>
      <c r="E27" s="45">
        <f>'Operating Budgets'!D116</f>
        <v>0</v>
      </c>
      <c r="F27" s="45">
        <f>'Operating Budgets'!E116</f>
        <v>0</v>
      </c>
      <c r="G27" s="45">
        <f>'Operating Budgets'!F116</f>
        <v>0</v>
      </c>
      <c r="H27" s="45">
        <f>'Operating Budgets'!G116</f>
        <v>0</v>
      </c>
    </row>
    <row r="28" spans="2:8" x14ac:dyDescent="0.2">
      <c r="B28" s="55" t="s">
        <v>118</v>
      </c>
      <c r="D28" s="45">
        <f>'Operating Budgets'!C117</f>
        <v>82335.330420000013</v>
      </c>
      <c r="E28" s="45">
        <f>'Operating Budgets'!D117</f>
        <v>85359.147028399981</v>
      </c>
      <c r="F28" s="45">
        <f>'Operating Budgets'!E117</f>
        <v>88443.439968967927</v>
      </c>
      <c r="G28" s="45">
        <f>'Operating Budgets'!F117</f>
        <v>91589.418768347299</v>
      </c>
      <c r="H28" s="45">
        <f>'Operating Budgets'!G117</f>
        <v>94798.317143714245</v>
      </c>
    </row>
    <row r="30" spans="2:8" x14ac:dyDescent="0.2">
      <c r="B30" s="61" t="s">
        <v>135</v>
      </c>
    </row>
    <row r="31" spans="2:8" x14ac:dyDescent="0.2">
      <c r="B31" s="62" t="s">
        <v>136</v>
      </c>
    </row>
    <row r="33" spans="2:8" x14ac:dyDescent="0.2">
      <c r="C33" s="60" t="s">
        <v>133</v>
      </c>
      <c r="D33" s="60" t="s">
        <v>54</v>
      </c>
      <c r="E33" s="60" t="s">
        <v>55</v>
      </c>
      <c r="F33" s="60" t="s">
        <v>56</v>
      </c>
      <c r="G33" s="60" t="s">
        <v>57</v>
      </c>
      <c r="H33" s="60" t="s">
        <v>58</v>
      </c>
    </row>
    <row r="34" spans="2:8" x14ac:dyDescent="0.2">
      <c r="B34" s="63" t="s">
        <v>137</v>
      </c>
      <c r="C34" s="72">
        <f>-C8</f>
        <v>-390000</v>
      </c>
      <c r="D34" s="72">
        <f>D28-D18</f>
        <v>160335.33042000001</v>
      </c>
      <c r="E34" s="72">
        <f t="shared" ref="E34:H34" si="0">E28-E18</f>
        <v>163359.14702839998</v>
      </c>
      <c r="F34" s="72">
        <f t="shared" si="0"/>
        <v>166443.43996896793</v>
      </c>
      <c r="G34" s="72">
        <f t="shared" si="0"/>
        <v>169589.4187683473</v>
      </c>
      <c r="H34" s="72">
        <f t="shared" si="0"/>
        <v>172798.31714371423</v>
      </c>
    </row>
    <row r="36" spans="2:8" ht="16" x14ac:dyDescent="0.2">
      <c r="B36" s="64" t="s">
        <v>138</v>
      </c>
      <c r="C36" s="68">
        <f>Assumptions!C13</f>
        <v>0.02</v>
      </c>
    </row>
    <row r="37" spans="2:8" x14ac:dyDescent="0.2">
      <c r="B37" s="65" t="s">
        <v>139</v>
      </c>
      <c r="C37" s="68">
        <f>Assumptions!C61</f>
        <v>8.5000000000000006E-2</v>
      </c>
    </row>
    <row r="40" spans="2:8" ht="32" x14ac:dyDescent="0.2">
      <c r="B40" s="70" t="s">
        <v>159</v>
      </c>
      <c r="C40" s="85">
        <f>0.25*C8</f>
        <v>97500</v>
      </c>
      <c r="D40" s="85"/>
    </row>
    <row r="42" spans="2:8" x14ac:dyDescent="0.2">
      <c r="B42" t="s">
        <v>148</v>
      </c>
      <c r="D42" s="69"/>
    </row>
    <row r="43" spans="2:8" x14ac:dyDescent="0.2">
      <c r="C43">
        <f>1</f>
        <v>1</v>
      </c>
      <c r="D43">
        <f>C43+1</f>
        <v>2</v>
      </c>
      <c r="E43">
        <f t="shared" ref="E43:G43" si="1">D43+1</f>
        <v>3</v>
      </c>
      <c r="F43">
        <f t="shared" si="1"/>
        <v>4</v>
      </c>
      <c r="G43">
        <f t="shared" si="1"/>
        <v>5</v>
      </c>
    </row>
    <row r="44" spans="2:8" x14ac:dyDescent="0.2">
      <c r="C44" s="60" t="s">
        <v>54</v>
      </c>
      <c r="D44" s="60" t="s">
        <v>55</v>
      </c>
      <c r="E44" s="60" t="s">
        <v>56</v>
      </c>
      <c r="F44" s="60" t="s">
        <v>57</v>
      </c>
      <c r="G44" s="60" t="s">
        <v>58</v>
      </c>
    </row>
    <row r="45" spans="2:8" ht="16" x14ac:dyDescent="0.2">
      <c r="B45" s="70" t="s">
        <v>149</v>
      </c>
      <c r="C45" s="73">
        <f>D34/(1+$C$37)^C43</f>
        <v>147774.49808294931</v>
      </c>
      <c r="D45" s="73">
        <f>E34/(1+$C$37)^D43</f>
        <v>138766.29108997853</v>
      </c>
      <c r="E45" s="73">
        <f>F34/(1+$C$37)^E43</f>
        <v>130309.91708237391</v>
      </c>
      <c r="F45" s="73">
        <f>G34/(1+$C$37)^F43</f>
        <v>122371.36346718841</v>
      </c>
      <c r="G45" s="73">
        <f>(H34+C40)/(1+$C$37)^G43</f>
        <v>179760.6587389934</v>
      </c>
    </row>
    <row r="47" spans="2:8" x14ac:dyDescent="0.2">
      <c r="B47" t="s">
        <v>150</v>
      </c>
    </row>
    <row r="48" spans="2:8" ht="18" x14ac:dyDescent="0.25">
      <c r="B48" s="62" t="s">
        <v>151</v>
      </c>
    </row>
    <row r="49" spans="2:6" x14ac:dyDescent="0.2">
      <c r="B49" s="62"/>
    </row>
    <row r="50" spans="2:6" x14ac:dyDescent="0.2">
      <c r="B50" s="86" t="s">
        <v>152</v>
      </c>
      <c r="C50" s="86"/>
      <c r="D50" s="85">
        <f>SUM(C45:G45)-C8</f>
        <v>328982.72846148349</v>
      </c>
      <c r="E50" s="85"/>
    </row>
    <row r="52" spans="2:6" x14ac:dyDescent="0.2">
      <c r="B52" s="86" t="s">
        <v>152</v>
      </c>
      <c r="C52" s="86"/>
      <c r="D52" s="87">
        <f>NPV(C37,D34,E34,F34,G34,H34+C40)+C34</f>
        <v>328982.72846148361</v>
      </c>
      <c r="E52" s="87"/>
      <c r="F52" t="s">
        <v>153</v>
      </c>
    </row>
  </sheetData>
  <mergeCells count="9">
    <mergeCell ref="B50:C50"/>
    <mergeCell ref="D50:E50"/>
    <mergeCell ref="B52:C52"/>
    <mergeCell ref="D52:E52"/>
    <mergeCell ref="B1:H1"/>
    <mergeCell ref="B2:H2"/>
    <mergeCell ref="B3:H3"/>
    <mergeCell ref="B4:E4"/>
    <mergeCell ref="C40:D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Assumptions</vt:lpstr>
      <vt:lpstr>Operating Budgets</vt:lpstr>
      <vt:lpstr>Financial Budgets</vt:lpstr>
      <vt:lpstr>NPV</vt:lpstr>
      <vt:lpstr>hours</vt:lpstr>
      <vt:lpstr>price</vt:lpstr>
      <vt:lpstr>sales</vt:lpstr>
      <vt:lpstr>units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Torres, Guillermo</dc:creator>
  <cp:lastModifiedBy>Alexandre LY</cp:lastModifiedBy>
  <dcterms:created xsi:type="dcterms:W3CDTF">2024-12-09T20:12:53Z</dcterms:created>
  <dcterms:modified xsi:type="dcterms:W3CDTF">2025-12-09T23:58:08Z</dcterms:modified>
</cp:coreProperties>
</file>