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comments4.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tables/table2.xml" ContentType="application/vnd.openxmlformats-officedocument.spreadsheetml.table+xml"/>
  <Override PartName="/xl/drawings/drawing10.xml" ContentType="application/vnd.openxmlformats-officedocument.drawing+xml"/>
  <Override PartName="/xl/comments6.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updateLinks="never" codeName="ThisWorkbook" defaultThemeVersion="166925"/>
  <mc:AlternateContent xmlns:mc="http://schemas.openxmlformats.org/markup-compatibility/2006">
    <mc:Choice Requires="x15">
      <x15ac:absPath xmlns:x15ac="http://schemas.microsoft.com/office/spreadsheetml/2010/11/ac" url="https://d.docs.live.net/268edeac32c99899/Academia/HULT/Business Valuation/"/>
    </mc:Choice>
  </mc:AlternateContent>
  <xr:revisionPtr revIDLastSave="0" documentId="8_{2C08865B-2AF0-4FAF-A2C2-A14EAA24C12F}" xr6:coauthVersionLast="47" xr6:coauthVersionMax="47" xr10:uidLastSave="{00000000-0000-0000-0000-000000000000}"/>
  <bookViews>
    <workbookView xWindow="-110" yWindow="-110" windowWidth="25820" windowHeight="15500" tabRatio="978" firstSheet="19" activeTab="15" xr2:uid="{00000000-000D-0000-FFFF-FFFF00000000}"/>
  </bookViews>
  <sheets>
    <sheet name="Cover" sheetId="1" r:id="rId1"/>
    <sheet name="FinancialData(BS&amp;IS)" sheetId="172" r:id="rId2"/>
    <sheet name="IS" sheetId="173" r:id="rId3"/>
    <sheet name="BS" sheetId="174" r:id="rId4"/>
    <sheet name="CF" sheetId="175" r:id="rId5"/>
    <sheet name="Input" sheetId="4" r:id="rId6"/>
    <sheet name="Historicals" sheetId="5" r:id="rId7"/>
    <sheet name="Forecast" sheetId="6" r:id="rId8"/>
    <sheet name="Sheet2" sheetId="171" state="hidden" r:id="rId9"/>
    <sheet name="Combined" sheetId="163" r:id="rId10"/>
    <sheet name="Comps" sheetId="7" r:id="rId11"/>
    <sheet name="Comps Financials" sheetId="15" r:id="rId12"/>
    <sheet name="C0" sheetId="9" r:id="rId13"/>
    <sheet name="_CIQHiddenCacheSheet" sheetId="169" state="veryHidden" r:id="rId14"/>
    <sheet name="WACC" sheetId="17" r:id="rId15"/>
    <sheet name="DCF" sheetId="19" r:id="rId16"/>
    <sheet name="Market " sheetId="20" r:id="rId17"/>
    <sheet name="C5" sheetId="28" state="hidden" r:id="rId18"/>
    <sheet name="Charts - Target KPI's" sheetId="161" r:id="rId19"/>
    <sheet name="Charts - Peer Analysis" sheetId="162" r:id="rId20"/>
    <sheet name="Other support--&gt;" sheetId="160" r:id="rId21"/>
    <sheet name="Size Premium" sheetId="24" r:id="rId22"/>
    <sheet name="MzOfficeConfig-UNDO-%ù-%ù-%ù" sheetId="31" state="veryHidden" r:id="rId23"/>
    <sheet name="DLOM DLOC" sheetId="26" state="hidden" r:id="rId24"/>
    <sheet name="UPSLIDE_UndoFormatting" sheetId="35" state="hidden" r:id="rId25"/>
    <sheet name="Bf3p1" sheetId="11" state="veryHidden" r:id="rId26"/>
    <sheet name="upsundo" sheetId="10" state="veryHidden" r:id="rId27"/>
  </sheets>
  <definedNames>
    <definedName name="_EXPORT31_1_1045307161087.046597_307161104.792349" localSheetId="6" hidden="1">Historicals!$B$14:$I$61</definedName>
    <definedName name="_EXPORT31_1_106307183874.672617_307183918.938617" localSheetId="23" hidden="1">'DLOM DLOC'!$G$18:$H$30</definedName>
    <definedName name="_EXPORT31_1_1292307183910.718617_307183910.718617" localSheetId="23" hidden="1">'DLOM DLOC'!$B$6:$D$15</definedName>
    <definedName name="_EXPORT31_1_198307183185.468591_307183185.468591" localSheetId="14" hidden="1">WACC!$B$10:$D$31</definedName>
    <definedName name="_EXPORT31_1_2759307161052.547508_307161380.268288" localSheetId="6" hidden="1">Historicals!$B$14:$I$63</definedName>
    <definedName name="_EXPORT31_1_9790307161492.96448_307161492.96448" localSheetId="6" hidden="1">Historicals!$B$160:$I$212</definedName>
    <definedName name="_xlnm._FilterDatabase" localSheetId="19" hidden="1">'Charts - Peer Analysis'!$B$6:$E$6</definedName>
    <definedName name="_xlnm._FilterDatabase" localSheetId="18" hidden="1">'Charts - Target KPI''s'!#REF!</definedName>
    <definedName name="_xlnm._FilterDatabase" localSheetId="9" hidden="1">Combined!#REF!</definedName>
    <definedName name="_UNDO_UPS_" hidden="1">#REF!</definedName>
    <definedName name="_UNDO_UPS_SEL_" hidden="1">#REF!</definedName>
    <definedName name="_UNDO31X31X_" hidden="1">'Market '!$B$53:$E$53</definedName>
    <definedName name="adj.ev.edbitda">'Market '!#REF!</definedName>
    <definedName name="alpha">#REF!</definedName>
    <definedName name="capex.life">#REF!</definedName>
    <definedName name="case">DCF!$C$11</definedName>
    <definedName name="CIQWBGuid" hidden="1">"a2fc9bdc-7544-4ed4-8a35-016da59f2982"</definedName>
    <definedName name="CIQWBInfo" hidden="1">"{ ""CIQVersion"":""9.52.4409.4666"" }"</definedName>
    <definedName name="control.pre">'Market '!$C$55</definedName>
    <definedName name="ctry">WACC!$C$8</definedName>
    <definedName name="curr">Input!$D$7</definedName>
    <definedName name="DLOM">'Market '!$C$56</definedName>
    <definedName name="f.COGS">#REF!</definedName>
    <definedName name="f.depre">#REF!</definedName>
    <definedName name="f.ebit">#REF!</definedName>
    <definedName name="f.ebitda">#REF!</definedName>
    <definedName name="f.other.op.exp">#REF!</definedName>
    <definedName name="f.salary.exp">#REF!</definedName>
    <definedName name="f.sales">#REF!</definedName>
    <definedName name="f.selling.exp">#REF!</definedName>
    <definedName name="h.cash.conv">Historicals!$D$201:$H$201</definedName>
    <definedName name="h.COGS">Historicals!$D$19:$H$19</definedName>
    <definedName name="h.Inv">Historicals!$D$168:$H$168</definedName>
    <definedName name="h.other.op.exp">Historicals!$D$24:$H$24</definedName>
    <definedName name="h.salary.exp">Historicals!$D$23:$H$23</definedName>
    <definedName name="h.sales">Historicals!$D$16:$H$16</definedName>
    <definedName name="h.selling.exp">Historicals!$D$22:$H$22</definedName>
    <definedName name="h.TP">Historicals!$D$169:$H$169</definedName>
    <definedName name="h.TR">Historicals!$D$167:$H$167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"04/16/2026 04:22:43"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RI7A15" hidden="1">#REF!</definedName>
    <definedName name="IQRI8A15" hidden="1">#REF!</definedName>
    <definedName name="IQRMultiplesChartsA15" hidden="1">#REF!</definedName>
    <definedName name="IQRSheet10A15" hidden="1">#REF!</definedName>
    <definedName name="IQRSheet10A16" hidden="1">#REF!</definedName>
    <definedName name="IQRSheet10C16" hidden="1">#REF!</definedName>
    <definedName name="IQRSheet16A12" hidden="1">'C5'!$A$13:$A$26</definedName>
    <definedName name="IQRSheet19A15" hidden="1">#REF!</definedName>
    <definedName name="IQRSheet19AA513" hidden="1">#REF!</definedName>
    <definedName name="IQRSheet19AE516" hidden="1">#REF!</definedName>
    <definedName name="IQRSheet19C30" hidden="1">#REF!</definedName>
    <definedName name="IQRSheet19C509" hidden="1">#REF!</definedName>
    <definedName name="IQRSheet19K16" hidden="1">#REF!</definedName>
    <definedName name="IQRSheet19U16" hidden="1">#REF!</definedName>
    <definedName name="IQRSheet19Y265" hidden="1">#REF!</definedName>
    <definedName name="midyear">C0!$O$24:$AR$24</definedName>
    <definedName name="next.fy">Input!$D$12</definedName>
    <definedName name="pcent">Input!$D$5</definedName>
    <definedName name="raw.ev.ebitda">'Market '!#REF!</definedName>
    <definedName name="RUL">#REF!</definedName>
    <definedName name="Subject">Cover!$D$5</definedName>
    <definedName name="tax">Input!$D$6</definedName>
    <definedName name="tv.growth">DCF!$E$57</definedName>
    <definedName name="units">Historicals!$C$10</definedName>
    <definedName name="vd">Input!$D$11</definedName>
    <definedName name="wacc">WACC!$C$30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6" l="1"/>
  <c r="F35" i="6"/>
  <c r="G35" i="6"/>
  <c r="H35" i="6"/>
  <c r="I35" i="6"/>
  <c r="J35" i="6"/>
  <c r="K35" i="6"/>
  <c r="L35" i="6"/>
  <c r="M35" i="6"/>
  <c r="D35" i="6"/>
  <c r="M34" i="6"/>
  <c r="L34" i="6"/>
  <c r="K34" i="6"/>
  <c r="J34" i="6"/>
  <c r="I34" i="6"/>
  <c r="H34" i="6"/>
  <c r="G34" i="6"/>
  <c r="F34" i="6"/>
  <c r="E34" i="6"/>
  <c r="D34" i="6"/>
  <c r="M33" i="6"/>
  <c r="L33" i="6"/>
  <c r="K33" i="6"/>
  <c r="J33" i="6"/>
  <c r="I33" i="6"/>
  <c r="H33" i="6"/>
  <c r="G33" i="6"/>
  <c r="F33" i="6"/>
  <c r="E33" i="6"/>
  <c r="D33" i="6"/>
  <c r="E127" i="6"/>
  <c r="F127" i="6"/>
  <c r="G127" i="6"/>
  <c r="H127" i="6"/>
  <c r="I127" i="6"/>
  <c r="J127" i="6"/>
  <c r="K127" i="6"/>
  <c r="L127" i="6"/>
  <c r="M127" i="6"/>
  <c r="D127" i="6"/>
  <c r="C127" i="6"/>
  <c r="C126" i="6"/>
  <c r="C125" i="6"/>
  <c r="D126" i="6"/>
  <c r="E125" i="6"/>
  <c r="F125" i="6"/>
  <c r="G125" i="6"/>
  <c r="H125" i="6"/>
  <c r="I125" i="6"/>
  <c r="J125" i="6"/>
  <c r="K125" i="6"/>
  <c r="L125" i="6"/>
  <c r="M125" i="6"/>
  <c r="D125" i="6"/>
  <c r="D130" i="6"/>
  <c r="E129" i="6"/>
  <c r="F129" i="6"/>
  <c r="G129" i="6"/>
  <c r="H129" i="6"/>
  <c r="I129" i="6"/>
  <c r="J129" i="6"/>
  <c r="K129" i="6"/>
  <c r="L129" i="6"/>
  <c r="M129" i="6"/>
  <c r="D129" i="6"/>
  <c r="E128" i="6"/>
  <c r="F128" i="6"/>
  <c r="G128" i="6"/>
  <c r="H128" i="6"/>
  <c r="I128" i="6"/>
  <c r="J128" i="6"/>
  <c r="K128" i="6"/>
  <c r="L128" i="6"/>
  <c r="M128" i="6"/>
  <c r="D128" i="6"/>
  <c r="E126" i="6"/>
  <c r="F126" i="6"/>
  <c r="G126" i="6"/>
  <c r="H126" i="6"/>
  <c r="I126" i="6"/>
  <c r="J126" i="6"/>
  <c r="K126" i="6"/>
  <c r="L126" i="6"/>
  <c r="M126" i="6"/>
  <c r="C129" i="6"/>
  <c r="C128" i="6"/>
  <c r="C118" i="6"/>
  <c r="M118" i="6"/>
  <c r="L118" i="6"/>
  <c r="K118" i="6"/>
  <c r="J118" i="6"/>
  <c r="I118" i="6"/>
  <c r="H118" i="6"/>
  <c r="G118" i="6"/>
  <c r="F118" i="6"/>
  <c r="E118" i="6"/>
  <c r="D118" i="6"/>
  <c r="D119" i="6" s="1"/>
  <c r="M111" i="6"/>
  <c r="L111" i="6"/>
  <c r="K111" i="6"/>
  <c r="J111" i="6"/>
  <c r="I111" i="6"/>
  <c r="H111" i="6"/>
  <c r="G111" i="6"/>
  <c r="F111" i="6"/>
  <c r="E111" i="6"/>
  <c r="D111" i="6"/>
  <c r="M110" i="6"/>
  <c r="L110" i="6"/>
  <c r="K110" i="6"/>
  <c r="J110" i="6"/>
  <c r="I110" i="6"/>
  <c r="H110" i="6"/>
  <c r="G110" i="6"/>
  <c r="F110" i="6"/>
  <c r="E110" i="6"/>
  <c r="D110" i="6"/>
  <c r="M106" i="6"/>
  <c r="L106" i="6"/>
  <c r="K106" i="6"/>
  <c r="J106" i="6"/>
  <c r="I106" i="6"/>
  <c r="H106" i="6"/>
  <c r="G106" i="6"/>
  <c r="F106" i="6"/>
  <c r="E106" i="6"/>
  <c r="D106" i="6"/>
  <c r="M105" i="6"/>
  <c r="L105" i="6"/>
  <c r="K105" i="6"/>
  <c r="J105" i="6"/>
  <c r="I105" i="6"/>
  <c r="H105" i="6"/>
  <c r="G105" i="6"/>
  <c r="F105" i="6"/>
  <c r="E105" i="6"/>
  <c r="D105" i="6"/>
  <c r="M104" i="6"/>
  <c r="M107" i="6" s="1"/>
  <c r="L104" i="6"/>
  <c r="L107" i="6" s="1"/>
  <c r="K104" i="6"/>
  <c r="K107" i="6" s="1"/>
  <c r="J104" i="6"/>
  <c r="J107" i="6" s="1"/>
  <c r="I104" i="6"/>
  <c r="I107" i="6" s="1"/>
  <c r="H104" i="6"/>
  <c r="H107" i="6" s="1"/>
  <c r="G104" i="6"/>
  <c r="G107" i="6" s="1"/>
  <c r="F104" i="6"/>
  <c r="F107" i="6" s="1"/>
  <c r="E104" i="6"/>
  <c r="E107" i="6" s="1"/>
  <c r="D104" i="6"/>
  <c r="D107" i="6" s="1"/>
  <c r="M100" i="6"/>
  <c r="L100" i="6"/>
  <c r="K100" i="6"/>
  <c r="J100" i="6"/>
  <c r="I100" i="6"/>
  <c r="H100" i="6"/>
  <c r="G100" i="6"/>
  <c r="F100" i="6"/>
  <c r="E100" i="6"/>
  <c r="D100" i="6"/>
  <c r="M98" i="6"/>
  <c r="L98" i="6"/>
  <c r="K98" i="6"/>
  <c r="J98" i="6"/>
  <c r="I98" i="6"/>
  <c r="H98" i="6"/>
  <c r="G98" i="6"/>
  <c r="F98" i="6"/>
  <c r="E98" i="6"/>
  <c r="D98" i="6"/>
  <c r="M97" i="6"/>
  <c r="L97" i="6"/>
  <c r="K97" i="6"/>
  <c r="J97" i="6"/>
  <c r="I97" i="6"/>
  <c r="H97" i="6"/>
  <c r="G97" i="6"/>
  <c r="F97" i="6"/>
  <c r="E97" i="6"/>
  <c r="D97" i="6"/>
  <c r="M96" i="6"/>
  <c r="L96" i="6"/>
  <c r="K96" i="6"/>
  <c r="J96" i="6"/>
  <c r="I96" i="6"/>
  <c r="H96" i="6"/>
  <c r="G96" i="6"/>
  <c r="F96" i="6"/>
  <c r="E96" i="6"/>
  <c r="D96" i="6"/>
  <c r="M95" i="6"/>
  <c r="L95" i="6"/>
  <c r="K95" i="6"/>
  <c r="J95" i="6"/>
  <c r="I95" i="6"/>
  <c r="H95" i="6"/>
  <c r="G95" i="6"/>
  <c r="F95" i="6"/>
  <c r="E95" i="6"/>
  <c r="D95" i="6"/>
  <c r="M94" i="6"/>
  <c r="L94" i="6"/>
  <c r="K94" i="6"/>
  <c r="J94" i="6"/>
  <c r="I94" i="6"/>
  <c r="H94" i="6"/>
  <c r="G94" i="6"/>
  <c r="F94" i="6"/>
  <c r="E94" i="6"/>
  <c r="D94" i="6"/>
  <c r="D99" i="6"/>
  <c r="E99" i="6"/>
  <c r="F99" i="6"/>
  <c r="G99" i="6"/>
  <c r="H99" i="6"/>
  <c r="I99" i="6"/>
  <c r="J99" i="6"/>
  <c r="K99" i="6"/>
  <c r="L99" i="6"/>
  <c r="M99" i="6"/>
  <c r="E86" i="6"/>
  <c r="F86" i="6"/>
  <c r="G86" i="6"/>
  <c r="H86" i="6"/>
  <c r="I86" i="6"/>
  <c r="J86" i="6"/>
  <c r="K86" i="6"/>
  <c r="L86" i="6"/>
  <c r="M86" i="6"/>
  <c r="D86" i="6"/>
  <c r="C86" i="6"/>
  <c r="D76" i="6"/>
  <c r="E76" i="6"/>
  <c r="F76" i="6"/>
  <c r="G76" i="6"/>
  <c r="H76" i="6"/>
  <c r="I76" i="6"/>
  <c r="J76" i="6"/>
  <c r="K76" i="6"/>
  <c r="L76" i="6"/>
  <c r="M76" i="6"/>
  <c r="C76" i="6"/>
  <c r="E70" i="6"/>
  <c r="F70" i="6"/>
  <c r="G70" i="6"/>
  <c r="H70" i="6"/>
  <c r="I70" i="6"/>
  <c r="J70" i="6"/>
  <c r="K70" i="6"/>
  <c r="L70" i="6"/>
  <c r="M70" i="6"/>
  <c r="D70" i="6"/>
  <c r="E69" i="6"/>
  <c r="F69" i="6"/>
  <c r="G69" i="6"/>
  <c r="H69" i="6"/>
  <c r="I69" i="6"/>
  <c r="J69" i="6"/>
  <c r="K69" i="6"/>
  <c r="L69" i="6"/>
  <c r="M69" i="6"/>
  <c r="D69" i="6"/>
  <c r="F57" i="6"/>
  <c r="G57" i="6"/>
  <c r="H57" i="6"/>
  <c r="I57" i="6"/>
  <c r="J57" i="6"/>
  <c r="K57" i="6"/>
  <c r="L57" i="6"/>
  <c r="M57" i="6"/>
  <c r="E56" i="6"/>
  <c r="F56" i="6"/>
  <c r="G56" i="6"/>
  <c r="H56" i="6"/>
  <c r="I56" i="6"/>
  <c r="J56" i="6"/>
  <c r="K56" i="6"/>
  <c r="L56" i="6"/>
  <c r="M56" i="6"/>
  <c r="E66" i="6"/>
  <c r="F66" i="6"/>
  <c r="G66" i="6"/>
  <c r="H66" i="6"/>
  <c r="I66" i="6"/>
  <c r="J66" i="6"/>
  <c r="K66" i="6"/>
  <c r="L66" i="6"/>
  <c r="M66" i="6"/>
  <c r="D66" i="6"/>
  <c r="D56" i="6"/>
  <c r="E31" i="5"/>
  <c r="F31" i="5"/>
  <c r="G31" i="5"/>
  <c r="H31" i="5"/>
  <c r="D31" i="5"/>
  <c r="H29" i="5"/>
  <c r="G29" i="5"/>
  <c r="F29" i="5"/>
  <c r="E29" i="5"/>
  <c r="D29" i="5"/>
  <c r="D18" i="6"/>
  <c r="D19" i="6"/>
  <c r="D20" i="6"/>
  <c r="D21" i="6"/>
  <c r="I195" i="5"/>
  <c r="I189" i="5"/>
  <c r="I190" i="5"/>
  <c r="I184" i="5"/>
  <c r="I185" i="5"/>
  <c r="I186" i="5"/>
  <c r="I183" i="5"/>
  <c r="I180" i="5"/>
  <c r="E180" i="5"/>
  <c r="F180" i="5"/>
  <c r="G180" i="5"/>
  <c r="H180" i="5"/>
  <c r="D180" i="5"/>
  <c r="G193" i="5"/>
  <c r="G194" i="5"/>
  <c r="E195" i="5"/>
  <c r="F195" i="5"/>
  <c r="G195" i="5"/>
  <c r="H195" i="5"/>
  <c r="D195" i="5"/>
  <c r="E194" i="5"/>
  <c r="F194" i="5"/>
  <c r="H194" i="5"/>
  <c r="D194" i="5"/>
  <c r="D193" i="5"/>
  <c r="E193" i="5"/>
  <c r="F193" i="5"/>
  <c r="H193" i="5"/>
  <c r="H190" i="5"/>
  <c r="E190" i="5"/>
  <c r="F190" i="5"/>
  <c r="G190" i="5"/>
  <c r="D190" i="5"/>
  <c r="D189" i="5"/>
  <c r="E189" i="5"/>
  <c r="F189" i="5"/>
  <c r="G189" i="5"/>
  <c r="H189" i="5"/>
  <c r="E186" i="5"/>
  <c r="F186" i="5"/>
  <c r="G186" i="5"/>
  <c r="H186" i="5"/>
  <c r="D186" i="5"/>
  <c r="E185" i="5"/>
  <c r="F185" i="5"/>
  <c r="G185" i="5"/>
  <c r="H185" i="5"/>
  <c r="D185" i="5"/>
  <c r="E184" i="5"/>
  <c r="F184" i="5"/>
  <c r="G184" i="5"/>
  <c r="H184" i="5"/>
  <c r="D184" i="5"/>
  <c r="E183" i="5"/>
  <c r="F183" i="5"/>
  <c r="G183" i="5"/>
  <c r="H183" i="5"/>
  <c r="D183" i="5"/>
  <c r="I154" i="5"/>
  <c r="I155" i="5"/>
  <c r="I156" i="5"/>
  <c r="I157" i="5"/>
  <c r="I158" i="5"/>
  <c r="I159" i="5"/>
  <c r="I160" i="5"/>
  <c r="I161" i="5"/>
  <c r="I162" i="5"/>
  <c r="I163" i="5"/>
  <c r="I164" i="5"/>
  <c r="I165" i="5"/>
  <c r="I166" i="5"/>
  <c r="I167" i="5"/>
  <c r="I168" i="5"/>
  <c r="I169" i="5"/>
  <c r="I170" i="5"/>
  <c r="I171" i="5"/>
  <c r="I172" i="5"/>
  <c r="I173" i="5"/>
  <c r="I174" i="5"/>
  <c r="I153" i="5"/>
  <c r="I148" i="5"/>
  <c r="E174" i="5"/>
  <c r="F174" i="5"/>
  <c r="G174" i="5"/>
  <c r="H174" i="5"/>
  <c r="D174" i="5"/>
  <c r="E172" i="5"/>
  <c r="F172" i="5"/>
  <c r="G172" i="5"/>
  <c r="H172" i="5"/>
  <c r="D172" i="5"/>
  <c r="E171" i="5"/>
  <c r="F171" i="5"/>
  <c r="G171" i="5"/>
  <c r="H171" i="5"/>
  <c r="D171" i="5"/>
  <c r="E147" i="5"/>
  <c r="F147" i="5"/>
  <c r="G147" i="5"/>
  <c r="H147" i="5"/>
  <c r="D147" i="5"/>
  <c r="E170" i="5"/>
  <c r="F170" i="5"/>
  <c r="G170" i="5"/>
  <c r="H170" i="5"/>
  <c r="D170" i="5"/>
  <c r="E168" i="5"/>
  <c r="F168" i="5"/>
  <c r="G168" i="5"/>
  <c r="H168" i="5"/>
  <c r="D168" i="5"/>
  <c r="E167" i="5"/>
  <c r="F167" i="5"/>
  <c r="G167" i="5"/>
  <c r="H167" i="5"/>
  <c r="D167" i="5"/>
  <c r="E166" i="5"/>
  <c r="F166" i="5"/>
  <c r="G166" i="5"/>
  <c r="H166" i="5"/>
  <c r="D166" i="5"/>
  <c r="E164" i="5"/>
  <c r="F164" i="5"/>
  <c r="G164" i="5"/>
  <c r="H164" i="5"/>
  <c r="D164" i="5"/>
  <c r="E162" i="5"/>
  <c r="F162" i="5"/>
  <c r="G162" i="5"/>
  <c r="H162" i="5"/>
  <c r="D162" i="5"/>
  <c r="E161" i="5"/>
  <c r="F161" i="5"/>
  <c r="G161" i="5"/>
  <c r="H161" i="5"/>
  <c r="D161" i="5"/>
  <c r="E160" i="5"/>
  <c r="F160" i="5"/>
  <c r="G160" i="5"/>
  <c r="H160" i="5"/>
  <c r="D160" i="5"/>
  <c r="E159" i="5"/>
  <c r="F159" i="5"/>
  <c r="G159" i="5"/>
  <c r="H159" i="5"/>
  <c r="D159" i="5"/>
  <c r="E158" i="5"/>
  <c r="F158" i="5"/>
  <c r="G158" i="5"/>
  <c r="H158" i="5"/>
  <c r="D158" i="5"/>
  <c r="E157" i="5"/>
  <c r="F157" i="5"/>
  <c r="G157" i="5"/>
  <c r="H157" i="5"/>
  <c r="D157" i="5"/>
  <c r="E154" i="5"/>
  <c r="F154" i="5"/>
  <c r="G154" i="5"/>
  <c r="H154" i="5"/>
  <c r="D154" i="5"/>
  <c r="E153" i="5"/>
  <c r="F153" i="5"/>
  <c r="G153" i="5"/>
  <c r="H153" i="5"/>
  <c r="D153" i="5"/>
  <c r="E148" i="5"/>
  <c r="F148" i="5"/>
  <c r="G148" i="5"/>
  <c r="H148" i="5"/>
  <c r="D148" i="5"/>
  <c r="I147" i="5"/>
  <c r="I146" i="5"/>
  <c r="I140" i="5"/>
  <c r="E146" i="5"/>
  <c r="F146" i="5"/>
  <c r="G146" i="5"/>
  <c r="H146" i="5"/>
  <c r="D146" i="5"/>
  <c r="E141" i="5"/>
  <c r="F141" i="5"/>
  <c r="G141" i="5"/>
  <c r="H141" i="5"/>
  <c r="I141" i="5" s="1"/>
  <c r="D140" i="5"/>
  <c r="D141" i="5"/>
  <c r="E140" i="5"/>
  <c r="E142" i="5" s="1"/>
  <c r="F140" i="5"/>
  <c r="F142" i="5" s="1"/>
  <c r="G140" i="5"/>
  <c r="G142" i="5" s="1"/>
  <c r="H140" i="5"/>
  <c r="E130" i="5"/>
  <c r="F130" i="5"/>
  <c r="G130" i="5"/>
  <c r="H130" i="5"/>
  <c r="D130" i="5"/>
  <c r="H124" i="5"/>
  <c r="G124" i="5"/>
  <c r="F124" i="5"/>
  <c r="E124" i="5"/>
  <c r="D124" i="5"/>
  <c r="I123" i="5"/>
  <c r="E123" i="5"/>
  <c r="F123" i="5"/>
  <c r="G123" i="5"/>
  <c r="H123" i="5"/>
  <c r="D123" i="5"/>
  <c r="E121" i="5"/>
  <c r="F121" i="5"/>
  <c r="G121" i="5"/>
  <c r="H121" i="5"/>
  <c r="D121" i="5"/>
  <c r="I130" i="5"/>
  <c r="I121" i="5"/>
  <c r="I120" i="5"/>
  <c r="E129" i="5"/>
  <c r="E131" i="5" s="1"/>
  <c r="F129" i="5"/>
  <c r="F131" i="5" s="1"/>
  <c r="G129" i="5"/>
  <c r="G131" i="5" s="1"/>
  <c r="H129" i="5"/>
  <c r="D129" i="5"/>
  <c r="D131" i="5" s="1"/>
  <c r="I112" i="5"/>
  <c r="I113" i="5"/>
  <c r="E109" i="5"/>
  <c r="F109" i="5"/>
  <c r="G109" i="5"/>
  <c r="H109" i="5"/>
  <c r="D109" i="5"/>
  <c r="H106" i="5"/>
  <c r="G106" i="5"/>
  <c r="F106" i="5"/>
  <c r="E106" i="5"/>
  <c r="D106" i="5"/>
  <c r="H105" i="5"/>
  <c r="G105" i="5"/>
  <c r="F105" i="5"/>
  <c r="E105" i="5"/>
  <c r="D105" i="5"/>
  <c r="H104" i="5"/>
  <c r="G104" i="5"/>
  <c r="F104" i="5"/>
  <c r="E104" i="5"/>
  <c r="D104" i="5"/>
  <c r="H103" i="5"/>
  <c r="G103" i="5"/>
  <c r="F103" i="5"/>
  <c r="E103" i="5"/>
  <c r="D103" i="5"/>
  <c r="H94" i="5"/>
  <c r="G94" i="5"/>
  <c r="F94" i="5"/>
  <c r="E94" i="5"/>
  <c r="D94" i="5"/>
  <c r="H93" i="5"/>
  <c r="G93" i="5"/>
  <c r="F93" i="5"/>
  <c r="E93" i="5"/>
  <c r="D93" i="5"/>
  <c r="H92" i="5"/>
  <c r="G92" i="5"/>
  <c r="F92" i="5"/>
  <c r="E92" i="5"/>
  <c r="F91" i="5"/>
  <c r="D92" i="5"/>
  <c r="E91" i="5"/>
  <c r="H91" i="5"/>
  <c r="G91" i="5"/>
  <c r="D91" i="5"/>
  <c r="D90" i="5"/>
  <c r="H65" i="5"/>
  <c r="H66" i="5"/>
  <c r="G66" i="5"/>
  <c r="F66" i="5"/>
  <c r="E66" i="5"/>
  <c r="I66" i="5" s="1"/>
  <c r="D66" i="5"/>
  <c r="G65" i="5"/>
  <c r="F65" i="5"/>
  <c r="E65" i="5"/>
  <c r="I65" i="5" s="1"/>
  <c r="D65" i="5"/>
  <c r="H64" i="5"/>
  <c r="G64" i="5"/>
  <c r="F64" i="5"/>
  <c r="E64" i="5"/>
  <c r="D64" i="5"/>
  <c r="H63" i="5"/>
  <c r="G63" i="5"/>
  <c r="F63" i="5"/>
  <c r="E63" i="5"/>
  <c r="D63" i="5"/>
  <c r="D79" i="5"/>
  <c r="M105" i="174"/>
  <c r="N105" i="174"/>
  <c r="O105" i="174"/>
  <c r="P105" i="174"/>
  <c r="Q105" i="174"/>
  <c r="I110" i="5"/>
  <c r="I105" i="5"/>
  <c r="I106" i="5"/>
  <c r="I107" i="5"/>
  <c r="I108" i="5"/>
  <c r="I95" i="5"/>
  <c r="I96" i="5"/>
  <c r="I97" i="5"/>
  <c r="I98" i="5"/>
  <c r="I100" i="5"/>
  <c r="I85" i="5"/>
  <c r="I87" i="5"/>
  <c r="I88" i="5"/>
  <c r="I91" i="5"/>
  <c r="I93" i="5"/>
  <c r="J79" i="5"/>
  <c r="D120" i="5"/>
  <c r="E120" i="5"/>
  <c r="F120" i="5"/>
  <c r="G120" i="5"/>
  <c r="H120" i="5"/>
  <c r="H119" i="5"/>
  <c r="G119" i="5"/>
  <c r="F119" i="5"/>
  <c r="E119" i="5"/>
  <c r="D119" i="5"/>
  <c r="H102" i="5"/>
  <c r="G102" i="5"/>
  <c r="F102" i="5"/>
  <c r="E102" i="5"/>
  <c r="D102" i="5"/>
  <c r="H101" i="5"/>
  <c r="G101" i="5"/>
  <c r="F101" i="5"/>
  <c r="E101" i="5"/>
  <c r="D101" i="5"/>
  <c r="H90" i="5"/>
  <c r="G90" i="5"/>
  <c r="F90" i="5"/>
  <c r="E90" i="5"/>
  <c r="H89" i="5"/>
  <c r="G89" i="5"/>
  <c r="G99" i="5" s="1"/>
  <c r="G111" i="5" s="1"/>
  <c r="F89" i="5"/>
  <c r="F99" i="5" s="1"/>
  <c r="F111" i="5" s="1"/>
  <c r="E89" i="5"/>
  <c r="E99" i="5" s="1"/>
  <c r="E111" i="5" s="1"/>
  <c r="D89" i="5"/>
  <c r="H78" i="5"/>
  <c r="G78" i="5"/>
  <c r="F78" i="5"/>
  <c r="E78" i="5"/>
  <c r="D78" i="5"/>
  <c r="H77" i="5"/>
  <c r="G77" i="5"/>
  <c r="F77" i="5"/>
  <c r="E77" i="5"/>
  <c r="D77" i="5"/>
  <c r="H76" i="5"/>
  <c r="G76" i="5"/>
  <c r="F76" i="5"/>
  <c r="E76" i="5"/>
  <c r="D76" i="5"/>
  <c r="H75" i="5"/>
  <c r="G75" i="5"/>
  <c r="F75" i="5"/>
  <c r="E75" i="5"/>
  <c r="D75" i="5"/>
  <c r="H74" i="5"/>
  <c r="G74" i="5"/>
  <c r="F74" i="5"/>
  <c r="E74" i="5"/>
  <c r="D74" i="5"/>
  <c r="H73" i="5"/>
  <c r="G73" i="5"/>
  <c r="G84" i="5" s="1"/>
  <c r="F73" i="5"/>
  <c r="F84" i="5" s="1"/>
  <c r="E73" i="5"/>
  <c r="E84" i="5" s="1"/>
  <c r="D73" i="5"/>
  <c r="D84" i="5" s="1"/>
  <c r="H62" i="5"/>
  <c r="G62" i="5"/>
  <c r="F62" i="5"/>
  <c r="E62" i="5"/>
  <c r="D62" i="5"/>
  <c r="H61" i="5"/>
  <c r="G61" i="5"/>
  <c r="G71" i="5" s="1"/>
  <c r="G86" i="5" s="1"/>
  <c r="G113" i="5" s="1"/>
  <c r="F61" i="5"/>
  <c r="F71" i="5" s="1"/>
  <c r="F86" i="5" s="1"/>
  <c r="F113" i="5" s="1"/>
  <c r="E61" i="5"/>
  <c r="E71" i="5" s="1"/>
  <c r="E86" i="5" s="1"/>
  <c r="E113" i="5" s="1"/>
  <c r="D61" i="5"/>
  <c r="D71" i="5" s="1"/>
  <c r="D86" i="5" s="1"/>
  <c r="H24" i="5"/>
  <c r="G24" i="5"/>
  <c r="F24" i="5"/>
  <c r="E24" i="5"/>
  <c r="D24" i="5"/>
  <c r="H23" i="5"/>
  <c r="G23" i="5"/>
  <c r="F23" i="5"/>
  <c r="E23" i="5"/>
  <c r="D23" i="5"/>
  <c r="H25" i="5"/>
  <c r="G25" i="5"/>
  <c r="F25" i="5"/>
  <c r="E25" i="5"/>
  <c r="D25" i="5"/>
  <c r="H22" i="5"/>
  <c r="G22" i="5"/>
  <c r="F22" i="5"/>
  <c r="E22" i="5"/>
  <c r="D22" i="5"/>
  <c r="H17" i="5"/>
  <c r="G17" i="5"/>
  <c r="F17" i="5"/>
  <c r="E17" i="5"/>
  <c r="D17" i="5"/>
  <c r="D16" i="5"/>
  <c r="E16" i="5"/>
  <c r="F16" i="5"/>
  <c r="G16" i="5"/>
  <c r="H16" i="5"/>
  <c r="D8" i="172"/>
  <c r="E8" i="172"/>
  <c r="F8" i="172"/>
  <c r="G8" i="172"/>
  <c r="H8" i="172"/>
  <c r="D9" i="172"/>
  <c r="E9" i="172"/>
  <c r="F9" i="172"/>
  <c r="G9" i="172"/>
  <c r="H9" i="172"/>
  <c r="D10" i="172"/>
  <c r="E10" i="172"/>
  <c r="F10" i="172"/>
  <c r="G10" i="172"/>
  <c r="H10" i="172"/>
  <c r="D11" i="172"/>
  <c r="E11" i="172"/>
  <c r="F11" i="172"/>
  <c r="G11" i="172"/>
  <c r="H11" i="172"/>
  <c r="H25" i="172"/>
  <c r="G25" i="172"/>
  <c r="F25" i="172"/>
  <c r="E25" i="172"/>
  <c r="D25" i="172"/>
  <c r="H26" i="172"/>
  <c r="G26" i="172"/>
  <c r="F26" i="172"/>
  <c r="E26" i="172"/>
  <c r="D26" i="172"/>
  <c r="H24" i="172"/>
  <c r="G24" i="172"/>
  <c r="F24" i="172"/>
  <c r="E24" i="172"/>
  <c r="D24" i="172"/>
  <c r="H23" i="172"/>
  <c r="G23" i="172"/>
  <c r="F23" i="172"/>
  <c r="E23" i="172"/>
  <c r="D23" i="172"/>
  <c r="H15" i="172"/>
  <c r="G15" i="172"/>
  <c r="H22" i="172"/>
  <c r="G22" i="172"/>
  <c r="F22" i="172"/>
  <c r="E22" i="172"/>
  <c r="D22" i="172"/>
  <c r="H21" i="172"/>
  <c r="G21" i="172"/>
  <c r="F21" i="172"/>
  <c r="E21" i="172"/>
  <c r="H20" i="172"/>
  <c r="G20" i="172"/>
  <c r="F20" i="172"/>
  <c r="E20" i="172"/>
  <c r="D21" i="172"/>
  <c r="D20" i="172"/>
  <c r="H17" i="172"/>
  <c r="G17" i="172"/>
  <c r="E17" i="172"/>
  <c r="F17" i="172"/>
  <c r="D17" i="172"/>
  <c r="H16" i="172"/>
  <c r="G16" i="172"/>
  <c r="F16" i="172"/>
  <c r="E16" i="172"/>
  <c r="D16" i="172"/>
  <c r="F15" i="172"/>
  <c r="E15" i="172"/>
  <c r="D15" i="172"/>
  <c r="H6" i="172"/>
  <c r="H19" i="5" s="1"/>
  <c r="H20" i="5" s="1"/>
  <c r="H27" i="5" s="1"/>
  <c r="G6" i="172"/>
  <c r="G19" i="5" s="1"/>
  <c r="G20" i="5" s="1"/>
  <c r="G27" i="5" s="1"/>
  <c r="F6" i="172"/>
  <c r="F19" i="5" s="1"/>
  <c r="F20" i="5" s="1"/>
  <c r="F27" i="5" s="1"/>
  <c r="E6" i="172"/>
  <c r="E19" i="5" s="1"/>
  <c r="E20" i="5" s="1"/>
  <c r="E27" i="5" s="1"/>
  <c r="D6" i="172"/>
  <c r="D19" i="5" s="1"/>
  <c r="D20" i="5" s="1"/>
  <c r="D27" i="5" s="1"/>
  <c r="H5" i="172"/>
  <c r="G5" i="172"/>
  <c r="F5" i="172"/>
  <c r="E5" i="172"/>
  <c r="D5" i="172"/>
  <c r="I5" i="172"/>
  <c r="C24" i="17"/>
  <c r="C28" i="17"/>
  <c r="H33" i="172"/>
  <c r="G33" i="172"/>
  <c r="F33" i="172"/>
  <c r="E33" i="172"/>
  <c r="D33" i="172"/>
  <c r="H28" i="172"/>
  <c r="G28" i="172"/>
  <c r="F28" i="172"/>
  <c r="E28" i="172"/>
  <c r="D28" i="172"/>
  <c r="H7" i="172"/>
  <c r="H13" i="172" s="1"/>
  <c r="H18" i="172" s="1"/>
  <c r="G7" i="172"/>
  <c r="G13" i="172" s="1"/>
  <c r="G18" i="172" s="1"/>
  <c r="F7" i="172"/>
  <c r="F13" i="172" s="1"/>
  <c r="F18" i="172" s="1"/>
  <c r="E7" i="172"/>
  <c r="E13" i="172" s="1"/>
  <c r="E18" i="172" s="1"/>
  <c r="D7" i="172"/>
  <c r="D13" i="172" s="1"/>
  <c r="D18" i="172" s="1"/>
  <c r="D14" i="26"/>
  <c r="H29" i="26"/>
  <c r="J11" i="24"/>
  <c r="J12" i="24"/>
  <c r="K11" i="24"/>
  <c r="L11" i="24"/>
  <c r="K12" i="24"/>
  <c r="L12" i="24"/>
  <c r="J13" i="24"/>
  <c r="K13" i="24"/>
  <c r="L13" i="24"/>
  <c r="J14" i="24"/>
  <c r="K14" i="24"/>
  <c r="L14" i="24"/>
  <c r="N14" i="24"/>
  <c r="O14" i="24"/>
  <c r="J15" i="24"/>
  <c r="K15" i="24"/>
  <c r="L15" i="24"/>
  <c r="O15" i="24"/>
  <c r="P15" i="24"/>
  <c r="Q15" i="24"/>
  <c r="Q33" i="24" s="1"/>
  <c r="J16" i="24"/>
  <c r="K16" i="24"/>
  <c r="L16" i="24"/>
  <c r="O16" i="24"/>
  <c r="P16" i="24"/>
  <c r="Q16" i="24"/>
  <c r="Q32" i="24" s="1"/>
  <c r="J17" i="24"/>
  <c r="K17" i="24"/>
  <c r="L17" i="24"/>
  <c r="O17" i="24"/>
  <c r="P17" i="24"/>
  <c r="Q17" i="24"/>
  <c r="J18" i="24"/>
  <c r="K18" i="24"/>
  <c r="L18" i="24"/>
  <c r="O18" i="24"/>
  <c r="P18" i="24"/>
  <c r="Q18" i="24"/>
  <c r="J19" i="24"/>
  <c r="K19" i="24"/>
  <c r="L19" i="24"/>
  <c r="O19" i="24"/>
  <c r="P19" i="24"/>
  <c r="Q19" i="24"/>
  <c r="Q29" i="24" s="1"/>
  <c r="J20" i="24"/>
  <c r="K20" i="24"/>
  <c r="L20" i="24"/>
  <c r="O20" i="24"/>
  <c r="P20" i="24"/>
  <c r="Q20" i="24"/>
  <c r="Q28" i="24" s="1"/>
  <c r="J21" i="24"/>
  <c r="K21" i="24"/>
  <c r="L21" i="24"/>
  <c r="O21" i="24"/>
  <c r="P21" i="24"/>
  <c r="Q21" i="24"/>
  <c r="Q27" i="24" s="1"/>
  <c r="J22" i="24"/>
  <c r="K22" i="24"/>
  <c r="L22" i="24"/>
  <c r="O22" i="24"/>
  <c r="P22" i="24"/>
  <c r="Q22" i="24"/>
  <c r="J23" i="24"/>
  <c r="K23" i="24"/>
  <c r="L23" i="24"/>
  <c r="O23" i="24"/>
  <c r="P23" i="24"/>
  <c r="Q23" i="24"/>
  <c r="N25" i="24"/>
  <c r="Q25" i="24"/>
  <c r="N26" i="24"/>
  <c r="Q26" i="24"/>
  <c r="N27" i="24"/>
  <c r="N28" i="24"/>
  <c r="N29" i="24"/>
  <c r="N30" i="24"/>
  <c r="Q30" i="24"/>
  <c r="N31" i="24"/>
  <c r="Q31" i="24"/>
  <c r="N32" i="24"/>
  <c r="N33" i="24"/>
  <c r="N34" i="24"/>
  <c r="B3" i="161"/>
  <c r="B43" i="161"/>
  <c r="B83" i="161"/>
  <c r="B125" i="161"/>
  <c r="B167" i="161"/>
  <c r="L14" i="28"/>
  <c r="L15" i="28"/>
  <c r="L16" i="28"/>
  <c r="O37" i="28"/>
  <c r="P37" i="28"/>
  <c r="Q37" i="28"/>
  <c r="O39" i="28"/>
  <c r="P39" i="28"/>
  <c r="Q39" i="28"/>
  <c r="B9" i="20"/>
  <c r="B7" i="162" s="1"/>
  <c r="C9" i="20"/>
  <c r="G9" i="20"/>
  <c r="U7" i="162" s="1"/>
  <c r="B10" i="20"/>
  <c r="M17" i="162" s="1"/>
  <c r="C10" i="20"/>
  <c r="N17" i="162" s="1"/>
  <c r="B11" i="20"/>
  <c r="S13" i="162" s="1"/>
  <c r="C11" i="20"/>
  <c r="T13" i="162" s="1"/>
  <c r="B12" i="20"/>
  <c r="B14" i="162" s="1"/>
  <c r="C12" i="20"/>
  <c r="C14" i="162" s="1"/>
  <c r="B13" i="20"/>
  <c r="B17" i="162" s="1"/>
  <c r="C13" i="20"/>
  <c r="C17" i="162" s="1"/>
  <c r="B14" i="20"/>
  <c r="B10" i="162" s="1"/>
  <c r="C14" i="20"/>
  <c r="T10" i="162" s="1"/>
  <c r="B15" i="20"/>
  <c r="H11" i="162" s="1"/>
  <c r="C15" i="20"/>
  <c r="C13" i="162" s="1"/>
  <c r="B16" i="20"/>
  <c r="C16" i="20"/>
  <c r="B17" i="20"/>
  <c r="B11" i="162" s="1"/>
  <c r="C17" i="20"/>
  <c r="N13" i="162" s="1"/>
  <c r="B18" i="20"/>
  <c r="S17" i="162" s="1"/>
  <c r="C18" i="20"/>
  <c r="T17" i="162" s="1"/>
  <c r="B19" i="20"/>
  <c r="C19" i="20"/>
  <c r="B44" i="20"/>
  <c r="B53" i="20"/>
  <c r="B54" i="20"/>
  <c r="C54" i="20"/>
  <c r="C55" i="20"/>
  <c r="B56" i="20"/>
  <c r="C56" i="20"/>
  <c r="B57" i="20"/>
  <c r="G12" i="19"/>
  <c r="H15" i="19"/>
  <c r="B17" i="19"/>
  <c r="E57" i="19"/>
  <c r="C33" i="19"/>
  <c r="D22" i="19"/>
  <c r="E22" i="19"/>
  <c r="F22" i="19"/>
  <c r="G22" i="19"/>
  <c r="H22" i="19"/>
  <c r="I22" i="19"/>
  <c r="J22" i="19"/>
  <c r="K22" i="19"/>
  <c r="L22" i="19"/>
  <c r="M22" i="19"/>
  <c r="N22" i="19"/>
  <c r="B38" i="19"/>
  <c r="B50" i="20" s="1"/>
  <c r="B39" i="19"/>
  <c r="B51" i="20" s="1"/>
  <c r="D41" i="19"/>
  <c r="C42" i="19"/>
  <c r="C43" i="19"/>
  <c r="B44" i="19"/>
  <c r="B60" i="19" s="1"/>
  <c r="B49" i="19"/>
  <c r="E53" i="19"/>
  <c r="D54" i="19"/>
  <c r="E54" i="19"/>
  <c r="F54" i="19"/>
  <c r="B68" i="19"/>
  <c r="B69" i="19"/>
  <c r="C69" i="19"/>
  <c r="B70" i="19"/>
  <c r="C70" i="19"/>
  <c r="B71" i="19"/>
  <c r="C71" i="19"/>
  <c r="B72" i="19"/>
  <c r="C72" i="19"/>
  <c r="C12" i="9"/>
  <c r="C13" i="9"/>
  <c r="L3" i="15"/>
  <c r="B8" i="15"/>
  <c r="C9" i="15"/>
  <c r="B9" i="15"/>
  <c r="C10" i="15"/>
  <c r="B10" i="15"/>
  <c r="C11" i="15"/>
  <c r="B11" i="15" s="1"/>
  <c r="C12" i="15"/>
  <c r="B12" i="15" s="1"/>
  <c r="C13" i="15"/>
  <c r="B13" i="15" s="1"/>
  <c r="C14" i="15"/>
  <c r="B14" i="15" s="1"/>
  <c r="C15" i="15"/>
  <c r="B15" i="15"/>
  <c r="C16" i="15"/>
  <c r="B16" i="15"/>
  <c r="C17" i="15"/>
  <c r="B17" i="15"/>
  <c r="C18" i="15"/>
  <c r="B18" i="15"/>
  <c r="C19" i="15"/>
  <c r="B19" i="15" s="1"/>
  <c r="M71" i="6" l="1"/>
  <c r="M77" i="6"/>
  <c r="M80" i="6" s="1"/>
  <c r="L71" i="6"/>
  <c r="L77" i="6"/>
  <c r="L80" i="6" s="1"/>
  <c r="K71" i="6"/>
  <c r="K77" i="6"/>
  <c r="K80" i="6" s="1"/>
  <c r="J71" i="6"/>
  <c r="J77" i="6"/>
  <c r="J80" i="6" s="1"/>
  <c r="I71" i="6"/>
  <c r="I77" i="6"/>
  <c r="I80" i="6" s="1"/>
  <c r="H71" i="6"/>
  <c r="H77" i="6"/>
  <c r="H80" i="6" s="1"/>
  <c r="G71" i="6"/>
  <c r="G77" i="6"/>
  <c r="G80" i="6" s="1"/>
  <c r="F71" i="6"/>
  <c r="F77" i="6"/>
  <c r="F80" i="6" s="1"/>
  <c r="E71" i="6"/>
  <c r="E77" i="6"/>
  <c r="E80" i="6" s="1"/>
  <c r="D71" i="6"/>
  <c r="D77" i="6"/>
  <c r="D80" i="6" s="1"/>
  <c r="M130" i="6"/>
  <c r="L130" i="6"/>
  <c r="K130" i="6"/>
  <c r="J130" i="6"/>
  <c r="I130" i="6"/>
  <c r="H130" i="6"/>
  <c r="G130" i="6"/>
  <c r="F130" i="6"/>
  <c r="E130" i="6"/>
  <c r="E131" i="6"/>
  <c r="D131" i="6"/>
  <c r="E119" i="6"/>
  <c r="F119" i="6"/>
  <c r="G119" i="6"/>
  <c r="H119" i="6"/>
  <c r="I119" i="6"/>
  <c r="J119" i="6"/>
  <c r="K119" i="6"/>
  <c r="L119" i="6"/>
  <c r="M119" i="6"/>
  <c r="I193" i="5"/>
  <c r="I194" i="5"/>
  <c r="E136" i="5"/>
  <c r="D133" i="5"/>
  <c r="H131" i="5"/>
  <c r="I129" i="5"/>
  <c r="H136" i="5"/>
  <c r="G133" i="5"/>
  <c r="G136" i="5"/>
  <c r="F133" i="5"/>
  <c r="F136" i="5"/>
  <c r="E133" i="5"/>
  <c r="G134" i="5" s="1"/>
  <c r="H142" i="5"/>
  <c r="I142" i="5" s="1"/>
  <c r="D142" i="5"/>
  <c r="D99" i="5"/>
  <c r="D111" i="5" s="1"/>
  <c r="D113" i="5" s="1"/>
  <c r="H71" i="5"/>
  <c r="I61" i="5"/>
  <c r="I62" i="5"/>
  <c r="H84" i="5"/>
  <c r="I84" i="5" s="1"/>
  <c r="I73" i="5"/>
  <c r="I74" i="5"/>
  <c r="I75" i="5"/>
  <c r="I76" i="5"/>
  <c r="I77" i="5"/>
  <c r="I78" i="5"/>
  <c r="H99" i="5"/>
  <c r="I89" i="5"/>
  <c r="I90" i="5"/>
  <c r="I92" i="5"/>
  <c r="I94" i="5"/>
  <c r="I109" i="5"/>
  <c r="I101" i="5"/>
  <c r="I102" i="5"/>
  <c r="I103" i="5"/>
  <c r="I104" i="5"/>
  <c r="I119" i="5"/>
  <c r="I63" i="5"/>
  <c r="I64" i="5"/>
  <c r="H86" i="5"/>
  <c r="I71" i="5"/>
  <c r="I11" i="172"/>
  <c r="I10" i="172"/>
  <c r="I9" i="172"/>
  <c r="I8" i="172"/>
  <c r="I6" i="172"/>
  <c r="I7" i="172" s="1"/>
  <c r="I13" i="172" s="1"/>
  <c r="J5" i="172"/>
  <c r="T9" i="162"/>
  <c r="S9" i="162"/>
  <c r="M13" i="162"/>
  <c r="I12" i="162"/>
  <c r="H12" i="162"/>
  <c r="I16" i="162"/>
  <c r="C11" i="162"/>
  <c r="T15" i="162"/>
  <c r="N15" i="162"/>
  <c r="M14" i="162"/>
  <c r="I14" i="162"/>
  <c r="H14" i="162"/>
  <c r="C16" i="162"/>
  <c r="B16" i="162"/>
  <c r="T14" i="162"/>
  <c r="S14" i="162"/>
  <c r="N11" i="162"/>
  <c r="M11" i="162"/>
  <c r="I15" i="162"/>
  <c r="I10" i="162"/>
  <c r="H10" i="162"/>
  <c r="C8" i="162"/>
  <c r="B8" i="162"/>
  <c r="N14" i="162"/>
  <c r="S15" i="162"/>
  <c r="M15" i="162"/>
  <c r="B13" i="162"/>
  <c r="H16" i="162"/>
  <c r="D57" i="19"/>
  <c r="F57" i="19"/>
  <c r="M9" i="162"/>
  <c r="S8" i="162"/>
  <c r="M7" i="162"/>
  <c r="H7" i="162"/>
  <c r="S7" i="162"/>
  <c r="M10" i="162"/>
  <c r="S11" i="162"/>
  <c r="B15" i="162"/>
  <c r="H8" i="162"/>
  <c r="B12" i="162"/>
  <c r="S16" i="162"/>
  <c r="H13" i="162"/>
  <c r="T11" i="162"/>
  <c r="N10" i="162"/>
  <c r="I8" i="162"/>
  <c r="C15" i="162"/>
  <c r="L17" i="28"/>
  <c r="I11" i="162"/>
  <c r="N9" i="162"/>
  <c r="T8" i="162"/>
  <c r="C12" i="162"/>
  <c r="I13" i="162"/>
  <c r="T16" i="162"/>
  <c r="C10" i="162"/>
  <c r="N12" i="162"/>
  <c r="I9" i="162"/>
  <c r="H9" i="162"/>
  <c r="S10" i="162"/>
  <c r="M12" i="162"/>
  <c r="H17" i="162"/>
  <c r="B9" i="162"/>
  <c r="S12" i="162"/>
  <c r="I17" i="162"/>
  <c r="C9" i="162"/>
  <c r="T12" i="162"/>
  <c r="N8" i="162"/>
  <c r="P14" i="24"/>
  <c r="Q14" i="24"/>
  <c r="Q34" i="24" s="1"/>
  <c r="M8" i="162"/>
  <c r="N16" i="162"/>
  <c r="M16" i="162"/>
  <c r="H15" i="162"/>
  <c r="F131" i="6" l="1"/>
  <c r="G131" i="6"/>
  <c r="H131" i="6"/>
  <c r="I131" i="6"/>
  <c r="J131" i="6"/>
  <c r="K131" i="6"/>
  <c r="L131" i="6"/>
  <c r="M131" i="6"/>
  <c r="H133" i="5"/>
  <c r="I131" i="5"/>
  <c r="F134" i="5"/>
  <c r="E134" i="5"/>
  <c r="D134" i="5"/>
  <c r="H111" i="5"/>
  <c r="I111" i="5" s="1"/>
  <c r="I99" i="5"/>
  <c r="H113" i="5"/>
  <c r="I86" i="5"/>
  <c r="J11" i="172"/>
  <c r="J10" i="172"/>
  <c r="J9" i="172"/>
  <c r="J8" i="172"/>
  <c r="J6" i="172"/>
  <c r="J7" i="172" s="1"/>
  <c r="J13" i="172" s="1"/>
  <c r="K5" i="172"/>
  <c r="L18" i="28"/>
  <c r="I133" i="5" l="1"/>
  <c r="H134" i="5"/>
  <c r="K11" i="172"/>
  <c r="K10" i="172"/>
  <c r="K9" i="172"/>
  <c r="K8" i="172"/>
  <c r="K6" i="172"/>
  <c r="K7" i="172" s="1"/>
  <c r="K13" i="172" s="1"/>
  <c r="L5" i="172"/>
  <c r="L19" i="28"/>
  <c r="L11" i="172" l="1"/>
  <c r="L10" i="172"/>
  <c r="L9" i="172"/>
  <c r="L8" i="172"/>
  <c r="L6" i="172"/>
  <c r="L7" i="172" s="1"/>
  <c r="L13" i="172" s="1"/>
  <c r="M5" i="172"/>
  <c r="L20" i="28"/>
  <c r="M11" i="172" l="1"/>
  <c r="M10" i="172"/>
  <c r="M9" i="172"/>
  <c r="M8" i="172"/>
  <c r="M6" i="172"/>
  <c r="M7" i="172" s="1"/>
  <c r="M13" i="172" s="1"/>
  <c r="N5" i="172"/>
  <c r="L21" i="28"/>
  <c r="N11" i="172" l="1"/>
  <c r="N10" i="172"/>
  <c r="N9" i="172"/>
  <c r="N8" i="172"/>
  <c r="N6" i="172"/>
  <c r="N7" i="172" s="1"/>
  <c r="N13" i="172" s="1"/>
  <c r="O5" i="172"/>
  <c r="L22" i="28"/>
  <c r="O11" i="172" l="1"/>
  <c r="O10" i="172"/>
  <c r="O9" i="172"/>
  <c r="O8" i="172"/>
  <c r="O6" i="172"/>
  <c r="O7" i="172" s="1"/>
  <c r="O13" i="172" s="1"/>
  <c r="P5" i="172"/>
  <c r="L23" i="28"/>
  <c r="P11" i="172" l="1"/>
  <c r="P10" i="172"/>
  <c r="P9" i="172"/>
  <c r="P8" i="172"/>
  <c r="P6" i="172"/>
  <c r="P7" i="172" s="1"/>
  <c r="P13" i="172" s="1"/>
  <c r="Q5" i="172"/>
  <c r="L24" i="28"/>
  <c r="Q11" i="172" l="1"/>
  <c r="Q10" i="172"/>
  <c r="Q9" i="172"/>
  <c r="Q8" i="172"/>
  <c r="Q6" i="172"/>
  <c r="Q7" i="172" s="1"/>
  <c r="Q13" i="172" s="1"/>
  <c r="R5" i="172"/>
  <c r="L25" i="28"/>
  <c r="R11" i="172" l="1"/>
  <c r="R10" i="172"/>
  <c r="R9" i="172"/>
  <c r="R8" i="172"/>
  <c r="R6" i="172"/>
  <c r="R7" i="172" s="1"/>
  <c r="R13" i="172" s="1"/>
  <c r="L26" i="28"/>
  <c r="O19" i="15" l="1"/>
  <c r="C20" i="15"/>
  <c r="B20" i="15"/>
  <c r="K32" i="28" l="1"/>
  <c r="K31" i="28"/>
  <c r="K28" i="28"/>
  <c r="K29" i="28"/>
  <c r="K30" i="28"/>
  <c r="J32" i="28"/>
  <c r="J30" i="28"/>
  <c r="J31" i="28"/>
  <c r="J29" i="28"/>
  <c r="J28" i="28"/>
  <c r="I30" i="28"/>
  <c r="Q40" i="28" s="1"/>
  <c r="I29" i="28"/>
  <c r="I28" i="28"/>
  <c r="I31" i="28"/>
  <c r="P40" i="28" s="1"/>
  <c r="I32" i="28"/>
  <c r="O40" i="28" s="1"/>
  <c r="O20" i="15"/>
  <c r="C21" i="15"/>
  <c r="B21" i="15" s="1"/>
  <c r="O21" i="15"/>
  <c r="C22" i="15"/>
  <c r="B22" i="15" s="1"/>
  <c r="C23" i="15"/>
  <c r="B23" i="15" s="1"/>
  <c r="O23" i="15"/>
  <c r="B28" i="15"/>
  <c r="C29" i="15"/>
  <c r="B29" i="15" s="1"/>
  <c r="C30" i="15"/>
  <c r="B30" i="15" s="1"/>
  <c r="C31" i="15"/>
  <c r="B31" i="15" s="1"/>
  <c r="C32" i="15"/>
  <c r="C33" i="15"/>
  <c r="B33" i="15"/>
  <c r="C34" i="15"/>
  <c r="B34" i="15"/>
  <c r="C35" i="15"/>
  <c r="B35" i="15"/>
  <c r="C36" i="15"/>
  <c r="B36" i="15"/>
  <c r="C37" i="15"/>
  <c r="B37" i="15" s="1"/>
  <c r="C38" i="15"/>
  <c r="B38" i="15" s="1"/>
  <c r="C39" i="15"/>
  <c r="B39" i="15" s="1"/>
  <c r="O22" i="15" l="1"/>
  <c r="B32" i="15"/>
  <c r="C40" i="15"/>
  <c r="B40" i="15"/>
  <c r="C41" i="15"/>
  <c r="B41" i="15"/>
  <c r="C42" i="15"/>
  <c r="B42" i="15" s="1"/>
  <c r="C43" i="15"/>
  <c r="B43" i="15" s="1"/>
  <c r="B48" i="15"/>
  <c r="C49" i="15"/>
  <c r="B49" i="15" s="1"/>
  <c r="C50" i="15"/>
  <c r="C51" i="15"/>
  <c r="B51" i="15" s="1"/>
  <c r="C52" i="15"/>
  <c r="B52" i="15" s="1"/>
  <c r="C53" i="15"/>
  <c r="B53" i="15"/>
  <c r="C54" i="15"/>
  <c r="C55" i="15"/>
  <c r="B55" i="15" s="1"/>
  <c r="C56" i="15"/>
  <c r="B56" i="15" s="1"/>
  <c r="C57" i="15"/>
  <c r="B57" i="15" s="1"/>
  <c r="C58" i="15"/>
  <c r="B58" i="15"/>
  <c r="C59" i="15"/>
  <c r="B59" i="15"/>
  <c r="B50" i="15" l="1"/>
  <c r="B54" i="15"/>
  <c r="C60" i="15"/>
  <c r="B60" i="15"/>
  <c r="C61" i="15"/>
  <c r="B61" i="15"/>
  <c r="C62" i="15"/>
  <c r="B62" i="15"/>
  <c r="C63" i="15"/>
  <c r="B63" i="15"/>
  <c r="B68" i="15"/>
  <c r="C69" i="15"/>
  <c r="B69" i="15" s="1"/>
  <c r="C70" i="15"/>
  <c r="B70" i="15"/>
  <c r="C71" i="15"/>
  <c r="B71" i="15"/>
  <c r="C72" i="15"/>
  <c r="B72" i="15" s="1"/>
  <c r="C73" i="15"/>
  <c r="B73" i="15" s="1"/>
  <c r="C74" i="15"/>
  <c r="C75" i="15"/>
  <c r="B75" i="15"/>
  <c r="C76" i="15"/>
  <c r="B76" i="15"/>
  <c r="C77" i="15"/>
  <c r="B77" i="15" s="1"/>
  <c r="C78" i="15"/>
  <c r="B78" i="15"/>
  <c r="C79" i="15"/>
  <c r="B79" i="15" s="1"/>
  <c r="B74" i="15" l="1"/>
  <c r="C80" i="15"/>
  <c r="B80" i="15" s="1"/>
  <c r="C81" i="15"/>
  <c r="B81" i="15" s="1"/>
  <c r="C82" i="15"/>
  <c r="B82" i="15"/>
  <c r="C83" i="15"/>
  <c r="B83" i="15"/>
  <c r="C89" i="15"/>
  <c r="C90" i="15"/>
  <c r="C91" i="15"/>
  <c r="B91" i="15"/>
  <c r="C92" i="15"/>
  <c r="B92" i="15"/>
  <c r="C93" i="15"/>
  <c r="B93" i="15"/>
  <c r="C94" i="15"/>
  <c r="B94" i="15" s="1"/>
  <c r="C95" i="15"/>
  <c r="C96" i="15"/>
  <c r="B96" i="15" s="1"/>
  <c r="C97" i="15"/>
  <c r="B97" i="15"/>
  <c r="C98" i="15"/>
  <c r="B98" i="15"/>
  <c r="C99" i="15"/>
  <c r="B99" i="15"/>
  <c r="B90" i="15" l="1"/>
  <c r="B89" i="15"/>
  <c r="B95" i="15"/>
  <c r="O99" i="15"/>
  <c r="C100" i="15"/>
  <c r="B100" i="15" s="1"/>
  <c r="O100" i="15"/>
  <c r="C101" i="15"/>
  <c r="B101" i="15" s="1"/>
  <c r="C102" i="15"/>
  <c r="B102" i="15"/>
  <c r="C103" i="15"/>
  <c r="B103" i="15"/>
  <c r="O103" i="15"/>
  <c r="C111" i="15"/>
  <c r="B111" i="15" s="1"/>
  <c r="C112" i="15"/>
  <c r="B112" i="15"/>
  <c r="C113" i="15"/>
  <c r="B113" i="15" s="1"/>
  <c r="C114" i="15"/>
  <c r="B114" i="15"/>
  <c r="C115" i="15"/>
  <c r="B115" i="15"/>
  <c r="C116" i="15"/>
  <c r="B116" i="15"/>
  <c r="C117" i="15"/>
  <c r="B117" i="15"/>
  <c r="C118" i="15"/>
  <c r="B118" i="15"/>
  <c r="C119" i="15"/>
  <c r="B119" i="15"/>
  <c r="C120" i="15"/>
  <c r="B120" i="15" s="1"/>
  <c r="C121" i="15"/>
  <c r="O121" i="15" s="1"/>
  <c r="D121" i="15"/>
  <c r="E121" i="15"/>
  <c r="F121" i="15"/>
  <c r="G121" i="15"/>
  <c r="H121" i="15"/>
  <c r="I121" i="15"/>
  <c r="J121" i="15"/>
  <c r="K121" i="15"/>
  <c r="L121" i="15"/>
  <c r="M121" i="15"/>
  <c r="N121" i="15"/>
  <c r="C122" i="15"/>
  <c r="O122" i="15" s="1"/>
  <c r="B122" i="15"/>
  <c r="D122" i="15"/>
  <c r="E122" i="15"/>
  <c r="F122" i="15"/>
  <c r="G122" i="15"/>
  <c r="H122" i="15"/>
  <c r="I122" i="15"/>
  <c r="J122" i="15"/>
  <c r="K122" i="15"/>
  <c r="L122" i="15"/>
  <c r="M122" i="15"/>
  <c r="N122" i="15"/>
  <c r="C123" i="15"/>
  <c r="O123" i="15" s="1"/>
  <c r="B123" i="15"/>
  <c r="D123" i="15"/>
  <c r="E123" i="15"/>
  <c r="F123" i="15"/>
  <c r="G123" i="15"/>
  <c r="H123" i="15"/>
  <c r="I123" i="15"/>
  <c r="J123" i="15"/>
  <c r="K123" i="15"/>
  <c r="L123" i="15"/>
  <c r="M123" i="15"/>
  <c r="N123" i="15"/>
  <c r="C124" i="15"/>
  <c r="O124" i="15" s="1"/>
  <c r="D124" i="15"/>
  <c r="E124" i="15"/>
  <c r="F124" i="15"/>
  <c r="G124" i="15"/>
  <c r="H124" i="15"/>
  <c r="I124" i="15"/>
  <c r="J124" i="15"/>
  <c r="K124" i="15"/>
  <c r="L124" i="15"/>
  <c r="M124" i="15"/>
  <c r="N124" i="15"/>
  <c r="C125" i="15"/>
  <c r="O125" i="15" s="1"/>
  <c r="B125" i="15"/>
  <c r="D125" i="15"/>
  <c r="E125" i="15"/>
  <c r="F125" i="15"/>
  <c r="G125" i="15"/>
  <c r="H125" i="15"/>
  <c r="I125" i="15"/>
  <c r="J125" i="15"/>
  <c r="K125" i="15"/>
  <c r="L125" i="15"/>
  <c r="M125" i="15"/>
  <c r="N125" i="15"/>
  <c r="C134" i="15"/>
  <c r="B134" i="15" s="1"/>
  <c r="C135" i="15"/>
  <c r="B135" i="15"/>
  <c r="C136" i="15"/>
  <c r="B136" i="15" s="1"/>
  <c r="C137" i="15"/>
  <c r="B137" i="15" s="1"/>
  <c r="C138" i="15"/>
  <c r="B138" i="15"/>
  <c r="C139" i="15"/>
  <c r="B139" i="15"/>
  <c r="C140" i="15"/>
  <c r="B140" i="15"/>
  <c r="C141" i="15"/>
  <c r="B141" i="15" s="1"/>
  <c r="C142" i="15"/>
  <c r="B142" i="15"/>
  <c r="C143" i="15"/>
  <c r="B143" i="15" s="1"/>
  <c r="C144" i="15"/>
  <c r="O144" i="15" s="1"/>
  <c r="B144" i="15"/>
  <c r="D144" i="15"/>
  <c r="E144" i="15"/>
  <c r="F144" i="15"/>
  <c r="G144" i="15"/>
  <c r="H144" i="15"/>
  <c r="I144" i="15"/>
  <c r="J144" i="15"/>
  <c r="K144" i="15"/>
  <c r="L144" i="15"/>
  <c r="M144" i="15"/>
  <c r="N144" i="15"/>
  <c r="C145" i="15"/>
  <c r="B145" i="15" s="1"/>
  <c r="D145" i="15"/>
  <c r="E145" i="15"/>
  <c r="F145" i="15"/>
  <c r="G145" i="15"/>
  <c r="H145" i="15"/>
  <c r="I145" i="15"/>
  <c r="J145" i="15"/>
  <c r="K145" i="15"/>
  <c r="L145" i="15"/>
  <c r="M145" i="15"/>
  <c r="N145" i="15"/>
  <c r="C146" i="15"/>
  <c r="O146" i="15" s="1"/>
  <c r="B146" i="15"/>
  <c r="D146" i="15"/>
  <c r="E146" i="15"/>
  <c r="F146" i="15"/>
  <c r="G146" i="15"/>
  <c r="H146" i="15"/>
  <c r="I146" i="15"/>
  <c r="J146" i="15"/>
  <c r="K146" i="15"/>
  <c r="L146" i="15"/>
  <c r="M146" i="15"/>
  <c r="N146" i="15"/>
  <c r="C147" i="15"/>
  <c r="O147" i="15" s="1"/>
  <c r="B147" i="15"/>
  <c r="D147" i="15"/>
  <c r="E147" i="15"/>
  <c r="F147" i="15"/>
  <c r="G147" i="15"/>
  <c r="H147" i="15"/>
  <c r="I147" i="15"/>
  <c r="J147" i="15"/>
  <c r="K147" i="15"/>
  <c r="L147" i="15"/>
  <c r="M147" i="15"/>
  <c r="N147" i="15"/>
  <c r="C148" i="15"/>
  <c r="O148" i="15" s="1"/>
  <c r="D148" i="15"/>
  <c r="E148" i="15"/>
  <c r="F148" i="15"/>
  <c r="G148" i="15"/>
  <c r="H148" i="15"/>
  <c r="I148" i="15"/>
  <c r="J148" i="15"/>
  <c r="K148" i="15"/>
  <c r="L148" i="15"/>
  <c r="M148" i="15"/>
  <c r="N148" i="15"/>
  <c r="C157" i="15"/>
  <c r="B157" i="15"/>
  <c r="C158" i="15"/>
  <c r="B158" i="15"/>
  <c r="C159" i="15"/>
  <c r="B159" i="15"/>
  <c r="C160" i="15"/>
  <c r="B160" i="15" s="1"/>
  <c r="C161" i="15"/>
  <c r="B161" i="15"/>
  <c r="C162" i="15"/>
  <c r="B162" i="15"/>
  <c r="C163" i="15"/>
  <c r="B163" i="15"/>
  <c r="C164" i="15"/>
  <c r="B164" i="15" s="1"/>
  <c r="C165" i="15"/>
  <c r="B165" i="15"/>
  <c r="C166" i="15"/>
  <c r="B166" i="15"/>
  <c r="C167" i="15"/>
  <c r="O167" i="15" s="1"/>
  <c r="D167" i="15"/>
  <c r="E167" i="15"/>
  <c r="F167" i="15"/>
  <c r="G167" i="15"/>
  <c r="H167" i="15"/>
  <c r="I167" i="15"/>
  <c r="J167" i="15"/>
  <c r="K167" i="15"/>
  <c r="L167" i="15"/>
  <c r="M167" i="15"/>
  <c r="N167" i="15"/>
  <c r="C168" i="15"/>
  <c r="O168" i="15" s="1"/>
  <c r="B168" i="15"/>
  <c r="D168" i="15"/>
  <c r="E168" i="15"/>
  <c r="F168" i="15"/>
  <c r="G168" i="15"/>
  <c r="H168" i="15"/>
  <c r="I168" i="15"/>
  <c r="J168" i="15"/>
  <c r="K168" i="15"/>
  <c r="L168" i="15"/>
  <c r="M168" i="15"/>
  <c r="N168" i="15"/>
  <c r="C169" i="15"/>
  <c r="O169" i="15" s="1"/>
  <c r="B169" i="15"/>
  <c r="D169" i="15"/>
  <c r="E169" i="15"/>
  <c r="F169" i="15"/>
  <c r="G169" i="15"/>
  <c r="H169" i="15"/>
  <c r="I169" i="15"/>
  <c r="J169" i="15"/>
  <c r="K169" i="15"/>
  <c r="L169" i="15"/>
  <c r="M169" i="15"/>
  <c r="N169" i="15"/>
  <c r="C170" i="15"/>
  <c r="O170" i="15" s="1"/>
  <c r="B170" i="15"/>
  <c r="D170" i="15"/>
  <c r="E170" i="15"/>
  <c r="F170" i="15"/>
  <c r="G170" i="15"/>
  <c r="H170" i="15"/>
  <c r="I170" i="15"/>
  <c r="J170" i="15"/>
  <c r="K170" i="15"/>
  <c r="L170" i="15"/>
  <c r="M170" i="15"/>
  <c r="N170" i="15"/>
  <c r="C171" i="15"/>
  <c r="B171" i="15" s="1"/>
  <c r="D171" i="15"/>
  <c r="E171" i="15"/>
  <c r="F171" i="15"/>
  <c r="G171" i="15"/>
  <c r="H171" i="15"/>
  <c r="I171" i="15"/>
  <c r="J171" i="15"/>
  <c r="K171" i="15"/>
  <c r="L171" i="15"/>
  <c r="M171" i="15"/>
  <c r="N171" i="15"/>
  <c r="C181" i="15"/>
  <c r="B181" i="15" s="1"/>
  <c r="C182" i="15"/>
  <c r="C183" i="15"/>
  <c r="B183" i="15" s="1"/>
  <c r="C184" i="15"/>
  <c r="B184" i="15"/>
  <c r="C185" i="15"/>
  <c r="B185" i="15" s="1"/>
  <c r="C186" i="15"/>
  <c r="B186" i="15" s="1"/>
  <c r="C187" i="15"/>
  <c r="B187" i="15"/>
  <c r="C188" i="15"/>
  <c r="B188" i="15"/>
  <c r="C189" i="15"/>
  <c r="B189" i="15"/>
  <c r="C190" i="15"/>
  <c r="B190" i="15"/>
  <c r="C191" i="15"/>
  <c r="B191" i="15" s="1"/>
  <c r="B167" i="15" l="1"/>
  <c r="B148" i="15"/>
  <c r="O145" i="15"/>
  <c r="O101" i="15"/>
  <c r="O171" i="15"/>
  <c r="B124" i="15"/>
  <c r="B121" i="15"/>
  <c r="B182" i="15"/>
  <c r="O102" i="15"/>
  <c r="O191" i="15"/>
  <c r="C192" i="15"/>
  <c r="B192" i="15"/>
  <c r="O192" i="15"/>
  <c r="C193" i="15"/>
  <c r="B193" i="15"/>
  <c r="O193" i="15"/>
  <c r="C194" i="15"/>
  <c r="B194" i="15"/>
  <c r="C195" i="15"/>
  <c r="B195" i="15" s="1"/>
  <c r="C204" i="15"/>
  <c r="B204" i="15" s="1"/>
  <c r="C205" i="15"/>
  <c r="B205" i="15" s="1"/>
  <c r="C206" i="15"/>
  <c r="C207" i="15"/>
  <c r="B207" i="15" s="1"/>
  <c r="C208" i="15"/>
  <c r="B208" i="15" s="1"/>
  <c r="C209" i="15"/>
  <c r="B209" i="15" s="1"/>
  <c r="C210" i="15"/>
  <c r="B210" i="15" s="1"/>
  <c r="C211" i="15"/>
  <c r="B211" i="15" s="1"/>
  <c r="C212" i="15"/>
  <c r="B212" i="15"/>
  <c r="C213" i="15"/>
  <c r="B213" i="15" s="1"/>
  <c r="C214" i="15"/>
  <c r="B214" i="15"/>
  <c r="O194" i="15" l="1"/>
  <c r="O195" i="15"/>
  <c r="B206" i="15"/>
  <c r="O214" i="15"/>
  <c r="C215" i="15"/>
  <c r="B215" i="15"/>
  <c r="O215" i="15"/>
  <c r="C216" i="15"/>
  <c r="B216" i="15"/>
  <c r="O216" i="15"/>
  <c r="C217" i="15"/>
  <c r="B217" i="15"/>
  <c r="C218" i="15"/>
  <c r="B218" i="15"/>
  <c r="O218" i="15"/>
  <c r="C227" i="15"/>
  <c r="B227" i="15" s="1"/>
  <c r="C228" i="15"/>
  <c r="B228" i="15" s="1"/>
  <c r="C229" i="15"/>
  <c r="B229" i="15" s="1"/>
  <c r="C230" i="15"/>
  <c r="B230" i="15" s="1"/>
  <c r="C231" i="15"/>
  <c r="B231" i="15"/>
  <c r="C232" i="15"/>
  <c r="B232" i="15" s="1"/>
  <c r="C233" i="15"/>
  <c r="B233" i="15" s="1"/>
  <c r="C234" i="15"/>
  <c r="B234" i="15" s="1"/>
  <c r="C235" i="15"/>
  <c r="B235" i="15"/>
  <c r="C236" i="15"/>
  <c r="B236" i="15" s="1"/>
  <c r="C237" i="15"/>
  <c r="B237" i="15"/>
  <c r="O217" i="15" l="1"/>
  <c r="O237" i="15"/>
  <c r="C238" i="15"/>
  <c r="B238" i="15"/>
  <c r="O238" i="15"/>
  <c r="C239" i="15"/>
  <c r="B239" i="15" s="1"/>
  <c r="O239" i="15"/>
  <c r="C240" i="15"/>
  <c r="B240" i="15"/>
  <c r="C241" i="15"/>
  <c r="B241" i="15"/>
  <c r="O241" i="15"/>
  <c r="C5" i="7"/>
  <c r="C4" i="7"/>
  <c r="I5" i="7"/>
  <c r="C6" i="7"/>
  <c r="E10" i="7" s="1"/>
  <c r="I6" i="7"/>
  <c r="C8" i="7"/>
  <c r="H10" i="7"/>
  <c r="N10" i="7" l="1"/>
  <c r="G14" i="20"/>
  <c r="U10" i="162" s="1"/>
  <c r="G16" i="20"/>
  <c r="U11" i="162" s="1"/>
  <c r="D19" i="20"/>
  <c r="D9" i="162" s="1"/>
  <c r="D18" i="20"/>
  <c r="D16" i="162" s="1"/>
  <c r="D17" i="20"/>
  <c r="D11" i="162" s="1"/>
  <c r="I19" i="7"/>
  <c r="D16" i="20"/>
  <c r="D15" i="162" s="1"/>
  <c r="D15" i="20"/>
  <c r="D13" i="162" s="1"/>
  <c r="I18" i="7"/>
  <c r="J18" i="7" s="1"/>
  <c r="I17" i="7"/>
  <c r="J17" i="7" s="1"/>
  <c r="D14" i="20"/>
  <c r="D10" i="162" s="1"/>
  <c r="D13" i="20"/>
  <c r="D17" i="162" s="1"/>
  <c r="I16" i="7"/>
  <c r="J16" i="7" s="1"/>
  <c r="I15" i="7"/>
  <c r="D12" i="20"/>
  <c r="D14" i="162" s="1"/>
  <c r="I14" i="7"/>
  <c r="D11" i="20"/>
  <c r="D8" i="162" s="1"/>
  <c r="D10" i="20"/>
  <c r="D12" i="162" s="1"/>
  <c r="E19" i="20"/>
  <c r="J17" i="162" s="1"/>
  <c r="G19" i="20"/>
  <c r="U12" i="162" s="1"/>
  <c r="G18" i="20"/>
  <c r="U17" i="162" s="1"/>
  <c r="E18" i="20"/>
  <c r="J14" i="162" s="1"/>
  <c r="E17" i="20"/>
  <c r="J12" i="162" s="1"/>
  <c r="G17" i="20"/>
  <c r="U9" i="162" s="1"/>
  <c r="J19" i="7"/>
  <c r="E16" i="20"/>
  <c r="J8" i="162" s="1"/>
  <c r="E15" i="20"/>
  <c r="J11" i="162" s="1"/>
  <c r="G15" i="20"/>
  <c r="U8" i="162" s="1"/>
  <c r="E14" i="20"/>
  <c r="J9" i="162" s="1"/>
  <c r="E13" i="20"/>
  <c r="J16" i="162" s="1"/>
  <c r="G13" i="20"/>
  <c r="U15" i="162" s="1"/>
  <c r="G12" i="20"/>
  <c r="U14" i="162" s="1"/>
  <c r="E12" i="20"/>
  <c r="J15" i="162" s="1"/>
  <c r="E11" i="20"/>
  <c r="J10" i="162" s="1"/>
  <c r="G11" i="20"/>
  <c r="U13" i="162" s="1"/>
  <c r="E10" i="20"/>
  <c r="J13" i="162" s="1"/>
  <c r="G10" i="20"/>
  <c r="O240" i="15"/>
  <c r="I20" i="7"/>
  <c r="J20" i="7"/>
  <c r="I21" i="7"/>
  <c r="J21" i="7" s="1"/>
  <c r="I22" i="7"/>
  <c r="J22" i="7"/>
  <c r="J15" i="7" l="1"/>
  <c r="U16" i="162"/>
  <c r="J14" i="7"/>
  <c r="I13" i="7"/>
  <c r="J13" i="7" s="1"/>
  <c r="K24" i="7" l="1"/>
  <c r="C14" i="17" s="1"/>
  <c r="F25" i="7"/>
  <c r="E52" i="7"/>
  <c r="B53" i="7"/>
  <c r="D55" i="7"/>
  <c r="D56" i="7"/>
  <c r="D57" i="7"/>
  <c r="D58" i="7"/>
  <c r="D59" i="7"/>
  <c r="D60" i="7"/>
  <c r="D61" i="7"/>
  <c r="B1" i="163"/>
  <c r="B43" i="163"/>
  <c r="B2" i="163"/>
  <c r="B44" i="163"/>
  <c r="B6" i="163"/>
  <c r="B45" i="163"/>
  <c r="B10" i="163" s="1"/>
  <c r="C8" i="163"/>
  <c r="D8" i="163"/>
  <c r="E8" i="163"/>
  <c r="F8" i="163"/>
  <c r="G8" i="163"/>
  <c r="B46" i="163"/>
  <c r="B12" i="163" s="1"/>
  <c r="C11" i="163"/>
  <c r="D11" i="163"/>
  <c r="E11" i="163"/>
  <c r="F11" i="163"/>
  <c r="G11" i="163"/>
  <c r="B47" i="163"/>
  <c r="B14" i="163" s="1"/>
  <c r="C14" i="163"/>
  <c r="D14" i="163"/>
  <c r="E14" i="163"/>
  <c r="F14" i="163"/>
  <c r="G14" i="163"/>
  <c r="B48" i="163"/>
  <c r="B18" i="163" s="1"/>
  <c r="B17" i="163"/>
  <c r="C17" i="163"/>
  <c r="D17" i="163"/>
  <c r="E17" i="163"/>
  <c r="F17" i="163"/>
  <c r="G17" i="163"/>
  <c r="B49" i="163"/>
  <c r="B21" i="163" s="1"/>
  <c r="C20" i="163"/>
  <c r="D20" i="163"/>
  <c r="E20" i="163"/>
  <c r="F20" i="163"/>
  <c r="G20" i="163"/>
  <c r="B50" i="163"/>
  <c r="B25" i="163" s="1"/>
  <c r="B23" i="163"/>
  <c r="B51" i="163"/>
  <c r="B26" i="163" s="1"/>
  <c r="C26" i="163"/>
  <c r="D26" i="163"/>
  <c r="E26" i="163"/>
  <c r="F26" i="163"/>
  <c r="G26" i="163"/>
  <c r="B52" i="163"/>
  <c r="B31" i="163" s="1"/>
  <c r="B30" i="163"/>
  <c r="B32" i="163"/>
  <c r="B33" i="163"/>
  <c r="B34" i="163"/>
  <c r="B35" i="163"/>
  <c r="B36" i="163"/>
  <c r="X5" i="161"/>
  <c r="W6" i="161"/>
  <c r="X6" i="161"/>
  <c r="J13" i="163"/>
  <c r="K13" i="163"/>
  <c r="L13" i="163"/>
  <c r="M13" i="163"/>
  <c r="N13" i="163"/>
  <c r="O13" i="163"/>
  <c r="P13" i="163"/>
  <c r="Q13" i="163"/>
  <c r="R13" i="163"/>
  <c r="J16" i="163"/>
  <c r="K16" i="163"/>
  <c r="L16" i="163"/>
  <c r="M16" i="163"/>
  <c r="N16" i="163"/>
  <c r="O16" i="163"/>
  <c r="P16" i="163"/>
  <c r="Q16" i="163"/>
  <c r="R16" i="163"/>
  <c r="J19" i="163"/>
  <c r="K19" i="163"/>
  <c r="L19" i="163"/>
  <c r="M19" i="163"/>
  <c r="N19" i="163"/>
  <c r="O19" i="163"/>
  <c r="P19" i="163"/>
  <c r="Q19" i="163"/>
  <c r="R19" i="163"/>
  <c r="J22" i="163"/>
  <c r="K22" i="163"/>
  <c r="L22" i="163"/>
  <c r="M22" i="163"/>
  <c r="N22" i="163"/>
  <c r="O22" i="163"/>
  <c r="P22" i="163"/>
  <c r="Q22" i="163"/>
  <c r="R22" i="163"/>
  <c r="M10" i="163"/>
  <c r="Q10" i="163"/>
  <c r="R10" i="163"/>
  <c r="I29" i="163"/>
  <c r="P169" i="161"/>
  <c r="R169" i="161"/>
  <c r="S169" i="161"/>
  <c r="V169" i="161"/>
  <c r="W169" i="161"/>
  <c r="X169" i="161"/>
  <c r="X170" i="161" s="1"/>
  <c r="K31" i="163"/>
  <c r="O31" i="163"/>
  <c r="P31" i="163"/>
  <c r="Q31" i="163"/>
  <c r="R31" i="163"/>
  <c r="M32" i="163"/>
  <c r="N32" i="163"/>
  <c r="O32" i="163"/>
  <c r="I33" i="163"/>
  <c r="J33" i="163"/>
  <c r="K33" i="163"/>
  <c r="L33" i="163"/>
  <c r="M33" i="163"/>
  <c r="N33" i="163"/>
  <c r="O33" i="163"/>
  <c r="P33" i="163"/>
  <c r="Q33" i="163"/>
  <c r="R33" i="163"/>
  <c r="I34" i="163"/>
  <c r="J34" i="163"/>
  <c r="K34" i="163"/>
  <c r="L34" i="163"/>
  <c r="M34" i="163"/>
  <c r="N34" i="163"/>
  <c r="O34" i="163"/>
  <c r="P34" i="163"/>
  <c r="Q34" i="163"/>
  <c r="R34" i="163"/>
  <c r="M36" i="163"/>
  <c r="N36" i="163"/>
  <c r="O36" i="163"/>
  <c r="P36" i="163"/>
  <c r="Q36" i="163"/>
  <c r="R36" i="163"/>
  <c r="M37" i="163"/>
  <c r="Q37" i="163"/>
  <c r="I6" i="161"/>
  <c r="K4" i="161"/>
  <c r="L4" i="161"/>
  <c r="M4" i="161"/>
  <c r="F44" i="161"/>
  <c r="K44" i="161"/>
  <c r="L44" i="161"/>
  <c r="M44" i="161"/>
  <c r="C13" i="163"/>
  <c r="D13" i="163"/>
  <c r="E13" i="163"/>
  <c r="F13" i="163"/>
  <c r="G13" i="163"/>
  <c r="C16" i="163"/>
  <c r="D16" i="163"/>
  <c r="E16" i="163"/>
  <c r="F16" i="163"/>
  <c r="G16" i="163"/>
  <c r="C19" i="163"/>
  <c r="D19" i="163"/>
  <c r="E19" i="163"/>
  <c r="F19" i="163"/>
  <c r="G19" i="163"/>
  <c r="C22" i="163"/>
  <c r="D22" i="163"/>
  <c r="E22" i="163"/>
  <c r="F22" i="163"/>
  <c r="G22" i="163"/>
  <c r="C10" i="163"/>
  <c r="E10" i="163"/>
  <c r="C168" i="161"/>
  <c r="D168" i="161"/>
  <c r="E168" i="161"/>
  <c r="F168" i="161"/>
  <c r="G168" i="161"/>
  <c r="H168" i="161"/>
  <c r="I168" i="161"/>
  <c r="J168" i="161"/>
  <c r="K168" i="161"/>
  <c r="L168" i="161"/>
  <c r="M168" i="161"/>
  <c r="G126" i="161"/>
  <c r="C33" i="163"/>
  <c r="D33" i="163"/>
  <c r="F33" i="163"/>
  <c r="B37" i="163"/>
  <c r="D4" i="4"/>
  <c r="B11" i="163" l="1"/>
  <c r="B20" i="163"/>
  <c r="B8" i="163"/>
  <c r="Q27" i="163"/>
  <c r="M170" i="161"/>
  <c r="K170" i="161"/>
  <c r="C2" i="163"/>
  <c r="E4" i="163"/>
  <c r="E32" i="163"/>
  <c r="D32" i="163"/>
  <c r="F37" i="163"/>
  <c r="E7" i="163"/>
  <c r="L170" i="161"/>
  <c r="M6" i="161"/>
  <c r="L6" i="161"/>
  <c r="C32" i="163"/>
  <c r="D37" i="163"/>
  <c r="C37" i="163"/>
  <c r="N35" i="163"/>
  <c r="M35" i="163"/>
  <c r="R46" i="161"/>
  <c r="R4" i="163"/>
  <c r="U85" i="161"/>
  <c r="R37" i="163"/>
  <c r="M86" i="161"/>
  <c r="G25" i="163"/>
  <c r="F36" i="163"/>
  <c r="E36" i="163"/>
  <c r="R27" i="163"/>
  <c r="B22" i="163"/>
  <c r="B19" i="163"/>
  <c r="M27" i="163"/>
  <c r="N27" i="163"/>
  <c r="K27" i="163"/>
  <c r="G5" i="163"/>
  <c r="E5" i="163"/>
  <c r="D38" i="19"/>
  <c r="C50" i="20" s="1"/>
  <c r="G28" i="163"/>
  <c r="F28" i="163"/>
  <c r="B9" i="163"/>
  <c r="F32" i="163"/>
  <c r="L46" i="161"/>
  <c r="I24" i="7"/>
  <c r="C27" i="17" s="1"/>
  <c r="C29" i="17" s="1"/>
  <c r="H24" i="7"/>
  <c r="F59" i="7"/>
  <c r="F60" i="7"/>
  <c r="F61" i="7"/>
  <c r="F55" i="7"/>
  <c r="F56" i="7"/>
  <c r="F57" i="7"/>
  <c r="F58" i="7"/>
  <c r="U46" i="161"/>
  <c r="P7" i="163"/>
  <c r="C84" i="161"/>
  <c r="D126" i="161"/>
  <c r="X85" i="161"/>
  <c r="E23" i="7"/>
  <c r="F34" i="163"/>
  <c r="C126" i="161"/>
  <c r="M31" i="163"/>
  <c r="E34" i="163"/>
  <c r="G37" i="163"/>
  <c r="G4" i="161"/>
  <c r="G170" i="161" s="1"/>
  <c r="L31" i="163"/>
  <c r="B7" i="163"/>
  <c r="B5" i="163"/>
  <c r="F4" i="161"/>
  <c r="F170" i="161" s="1"/>
  <c r="R32" i="163"/>
  <c r="R35" i="163" s="1"/>
  <c r="E4" i="161"/>
  <c r="E170" i="161" s="1"/>
  <c r="F23" i="7"/>
  <c r="C34" i="163"/>
  <c r="D4" i="161"/>
  <c r="D170" i="161" s="1"/>
  <c r="P32" i="163"/>
  <c r="P35" i="163" s="1"/>
  <c r="P24" i="163"/>
  <c r="C4" i="161"/>
  <c r="C170" i="161" s="1"/>
  <c r="O35" i="163"/>
  <c r="S27" i="163"/>
  <c r="B13" i="163"/>
  <c r="G4" i="163"/>
  <c r="U169" i="161"/>
  <c r="P27" i="163"/>
  <c r="E25" i="7"/>
  <c r="D44" i="161"/>
  <c r="H23" i="7"/>
  <c r="C44" i="161"/>
  <c r="F126" i="161"/>
  <c r="D84" i="161"/>
  <c r="S46" i="161"/>
  <c r="N7" i="163"/>
  <c r="J6" i="161"/>
  <c r="D4" i="163"/>
  <c r="D39" i="19"/>
  <c r="C51" i="20" s="1"/>
  <c r="E44" i="161"/>
  <c r="E126" i="161"/>
  <c r="R85" i="161"/>
  <c r="Q46" i="161"/>
  <c r="L7" i="163"/>
  <c r="P10" i="163"/>
  <c r="P37" i="163"/>
  <c r="P46" i="161"/>
  <c r="K7" i="163"/>
  <c r="K25" i="7"/>
  <c r="K23" i="7"/>
  <c r="J46" i="161"/>
  <c r="D7" i="163"/>
  <c r="O46" i="161"/>
  <c r="J7" i="163"/>
  <c r="I46" i="161"/>
  <c r="C7" i="163"/>
  <c r="T169" i="161"/>
  <c r="O27" i="163"/>
  <c r="N46" i="161"/>
  <c r="I7" i="163"/>
  <c r="S6" i="161"/>
  <c r="N4" i="163"/>
  <c r="I25" i="7"/>
  <c r="H46" i="161"/>
  <c r="R6" i="161"/>
  <c r="M4" i="163"/>
  <c r="L36" i="163"/>
  <c r="L37" i="163"/>
  <c r="L10" i="163"/>
  <c r="H25" i="7"/>
  <c r="K32" i="163"/>
  <c r="K35" i="163" s="1"/>
  <c r="K10" i="163"/>
  <c r="K36" i="163"/>
  <c r="K37" i="163"/>
  <c r="E33" i="163"/>
  <c r="J32" i="163"/>
  <c r="J35" i="163" s="1"/>
  <c r="J10" i="163"/>
  <c r="J36" i="163"/>
  <c r="I36" i="163"/>
  <c r="I10" i="163"/>
  <c r="I23" i="7"/>
  <c r="J37" i="163"/>
  <c r="I37" i="163"/>
  <c r="B4" i="163"/>
  <c r="B3" i="163"/>
  <c r="Q32" i="163"/>
  <c r="Q35" i="163" s="1"/>
  <c r="M84" i="161"/>
  <c r="G23" i="163"/>
  <c r="L84" i="161"/>
  <c r="F23" i="163"/>
  <c r="J4" i="161"/>
  <c r="J170" i="161" s="1"/>
  <c r="D2" i="163"/>
  <c r="D10" i="163"/>
  <c r="B15" i="163"/>
  <c r="D29" i="163"/>
  <c r="I4" i="161"/>
  <c r="I170" i="161" s="1"/>
  <c r="C29" i="163"/>
  <c r="H4" i="161"/>
  <c r="H170" i="161" s="1"/>
  <c r="X45" i="161"/>
  <c r="D36" i="163"/>
  <c r="F24" i="7"/>
  <c r="C36" i="163"/>
  <c r="C4" i="163"/>
  <c r="B18" i="19"/>
  <c r="B31" i="20"/>
  <c r="B45" i="20"/>
  <c r="J44" i="161"/>
  <c r="D5" i="163"/>
  <c r="I44" i="161"/>
  <c r="C5" i="163"/>
  <c r="N31" i="163"/>
  <c r="H44" i="161"/>
  <c r="G44" i="161"/>
  <c r="T6" i="161"/>
  <c r="O4" i="163"/>
  <c r="B27" i="163"/>
  <c r="B28" i="163"/>
  <c r="B16" i="163"/>
  <c r="G10" i="163"/>
  <c r="O37" i="163"/>
  <c r="G2" i="163"/>
  <c r="N37" i="163"/>
  <c r="B24" i="163"/>
  <c r="F2" i="163"/>
  <c r="E24" i="7"/>
  <c r="G29" i="163"/>
  <c r="E2" i="163"/>
  <c r="F29" i="163"/>
  <c r="F5" i="163"/>
  <c r="O10" i="163"/>
  <c r="H7" i="163"/>
  <c r="N10" i="163"/>
  <c r="O15" i="9"/>
  <c r="O16" i="9"/>
  <c r="P15" i="9" s="1"/>
  <c r="N16" i="9"/>
  <c r="N8" i="15" s="1"/>
  <c r="I32" i="163" l="1"/>
  <c r="I35" i="163" s="1"/>
  <c r="L32" i="163"/>
  <c r="L35" i="163" s="1"/>
  <c r="K6" i="161"/>
  <c r="E23" i="163"/>
  <c r="C35" i="163"/>
  <c r="F35" i="163"/>
  <c r="K46" i="161"/>
  <c r="E37" i="163"/>
  <c r="E35" i="163"/>
  <c r="F4" i="163"/>
  <c r="F7" i="163"/>
  <c r="K84" i="161"/>
  <c r="M7" i="163"/>
  <c r="K29" i="163"/>
  <c r="T46" i="161"/>
  <c r="O7" i="163"/>
  <c r="V46" i="161"/>
  <c r="Q7" i="163"/>
  <c r="M24" i="163"/>
  <c r="S24" i="163" s="1"/>
  <c r="J29" i="163"/>
  <c r="I126" i="161"/>
  <c r="C30" i="163"/>
  <c r="K86" i="161"/>
  <c r="E25" i="163"/>
  <c r="L29" i="163"/>
  <c r="E28" i="163"/>
  <c r="L86" i="161"/>
  <c r="F25" i="163"/>
  <c r="C15" i="17"/>
  <c r="C19" i="17" s="1"/>
  <c r="C30" i="17" s="1"/>
  <c r="E58" i="19" s="1"/>
  <c r="D34" i="163"/>
  <c r="D35" i="163"/>
  <c r="E128" i="161"/>
  <c r="C6" i="161"/>
  <c r="S85" i="161"/>
  <c r="N24" i="163"/>
  <c r="X86" i="161"/>
  <c r="M46" i="161"/>
  <c r="G7" i="163"/>
  <c r="D28" i="163"/>
  <c r="F128" i="161"/>
  <c r="F84" i="161"/>
  <c r="H28" i="163"/>
  <c r="D128" i="161"/>
  <c r="P6" i="161"/>
  <c r="K4" i="163"/>
  <c r="E6" i="161"/>
  <c r="N28" i="15"/>
  <c r="N48" i="15"/>
  <c r="N68" i="15"/>
  <c r="N88" i="15"/>
  <c r="N110" i="15"/>
  <c r="N108" i="15" s="1"/>
  <c r="N133" i="15"/>
  <c r="N131" i="15" s="1"/>
  <c r="N180" i="15"/>
  <c r="N156" i="15"/>
  <c r="N154" i="15" s="1"/>
  <c r="N203" i="15"/>
  <c r="N226" i="15"/>
  <c r="G6" i="161"/>
  <c r="U86" i="161"/>
  <c r="P25" i="163"/>
  <c r="E46" i="161"/>
  <c r="F6" i="161"/>
  <c r="H126" i="161"/>
  <c r="C86" i="161"/>
  <c r="M126" i="161"/>
  <c r="M128" i="161"/>
  <c r="G30" i="163"/>
  <c r="S31" i="163" s="1"/>
  <c r="G128" i="161"/>
  <c r="X46" i="161"/>
  <c r="H10" i="163"/>
  <c r="F10" i="163"/>
  <c r="G24" i="20"/>
  <c r="E46" i="20" s="1"/>
  <c r="G26" i="20"/>
  <c r="C46" i="20" s="1"/>
  <c r="G23" i="20"/>
  <c r="G25" i="20"/>
  <c r="D46" i="20" s="1"/>
  <c r="G22" i="20"/>
  <c r="C128" i="161"/>
  <c r="L126" i="161"/>
  <c r="L128" i="161"/>
  <c r="F30" i="163"/>
  <c r="M29" i="163"/>
  <c r="G46" i="161"/>
  <c r="C28" i="163"/>
  <c r="O6" i="161"/>
  <c r="J4" i="163"/>
  <c r="H6" i="161"/>
  <c r="J23" i="7"/>
  <c r="J25" i="7"/>
  <c r="J24" i="7"/>
  <c r="H84" i="161"/>
  <c r="Q6" i="161"/>
  <c r="L4" i="163"/>
  <c r="N85" i="161"/>
  <c r="I24" i="163"/>
  <c r="H37" i="163"/>
  <c r="W46" i="161"/>
  <c r="R7" i="163"/>
  <c r="V6" i="161"/>
  <c r="Q4" i="163"/>
  <c r="U6" i="161"/>
  <c r="P4" i="163"/>
  <c r="I128" i="161"/>
  <c r="Q169" i="161"/>
  <c r="L27" i="163"/>
  <c r="G84" i="161"/>
  <c r="C46" i="161"/>
  <c r="E84" i="161"/>
  <c r="D6" i="161"/>
  <c r="F46" i="161"/>
  <c r="J126" i="161"/>
  <c r="D30" i="163"/>
  <c r="K126" i="161"/>
  <c r="E30" i="163"/>
  <c r="E29" i="163"/>
  <c r="D46" i="161"/>
  <c r="D86" i="161"/>
  <c r="O23" i="9"/>
  <c r="O24" i="9" s="1"/>
  <c r="N23" i="9"/>
  <c r="N20" i="9" s="1"/>
  <c r="O17" i="9"/>
  <c r="P16" i="9"/>
  <c r="C30" i="19" l="1"/>
  <c r="D58" i="19"/>
  <c r="F58" i="19"/>
  <c r="H25" i="163"/>
  <c r="E9" i="20"/>
  <c r="J7" i="162" s="1"/>
  <c r="K7" i="162" s="1"/>
  <c r="M25" i="163"/>
  <c r="R86" i="161"/>
  <c r="V85" i="161"/>
  <c r="Q24" i="163"/>
  <c r="O24" i="163"/>
  <c r="T85" i="161"/>
  <c r="V13" i="162"/>
  <c r="N138" i="15"/>
  <c r="N139" i="15"/>
  <c r="N140" i="15"/>
  <c r="N141" i="15"/>
  <c r="N142" i="15"/>
  <c r="N143" i="15"/>
  <c r="N134" i="15"/>
  <c r="N135" i="15"/>
  <c r="N136" i="15"/>
  <c r="N137" i="15"/>
  <c r="N163" i="15"/>
  <c r="N164" i="15"/>
  <c r="N165" i="15"/>
  <c r="N166" i="15"/>
  <c r="N159" i="15"/>
  <c r="N162" i="15"/>
  <c r="N157" i="15"/>
  <c r="N158" i="15"/>
  <c r="N160" i="15"/>
  <c r="N161" i="15"/>
  <c r="N117" i="15"/>
  <c r="N119" i="15"/>
  <c r="N112" i="15"/>
  <c r="N113" i="15"/>
  <c r="N114" i="15"/>
  <c r="N118" i="15"/>
  <c r="N120" i="15"/>
  <c r="N115" i="15"/>
  <c r="N111" i="15"/>
  <c r="N116" i="15"/>
  <c r="S86" i="161"/>
  <c r="N25" i="163"/>
  <c r="N29" i="163"/>
  <c r="N127" i="161"/>
  <c r="G36" i="163"/>
  <c r="J128" i="161"/>
  <c r="W85" i="161"/>
  <c r="R24" i="163"/>
  <c r="H128" i="161"/>
  <c r="G86" i="161"/>
  <c r="P85" i="161"/>
  <c r="K24" i="163"/>
  <c r="Q38" i="28"/>
  <c r="H29" i="163"/>
  <c r="I84" i="161"/>
  <c r="C23" i="163"/>
  <c r="C13" i="19"/>
  <c r="P38" i="28"/>
  <c r="N86" i="161"/>
  <c r="I25" i="163"/>
  <c r="O38" i="28"/>
  <c r="K11" i="162"/>
  <c r="K14" i="162"/>
  <c r="K15" i="162"/>
  <c r="K9" i="162"/>
  <c r="E86" i="161"/>
  <c r="V9" i="162"/>
  <c r="V14" i="162"/>
  <c r="V10" i="162"/>
  <c r="V17" i="162"/>
  <c r="V12" i="162"/>
  <c r="V15" i="162"/>
  <c r="V8" i="162"/>
  <c r="V16" i="162"/>
  <c r="U19" i="162"/>
  <c r="V7" i="162"/>
  <c r="U18" i="162"/>
  <c r="V11" i="162"/>
  <c r="F86" i="161"/>
  <c r="Q85" i="161"/>
  <c r="L24" i="163"/>
  <c r="N224" i="15"/>
  <c r="N201" i="15"/>
  <c r="H86" i="161"/>
  <c r="N178" i="15"/>
  <c r="K128" i="161"/>
  <c r="J84" i="161"/>
  <c r="D23" i="163"/>
  <c r="O85" i="161"/>
  <c r="J24" i="163"/>
  <c r="O20" i="9"/>
  <c r="N15" i="9"/>
  <c r="P17" i="9"/>
  <c r="Q16" i="9"/>
  <c r="Q15" i="9"/>
  <c r="P23" i="9"/>
  <c r="K16" i="162" l="1"/>
  <c r="K10" i="162"/>
  <c r="K12" i="162"/>
  <c r="K13" i="162"/>
  <c r="K8" i="162"/>
  <c r="K17" i="162"/>
  <c r="J19" i="162"/>
  <c r="J18" i="162"/>
  <c r="T86" i="161"/>
  <c r="O25" i="163"/>
  <c r="V86" i="161"/>
  <c r="Q25" i="163"/>
  <c r="N199" i="15"/>
  <c r="N198" i="15"/>
  <c r="O29" i="163"/>
  <c r="O86" i="161"/>
  <c r="J25" i="163"/>
  <c r="N151" i="15"/>
  <c r="N152" i="15"/>
  <c r="N128" i="15"/>
  <c r="N129" i="15"/>
  <c r="J86" i="161"/>
  <c r="D25" i="163"/>
  <c r="N222" i="15"/>
  <c r="N221" i="15"/>
  <c r="I86" i="161"/>
  <c r="C25" i="163"/>
  <c r="N245" i="15"/>
  <c r="N244" i="15"/>
  <c r="P86" i="161"/>
  <c r="K25" i="163"/>
  <c r="W86" i="161"/>
  <c r="R25" i="163"/>
  <c r="Q86" i="161"/>
  <c r="L25" i="163"/>
  <c r="N175" i="15"/>
  <c r="N174" i="15"/>
  <c r="H36" i="163"/>
  <c r="O127" i="161"/>
  <c r="C12" i="19"/>
  <c r="I13" i="163"/>
  <c r="I19" i="163"/>
  <c r="I16" i="163"/>
  <c r="I22" i="163"/>
  <c r="N3" i="161"/>
  <c r="I1" i="163"/>
  <c r="O21" i="9"/>
  <c r="M16" i="9"/>
  <c r="M8" i="15" s="1"/>
  <c r="N17" i="9"/>
  <c r="Q17" i="9"/>
  <c r="R16" i="9"/>
  <c r="Q23" i="9"/>
  <c r="R15" i="9"/>
  <c r="P20" i="9"/>
  <c r="P21" i="9" s="1"/>
  <c r="P24" i="9"/>
  <c r="D32" i="20" l="1"/>
  <c r="D37" i="20" s="1"/>
  <c r="M28" i="15"/>
  <c r="M48" i="15"/>
  <c r="M68" i="15"/>
  <c r="M88" i="15"/>
  <c r="M180" i="15"/>
  <c r="M133" i="15"/>
  <c r="M131" i="15" s="1"/>
  <c r="M156" i="15"/>
  <c r="M154" i="15" s="1"/>
  <c r="M110" i="15"/>
  <c r="M108" i="15" s="1"/>
  <c r="M203" i="15"/>
  <c r="M226" i="15"/>
  <c r="P29" i="163"/>
  <c r="N125" i="161"/>
  <c r="N167" i="161"/>
  <c r="N43" i="161"/>
  <c r="N83" i="161"/>
  <c r="N6" i="161"/>
  <c r="I4" i="163"/>
  <c r="D19" i="19"/>
  <c r="D23" i="19"/>
  <c r="C16" i="19"/>
  <c r="D16" i="19" s="1"/>
  <c r="P127" i="161"/>
  <c r="O3" i="161"/>
  <c r="J1" i="163"/>
  <c r="M15" i="9"/>
  <c r="L16" i="9" s="1"/>
  <c r="L8" i="15" s="1"/>
  <c r="M23" i="9"/>
  <c r="M20" i="9" s="1"/>
  <c r="N21" i="9"/>
  <c r="Q20" i="9"/>
  <c r="Q21" i="9" s="1"/>
  <c r="Q24" i="9"/>
  <c r="R17" i="9"/>
  <c r="R23" i="9"/>
  <c r="S16" i="9"/>
  <c r="S15" i="9"/>
  <c r="M138" i="15" l="1"/>
  <c r="M139" i="15"/>
  <c r="M140" i="15"/>
  <c r="M141" i="15"/>
  <c r="M142" i="15"/>
  <c r="M143" i="15"/>
  <c r="M134" i="15"/>
  <c r="M135" i="15"/>
  <c r="M136" i="15"/>
  <c r="M137" i="15"/>
  <c r="M117" i="15"/>
  <c r="M119" i="15"/>
  <c r="M112" i="15"/>
  <c r="M113" i="15"/>
  <c r="M114" i="15"/>
  <c r="M118" i="15"/>
  <c r="M120" i="15"/>
  <c r="M115" i="15"/>
  <c r="M111" i="15"/>
  <c r="M116" i="15"/>
  <c r="M163" i="15"/>
  <c r="M164" i="15"/>
  <c r="M165" i="15"/>
  <c r="M166" i="15"/>
  <c r="M159" i="15"/>
  <c r="M162" i="15"/>
  <c r="M157" i="15"/>
  <c r="M158" i="15"/>
  <c r="M160" i="15"/>
  <c r="M161" i="15"/>
  <c r="G32" i="163"/>
  <c r="C50" i="19"/>
  <c r="C47" i="20"/>
  <c r="G33" i="163"/>
  <c r="G34" i="163"/>
  <c r="P3" i="161"/>
  <c r="K1" i="163"/>
  <c r="H13" i="163"/>
  <c r="H16" i="163"/>
  <c r="H19" i="163"/>
  <c r="H22" i="163"/>
  <c r="L28" i="15"/>
  <c r="L48" i="15"/>
  <c r="L68" i="15"/>
  <c r="L88" i="15"/>
  <c r="L180" i="15"/>
  <c r="L133" i="15"/>
  <c r="L131" i="15" s="1"/>
  <c r="L110" i="15"/>
  <c r="L108" i="15" s="1"/>
  <c r="L156" i="15"/>
  <c r="L154" i="15" s="1"/>
  <c r="L203" i="15"/>
  <c r="L226" i="15"/>
  <c r="O43" i="161"/>
  <c r="O125" i="161"/>
  <c r="O167" i="161"/>
  <c r="O83" i="161"/>
  <c r="Q29" i="163"/>
  <c r="M224" i="15"/>
  <c r="M201" i="15"/>
  <c r="M178" i="15"/>
  <c r="Q127" i="161"/>
  <c r="D18" i="19"/>
  <c r="E16" i="19"/>
  <c r="M17" i="9"/>
  <c r="M21" i="9" s="1"/>
  <c r="L15" i="9"/>
  <c r="K16" i="9" s="1"/>
  <c r="K8" i="15" s="1"/>
  <c r="L23" i="9"/>
  <c r="L20" i="9" s="1"/>
  <c r="S23" i="9"/>
  <c r="T15" i="9"/>
  <c r="S17" i="9"/>
  <c r="T16" i="9"/>
  <c r="R20" i="9"/>
  <c r="R21" i="9" s="1"/>
  <c r="R24" i="9"/>
  <c r="L163" i="15" l="1"/>
  <c r="L164" i="15"/>
  <c r="L165" i="15"/>
  <c r="L166" i="15"/>
  <c r="L159" i="15"/>
  <c r="L162" i="15"/>
  <c r="L157" i="15"/>
  <c r="L158" i="15"/>
  <c r="L160" i="15"/>
  <c r="L161" i="15"/>
  <c r="L138" i="15"/>
  <c r="L139" i="15"/>
  <c r="L140" i="15"/>
  <c r="L141" i="15"/>
  <c r="L142" i="15"/>
  <c r="L143" i="15"/>
  <c r="L134" i="15"/>
  <c r="L135" i="15"/>
  <c r="L136" i="15"/>
  <c r="L137" i="15"/>
  <c r="L117" i="15"/>
  <c r="L119" i="15"/>
  <c r="L112" i="15"/>
  <c r="L113" i="15"/>
  <c r="L114" i="15"/>
  <c r="L118" i="15"/>
  <c r="L120" i="15"/>
  <c r="L115" i="15"/>
  <c r="L111" i="15"/>
  <c r="L116" i="15"/>
  <c r="F9" i="20"/>
  <c r="O7" i="162" s="1"/>
  <c r="H4" i="163"/>
  <c r="M199" i="15"/>
  <c r="M198" i="15"/>
  <c r="M175" i="15"/>
  <c r="M174" i="15"/>
  <c r="L224" i="15"/>
  <c r="L201" i="15"/>
  <c r="Q3" i="161"/>
  <c r="L1" i="163"/>
  <c r="K28" i="15"/>
  <c r="K48" i="15"/>
  <c r="K68" i="15"/>
  <c r="K88" i="15"/>
  <c r="K180" i="15"/>
  <c r="K133" i="15"/>
  <c r="K131" i="15" s="1"/>
  <c r="K110" i="15"/>
  <c r="K108" i="15" s="1"/>
  <c r="K156" i="15"/>
  <c r="K154" i="15" s="1"/>
  <c r="K203" i="15"/>
  <c r="K226" i="15"/>
  <c r="E18" i="19"/>
  <c r="F16" i="19"/>
  <c r="M245" i="15"/>
  <c r="M244" i="15"/>
  <c r="D29" i="19"/>
  <c r="D30" i="19" s="1"/>
  <c r="D27" i="19"/>
  <c r="R127" i="161"/>
  <c r="P43" i="161"/>
  <c r="P125" i="161"/>
  <c r="P167" i="161"/>
  <c r="P83" i="161"/>
  <c r="H34" i="163"/>
  <c r="G35" i="163"/>
  <c r="H35" i="163"/>
  <c r="H33" i="163"/>
  <c r="R29" i="163"/>
  <c r="C49" i="20"/>
  <c r="C53" i="20" s="1"/>
  <c r="C57" i="20" s="1"/>
  <c r="E49" i="20"/>
  <c r="E53" i="20" s="1"/>
  <c r="E57" i="20" s="1"/>
  <c r="D49" i="20"/>
  <c r="D53" i="20" s="1"/>
  <c r="D57" i="20" s="1"/>
  <c r="H32" i="163"/>
  <c r="M151" i="15"/>
  <c r="M152" i="15"/>
  <c r="M3" i="161"/>
  <c r="G1" i="163"/>
  <c r="M128" i="15"/>
  <c r="M129" i="15"/>
  <c r="M222" i="15"/>
  <c r="M221" i="15"/>
  <c r="L178" i="15"/>
  <c r="L17" i="9"/>
  <c r="L21" i="9" s="1"/>
  <c r="K15" i="9"/>
  <c r="J16" i="9" s="1"/>
  <c r="J8" i="15" s="1"/>
  <c r="K23" i="9"/>
  <c r="K20" i="9" s="1"/>
  <c r="U16" i="9"/>
  <c r="T17" i="9"/>
  <c r="U15" i="9"/>
  <c r="T23" i="9"/>
  <c r="S24" i="9"/>
  <c r="S20" i="9"/>
  <c r="S21" i="9" s="1"/>
  <c r="O9" i="15" l="1"/>
  <c r="G13" i="7" s="1"/>
  <c r="O10" i="15"/>
  <c r="G14" i="7" s="1"/>
  <c r="F11" i="20" s="1"/>
  <c r="O16" i="162" s="1"/>
  <c r="O12" i="15"/>
  <c r="G16" i="7" s="1"/>
  <c r="F13" i="20" s="1"/>
  <c r="O15" i="162" s="1"/>
  <c r="O11" i="15"/>
  <c r="G15" i="7" s="1"/>
  <c r="F12" i="20" s="1"/>
  <c r="O11" i="162" s="1"/>
  <c r="O15" i="15"/>
  <c r="G19" i="7" s="1"/>
  <c r="F16" i="20" s="1"/>
  <c r="O10" i="162" s="1"/>
  <c r="O18" i="15"/>
  <c r="G22" i="7" s="1"/>
  <c r="F19" i="20" s="1"/>
  <c r="O8" i="162" s="1"/>
  <c r="P8" i="162" s="1"/>
  <c r="O13" i="15"/>
  <c r="G17" i="7" s="1"/>
  <c r="F14" i="20" s="1"/>
  <c r="O12" i="162" s="1"/>
  <c r="O16" i="15"/>
  <c r="G20" i="7" s="1"/>
  <c r="F17" i="20" s="1"/>
  <c r="O13" i="162" s="1"/>
  <c r="O17" i="15"/>
  <c r="G21" i="7" s="1"/>
  <c r="F18" i="20" s="1"/>
  <c r="O14" i="162" s="1"/>
  <c r="O14" i="15"/>
  <c r="G18" i="7" s="1"/>
  <c r="F15" i="20" s="1"/>
  <c r="O9" i="162" s="1"/>
  <c r="O232" i="15"/>
  <c r="O230" i="15"/>
  <c r="O231" i="15"/>
  <c r="O233" i="15"/>
  <c r="O234" i="15"/>
  <c r="O228" i="15"/>
  <c r="O229" i="15"/>
  <c r="O235" i="15"/>
  <c r="O236" i="15"/>
  <c r="O207" i="15"/>
  <c r="O208" i="15"/>
  <c r="O209" i="15"/>
  <c r="O210" i="15"/>
  <c r="O211" i="15"/>
  <c r="O205" i="15"/>
  <c r="O212" i="15"/>
  <c r="O213" i="15"/>
  <c r="O206" i="15"/>
  <c r="O184" i="15"/>
  <c r="O183" i="15"/>
  <c r="O188" i="15"/>
  <c r="O185" i="15"/>
  <c r="O186" i="15"/>
  <c r="O187" i="15"/>
  <c r="O190" i="15"/>
  <c r="O182" i="15"/>
  <c r="O189" i="15"/>
  <c r="K117" i="15"/>
  <c r="O117" i="15" s="1"/>
  <c r="K119" i="15"/>
  <c r="O119" i="15" s="1"/>
  <c r="K112" i="15"/>
  <c r="O112" i="15" s="1"/>
  <c r="K113" i="15"/>
  <c r="O113" i="15" s="1"/>
  <c r="K114" i="15"/>
  <c r="O114" i="15" s="1"/>
  <c r="K118" i="15"/>
  <c r="O118" i="15" s="1"/>
  <c r="K120" i="15"/>
  <c r="O120" i="15" s="1"/>
  <c r="K115" i="15"/>
  <c r="O115" i="15" s="1"/>
  <c r="K111" i="15"/>
  <c r="K116" i="15"/>
  <c r="O116" i="15" s="1"/>
  <c r="K163" i="15"/>
  <c r="O163" i="15" s="1"/>
  <c r="K164" i="15"/>
  <c r="O164" i="15" s="1"/>
  <c r="K165" i="15"/>
  <c r="O165" i="15" s="1"/>
  <c r="K166" i="15"/>
  <c r="O166" i="15" s="1"/>
  <c r="K159" i="15"/>
  <c r="O159" i="15" s="1"/>
  <c r="K162" i="15"/>
  <c r="O162" i="15" s="1"/>
  <c r="K157" i="15"/>
  <c r="K158" i="15"/>
  <c r="O158" i="15" s="1"/>
  <c r="K160" i="15"/>
  <c r="O160" i="15" s="1"/>
  <c r="K161" i="15"/>
  <c r="O161" i="15" s="1"/>
  <c r="K138" i="15"/>
  <c r="O138" i="15" s="1"/>
  <c r="K139" i="15"/>
  <c r="O139" i="15" s="1"/>
  <c r="K140" i="15"/>
  <c r="O140" i="15" s="1"/>
  <c r="K141" i="15"/>
  <c r="O141" i="15" s="1"/>
  <c r="K142" i="15"/>
  <c r="O142" i="15" s="1"/>
  <c r="K143" i="15"/>
  <c r="O143" i="15" s="1"/>
  <c r="K134" i="15"/>
  <c r="K135" i="15"/>
  <c r="O135" i="15" s="1"/>
  <c r="K136" i="15"/>
  <c r="O136" i="15" s="1"/>
  <c r="K137" i="15"/>
  <c r="O137" i="15" s="1"/>
  <c r="Q125" i="161"/>
  <c r="Q43" i="161"/>
  <c r="Q167" i="161"/>
  <c r="Q83" i="161"/>
  <c r="L199" i="15"/>
  <c r="L198" i="15"/>
  <c r="S127" i="161"/>
  <c r="P7" i="162"/>
  <c r="L152" i="15"/>
  <c r="L151" i="15"/>
  <c r="L175" i="15"/>
  <c r="L174" i="15"/>
  <c r="J28" i="15"/>
  <c r="J48" i="15"/>
  <c r="J68" i="15"/>
  <c r="J88" i="15"/>
  <c r="J180" i="15"/>
  <c r="J156" i="15"/>
  <c r="J154" i="15" s="1"/>
  <c r="J133" i="15"/>
  <c r="J131" i="15" s="1"/>
  <c r="J110" i="15"/>
  <c r="J108" i="15" s="1"/>
  <c r="J203" i="15"/>
  <c r="J226" i="15"/>
  <c r="F18" i="19"/>
  <c r="G16" i="19"/>
  <c r="L221" i="15"/>
  <c r="L222" i="15"/>
  <c r="E29" i="19"/>
  <c r="E30" i="19" s="1"/>
  <c r="E27" i="19"/>
  <c r="E19" i="19"/>
  <c r="E33" i="19"/>
  <c r="E23" i="19"/>
  <c r="L128" i="15"/>
  <c r="L129" i="15"/>
  <c r="L3" i="161"/>
  <c r="F1" i="163"/>
  <c r="M83" i="161"/>
  <c r="M125" i="161"/>
  <c r="M167" i="161"/>
  <c r="M43" i="161"/>
  <c r="K224" i="15"/>
  <c r="K201" i="15"/>
  <c r="L245" i="15"/>
  <c r="L244" i="15"/>
  <c r="K178" i="15"/>
  <c r="R3" i="161"/>
  <c r="M1" i="163"/>
  <c r="J23" i="9"/>
  <c r="J20" i="9" s="1"/>
  <c r="J15" i="9"/>
  <c r="I16" i="9" s="1"/>
  <c r="I8" i="15" s="1"/>
  <c r="K17" i="9"/>
  <c r="K21" i="9" s="1"/>
  <c r="T20" i="9"/>
  <c r="T21" i="9" s="1"/>
  <c r="T24" i="9"/>
  <c r="U17" i="9"/>
  <c r="V15" i="9"/>
  <c r="U23" i="9"/>
  <c r="V16" i="9"/>
  <c r="J117" i="15" l="1"/>
  <c r="J119" i="15"/>
  <c r="J112" i="15"/>
  <c r="J113" i="15"/>
  <c r="J114" i="15"/>
  <c r="J118" i="15"/>
  <c r="J120" i="15"/>
  <c r="J115" i="15"/>
  <c r="J111" i="15"/>
  <c r="J116" i="15"/>
  <c r="J163" i="15"/>
  <c r="J164" i="15"/>
  <c r="J165" i="15"/>
  <c r="J166" i="15"/>
  <c r="J159" i="15"/>
  <c r="J162" i="15"/>
  <c r="J157" i="15"/>
  <c r="J158" i="15"/>
  <c r="J160" i="15"/>
  <c r="J161" i="15"/>
  <c r="J138" i="15"/>
  <c r="J139" i="15"/>
  <c r="J140" i="15"/>
  <c r="J141" i="15"/>
  <c r="J142" i="15"/>
  <c r="J143" i="15"/>
  <c r="J134" i="15"/>
  <c r="J135" i="15"/>
  <c r="J136" i="15"/>
  <c r="J137" i="15"/>
  <c r="K152" i="15"/>
  <c r="K151" i="15"/>
  <c r="O134" i="15"/>
  <c r="O181" i="15"/>
  <c r="K199" i="15"/>
  <c r="K198" i="15"/>
  <c r="K175" i="15"/>
  <c r="K174" i="15"/>
  <c r="O157" i="15"/>
  <c r="K3" i="161"/>
  <c r="E1" i="163"/>
  <c r="S3" i="161"/>
  <c r="N1" i="163"/>
  <c r="O111" i="15"/>
  <c r="K128" i="15"/>
  <c r="K129" i="15"/>
  <c r="I28" i="15"/>
  <c r="I48" i="15"/>
  <c r="I68" i="15"/>
  <c r="I88" i="15"/>
  <c r="I180" i="15"/>
  <c r="I156" i="15"/>
  <c r="I154" i="15" s="1"/>
  <c r="I133" i="15"/>
  <c r="I131" i="15" s="1"/>
  <c r="I110" i="15"/>
  <c r="I108" i="15" s="1"/>
  <c r="I203" i="15"/>
  <c r="I226" i="15"/>
  <c r="G18" i="19"/>
  <c r="H16" i="19"/>
  <c r="O204" i="15"/>
  <c r="K222" i="15"/>
  <c r="K221" i="15"/>
  <c r="F29" i="19"/>
  <c r="F30" i="19" s="1"/>
  <c r="F27" i="19"/>
  <c r="F33" i="19"/>
  <c r="F26" i="19"/>
  <c r="F19" i="19"/>
  <c r="F23" i="19"/>
  <c r="J224" i="15"/>
  <c r="J201" i="15"/>
  <c r="O227" i="15"/>
  <c r="K244" i="15"/>
  <c r="K245" i="15"/>
  <c r="J178" i="15"/>
  <c r="L83" i="161"/>
  <c r="L167" i="161"/>
  <c r="L43" i="161"/>
  <c r="L125" i="161"/>
  <c r="T127" i="161"/>
  <c r="R167" i="161"/>
  <c r="R43" i="161"/>
  <c r="R125" i="161"/>
  <c r="R83" i="161"/>
  <c r="F10" i="20"/>
  <c r="O17" i="162" s="1"/>
  <c r="P9" i="162" s="1"/>
  <c r="G24" i="7"/>
  <c r="G25" i="7"/>
  <c r="G23" i="7"/>
  <c r="J17" i="9"/>
  <c r="J21" i="9" s="1"/>
  <c r="I15" i="9"/>
  <c r="H16" i="9" s="1"/>
  <c r="H8" i="15" s="1"/>
  <c r="I23" i="9"/>
  <c r="I20" i="9" s="1"/>
  <c r="W15" i="9"/>
  <c r="W16" i="9"/>
  <c r="V17" i="9"/>
  <c r="V23" i="9"/>
  <c r="U20" i="9"/>
  <c r="U21" i="9" s="1"/>
  <c r="U24" i="9"/>
  <c r="P16" i="162" l="1"/>
  <c r="P14" i="162"/>
  <c r="I138" i="15"/>
  <c r="I139" i="15"/>
  <c r="I140" i="15"/>
  <c r="I141" i="15"/>
  <c r="I142" i="15"/>
  <c r="I143" i="15"/>
  <c r="I134" i="15"/>
  <c r="I135" i="15"/>
  <c r="I136" i="15"/>
  <c r="I137" i="15"/>
  <c r="O93" i="15"/>
  <c r="O94" i="15"/>
  <c r="O96" i="15"/>
  <c r="O97" i="15"/>
  <c r="O92" i="15"/>
  <c r="O95" i="15"/>
  <c r="O98" i="15"/>
  <c r="O89" i="15"/>
  <c r="O90" i="15"/>
  <c r="O91" i="15"/>
  <c r="I117" i="15"/>
  <c r="I119" i="15"/>
  <c r="I112" i="15"/>
  <c r="I113" i="15"/>
  <c r="I114" i="15"/>
  <c r="I118" i="15"/>
  <c r="I120" i="15"/>
  <c r="I115" i="15"/>
  <c r="I111" i="15"/>
  <c r="I116" i="15"/>
  <c r="I163" i="15"/>
  <c r="I164" i="15"/>
  <c r="I165" i="15"/>
  <c r="I166" i="15"/>
  <c r="I159" i="15"/>
  <c r="I162" i="15"/>
  <c r="I157" i="15"/>
  <c r="I158" i="15"/>
  <c r="I160" i="15"/>
  <c r="I161" i="15"/>
  <c r="J129" i="15"/>
  <c r="J128" i="15"/>
  <c r="T3" i="161"/>
  <c r="O1" i="163"/>
  <c r="J3" i="161"/>
  <c r="D1" i="163"/>
  <c r="P11" i="162"/>
  <c r="J222" i="15"/>
  <c r="J221" i="15"/>
  <c r="P10" i="162"/>
  <c r="P12" i="162"/>
  <c r="H28" i="15"/>
  <c r="H48" i="15"/>
  <c r="H68" i="15"/>
  <c r="H88" i="15"/>
  <c r="H156" i="15"/>
  <c r="H154" i="15" s="1"/>
  <c r="H133" i="15"/>
  <c r="H131" i="15" s="1"/>
  <c r="H110" i="15"/>
  <c r="H108" i="15" s="1"/>
  <c r="H180" i="15"/>
  <c r="H203" i="15"/>
  <c r="H226" i="15"/>
  <c r="J244" i="15"/>
  <c r="J245" i="15"/>
  <c r="S43" i="161"/>
  <c r="S125" i="161"/>
  <c r="S167" i="161"/>
  <c r="S83" i="161"/>
  <c r="P17" i="162"/>
  <c r="O18" i="162"/>
  <c r="O19" i="162"/>
  <c r="J152" i="15"/>
  <c r="J151" i="15"/>
  <c r="P15" i="162"/>
  <c r="H18" i="19"/>
  <c r="I16" i="19"/>
  <c r="G29" i="19"/>
  <c r="G30" i="19" s="1"/>
  <c r="G27" i="19"/>
  <c r="G33" i="19"/>
  <c r="G26" i="19"/>
  <c r="G19" i="19"/>
  <c r="G23" i="19"/>
  <c r="I224" i="15"/>
  <c r="I201" i="15"/>
  <c r="U127" i="161"/>
  <c r="J198" i="15"/>
  <c r="J199" i="15"/>
  <c r="I178" i="15"/>
  <c r="K43" i="161"/>
  <c r="K167" i="161"/>
  <c r="K125" i="161"/>
  <c r="K83" i="161"/>
  <c r="J175" i="15"/>
  <c r="J174" i="15"/>
  <c r="P13" i="162"/>
  <c r="I17" i="9"/>
  <c r="I21" i="9" s="1"/>
  <c r="H23" i="9"/>
  <c r="H20" i="9" s="1"/>
  <c r="H15" i="9"/>
  <c r="G16" i="9" s="1"/>
  <c r="G8" i="15" s="1"/>
  <c r="V20" i="9"/>
  <c r="V21" i="9" s="1"/>
  <c r="V24" i="9"/>
  <c r="X15" i="9"/>
  <c r="X16" i="9"/>
  <c r="W17" i="9"/>
  <c r="W23" i="9"/>
  <c r="H117" i="15" l="1"/>
  <c r="H119" i="15"/>
  <c r="H112" i="15"/>
  <c r="H113" i="15"/>
  <c r="H114" i="15"/>
  <c r="H118" i="15"/>
  <c r="H120" i="15"/>
  <c r="H115" i="15"/>
  <c r="H111" i="15"/>
  <c r="H116" i="15"/>
  <c r="H138" i="15"/>
  <c r="H139" i="15"/>
  <c r="H140" i="15"/>
  <c r="H141" i="15"/>
  <c r="H142" i="15"/>
  <c r="H143" i="15"/>
  <c r="H134" i="15"/>
  <c r="H135" i="15"/>
  <c r="H136" i="15"/>
  <c r="H137" i="15"/>
  <c r="H163" i="15"/>
  <c r="H164" i="15"/>
  <c r="H165" i="15"/>
  <c r="H166" i="15"/>
  <c r="H159" i="15"/>
  <c r="H162" i="15"/>
  <c r="H157" i="15"/>
  <c r="H158" i="15"/>
  <c r="H160" i="15"/>
  <c r="H161" i="15"/>
  <c r="H27" i="19"/>
  <c r="H29" i="19"/>
  <c r="H30" i="19" s="1"/>
  <c r="H23" i="19"/>
  <c r="H33" i="19"/>
  <c r="H19" i="19"/>
  <c r="H26" i="19"/>
  <c r="J125" i="161"/>
  <c r="J167" i="161"/>
  <c r="J43" i="161"/>
  <c r="J83" i="161"/>
  <c r="I244" i="15"/>
  <c r="I245" i="15"/>
  <c r="I3" i="161"/>
  <c r="C1" i="163"/>
  <c r="H224" i="15"/>
  <c r="V127" i="161"/>
  <c r="H201" i="15"/>
  <c r="H178" i="15"/>
  <c r="T125" i="161"/>
  <c r="T43" i="161"/>
  <c r="T167" i="161"/>
  <c r="T83" i="161"/>
  <c r="G28" i="15"/>
  <c r="G48" i="15"/>
  <c r="G68" i="15"/>
  <c r="G88" i="15"/>
  <c r="G133" i="15"/>
  <c r="G131" i="15" s="1"/>
  <c r="G110" i="15"/>
  <c r="G108" i="15" s="1"/>
  <c r="G156" i="15"/>
  <c r="G154" i="15" s="1"/>
  <c r="G180" i="15"/>
  <c r="G203" i="15"/>
  <c r="G226" i="15"/>
  <c r="I199" i="15"/>
  <c r="I198" i="15"/>
  <c r="I175" i="15"/>
  <c r="I174" i="15"/>
  <c r="J16" i="19"/>
  <c r="I18" i="19"/>
  <c r="I152" i="15"/>
  <c r="I151" i="15"/>
  <c r="U3" i="161"/>
  <c r="P1" i="163"/>
  <c r="I129" i="15"/>
  <c r="I128" i="15"/>
  <c r="I221" i="15"/>
  <c r="I222" i="15"/>
  <c r="H17" i="9"/>
  <c r="H21" i="9" s="1"/>
  <c r="G23" i="9"/>
  <c r="G20" i="9" s="1"/>
  <c r="G15" i="9"/>
  <c r="F16" i="9" s="1"/>
  <c r="F8" i="15" s="1"/>
  <c r="W24" i="9"/>
  <c r="W20" i="9"/>
  <c r="W21" i="9" s="1"/>
  <c r="Y15" i="9"/>
  <c r="X17" i="9"/>
  <c r="X23" i="9"/>
  <c r="Y16" i="9"/>
  <c r="G117" i="15" l="1"/>
  <c r="G119" i="15"/>
  <c r="G112" i="15"/>
  <c r="G113" i="15"/>
  <c r="G114" i="15"/>
  <c r="G118" i="15"/>
  <c r="G120" i="15"/>
  <c r="G115" i="15"/>
  <c r="G111" i="15"/>
  <c r="G116" i="15"/>
  <c r="G163" i="15"/>
  <c r="G164" i="15"/>
  <c r="G165" i="15"/>
  <c r="G166" i="15"/>
  <c r="G159" i="15"/>
  <c r="G162" i="15"/>
  <c r="G157" i="15"/>
  <c r="G158" i="15"/>
  <c r="G160" i="15"/>
  <c r="G161" i="15"/>
  <c r="G138" i="15"/>
  <c r="G139" i="15"/>
  <c r="G140" i="15"/>
  <c r="G141" i="15"/>
  <c r="G142" i="15"/>
  <c r="G143" i="15"/>
  <c r="G134" i="15"/>
  <c r="G135" i="15"/>
  <c r="G136" i="15"/>
  <c r="G137" i="15"/>
  <c r="G201" i="15"/>
  <c r="G178" i="15"/>
  <c r="V3" i="161"/>
  <c r="Q1" i="163"/>
  <c r="H222" i="15"/>
  <c r="H221" i="15"/>
  <c r="F28" i="15"/>
  <c r="F48" i="15"/>
  <c r="F68" i="15"/>
  <c r="F88" i="15"/>
  <c r="F110" i="15"/>
  <c r="F108" i="15" s="1"/>
  <c r="F133" i="15"/>
  <c r="F131" i="15" s="1"/>
  <c r="F156" i="15"/>
  <c r="F154" i="15" s="1"/>
  <c r="F180" i="15"/>
  <c r="F203" i="15"/>
  <c r="F226" i="15"/>
  <c r="H152" i="15"/>
  <c r="H151" i="15"/>
  <c r="H3" i="161"/>
  <c r="H244" i="15"/>
  <c r="H245" i="15"/>
  <c r="G224" i="15"/>
  <c r="W127" i="161"/>
  <c r="H175" i="15"/>
  <c r="H174" i="15"/>
  <c r="H129" i="15"/>
  <c r="H128" i="15"/>
  <c r="U167" i="161"/>
  <c r="U125" i="161"/>
  <c r="U43" i="161"/>
  <c r="U83" i="161"/>
  <c r="H198" i="15"/>
  <c r="H199" i="15"/>
  <c r="I27" i="19"/>
  <c r="I29" i="19"/>
  <c r="I30" i="19" s="1"/>
  <c r="I23" i="19"/>
  <c r="I26" i="19" s="1"/>
  <c r="I19" i="19"/>
  <c r="K16" i="19"/>
  <c r="J18" i="19"/>
  <c r="I125" i="161"/>
  <c r="I167" i="161"/>
  <c r="I43" i="161"/>
  <c r="I83" i="161"/>
  <c r="G17" i="9"/>
  <c r="G21" i="9" s="1"/>
  <c r="F15" i="9"/>
  <c r="E16" i="9" s="1"/>
  <c r="E8" i="15" s="1"/>
  <c r="F23" i="9"/>
  <c r="F20" i="9" s="1"/>
  <c r="Z16" i="9"/>
  <c r="Y23" i="9"/>
  <c r="Y17" i="9"/>
  <c r="Z15" i="9"/>
  <c r="X24" i="9"/>
  <c r="X20" i="9"/>
  <c r="X21" i="9" s="1"/>
  <c r="F117" i="15" l="1"/>
  <c r="F119" i="15"/>
  <c r="F112" i="15"/>
  <c r="F113" i="15"/>
  <c r="F114" i="15"/>
  <c r="F118" i="15"/>
  <c r="F120" i="15"/>
  <c r="F115" i="15"/>
  <c r="F111" i="15"/>
  <c r="F116" i="15"/>
  <c r="F163" i="15"/>
  <c r="F164" i="15"/>
  <c r="F165" i="15"/>
  <c r="F166" i="15"/>
  <c r="F159" i="15"/>
  <c r="F162" i="15"/>
  <c r="F157" i="15"/>
  <c r="F158" i="15"/>
  <c r="F160" i="15"/>
  <c r="F161" i="15"/>
  <c r="F138" i="15"/>
  <c r="F139" i="15"/>
  <c r="F140" i="15"/>
  <c r="F141" i="15"/>
  <c r="F142" i="15"/>
  <c r="F143" i="15"/>
  <c r="F134" i="15"/>
  <c r="F135" i="15"/>
  <c r="F136" i="15"/>
  <c r="F137" i="15"/>
  <c r="J29" i="19"/>
  <c r="J30" i="19" s="1"/>
  <c r="J27" i="19"/>
  <c r="J23" i="19"/>
  <c r="J26" i="19" s="1"/>
  <c r="J19" i="19"/>
  <c r="G244" i="15"/>
  <c r="G245" i="15"/>
  <c r="H43" i="161"/>
  <c r="H167" i="161"/>
  <c r="H83" i="161"/>
  <c r="H125" i="161"/>
  <c r="G152" i="15"/>
  <c r="G151" i="15"/>
  <c r="X127" i="161"/>
  <c r="X128" i="161" s="1"/>
  <c r="G129" i="15"/>
  <c r="G128" i="15"/>
  <c r="L16" i="19"/>
  <c r="K18" i="19"/>
  <c r="G3" i="161"/>
  <c r="F224" i="15"/>
  <c r="F201" i="15"/>
  <c r="G221" i="15"/>
  <c r="G222" i="15"/>
  <c r="F178" i="15"/>
  <c r="W3" i="161"/>
  <c r="R1" i="163"/>
  <c r="G174" i="15"/>
  <c r="G175" i="15"/>
  <c r="E28" i="15"/>
  <c r="E48" i="15"/>
  <c r="E68" i="15"/>
  <c r="E88" i="15"/>
  <c r="E110" i="15"/>
  <c r="E108" i="15" s="1"/>
  <c r="E133" i="15"/>
  <c r="E131" i="15" s="1"/>
  <c r="E156" i="15"/>
  <c r="E154" i="15" s="1"/>
  <c r="E180" i="15"/>
  <c r="E203" i="15"/>
  <c r="E226" i="15"/>
  <c r="V167" i="161"/>
  <c r="V125" i="161"/>
  <c r="V43" i="161"/>
  <c r="V83" i="161"/>
  <c r="G198" i="15"/>
  <c r="G199" i="15"/>
  <c r="E15" i="9"/>
  <c r="D16" i="9" s="1"/>
  <c r="D8" i="15" s="1"/>
  <c r="E23" i="9"/>
  <c r="E20" i="9" s="1"/>
  <c r="F17" i="9"/>
  <c r="F21" i="9" s="1"/>
  <c r="AA16" i="9"/>
  <c r="Z17" i="9"/>
  <c r="Z23" i="9"/>
  <c r="AA15" i="9"/>
  <c r="Y24" i="9"/>
  <c r="Y20" i="9"/>
  <c r="Y21" i="9" s="1"/>
  <c r="I33" i="19" l="1"/>
  <c r="E117" i="15"/>
  <c r="E119" i="15"/>
  <c r="E112" i="15"/>
  <c r="E113" i="15"/>
  <c r="E114" i="15"/>
  <c r="E118" i="15"/>
  <c r="E120" i="15"/>
  <c r="E115" i="15"/>
  <c r="E111" i="15"/>
  <c r="E116" i="15"/>
  <c r="E163" i="15"/>
  <c r="E164" i="15"/>
  <c r="E165" i="15"/>
  <c r="E166" i="15"/>
  <c r="E159" i="15"/>
  <c r="E162" i="15"/>
  <c r="E157" i="15"/>
  <c r="E158" i="15"/>
  <c r="E160" i="15"/>
  <c r="E161" i="15"/>
  <c r="E138" i="15"/>
  <c r="E139" i="15"/>
  <c r="E140" i="15"/>
  <c r="E141" i="15"/>
  <c r="E142" i="15"/>
  <c r="E143" i="15"/>
  <c r="E134" i="15"/>
  <c r="E135" i="15"/>
  <c r="E136" i="15"/>
  <c r="E137" i="15"/>
  <c r="X3" i="161"/>
  <c r="F174" i="15"/>
  <c r="F175" i="15"/>
  <c r="D28" i="15"/>
  <c r="D48" i="15"/>
  <c r="D68" i="15"/>
  <c r="D88" i="15"/>
  <c r="D110" i="15"/>
  <c r="D108" i="15" s="1"/>
  <c r="D133" i="15"/>
  <c r="D131" i="15" s="1"/>
  <c r="D156" i="15"/>
  <c r="D154" i="15" s="1"/>
  <c r="D180" i="15"/>
  <c r="D203" i="15"/>
  <c r="D226" i="15"/>
  <c r="F129" i="15"/>
  <c r="F128" i="15"/>
  <c r="F198" i="15"/>
  <c r="F199" i="15"/>
  <c r="F245" i="15"/>
  <c r="F244" i="15"/>
  <c r="W167" i="161"/>
  <c r="W125" i="161"/>
  <c r="W43" i="161"/>
  <c r="W83" i="161"/>
  <c r="F3" i="161"/>
  <c r="E224" i="15"/>
  <c r="E201" i="15"/>
  <c r="E178" i="15"/>
  <c r="G43" i="161"/>
  <c r="G167" i="161"/>
  <c r="G83" i="161"/>
  <c r="G125" i="161"/>
  <c r="K19" i="19"/>
  <c r="K29" i="19"/>
  <c r="K30" i="19" s="1"/>
  <c r="K23" i="19"/>
  <c r="K26" i="19" s="1"/>
  <c r="K27" i="19"/>
  <c r="M16" i="19"/>
  <c r="L18" i="19"/>
  <c r="F221" i="15"/>
  <c r="F222" i="15"/>
  <c r="F151" i="15"/>
  <c r="F152" i="15"/>
  <c r="E17" i="9"/>
  <c r="E21" i="9" s="1"/>
  <c r="D23" i="9"/>
  <c r="D20" i="9" s="1"/>
  <c r="D15" i="9"/>
  <c r="D17" i="9" s="1"/>
  <c r="AB16" i="9"/>
  <c r="AB15" i="9"/>
  <c r="AA17" i="9"/>
  <c r="AA23" i="9"/>
  <c r="Z24" i="9"/>
  <c r="Z20" i="9"/>
  <c r="Z21" i="9" s="1"/>
  <c r="D117" i="15" l="1"/>
  <c r="D119" i="15"/>
  <c r="D112" i="15"/>
  <c r="D113" i="15"/>
  <c r="D114" i="15"/>
  <c r="D118" i="15"/>
  <c r="D120" i="15"/>
  <c r="D115" i="15"/>
  <c r="D111" i="15"/>
  <c r="D116" i="15"/>
  <c r="D163" i="15"/>
  <c r="D164" i="15"/>
  <c r="D165" i="15"/>
  <c r="D166" i="15"/>
  <c r="D159" i="15"/>
  <c r="D162" i="15"/>
  <c r="D157" i="15"/>
  <c r="D158" i="15"/>
  <c r="D160" i="15"/>
  <c r="D161" i="15"/>
  <c r="D138" i="15"/>
  <c r="D139" i="15"/>
  <c r="D140" i="15"/>
  <c r="D141" i="15"/>
  <c r="D142" i="15"/>
  <c r="D143" i="15"/>
  <c r="D134" i="15"/>
  <c r="D135" i="15"/>
  <c r="D136" i="15"/>
  <c r="D137" i="15"/>
  <c r="E129" i="15"/>
  <c r="E128" i="15"/>
  <c r="E221" i="15"/>
  <c r="E222" i="15"/>
  <c r="F43" i="161"/>
  <c r="F167" i="161"/>
  <c r="F83" i="161"/>
  <c r="F125" i="161"/>
  <c r="E245" i="15"/>
  <c r="E244" i="15"/>
  <c r="E3" i="161"/>
  <c r="X125" i="161"/>
  <c r="X167" i="161"/>
  <c r="X83" i="161"/>
  <c r="X43" i="161"/>
  <c r="L19" i="19"/>
  <c r="L29" i="19"/>
  <c r="L30" i="19" s="1"/>
  <c r="L23" i="19"/>
  <c r="L26" i="19" s="1"/>
  <c r="L27" i="19"/>
  <c r="N16" i="19"/>
  <c r="M18" i="19"/>
  <c r="E151" i="15"/>
  <c r="E152" i="15"/>
  <c r="D224" i="15"/>
  <c r="D201" i="15"/>
  <c r="E198" i="15"/>
  <c r="E199" i="15"/>
  <c r="D178" i="15"/>
  <c r="E174" i="15"/>
  <c r="E175" i="15"/>
  <c r="D21" i="9"/>
  <c r="AA24" i="9"/>
  <c r="AA20" i="9"/>
  <c r="AA21" i="9" s="1"/>
  <c r="AB23" i="9"/>
  <c r="AB17" i="9"/>
  <c r="AC16" i="9"/>
  <c r="AC15" i="9"/>
  <c r="K33" i="19" l="1"/>
  <c r="D221" i="15"/>
  <c r="D222" i="15"/>
  <c r="M19" i="19"/>
  <c r="M23" i="19"/>
  <c r="M26" i="19" s="1"/>
  <c r="M29" i="19"/>
  <c r="M30" i="19" s="1"/>
  <c r="M27" i="19"/>
  <c r="N18" i="19"/>
  <c r="D128" i="15"/>
  <c r="D129" i="15"/>
  <c r="D244" i="15"/>
  <c r="D245" i="15"/>
  <c r="D151" i="15"/>
  <c r="D152" i="15"/>
  <c r="D198" i="15"/>
  <c r="D199" i="15"/>
  <c r="E43" i="161"/>
  <c r="E167" i="161"/>
  <c r="E83" i="161"/>
  <c r="E125" i="161"/>
  <c r="D3" i="161"/>
  <c r="D174" i="15"/>
  <c r="D175" i="15"/>
  <c r="AB24" i="9"/>
  <c r="AB20" i="9"/>
  <c r="AB21" i="9" s="1"/>
  <c r="AC23" i="9"/>
  <c r="AC17" i="9"/>
  <c r="AD15" i="9"/>
  <c r="AD16" i="9"/>
  <c r="N23" i="19" l="1"/>
  <c r="N26" i="19" s="1"/>
  <c r="N19" i="19"/>
  <c r="N31" i="19"/>
  <c r="N29" i="19"/>
  <c r="N30" i="19" s="1"/>
  <c r="N27" i="19"/>
  <c r="D83" i="161"/>
  <c r="D43" i="161"/>
  <c r="D167" i="161"/>
  <c r="D125" i="161"/>
  <c r="C3" i="161"/>
  <c r="AD17" i="9"/>
  <c r="AE15" i="9"/>
  <c r="AD23" i="9"/>
  <c r="AE16" i="9"/>
  <c r="AC24" i="9"/>
  <c r="AC20" i="9"/>
  <c r="AC21" i="9" s="1"/>
  <c r="C83" i="161" l="1"/>
  <c r="C43" i="161"/>
  <c r="C167" i="161"/>
  <c r="C125" i="161"/>
  <c r="AD24" i="9"/>
  <c r="AD20" i="9"/>
  <c r="AD21" i="9" s="1"/>
  <c r="AE17" i="9"/>
  <c r="AF15" i="9"/>
  <c r="AE23" i="9"/>
  <c r="AF16" i="9"/>
  <c r="AG15" i="9" l="1"/>
  <c r="AF23" i="9"/>
  <c r="AG16" i="9"/>
  <c r="AF17" i="9"/>
  <c r="AE24" i="9"/>
  <c r="AE20" i="9"/>
  <c r="AE21" i="9" s="1"/>
  <c r="AF20" i="9" l="1"/>
  <c r="AF21" i="9" s="1"/>
  <c r="AF24" i="9"/>
  <c r="AG17" i="9"/>
  <c r="AH15" i="9"/>
  <c r="AG23" i="9"/>
  <c r="AH16" i="9"/>
  <c r="AI15" i="9" l="1"/>
  <c r="AI16" i="9"/>
  <c r="AH17" i="9"/>
  <c r="AH23" i="9"/>
  <c r="AG20" i="9"/>
  <c r="AG21" i="9" s="1"/>
  <c r="AG24" i="9"/>
  <c r="AI17" i="9" l="1"/>
  <c r="AJ15" i="9"/>
  <c r="AI23" i="9"/>
  <c r="AJ16" i="9"/>
  <c r="AH24" i="9"/>
  <c r="AH20" i="9"/>
  <c r="AH21" i="9" s="1"/>
  <c r="AI24" i="9" l="1"/>
  <c r="AI20" i="9"/>
  <c r="AI21" i="9" s="1"/>
  <c r="AJ23" i="9"/>
  <c r="AJ17" i="9"/>
  <c r="AK15" i="9"/>
  <c r="AK16" i="9"/>
  <c r="AJ24" i="9" l="1"/>
  <c r="AJ20" i="9"/>
  <c r="AJ21" i="9" s="1"/>
  <c r="AK23" i="9"/>
  <c r="AL16" i="9"/>
  <c r="AK17" i="9"/>
  <c r="AL15" i="9"/>
  <c r="AK24" i="9" l="1"/>
  <c r="AK20" i="9"/>
  <c r="AK21" i="9" s="1"/>
  <c r="AL17" i="9"/>
  <c r="AL23" i="9"/>
  <c r="AM15" i="9"/>
  <c r="AM16" i="9"/>
  <c r="AM23" i="9" l="1"/>
  <c r="AM17" i="9"/>
  <c r="AN16" i="9"/>
  <c r="AN15" i="9"/>
  <c r="AL24" i="9"/>
  <c r="AL20" i="9"/>
  <c r="AL21" i="9" s="1"/>
  <c r="AN23" i="9" l="1"/>
  <c r="AO15" i="9"/>
  <c r="AO16" i="9"/>
  <c r="AN17" i="9"/>
  <c r="AM24" i="9"/>
  <c r="AM20" i="9"/>
  <c r="AM21" i="9" s="1"/>
  <c r="AP15" i="9" l="1"/>
  <c r="AO23" i="9"/>
  <c r="AP16" i="9"/>
  <c r="AO17" i="9"/>
  <c r="AN24" i="9"/>
  <c r="AN20" i="9"/>
  <c r="AN21" i="9" s="1"/>
  <c r="AO20" i="9" l="1"/>
  <c r="AO21" i="9" s="1"/>
  <c r="AO24" i="9"/>
  <c r="AP23" i="9"/>
  <c r="AQ16" i="9"/>
  <c r="AP17" i="9"/>
  <c r="AQ15" i="9"/>
  <c r="AQ17" i="9" l="1"/>
  <c r="AQ23" i="9"/>
  <c r="AR16" i="9"/>
  <c r="AR15" i="9"/>
  <c r="AP24" i="9"/>
  <c r="AP20" i="9"/>
  <c r="AP21" i="9" s="1"/>
  <c r="AR23" i="9" l="1"/>
  <c r="AR17" i="9"/>
  <c r="AQ20" i="9"/>
  <c r="AQ21" i="9" s="1"/>
  <c r="AQ24" i="9"/>
  <c r="AR24" i="9" l="1"/>
  <c r="AR20" i="9"/>
  <c r="AR21" i="9" s="1"/>
  <c r="D17" i="6"/>
  <c r="N5" i="161"/>
  <c r="N128" i="161"/>
  <c r="D65" i="6" l="1"/>
  <c r="D64" i="6"/>
  <c r="D30" i="6"/>
  <c r="I21" i="163" s="1"/>
  <c r="D29" i="6"/>
  <c r="I18" i="163" s="1"/>
  <c r="D28" i="6"/>
  <c r="I15" i="163" s="1"/>
  <c r="D27" i="6"/>
  <c r="I12" i="163" s="1"/>
  <c r="D26" i="6"/>
  <c r="I9" i="163" s="1"/>
  <c r="I3" i="163"/>
  <c r="E18" i="6"/>
  <c r="E21" i="6"/>
  <c r="E20" i="6"/>
  <c r="E19" i="6"/>
  <c r="D23" i="6"/>
  <c r="D24" i="6" s="1"/>
  <c r="D31" i="6" l="1"/>
  <c r="D20" i="19" s="1"/>
  <c r="N45" i="161"/>
  <c r="I6" i="163"/>
  <c r="E17" i="6"/>
  <c r="E65" i="6" l="1"/>
  <c r="E64" i="6"/>
  <c r="E30" i="6"/>
  <c r="J21" i="163" s="1"/>
  <c r="E29" i="6"/>
  <c r="J18" i="163" s="1"/>
  <c r="E28" i="6"/>
  <c r="J15" i="163" s="1"/>
  <c r="E27" i="6"/>
  <c r="J12" i="163" s="1"/>
  <c r="E26" i="6"/>
  <c r="J9" i="163" s="1"/>
  <c r="E23" i="6"/>
  <c r="E24" i="6" s="1"/>
  <c r="F21" i="6"/>
  <c r="F20" i="6"/>
  <c r="F19" i="6"/>
  <c r="F18" i="6"/>
  <c r="F17" i="6" s="1"/>
  <c r="O5" i="161"/>
  <c r="J3" i="163"/>
  <c r="D21" i="19"/>
  <c r="D24" i="19"/>
  <c r="D28" i="19" s="1"/>
  <c r="D31" i="19" s="1"/>
  <c r="O128" i="161" l="1"/>
  <c r="F65" i="6"/>
  <c r="F64" i="6"/>
  <c r="F30" i="6"/>
  <c r="K21" i="163" s="1"/>
  <c r="F29" i="6"/>
  <c r="K18" i="163" s="1"/>
  <c r="F28" i="6"/>
  <c r="K15" i="163" s="1"/>
  <c r="F27" i="6"/>
  <c r="K12" i="163" s="1"/>
  <c r="F26" i="6"/>
  <c r="K9" i="163" s="1"/>
  <c r="F23" i="6"/>
  <c r="F24" i="6" s="1"/>
  <c r="G21" i="6"/>
  <c r="G20" i="6"/>
  <c r="G19" i="6"/>
  <c r="G18" i="6"/>
  <c r="G17" i="6" s="1"/>
  <c r="K3" i="163"/>
  <c r="K28" i="163" s="1"/>
  <c r="P5" i="161"/>
  <c r="E31" i="6"/>
  <c r="E20" i="19" s="1"/>
  <c r="E21" i="19" s="1"/>
  <c r="E24" i="19" s="1"/>
  <c r="J6" i="163"/>
  <c r="O45" i="161"/>
  <c r="P170" i="161" l="1"/>
  <c r="P128" i="161"/>
  <c r="G65" i="6"/>
  <c r="G64" i="6"/>
  <c r="G30" i="6"/>
  <c r="L21" i="163" s="1"/>
  <c r="G29" i="6"/>
  <c r="L18" i="163" s="1"/>
  <c r="G28" i="6"/>
  <c r="L15" i="163" s="1"/>
  <c r="G27" i="6"/>
  <c r="L12" i="163" s="1"/>
  <c r="G26" i="6"/>
  <c r="L9" i="163" s="1"/>
  <c r="G23" i="6"/>
  <c r="G24" i="6" s="1"/>
  <c r="H21" i="6"/>
  <c r="H20" i="6"/>
  <c r="H19" i="6"/>
  <c r="H18" i="6"/>
  <c r="H17" i="6" s="1"/>
  <c r="L3" i="163"/>
  <c r="L28" i="163" s="1"/>
  <c r="Q5" i="161"/>
  <c r="F31" i="6"/>
  <c r="F20" i="19" s="1"/>
  <c r="F21" i="19" s="1"/>
  <c r="F24" i="19" s="1"/>
  <c r="F28" i="19" s="1"/>
  <c r="F31" i="19" s="1"/>
  <c r="P45" i="161"/>
  <c r="K6" i="163"/>
  <c r="Q170" i="161" l="1"/>
  <c r="Q128" i="161"/>
  <c r="H65" i="6"/>
  <c r="H64" i="6"/>
  <c r="H30" i="6"/>
  <c r="M21" i="163" s="1"/>
  <c r="S21" i="163" s="1"/>
  <c r="H29" i="6"/>
  <c r="M18" i="163" s="1"/>
  <c r="S18" i="163" s="1"/>
  <c r="H28" i="6"/>
  <c r="M15" i="163" s="1"/>
  <c r="S15" i="163" s="1"/>
  <c r="H27" i="6"/>
  <c r="M12" i="163" s="1"/>
  <c r="S12" i="163" s="1"/>
  <c r="H26" i="6"/>
  <c r="M9" i="163" s="1"/>
  <c r="S9" i="163" s="1"/>
  <c r="H23" i="6"/>
  <c r="H24" i="6" s="1"/>
  <c r="I21" i="6"/>
  <c r="I20" i="6"/>
  <c r="I19" i="6"/>
  <c r="I18" i="6"/>
  <c r="I17" i="6" s="1"/>
  <c r="R5" i="161"/>
  <c r="M3" i="163"/>
  <c r="G31" i="6"/>
  <c r="G20" i="19" s="1"/>
  <c r="G21" i="19" s="1"/>
  <c r="G24" i="19" s="1"/>
  <c r="G28" i="19" s="1"/>
  <c r="G31" i="19" s="1"/>
  <c r="Q45" i="161"/>
  <c r="L6" i="163"/>
  <c r="S3" i="163" l="1"/>
  <c r="M28" i="163"/>
  <c r="R170" i="161"/>
  <c r="R128" i="161"/>
  <c r="I65" i="6"/>
  <c r="I64" i="6"/>
  <c r="I30" i="6"/>
  <c r="N21" i="163" s="1"/>
  <c r="I29" i="6"/>
  <c r="N18" i="163" s="1"/>
  <c r="I28" i="6"/>
  <c r="N15" i="163" s="1"/>
  <c r="I27" i="6"/>
  <c r="N12" i="163" s="1"/>
  <c r="I26" i="6"/>
  <c r="N9" i="163" s="1"/>
  <c r="I23" i="6"/>
  <c r="I24" i="6" s="1"/>
  <c r="J21" i="6"/>
  <c r="J20" i="6"/>
  <c r="J19" i="6"/>
  <c r="J18" i="6"/>
  <c r="J17" i="6" s="1"/>
  <c r="S5" i="161"/>
  <c r="N3" i="163"/>
  <c r="N28" i="163" s="1"/>
  <c r="H31" i="6"/>
  <c r="H20" i="19" s="1"/>
  <c r="H21" i="19" s="1"/>
  <c r="H24" i="19" s="1"/>
  <c r="H28" i="19" s="1"/>
  <c r="H31" i="19" s="1"/>
  <c r="R45" i="161"/>
  <c r="M6" i="163"/>
  <c r="S6" i="163" s="1"/>
  <c r="S170" i="161" l="1"/>
  <c r="S128" i="161"/>
  <c r="J65" i="6"/>
  <c r="J64" i="6"/>
  <c r="J30" i="6"/>
  <c r="O21" i="163" s="1"/>
  <c r="J29" i="6"/>
  <c r="O18" i="163" s="1"/>
  <c r="J28" i="6"/>
  <c r="O15" i="163" s="1"/>
  <c r="J27" i="6"/>
  <c r="O12" i="163" s="1"/>
  <c r="J26" i="6"/>
  <c r="O9" i="163" s="1"/>
  <c r="J23" i="6"/>
  <c r="J24" i="6" s="1"/>
  <c r="K21" i="6"/>
  <c r="K20" i="6"/>
  <c r="K19" i="6"/>
  <c r="K18" i="6"/>
  <c r="K17" i="6" s="1"/>
  <c r="T5" i="161"/>
  <c r="O3" i="163"/>
  <c r="O28" i="163" s="1"/>
  <c r="I31" i="6"/>
  <c r="I20" i="19" s="1"/>
  <c r="I21" i="19" s="1"/>
  <c r="I24" i="19" s="1"/>
  <c r="I28" i="19" s="1"/>
  <c r="I31" i="19" s="1"/>
  <c r="S45" i="161"/>
  <c r="N6" i="163"/>
  <c r="T170" i="161" l="1"/>
  <c r="T128" i="161"/>
  <c r="K65" i="6"/>
  <c r="K64" i="6"/>
  <c r="K30" i="6"/>
  <c r="P21" i="163" s="1"/>
  <c r="K29" i="6"/>
  <c r="P18" i="163" s="1"/>
  <c r="K28" i="6"/>
  <c r="P15" i="163" s="1"/>
  <c r="K27" i="6"/>
  <c r="P12" i="163" s="1"/>
  <c r="K26" i="6"/>
  <c r="P9" i="163" s="1"/>
  <c r="K23" i="6"/>
  <c r="K24" i="6" s="1"/>
  <c r="L21" i="6"/>
  <c r="L20" i="6"/>
  <c r="L19" i="6"/>
  <c r="L18" i="6"/>
  <c r="L17" i="6" s="1"/>
  <c r="P3" i="163"/>
  <c r="P28" i="163" s="1"/>
  <c r="U5" i="161"/>
  <c r="J31" i="6"/>
  <c r="J20" i="19" s="1"/>
  <c r="J21" i="19" s="1"/>
  <c r="J24" i="19" s="1"/>
  <c r="J28" i="19" s="1"/>
  <c r="T45" i="161"/>
  <c r="O6" i="163"/>
  <c r="J33" i="19" l="1"/>
  <c r="J31" i="19"/>
  <c r="U170" i="161"/>
  <c r="U128" i="161"/>
  <c r="L65" i="6"/>
  <c r="L64" i="6"/>
  <c r="L30" i="6"/>
  <c r="Q21" i="163" s="1"/>
  <c r="L29" i="6"/>
  <c r="Q18" i="163" s="1"/>
  <c r="L28" i="6"/>
  <c r="Q15" i="163" s="1"/>
  <c r="L27" i="6"/>
  <c r="Q12" i="163" s="1"/>
  <c r="L26" i="6"/>
  <c r="Q9" i="163" s="1"/>
  <c r="L23" i="6"/>
  <c r="L24" i="6" s="1"/>
  <c r="M21" i="6"/>
  <c r="M20" i="6"/>
  <c r="M19" i="6"/>
  <c r="M18" i="6"/>
  <c r="M17" i="6" s="1"/>
  <c r="V5" i="161"/>
  <c r="Q3" i="163"/>
  <c r="Q28" i="163" s="1"/>
  <c r="K31" i="6"/>
  <c r="K20" i="19" s="1"/>
  <c r="K21" i="19" s="1"/>
  <c r="K24" i="19" s="1"/>
  <c r="K28" i="19" s="1"/>
  <c r="K31" i="19" s="1"/>
  <c r="U45" i="161"/>
  <c r="P6" i="163"/>
  <c r="V170" i="161" l="1"/>
  <c r="V128" i="161"/>
  <c r="M23" i="6"/>
  <c r="M65" i="6"/>
  <c r="M64" i="6"/>
  <c r="M30" i="6"/>
  <c r="R21" i="163" s="1"/>
  <c r="M29" i="6"/>
  <c r="R18" i="163" s="1"/>
  <c r="M28" i="6"/>
  <c r="R15" i="163" s="1"/>
  <c r="M27" i="6"/>
  <c r="R12" i="163" s="1"/>
  <c r="M26" i="6"/>
  <c r="R9" i="163" s="1"/>
  <c r="M24" i="6"/>
  <c r="W5" i="161"/>
  <c r="R3" i="163"/>
  <c r="R28" i="163" s="1"/>
  <c r="L31" i="6"/>
  <c r="L20" i="19" s="1"/>
  <c r="L21" i="19" s="1"/>
  <c r="L24" i="19" s="1"/>
  <c r="L28" i="19" s="1"/>
  <c r="V45" i="161"/>
  <c r="Q6" i="163"/>
  <c r="L33" i="19" l="1"/>
  <c r="L31" i="19"/>
  <c r="W170" i="161"/>
  <c r="W128" i="161"/>
  <c r="M31" i="6"/>
  <c r="M20" i="19" s="1"/>
  <c r="W45" i="161"/>
  <c r="R6" i="163"/>
  <c r="N20" i="19" l="1"/>
  <c r="N21" i="19" s="1"/>
  <c r="N24" i="19" s="1"/>
  <c r="N28" i="19" s="1"/>
  <c r="N33" i="19" s="1"/>
  <c r="D36" i="19" s="1"/>
  <c r="M21" i="19"/>
  <c r="M24" i="19" s="1"/>
  <c r="M28" i="19" s="1"/>
  <c r="M33" i="19" l="1"/>
  <c r="M31" i="19"/>
  <c r="I31" i="163" l="1"/>
  <c r="D57" i="6"/>
  <c r="I27" i="163"/>
  <c r="I28" i="163"/>
  <c r="N169" i="161" l="1"/>
  <c r="N170" i="161" s="1"/>
  <c r="D26" i="19"/>
  <c r="J31" i="163"/>
  <c r="E57" i="6"/>
  <c r="O169" i="161"/>
  <c r="O170" i="161"/>
  <c r="J27" i="163" l="1"/>
  <c r="J28" i="163" s="1"/>
  <c r="E26" i="19"/>
  <c r="E28" i="19" s="1"/>
  <c r="E31" i="19" s="1"/>
  <c r="D35" i="19" s="1"/>
  <c r="D37" i="19" l="1"/>
  <c r="E35" i="19"/>
  <c r="E36" i="19" l="1"/>
  <c r="D40" i="19"/>
  <c r="C49" i="19"/>
  <c r="C51" i="19" s="1"/>
  <c r="D43" i="19"/>
  <c r="D42" i="19"/>
  <c r="D9" i="20" l="1"/>
  <c r="D7" i="162" s="1"/>
  <c r="D44" i="19"/>
  <c r="C59" i="19" s="1"/>
  <c r="E7" i="162" l="1"/>
  <c r="D18" i="162"/>
  <c r="D19" i="162"/>
  <c r="E12" i="162"/>
  <c r="E14" i="162"/>
  <c r="E8" i="162"/>
  <c r="E10" i="162"/>
  <c r="E9" i="162"/>
  <c r="E17" i="162"/>
  <c r="E13" i="162"/>
  <c r="E15" i="162"/>
  <c r="E11" i="162"/>
  <c r="E16" i="1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B14" authorId="0" shapeId="0" xr:uid="{1548A667-D011-4138-9397-470717E5D848}">
      <text>
        <r>
          <rPr>
            <b/>
            <sz val="9"/>
            <color indexed="81"/>
            <rFont val="Tahoma"/>
            <family val="2"/>
          </rPr>
          <t>present costs/expenses in negative numbers in (  )</t>
        </r>
        <r>
          <rPr>
            <sz val="9"/>
            <color indexed="81"/>
            <rFont val="Tahoma"/>
            <family val="2"/>
          </rPr>
          <t xml:space="preserve">
</t>
        </r>
      </text>
    </comment>
    <comment ref="B95" authorId="0" shapeId="0" xr:uid="{F5F7D73B-47D2-48F7-B558-D7EBE27B593E}">
      <text>
        <r>
          <rPr>
            <b/>
            <sz val="9"/>
            <color indexed="81"/>
            <rFont val="Tahoma"/>
            <family val="2"/>
          </rPr>
          <t>Do NOT present liabilities in (   )</t>
        </r>
        <r>
          <rPr>
            <sz val="9"/>
            <color indexed="81"/>
            <rFont val="Tahoma"/>
            <family val="2"/>
          </rPr>
          <t xml:space="preserve">
</t>
        </r>
      </text>
    </comment>
    <comment ref="B129" authorId="0" shapeId="0" xr:uid="{DDE44A8B-9C11-4633-B2F6-AF9F9F5ED33B}">
      <text>
        <r>
          <rPr>
            <b/>
            <sz val="9"/>
            <color indexed="81"/>
            <rFont val="Tahoma"/>
            <family val="2"/>
          </rPr>
          <t xml:space="preserve">Capex is an outflow so insert in negative (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B63" authorId="0" shapeId="0" xr:uid="{D718A566-5BD8-4897-9135-E27DC501426B}">
      <text>
        <r>
          <rPr>
            <b/>
            <sz val="9"/>
            <color indexed="81"/>
            <rFont val="Tahoma"/>
            <family val="2"/>
          </rPr>
          <t xml:space="preserve">Capex is an outflow so insert in negative ( ) 
</t>
        </r>
      </text>
    </comment>
    <comment ref="B93" authorId="0" shapeId="0" xr:uid="{AA5D7C7C-E5A8-428B-B1B8-330545CCF4CD}">
      <text>
        <r>
          <rPr>
            <b/>
            <sz val="9"/>
            <color indexed="81"/>
            <rFont val="Tahoma"/>
            <family val="2"/>
          </rPr>
          <t xml:space="preserve">Liability items presented in negative ( )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S1" authorId="0" shapeId="0" xr:uid="{9DA8D43C-3F9F-428A-9782-29E50554DCB1}">
      <text>
        <r>
          <rPr>
            <b/>
            <sz val="9"/>
            <color indexed="81"/>
            <rFont val="Tahoma"/>
            <family val="2"/>
          </rPr>
          <t>Check if this is fine</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tc={28943A0E-C983-4996-8FAD-2393C46A944E}</author>
    <author>Bilal Noorgat</author>
  </authors>
  <commentList>
    <comment ref="C39" authorId="0" shapeId="0" xr:uid="{28943A0E-C983-4996-8FAD-2393C46A944E}">
      <text>
        <t>[Threaded comment]
Your version of Excel allows you to read this threaded comment; however, any edits to it will get removed if the file is opened in a newer version of Excel. Learn more: https://go.microsoft.com/fwlink/?linkid=870924
Comment:
    Can more countries if needed. Expand row and add CIQ ID</t>
      </text>
    </comment>
    <comment ref="E41" authorId="1" shapeId="0" xr:uid="{7386B4EA-1FF4-4880-9E01-B1AA22245DC7}">
      <text>
        <r>
          <rPr>
            <b/>
            <sz val="9"/>
            <color indexed="81"/>
            <rFont val="Tahoma"/>
            <family val="2"/>
          </rPr>
          <t>=IF($D46="","",IFERROR(CIQ($D46,"IQ_RATE_LEVEL",$C$5)/100,"NA"))</t>
        </r>
      </text>
    </comment>
    <comment ref="E42" authorId="1" shapeId="0" xr:uid="{EFC84FF5-B60E-4F15-BBD3-1FD5DC83E47B}">
      <text>
        <r>
          <rPr>
            <b/>
            <sz val="9"/>
            <color indexed="81"/>
            <rFont val="Tahoma"/>
            <family val="2"/>
          </rPr>
          <t>=IF($D47="","",IFERROR(CIQ($D47,"IQ_RATE_LEVEL",$C$5)/100,"NA"))</t>
        </r>
      </text>
    </comment>
    <comment ref="E43" authorId="1" shapeId="0" xr:uid="{C9401DA1-6ADB-4DA5-B001-C10B11504413}">
      <text>
        <r>
          <rPr>
            <b/>
            <sz val="9"/>
            <color indexed="81"/>
            <rFont val="Tahoma"/>
            <family val="2"/>
          </rPr>
          <t>=IF($D48="","",IFERROR(CIQ($D48,"IQ_RATE_LEVEL",$C$5)/100,"NA"))</t>
        </r>
      </text>
    </comment>
    <comment ref="E44" authorId="1" shapeId="0" xr:uid="{E65DF008-8209-4710-8176-0C7AD196457B}">
      <text>
        <r>
          <rPr>
            <b/>
            <sz val="9"/>
            <color indexed="81"/>
            <rFont val="Tahoma"/>
            <family val="2"/>
          </rPr>
          <t>=IF($D49="","",IFERROR(CIQ($D49,"IQ_RATE_LEVEL",$C$5)/100,"NA"))</t>
        </r>
      </text>
    </comment>
    <comment ref="E45" authorId="1" shapeId="0" xr:uid="{B2806FE9-E7C4-4A49-A581-80E11C0EB627}">
      <text>
        <r>
          <rPr>
            <b/>
            <sz val="9"/>
            <color indexed="81"/>
            <rFont val="Tahoma"/>
            <family val="2"/>
          </rPr>
          <t>=IF($D50="","",IFERROR(CIQ($D50,"IQ_RATE_LEVEL",$C$5)/100,"NA"))</t>
        </r>
      </text>
    </comment>
    <comment ref="E46" authorId="1" shapeId="0" xr:uid="{6D9B15CE-1626-484C-B567-5EE7B764C6B8}">
      <text>
        <r>
          <rPr>
            <b/>
            <sz val="9"/>
            <color indexed="81"/>
            <rFont val="Tahoma"/>
            <family val="2"/>
          </rPr>
          <t>=IF($D51="","",IFERROR(CIQ($D51,"IQ_RATE_LEVEL",$C$5)/100,"NA"))</t>
        </r>
      </text>
    </comment>
    <comment ref="E47" authorId="1" shapeId="0" xr:uid="{0C8A66B2-91DE-48CE-A5F4-E31F6CCC850B}">
      <text>
        <r>
          <rPr>
            <b/>
            <sz val="9"/>
            <color indexed="81"/>
            <rFont val="Tahoma"/>
            <family val="2"/>
          </rPr>
          <t>=IF($D52="","",IFERROR(CIQ($D52,"IQ_RATE_LEVEL",$C$5)/100,"NA"))</t>
        </r>
      </text>
    </comment>
    <comment ref="E48" authorId="1" shapeId="0" xr:uid="{73868AB9-5728-434A-B26E-885D7357E78B}">
      <text>
        <r>
          <rPr>
            <b/>
            <sz val="9"/>
            <color indexed="81"/>
            <rFont val="Tahoma"/>
            <family val="2"/>
          </rPr>
          <t>=IF($D53="","",IFERROR(CIQ($D53,"IQ_RATE_LEVEL",$C$5)/100,"NA"))</t>
        </r>
      </text>
    </comment>
    <comment ref="E49" authorId="1" shapeId="0" xr:uid="{6B6BEF99-3EE5-4DAD-A851-3B17FC5DED3A}">
      <text>
        <r>
          <rPr>
            <b/>
            <sz val="9"/>
            <color indexed="81"/>
            <rFont val="Tahoma"/>
            <family val="2"/>
          </rPr>
          <t>=IF($D54="","",IFERROR(CIQ($D54,"IQ_RATE_LEVEL",$C$5)/100,"NA"))</t>
        </r>
      </text>
    </comment>
    <comment ref="E55" authorId="1" shapeId="0" xr:uid="{82D78BE2-8199-4E9B-BD42-96889E7ECC66}">
      <text>
        <r>
          <rPr>
            <b/>
            <sz val="9"/>
            <color indexed="81"/>
            <rFont val="Tahoma"/>
            <family val="2"/>
          </rPr>
          <t>=IF(OR($C60="",$B60="",$A60=""),"",CIQ($C60,"IQ_FULL_CURVE"&amp;$E$57,$B$58,$B60,$A60&amp;"Y",$C$5))</t>
        </r>
      </text>
    </comment>
    <comment ref="E56" authorId="1" shapeId="0" xr:uid="{A847363D-339C-47D4-9C10-73BCB7D019DA}">
      <text>
        <r>
          <rPr>
            <b/>
            <sz val="9"/>
            <color indexed="81"/>
            <rFont val="Tahoma"/>
            <family val="2"/>
          </rPr>
          <t>=IF(OR($C61="",$B61="",$A61=""),"",CIQ($C61,"IQ_FULL_CURVE"&amp;$E$57,$B$58,$B61,$A61&amp;"Y",$C$5))</t>
        </r>
      </text>
    </comment>
    <comment ref="E57" authorId="1" shapeId="0" xr:uid="{C8E02E17-8883-420E-ABC8-032DA1BC3F35}">
      <text>
        <r>
          <rPr>
            <b/>
            <sz val="9"/>
            <color indexed="81"/>
            <rFont val="Tahoma"/>
            <family val="2"/>
          </rPr>
          <t>=IF(OR($C62="",$B62="",$A62=""),"",CIQ($C62,"IQ_FULL_CURVE"&amp;$E$57,$B$58,$B62,$A62&amp;"Y",$C$5))</t>
        </r>
      </text>
    </comment>
    <comment ref="E58" authorId="1" shapeId="0" xr:uid="{AEAC0CE7-0ABA-4FBB-8FF4-1D9D3125DD1B}">
      <text>
        <r>
          <rPr>
            <b/>
            <sz val="9"/>
            <color indexed="81"/>
            <rFont val="Tahoma"/>
            <family val="2"/>
          </rPr>
          <t>=IF(OR($C63="",$B63="",$A63=""),"",CIQ($C63,"IQ_FULL_CURVE"&amp;$E$57,$B$58,$B63,$A63&amp;"Y",$C$5))</t>
        </r>
      </text>
    </comment>
    <comment ref="E59" authorId="1" shapeId="0" xr:uid="{58DAB9A2-112D-4FF0-984C-B1B2EE6084A5}">
      <text>
        <r>
          <rPr>
            <b/>
            <sz val="9"/>
            <color indexed="81"/>
            <rFont val="Tahoma"/>
            <family val="2"/>
          </rPr>
          <t>=IF(OR($C64="",$B64="",$A64=""),"",CIQ($C64,"IQ_FULL_CURVE"&amp;$E$57,$B$58,$B64,$A64&amp;"Y",$C$5))</t>
        </r>
      </text>
    </comment>
    <comment ref="E60" authorId="1" shapeId="0" xr:uid="{4B892F53-156C-4E53-BA60-023292625276}">
      <text>
        <r>
          <rPr>
            <b/>
            <sz val="9"/>
            <color indexed="81"/>
            <rFont val="Tahoma"/>
            <family val="2"/>
          </rPr>
          <t>=IF(OR($C65="",$B65="",$A65=""),"",CIQ($C65,"IQ_FULL_CURVE"&amp;$E$57,$B$58,$B65,$A65&amp;"Y",$C$5))</t>
        </r>
      </text>
    </comment>
    <comment ref="E61" authorId="1" shapeId="0" xr:uid="{BFA68858-0A7A-41BA-9FAC-01FEE6CB6043}">
      <text>
        <r>
          <rPr>
            <b/>
            <sz val="9"/>
            <color indexed="81"/>
            <rFont val="Tahoma"/>
            <family val="2"/>
          </rPr>
          <t>=IF(OR($C66="",$B66="",$A66=""),"",CIQ($C66,"IQ_FULL_CURVE"&amp;$E$57,$B$58,$B66,$A66&amp;"Y",$C$5))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Huy Nguyen</author>
  </authors>
  <commentList>
    <comment ref="C14" authorId="0" shapeId="0" xr:uid="{00000000-0006-0000-0F00-000001000000}">
      <text>
        <r>
          <rPr>
            <b/>
            <sz val="9"/>
            <color indexed="81"/>
            <rFont val="Tahoma"/>
            <family val="2"/>
          </rPr>
          <t>Huy Nguyen:</t>
        </r>
        <r>
          <rPr>
            <sz val="9"/>
            <color indexed="81"/>
            <rFont val="Tahoma"/>
            <family val="2"/>
          </rPr>
          <t xml:space="preserve">
Keep this at 2 always for the base assumption in TV growth rate and discount rate.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A13" authorId="0" shapeId="0" xr:uid="{5E06AC3B-1707-401A-8A81-2A57387631E9}">
      <text>
        <r>
          <rPr>
            <b/>
            <sz val="9"/>
            <color indexed="81"/>
            <rFont val="Tahoma"/>
            <family val="2"/>
          </rPr>
          <t>=IF(CIQ($C$9,"IQ_TR_TRANSACTION_QUICK_COMPS_MA",$L13)=0,"",CIQ($C$9,"IQ_TR_TRANSACTION_QUICK_COMPS_MA",$L13))</t>
        </r>
      </text>
    </comment>
    <comment ref="B13" authorId="0" shapeId="0" xr:uid="{57798322-6034-4FA7-8C1A-02A66A4D1F55}">
      <text>
        <r>
          <rPr>
            <b/>
            <sz val="9"/>
            <color indexed="81"/>
            <rFont val="Tahoma"/>
            <family val="2"/>
          </rPr>
          <t>=IF($A13="","",CIQ($A13,"IQ_TR_ANN_DATE"))</t>
        </r>
      </text>
    </comment>
    <comment ref="C13" authorId="0" shapeId="0" xr:uid="{AD4815B7-184A-492C-8669-9B1CA05B9595}">
      <text>
        <r>
          <rPr>
            <b/>
            <sz val="9"/>
            <color indexed="81"/>
            <rFont val="Tahoma"/>
            <family val="2"/>
          </rPr>
          <t>=IF($A13="","",CIQ($A13,"IQ_TR_TARGETNAME"))</t>
        </r>
      </text>
    </comment>
    <comment ref="D13" authorId="0" shapeId="0" xr:uid="{FBB6E5E1-3E92-4E00-911E-CAF1E4D427E5}">
      <text>
        <r>
          <rPr>
            <b/>
            <sz val="9"/>
            <color indexed="81"/>
            <rFont val="Tahoma"/>
            <family val="2"/>
          </rPr>
          <t>=IF($A13="","",IF(CIQ($A13,"IQ_TR_BUYERNAME")=0,"-",CIQ($A13,"IQ_TR_BUYERNAME")))</t>
        </r>
      </text>
    </comment>
    <comment ref="E13" authorId="0" shapeId="0" xr:uid="{D8A06658-D8BA-41F3-8CCE-FE1C1FEED111}">
      <text>
        <r>
          <rPr>
            <b/>
            <sz val="9"/>
            <color indexed="81"/>
            <rFont val="Tahoma"/>
            <family val="2"/>
          </rPr>
          <t>=IF($A13="","",IF(CIQ(CIQ($A13,"IQ_TR_TARGET_ID"),"IQ_COUNTRY_NAME")=0,"-",CIQ(CIQ($A13,"IQ_TR_TARGET_ID"),"IQ_COUNTRY_NAME")))</t>
        </r>
      </text>
    </comment>
    <comment ref="F13" authorId="0" shapeId="0" xr:uid="{567F025D-17D9-4013-81B7-1B202856E6E4}">
      <text>
        <r>
          <rPr>
            <b/>
            <sz val="9"/>
            <color indexed="81"/>
            <rFont val="Tahoma"/>
            <family val="2"/>
          </rPr>
          <t>=IF($A13="","",CIQ($A13,"IQ_TR_TOTALVALUE"))</t>
        </r>
      </text>
    </comment>
    <comment ref="G13" authorId="0" shapeId="0" xr:uid="{22D3C7CB-9571-451D-9462-0E24B0DE7D53}">
      <text>
        <r>
          <rPr>
            <b/>
            <sz val="9"/>
            <color indexed="81"/>
            <rFont val="Tahoma"/>
            <family val="2"/>
          </rPr>
          <t>=IF($A13="","",CIQ($A13,"IQ_TR_STATUS"))</t>
        </r>
      </text>
    </comment>
    <comment ref="H13" authorId="0" shapeId="0" xr:uid="{7E33FAFD-FCC8-4D94-BF91-42537B49AAD6}">
      <text>
        <r>
          <rPr>
            <b/>
            <sz val="9"/>
            <color indexed="81"/>
            <rFont val="Tahoma"/>
            <family val="2"/>
          </rPr>
          <t>=IF($A13="","",CIQ($A13,"IQ_TR_CURRENCY"))</t>
        </r>
      </text>
    </comment>
    <comment ref="I13" authorId="0" shapeId="0" xr:uid="{3D487902-D4B8-401B-8A75-3B76D4FE9D9A}">
      <text>
        <r>
          <rPr>
            <b/>
            <sz val="9"/>
            <color indexed="81"/>
            <rFont val="Tahoma"/>
            <family val="2"/>
          </rPr>
          <t>=IF($A13="","",CIQ($A13,"IQ_TR_IMPLIED_EV_EBITDA"))</t>
        </r>
      </text>
    </comment>
    <comment ref="J13" authorId="0" shapeId="0" xr:uid="{02E085C3-04CD-49B4-9ED7-41550D234BEA}">
      <text>
        <r>
          <rPr>
            <b/>
            <sz val="9"/>
            <color indexed="81"/>
            <rFont val="Tahoma"/>
            <family val="2"/>
          </rPr>
          <t>=IF($A13="","",CIQ($A13,"IQ_TR_IMPLIED_EV_REV"))</t>
        </r>
      </text>
    </comment>
    <comment ref="K13" authorId="0" shapeId="0" xr:uid="{49C32192-BC13-4028-AA50-022944CBFE02}">
      <text>
        <r>
          <rPr>
            <b/>
            <sz val="9"/>
            <color indexed="81"/>
            <rFont val="Tahoma"/>
            <family val="2"/>
          </rPr>
          <t>=IF($A13="","",CIQ($A13,"IQ_TR_IMPLIED_EV_EBIT"))</t>
        </r>
      </text>
    </comment>
    <comment ref="A14" authorId="0" shapeId="0" xr:uid="{2666E9F7-AA91-4457-8DD5-1383141B1F4C}">
      <text>
        <r>
          <rPr>
            <b/>
            <sz val="9"/>
            <color indexed="81"/>
            <rFont val="Tahoma"/>
            <family val="2"/>
          </rPr>
          <t>=IF(CIQ($C$9,"IQ_TR_TRANSACTION_QUICK_COMPS_MA",$L14)=0,"",CIQ($C$9,"IQ_TR_TRANSACTION_QUICK_COMPS_MA",$L14))</t>
        </r>
      </text>
    </comment>
    <comment ref="B14" authorId="0" shapeId="0" xr:uid="{B750A974-56E7-4170-83AB-51EEFFE7C65B}">
      <text>
        <r>
          <rPr>
            <b/>
            <sz val="9"/>
            <color indexed="81"/>
            <rFont val="Tahoma"/>
            <family val="2"/>
          </rPr>
          <t>=IF($A14="","",CIQ($A14,"IQ_TR_ANN_DATE"))</t>
        </r>
      </text>
    </comment>
    <comment ref="C14" authorId="0" shapeId="0" xr:uid="{F72AC4F3-CB99-47EE-A33F-C6BFCDD05332}">
      <text>
        <r>
          <rPr>
            <b/>
            <sz val="9"/>
            <color indexed="81"/>
            <rFont val="Tahoma"/>
            <family val="2"/>
          </rPr>
          <t>=IF($A14="","",CIQ($A14,"IQ_TR_TARGETNAME"))</t>
        </r>
      </text>
    </comment>
    <comment ref="D14" authorId="0" shapeId="0" xr:uid="{E9126203-CE21-4FC0-8CE9-0AFBD9BEAF7A}">
      <text>
        <r>
          <rPr>
            <b/>
            <sz val="9"/>
            <color indexed="81"/>
            <rFont val="Tahoma"/>
            <family val="2"/>
          </rPr>
          <t>=IF($A14="","",IF(CIQ($A14,"IQ_TR_BUYERNAME")=0,"-",CIQ($A14,"IQ_TR_BUYERNAME")))</t>
        </r>
      </text>
    </comment>
    <comment ref="E14" authorId="0" shapeId="0" xr:uid="{6817BAE8-8916-488F-B8E0-44A128943894}">
      <text>
        <r>
          <rPr>
            <b/>
            <sz val="9"/>
            <color indexed="81"/>
            <rFont val="Tahoma"/>
            <family val="2"/>
          </rPr>
          <t>=IF($A14="","",IF(CIQ(CIQ($A14,"IQ_TR_TARGET_ID"),"IQ_COUNTRY_NAME")=0,"-",CIQ(CIQ($A14,"IQ_TR_TARGET_ID"),"IQ_COUNTRY_NAME")))</t>
        </r>
      </text>
    </comment>
    <comment ref="F14" authorId="0" shapeId="0" xr:uid="{2B9B6A94-A632-4AF4-B982-7280DBDED074}">
      <text>
        <r>
          <rPr>
            <b/>
            <sz val="9"/>
            <color indexed="81"/>
            <rFont val="Tahoma"/>
            <family val="2"/>
          </rPr>
          <t>=IF($A14="","",CIQ($A14,"IQ_TR_TOTALVALUE"))</t>
        </r>
      </text>
    </comment>
    <comment ref="G14" authorId="0" shapeId="0" xr:uid="{3E3CC468-5E7D-4291-A8A5-22F6CE117B26}">
      <text>
        <r>
          <rPr>
            <b/>
            <sz val="9"/>
            <color indexed="81"/>
            <rFont val="Tahoma"/>
            <family val="2"/>
          </rPr>
          <t>=IF($A14="","",CIQ($A14,"IQ_TR_STATUS"))</t>
        </r>
      </text>
    </comment>
    <comment ref="H14" authorId="0" shapeId="0" xr:uid="{0F8E3C57-2DC7-4FC4-B251-FDBA4EDDC560}">
      <text>
        <r>
          <rPr>
            <b/>
            <sz val="9"/>
            <color indexed="81"/>
            <rFont val="Tahoma"/>
            <family val="2"/>
          </rPr>
          <t>=IF($A14="","",CIQ($A14,"IQ_TR_CURRENCY"))</t>
        </r>
      </text>
    </comment>
    <comment ref="I14" authorId="0" shapeId="0" xr:uid="{3567F5D9-D3EF-480F-8FCF-A1997FDBA697}">
      <text>
        <r>
          <rPr>
            <b/>
            <sz val="9"/>
            <color indexed="81"/>
            <rFont val="Tahoma"/>
            <family val="2"/>
          </rPr>
          <t>=IF($A14="","",CIQ($A14,"IQ_TR_IMPLIED_EV_EBITDA"))</t>
        </r>
      </text>
    </comment>
    <comment ref="J14" authorId="0" shapeId="0" xr:uid="{8ABD1A5E-4F54-413B-BD95-970454FAF853}">
      <text>
        <r>
          <rPr>
            <b/>
            <sz val="9"/>
            <color indexed="81"/>
            <rFont val="Tahoma"/>
            <family val="2"/>
          </rPr>
          <t>=IF($A14="","",CIQ($A14,"IQ_TR_IMPLIED_EV_REV"))</t>
        </r>
      </text>
    </comment>
    <comment ref="K14" authorId="0" shapeId="0" xr:uid="{166EC9B5-4090-4BA0-8ED5-0E3A5C884F7D}">
      <text>
        <r>
          <rPr>
            <b/>
            <sz val="9"/>
            <color indexed="81"/>
            <rFont val="Tahoma"/>
            <family val="2"/>
          </rPr>
          <t>=IF($A14="","",CIQ($A14,"IQ_TR_IMPLIED_EV_EBIT"))</t>
        </r>
      </text>
    </comment>
    <comment ref="A15" authorId="0" shapeId="0" xr:uid="{3EF6653A-5703-4DDC-86E4-46E706CC3F44}">
      <text>
        <r>
          <rPr>
            <b/>
            <sz val="9"/>
            <color indexed="81"/>
            <rFont val="Tahoma"/>
            <family val="2"/>
          </rPr>
          <t>=IF(CIQ($C$9,"IQ_TR_TRANSACTION_QUICK_COMPS_MA",$L15)=0,"",CIQ($C$9,"IQ_TR_TRANSACTION_QUICK_COMPS_MA",$L15))</t>
        </r>
      </text>
    </comment>
    <comment ref="B15" authorId="0" shapeId="0" xr:uid="{71BF77AF-CB8C-426A-AAB6-A944552D0EAC}">
      <text>
        <r>
          <rPr>
            <b/>
            <sz val="9"/>
            <color indexed="81"/>
            <rFont val="Tahoma"/>
            <family val="2"/>
          </rPr>
          <t>=IF($A15="","",CIQ($A15,"IQ_TR_ANN_DATE"))</t>
        </r>
      </text>
    </comment>
    <comment ref="C15" authorId="0" shapeId="0" xr:uid="{7EB1EF6C-F9CC-4BDC-8884-4A719CB99A37}">
      <text>
        <r>
          <rPr>
            <b/>
            <sz val="9"/>
            <color indexed="81"/>
            <rFont val="Tahoma"/>
            <family val="2"/>
          </rPr>
          <t>=IF($A15="","",CIQ($A15,"IQ_TR_TARGETNAME"))</t>
        </r>
      </text>
    </comment>
    <comment ref="D15" authorId="0" shapeId="0" xr:uid="{7856D6A6-4038-4820-B06E-1F8697B0B233}">
      <text>
        <r>
          <rPr>
            <b/>
            <sz val="9"/>
            <color indexed="81"/>
            <rFont val="Tahoma"/>
            <family val="2"/>
          </rPr>
          <t>=IF($A15="","",IF(CIQ($A15,"IQ_TR_BUYERNAME")=0,"-",CIQ($A15,"IQ_TR_BUYERNAME")))</t>
        </r>
      </text>
    </comment>
    <comment ref="E15" authorId="0" shapeId="0" xr:uid="{C1599276-F31A-4AF6-A605-8C537A2FFE7A}">
      <text>
        <r>
          <rPr>
            <b/>
            <sz val="9"/>
            <color indexed="81"/>
            <rFont val="Tahoma"/>
            <family val="2"/>
          </rPr>
          <t>=IF($A15="","",IF(CIQ(CIQ($A15,"IQ_TR_TARGET_ID"),"IQ_COUNTRY_NAME")=0,"-",CIQ(CIQ($A15,"IQ_TR_TARGET_ID"),"IQ_COUNTRY_NAME")))</t>
        </r>
      </text>
    </comment>
    <comment ref="F15" authorId="0" shapeId="0" xr:uid="{6F01D68F-7381-4D25-9C24-BBCB85F64303}">
      <text>
        <r>
          <rPr>
            <b/>
            <sz val="9"/>
            <color indexed="81"/>
            <rFont val="Tahoma"/>
            <family val="2"/>
          </rPr>
          <t>=IF($A15="","",CIQ($A15,"IQ_TR_TOTALVALUE"))</t>
        </r>
      </text>
    </comment>
    <comment ref="G15" authorId="0" shapeId="0" xr:uid="{A87AC695-966E-468E-BD45-BB58B707D86E}">
      <text>
        <r>
          <rPr>
            <b/>
            <sz val="9"/>
            <color indexed="81"/>
            <rFont val="Tahoma"/>
            <family val="2"/>
          </rPr>
          <t>=IF($A15="","",CIQ($A15,"IQ_TR_STATUS"))</t>
        </r>
      </text>
    </comment>
    <comment ref="H15" authorId="0" shapeId="0" xr:uid="{1D7B0239-20B9-4314-9C5D-E00E542FE991}">
      <text>
        <r>
          <rPr>
            <b/>
            <sz val="9"/>
            <color indexed="81"/>
            <rFont val="Tahoma"/>
            <family val="2"/>
          </rPr>
          <t>=IF($A15="","",CIQ($A15,"IQ_TR_CURRENCY"))</t>
        </r>
      </text>
    </comment>
    <comment ref="I15" authorId="0" shapeId="0" xr:uid="{41B12868-CCEC-44DF-98D1-CC9DBD192FB8}">
      <text>
        <r>
          <rPr>
            <b/>
            <sz val="9"/>
            <color indexed="81"/>
            <rFont val="Tahoma"/>
            <family val="2"/>
          </rPr>
          <t>=IF($A15="","",CIQ($A15,"IQ_TR_IMPLIED_EV_EBITDA"))</t>
        </r>
      </text>
    </comment>
    <comment ref="J15" authorId="0" shapeId="0" xr:uid="{B96CB530-4410-4584-8931-6A7DE7EAA716}">
      <text>
        <r>
          <rPr>
            <b/>
            <sz val="9"/>
            <color indexed="81"/>
            <rFont val="Tahoma"/>
            <family val="2"/>
          </rPr>
          <t>=IF($A15="","",CIQ($A15,"IQ_TR_IMPLIED_EV_REV"))</t>
        </r>
      </text>
    </comment>
    <comment ref="K15" authorId="0" shapeId="0" xr:uid="{E2CF3059-31D3-4041-ACEB-541C6DA827C3}">
      <text>
        <r>
          <rPr>
            <b/>
            <sz val="9"/>
            <color indexed="81"/>
            <rFont val="Tahoma"/>
            <family val="2"/>
          </rPr>
          <t>=IF($A15="","",CIQ($A15,"IQ_TR_IMPLIED_EV_EBIT"))</t>
        </r>
      </text>
    </comment>
    <comment ref="A16" authorId="0" shapeId="0" xr:uid="{71F50825-DF15-4EC8-BD5E-F1BFD9B733BA}">
      <text>
        <r>
          <rPr>
            <b/>
            <sz val="9"/>
            <color indexed="81"/>
            <rFont val="Tahoma"/>
            <family val="2"/>
          </rPr>
          <t>=IF(CIQ($C$9,"IQ_TR_TRANSACTION_QUICK_COMPS_MA",$L16)=0,"",CIQ($C$9,"IQ_TR_TRANSACTION_QUICK_COMPS_MA",$L16))</t>
        </r>
      </text>
    </comment>
    <comment ref="B16" authorId="0" shapeId="0" xr:uid="{2AAD319C-F143-482A-9A14-6361820A7198}">
      <text>
        <r>
          <rPr>
            <b/>
            <sz val="9"/>
            <color indexed="81"/>
            <rFont val="Tahoma"/>
            <family val="2"/>
          </rPr>
          <t>=IF($A16="","",CIQ($A16,"IQ_TR_ANN_DATE"))</t>
        </r>
      </text>
    </comment>
    <comment ref="C16" authorId="0" shapeId="0" xr:uid="{07D57E65-4399-4E4F-941F-81BB9BD76D20}">
      <text>
        <r>
          <rPr>
            <b/>
            <sz val="9"/>
            <color indexed="81"/>
            <rFont val="Tahoma"/>
            <family val="2"/>
          </rPr>
          <t>=IF($A16="","",CIQ($A16,"IQ_TR_TARGETNAME"))</t>
        </r>
      </text>
    </comment>
    <comment ref="D16" authorId="0" shapeId="0" xr:uid="{0725AABC-353E-43AB-BC8D-847E88E5C66F}">
      <text>
        <r>
          <rPr>
            <b/>
            <sz val="9"/>
            <color indexed="81"/>
            <rFont val="Tahoma"/>
            <family val="2"/>
          </rPr>
          <t>=IF($A16="","",IF(CIQ($A16,"IQ_TR_BUYERNAME")=0,"-",CIQ($A16,"IQ_TR_BUYERNAME")))</t>
        </r>
      </text>
    </comment>
    <comment ref="E16" authorId="0" shapeId="0" xr:uid="{AE61E359-6517-4030-A11A-90AB020D8B6D}">
      <text>
        <r>
          <rPr>
            <b/>
            <sz val="9"/>
            <color indexed="81"/>
            <rFont val="Tahoma"/>
            <family val="2"/>
          </rPr>
          <t>=IF($A16="","",IF(CIQ(CIQ($A16,"IQ_TR_TARGET_ID"),"IQ_COUNTRY_NAME")=0,"-",CIQ(CIQ($A16,"IQ_TR_TARGET_ID"),"IQ_COUNTRY_NAME")))</t>
        </r>
      </text>
    </comment>
    <comment ref="F16" authorId="0" shapeId="0" xr:uid="{F39C08A1-C8BE-4FE3-8A96-9EBCB5A95764}">
      <text>
        <r>
          <rPr>
            <b/>
            <sz val="9"/>
            <color indexed="81"/>
            <rFont val="Tahoma"/>
            <family val="2"/>
          </rPr>
          <t>=IF($A16="","",CIQ($A16,"IQ_TR_TOTALVALUE"))</t>
        </r>
      </text>
    </comment>
    <comment ref="G16" authorId="0" shapeId="0" xr:uid="{03E05899-128C-459F-B45B-8445D5D96D7F}">
      <text>
        <r>
          <rPr>
            <b/>
            <sz val="9"/>
            <color indexed="81"/>
            <rFont val="Tahoma"/>
            <family val="2"/>
          </rPr>
          <t>=IF($A16="","",CIQ($A16,"IQ_TR_STATUS"))</t>
        </r>
      </text>
    </comment>
    <comment ref="H16" authorId="0" shapeId="0" xr:uid="{7192106E-B1A0-4D3B-A37B-99A042D63812}">
      <text>
        <r>
          <rPr>
            <b/>
            <sz val="9"/>
            <color indexed="81"/>
            <rFont val="Tahoma"/>
            <family val="2"/>
          </rPr>
          <t>=IF($A16="","",CIQ($A16,"IQ_TR_CURRENCY"))</t>
        </r>
      </text>
    </comment>
    <comment ref="I16" authorId="0" shapeId="0" xr:uid="{37D9640F-5C25-4934-92BC-F4682585B944}">
      <text>
        <r>
          <rPr>
            <b/>
            <sz val="9"/>
            <color indexed="81"/>
            <rFont val="Tahoma"/>
            <family val="2"/>
          </rPr>
          <t>=IF($A16="","",CIQ($A16,"IQ_TR_IMPLIED_EV_EBITDA"))</t>
        </r>
      </text>
    </comment>
    <comment ref="J16" authorId="0" shapeId="0" xr:uid="{DCE43FE5-CFB1-49DE-A771-B2D2A590284B}">
      <text>
        <r>
          <rPr>
            <b/>
            <sz val="9"/>
            <color indexed="81"/>
            <rFont val="Tahoma"/>
            <family val="2"/>
          </rPr>
          <t>=IF($A16="","",CIQ($A16,"IQ_TR_IMPLIED_EV_REV"))</t>
        </r>
      </text>
    </comment>
    <comment ref="K16" authorId="0" shapeId="0" xr:uid="{AD11AD89-4D76-499E-BFEF-F4390DA85E8D}">
      <text>
        <r>
          <rPr>
            <b/>
            <sz val="9"/>
            <color indexed="81"/>
            <rFont val="Tahoma"/>
            <family val="2"/>
          </rPr>
          <t>=IF($A16="","",CIQ($A16,"IQ_TR_IMPLIED_EV_EBIT"))</t>
        </r>
      </text>
    </comment>
    <comment ref="A17" authorId="0" shapeId="0" xr:uid="{6C61697E-4754-480A-97D7-F5A215EF4241}">
      <text>
        <r>
          <rPr>
            <b/>
            <sz val="9"/>
            <color indexed="81"/>
            <rFont val="Tahoma"/>
            <family val="2"/>
          </rPr>
          <t>=IF(CIQ($C$9,"IQ_TR_TRANSACTION_QUICK_COMPS_MA",$L17)=0,"",CIQ($C$9,"IQ_TR_TRANSACTION_QUICK_COMPS_MA",$L17))</t>
        </r>
      </text>
    </comment>
    <comment ref="B17" authorId="0" shapeId="0" xr:uid="{23D196EF-3CBE-4BCE-A11A-17BAEFB2380B}">
      <text>
        <r>
          <rPr>
            <b/>
            <sz val="9"/>
            <color indexed="81"/>
            <rFont val="Tahoma"/>
            <family val="2"/>
          </rPr>
          <t>=IF($A17="","",CIQ($A17,"IQ_TR_ANN_DATE"))</t>
        </r>
      </text>
    </comment>
    <comment ref="C17" authorId="0" shapeId="0" xr:uid="{16A417BA-89FC-43ED-BD95-48912A20C762}">
      <text>
        <r>
          <rPr>
            <b/>
            <sz val="9"/>
            <color indexed="81"/>
            <rFont val="Tahoma"/>
            <family val="2"/>
          </rPr>
          <t>=IF($A17="","",CIQ($A17,"IQ_TR_TARGETNAME"))</t>
        </r>
      </text>
    </comment>
    <comment ref="D17" authorId="0" shapeId="0" xr:uid="{F3B003FD-D4FA-4504-B243-AD5632229C43}">
      <text>
        <r>
          <rPr>
            <b/>
            <sz val="9"/>
            <color indexed="81"/>
            <rFont val="Tahoma"/>
            <family val="2"/>
          </rPr>
          <t>=IF($A17="","",IF(CIQ($A17,"IQ_TR_BUYERNAME")=0,"-",CIQ($A17,"IQ_TR_BUYERNAME")))</t>
        </r>
      </text>
    </comment>
    <comment ref="E17" authorId="0" shapeId="0" xr:uid="{1838E962-08EB-46A2-953B-06398126103A}">
      <text>
        <r>
          <rPr>
            <b/>
            <sz val="9"/>
            <color indexed="81"/>
            <rFont val="Tahoma"/>
            <family val="2"/>
          </rPr>
          <t>=IF($A17="","",IF(CIQ(CIQ($A17,"IQ_TR_TARGET_ID"),"IQ_COUNTRY_NAME")=0,"-",CIQ(CIQ($A17,"IQ_TR_TARGET_ID"),"IQ_COUNTRY_NAME")))</t>
        </r>
      </text>
    </comment>
    <comment ref="F17" authorId="0" shapeId="0" xr:uid="{8BA602D0-6181-4C5C-B6C5-0FA5E8E4B756}">
      <text>
        <r>
          <rPr>
            <b/>
            <sz val="9"/>
            <color indexed="81"/>
            <rFont val="Tahoma"/>
            <family val="2"/>
          </rPr>
          <t>=IF($A17="","",CIQ($A17,"IQ_TR_TOTALVALUE"))</t>
        </r>
      </text>
    </comment>
    <comment ref="G17" authorId="0" shapeId="0" xr:uid="{0A921BB0-D83F-4CFD-97C6-9FE0087BC8E9}">
      <text>
        <r>
          <rPr>
            <b/>
            <sz val="9"/>
            <color indexed="81"/>
            <rFont val="Tahoma"/>
            <family val="2"/>
          </rPr>
          <t>=IF($A17="","",CIQ($A17,"IQ_TR_STATUS"))</t>
        </r>
      </text>
    </comment>
    <comment ref="H17" authorId="0" shapeId="0" xr:uid="{025469A4-B2FC-43F4-B986-CD970A158A47}">
      <text>
        <r>
          <rPr>
            <b/>
            <sz val="9"/>
            <color indexed="81"/>
            <rFont val="Tahoma"/>
            <family val="2"/>
          </rPr>
          <t>=IF($A17="","",CIQ($A17,"IQ_TR_CURRENCY"))</t>
        </r>
      </text>
    </comment>
    <comment ref="I17" authorId="0" shapeId="0" xr:uid="{56FC2D36-1C38-4AF7-A879-83817F60E69C}">
      <text>
        <r>
          <rPr>
            <b/>
            <sz val="9"/>
            <color indexed="81"/>
            <rFont val="Tahoma"/>
            <family val="2"/>
          </rPr>
          <t>=IF($A17="","",CIQ($A17,"IQ_TR_IMPLIED_EV_EBITDA"))</t>
        </r>
      </text>
    </comment>
    <comment ref="J17" authorId="0" shapeId="0" xr:uid="{52FED163-128F-4400-A858-F3DD687031CA}">
      <text>
        <r>
          <rPr>
            <b/>
            <sz val="9"/>
            <color indexed="81"/>
            <rFont val="Tahoma"/>
            <family val="2"/>
          </rPr>
          <t>=IF($A17="","",CIQ($A17,"IQ_TR_IMPLIED_EV_REV"))</t>
        </r>
      </text>
    </comment>
    <comment ref="K17" authorId="0" shapeId="0" xr:uid="{3ECEE8D9-E668-4A46-A0B4-0ACB049654EC}">
      <text>
        <r>
          <rPr>
            <b/>
            <sz val="9"/>
            <color indexed="81"/>
            <rFont val="Tahoma"/>
            <family val="2"/>
          </rPr>
          <t>=IF($A17="","",CIQ($A17,"IQ_TR_IMPLIED_EV_EBIT"))</t>
        </r>
      </text>
    </comment>
    <comment ref="A18" authorId="0" shapeId="0" xr:uid="{C1BDDABB-8937-41F7-9D94-7081AA6476E6}">
      <text>
        <r>
          <rPr>
            <b/>
            <sz val="9"/>
            <color indexed="81"/>
            <rFont val="Tahoma"/>
            <family val="2"/>
          </rPr>
          <t>=IF(CIQ($C$9,"IQ_TR_TRANSACTION_QUICK_COMPS_MA",$L18)=0,"",CIQ($C$9,"IQ_TR_TRANSACTION_QUICK_COMPS_MA",$L18))</t>
        </r>
      </text>
    </comment>
    <comment ref="B18" authorId="0" shapeId="0" xr:uid="{FE8DF415-A50B-428D-AC3F-0CFCBCE201A0}">
      <text>
        <r>
          <rPr>
            <b/>
            <sz val="9"/>
            <color indexed="81"/>
            <rFont val="Tahoma"/>
            <family val="2"/>
          </rPr>
          <t>=IF($A18="","",CIQ($A18,"IQ_TR_ANN_DATE"))</t>
        </r>
      </text>
    </comment>
    <comment ref="C18" authorId="0" shapeId="0" xr:uid="{FA303E8E-2F21-4416-9FB7-37D0827EA124}">
      <text>
        <r>
          <rPr>
            <b/>
            <sz val="9"/>
            <color indexed="81"/>
            <rFont val="Tahoma"/>
            <family val="2"/>
          </rPr>
          <t>=IF($A18="","",CIQ($A18,"IQ_TR_TARGETNAME"))</t>
        </r>
      </text>
    </comment>
    <comment ref="D18" authorId="0" shapeId="0" xr:uid="{B15EAF61-107E-4D46-B12C-ADF101BF679F}">
      <text>
        <r>
          <rPr>
            <b/>
            <sz val="9"/>
            <color indexed="81"/>
            <rFont val="Tahoma"/>
            <family val="2"/>
          </rPr>
          <t>=IF($A18="","",IF(CIQ($A18,"IQ_TR_BUYERNAME")=0,"-",CIQ($A18,"IQ_TR_BUYERNAME")))</t>
        </r>
      </text>
    </comment>
    <comment ref="E18" authorId="0" shapeId="0" xr:uid="{7AEBE370-833F-4DCB-BC73-291BEB9C8F98}">
      <text>
        <r>
          <rPr>
            <b/>
            <sz val="9"/>
            <color indexed="81"/>
            <rFont val="Tahoma"/>
            <family val="2"/>
          </rPr>
          <t>=IF($A18="","",IF(CIQ(CIQ($A18,"IQ_TR_TARGET_ID"),"IQ_COUNTRY_NAME")=0,"-",CIQ(CIQ($A18,"IQ_TR_TARGET_ID"),"IQ_COUNTRY_NAME")))</t>
        </r>
      </text>
    </comment>
    <comment ref="F18" authorId="0" shapeId="0" xr:uid="{50E58AB5-B17A-47DC-933D-4334C517BE49}">
      <text>
        <r>
          <rPr>
            <b/>
            <sz val="9"/>
            <color indexed="81"/>
            <rFont val="Tahoma"/>
            <family val="2"/>
          </rPr>
          <t>=IF($A18="","",CIQ($A18,"IQ_TR_TOTALVALUE"))</t>
        </r>
      </text>
    </comment>
    <comment ref="G18" authorId="0" shapeId="0" xr:uid="{2440692F-34C5-4B34-8F0D-3D948FF84129}">
      <text>
        <r>
          <rPr>
            <b/>
            <sz val="9"/>
            <color indexed="81"/>
            <rFont val="Tahoma"/>
            <family val="2"/>
          </rPr>
          <t>=IF($A18="","",CIQ($A18,"IQ_TR_STATUS"))</t>
        </r>
      </text>
    </comment>
    <comment ref="H18" authorId="0" shapeId="0" xr:uid="{9BE60118-E223-4A0E-8A9F-76A92A02E994}">
      <text>
        <r>
          <rPr>
            <b/>
            <sz val="9"/>
            <color indexed="81"/>
            <rFont val="Tahoma"/>
            <family val="2"/>
          </rPr>
          <t>=IF($A18="","",CIQ($A18,"IQ_TR_CURRENCY"))</t>
        </r>
      </text>
    </comment>
    <comment ref="I18" authorId="0" shapeId="0" xr:uid="{B323671B-9F3C-47F5-B3FB-56F9E2D98BB9}">
      <text>
        <r>
          <rPr>
            <b/>
            <sz val="9"/>
            <color indexed="81"/>
            <rFont val="Tahoma"/>
            <family val="2"/>
          </rPr>
          <t>=IF($A18="","",CIQ($A18,"IQ_TR_IMPLIED_EV_EBITDA"))</t>
        </r>
      </text>
    </comment>
    <comment ref="J18" authorId="0" shapeId="0" xr:uid="{4B6B3859-AB82-4521-B014-9937F9576617}">
      <text>
        <r>
          <rPr>
            <b/>
            <sz val="9"/>
            <color indexed="81"/>
            <rFont val="Tahoma"/>
            <family val="2"/>
          </rPr>
          <t>=IF($A18="","",CIQ($A18,"IQ_TR_IMPLIED_EV_REV"))</t>
        </r>
      </text>
    </comment>
    <comment ref="K18" authorId="0" shapeId="0" xr:uid="{B40203C0-60DF-42BE-8CF2-2626BE886B24}">
      <text>
        <r>
          <rPr>
            <b/>
            <sz val="9"/>
            <color indexed="81"/>
            <rFont val="Tahoma"/>
            <family val="2"/>
          </rPr>
          <t>=IF($A18="","",CIQ($A18,"IQ_TR_IMPLIED_EV_EBIT"))</t>
        </r>
      </text>
    </comment>
    <comment ref="A19" authorId="0" shapeId="0" xr:uid="{35543705-2B25-4429-87F9-471BD113024F}">
      <text>
        <r>
          <rPr>
            <b/>
            <sz val="9"/>
            <color indexed="81"/>
            <rFont val="Tahoma"/>
            <family val="2"/>
          </rPr>
          <t>=IF(CIQ($C$9,"IQ_TR_TRANSACTION_QUICK_COMPS_MA",$L19)=0,"",CIQ($C$9,"IQ_TR_TRANSACTION_QUICK_COMPS_MA",$L19))</t>
        </r>
      </text>
    </comment>
    <comment ref="B19" authorId="0" shapeId="0" xr:uid="{3B83B955-0003-48A8-B08F-683C67D8925C}">
      <text>
        <r>
          <rPr>
            <b/>
            <sz val="9"/>
            <color indexed="81"/>
            <rFont val="Tahoma"/>
            <family val="2"/>
          </rPr>
          <t>=IF($A19="","",CIQ($A19,"IQ_TR_ANN_DATE"))</t>
        </r>
      </text>
    </comment>
    <comment ref="C19" authorId="0" shapeId="0" xr:uid="{78ABC1F6-1727-43B8-A503-27DFE0C07F53}">
      <text>
        <r>
          <rPr>
            <b/>
            <sz val="9"/>
            <color indexed="81"/>
            <rFont val="Tahoma"/>
            <family val="2"/>
          </rPr>
          <t>=IF($A19="","",CIQ($A19,"IQ_TR_TARGETNAME"))</t>
        </r>
      </text>
    </comment>
    <comment ref="D19" authorId="0" shapeId="0" xr:uid="{B8755959-D2B5-458C-9F40-948B4421F535}">
      <text>
        <r>
          <rPr>
            <b/>
            <sz val="9"/>
            <color indexed="81"/>
            <rFont val="Tahoma"/>
            <family val="2"/>
          </rPr>
          <t>=IF($A19="","",IF(CIQ($A19,"IQ_TR_BUYERNAME")=0,"-",CIQ($A19,"IQ_TR_BUYERNAME")))</t>
        </r>
      </text>
    </comment>
    <comment ref="E19" authorId="0" shapeId="0" xr:uid="{A18A57CF-53D6-41BF-ACA2-2F41CEF496FA}">
      <text>
        <r>
          <rPr>
            <b/>
            <sz val="9"/>
            <color indexed="81"/>
            <rFont val="Tahoma"/>
            <family val="2"/>
          </rPr>
          <t>=IF($A19="","",IF(CIQ(CIQ($A19,"IQ_TR_TARGET_ID"),"IQ_COUNTRY_NAME")=0,"-",CIQ(CIQ($A19,"IQ_TR_TARGET_ID"),"IQ_COUNTRY_NAME")))</t>
        </r>
      </text>
    </comment>
    <comment ref="F19" authorId="0" shapeId="0" xr:uid="{196CACDB-B5AC-49D9-B17C-A6C49AB479E4}">
      <text>
        <r>
          <rPr>
            <b/>
            <sz val="9"/>
            <color indexed="81"/>
            <rFont val="Tahoma"/>
            <family val="2"/>
          </rPr>
          <t>=IF($A19="","",CIQ($A19,"IQ_TR_TOTALVALUE"))</t>
        </r>
      </text>
    </comment>
    <comment ref="G19" authorId="0" shapeId="0" xr:uid="{3BB8D749-6D40-496B-A958-F4EC385D1D28}">
      <text>
        <r>
          <rPr>
            <b/>
            <sz val="9"/>
            <color indexed="81"/>
            <rFont val="Tahoma"/>
            <family val="2"/>
          </rPr>
          <t>=IF($A19="","",CIQ($A19,"IQ_TR_STATUS"))</t>
        </r>
      </text>
    </comment>
    <comment ref="H19" authorId="0" shapeId="0" xr:uid="{30999F4F-BC81-4588-ADE3-BD1D91A10449}">
      <text>
        <r>
          <rPr>
            <b/>
            <sz val="9"/>
            <color indexed="81"/>
            <rFont val="Tahoma"/>
            <family val="2"/>
          </rPr>
          <t>=IF($A19="","",CIQ($A19,"IQ_TR_CURRENCY"))</t>
        </r>
      </text>
    </comment>
    <comment ref="I19" authorId="0" shapeId="0" xr:uid="{14E43062-39C6-4C2F-8723-B6C0064DAC53}">
      <text>
        <r>
          <rPr>
            <b/>
            <sz val="9"/>
            <color indexed="81"/>
            <rFont val="Tahoma"/>
            <family val="2"/>
          </rPr>
          <t>=IF($A19="","",CIQ($A19,"IQ_TR_IMPLIED_EV_EBITDA"))</t>
        </r>
      </text>
    </comment>
    <comment ref="J19" authorId="0" shapeId="0" xr:uid="{852CDCBA-AF3F-4ACE-9AA4-8AB8699C4D36}">
      <text>
        <r>
          <rPr>
            <b/>
            <sz val="9"/>
            <color indexed="81"/>
            <rFont val="Tahoma"/>
            <family val="2"/>
          </rPr>
          <t>=IF($A19="","",CIQ($A19,"IQ_TR_IMPLIED_EV_REV"))</t>
        </r>
      </text>
    </comment>
    <comment ref="K19" authorId="0" shapeId="0" xr:uid="{A49CFB28-C685-40C5-8B64-76A40C9B07EB}">
      <text>
        <r>
          <rPr>
            <b/>
            <sz val="9"/>
            <color indexed="81"/>
            <rFont val="Tahoma"/>
            <family val="2"/>
          </rPr>
          <t>=IF($A19="","",CIQ($A19,"IQ_TR_IMPLIED_EV_EBIT"))</t>
        </r>
      </text>
    </comment>
    <comment ref="A20" authorId="0" shapeId="0" xr:uid="{552B661F-D9BF-4BF0-B992-0BED60FCF920}">
      <text>
        <r>
          <rPr>
            <b/>
            <sz val="9"/>
            <color indexed="81"/>
            <rFont val="Tahoma"/>
            <family val="2"/>
          </rPr>
          <t>=IF(CIQ($C$9,"IQ_TR_TRANSACTION_QUICK_COMPS_MA",$L20)=0,"",CIQ($C$9,"IQ_TR_TRANSACTION_QUICK_COMPS_MA",$L20))</t>
        </r>
      </text>
    </comment>
    <comment ref="B20" authorId="0" shapeId="0" xr:uid="{47C86698-B883-4085-A4FF-8E8C700EB47E}">
      <text>
        <r>
          <rPr>
            <b/>
            <sz val="9"/>
            <color indexed="81"/>
            <rFont val="Tahoma"/>
            <family val="2"/>
          </rPr>
          <t>=IF($A20="","",CIQ($A20,"IQ_TR_ANN_DATE"))</t>
        </r>
      </text>
    </comment>
    <comment ref="C20" authorId="0" shapeId="0" xr:uid="{9E5A4021-4616-451F-9EC5-93B25B9C96B2}">
      <text>
        <r>
          <rPr>
            <b/>
            <sz val="9"/>
            <color indexed="81"/>
            <rFont val="Tahoma"/>
            <family val="2"/>
          </rPr>
          <t>=IF($A20="","",CIQ($A20,"IQ_TR_TARGETNAME"))</t>
        </r>
      </text>
    </comment>
    <comment ref="D20" authorId="0" shapeId="0" xr:uid="{92DA4D8B-8088-40D3-B530-BB4DC2D2C24D}">
      <text>
        <r>
          <rPr>
            <b/>
            <sz val="9"/>
            <color indexed="81"/>
            <rFont val="Tahoma"/>
            <family val="2"/>
          </rPr>
          <t>=IF($A20="","",IF(CIQ($A20,"IQ_TR_BUYERNAME")=0,"-",CIQ($A20,"IQ_TR_BUYERNAME")))</t>
        </r>
      </text>
    </comment>
    <comment ref="E20" authorId="0" shapeId="0" xr:uid="{52BED494-53EE-49B9-90E5-01AC35C378E8}">
      <text>
        <r>
          <rPr>
            <b/>
            <sz val="9"/>
            <color indexed="81"/>
            <rFont val="Tahoma"/>
            <family val="2"/>
          </rPr>
          <t>=IF($A20="","",IF(CIQ(CIQ($A20,"IQ_TR_TARGET_ID"),"IQ_COUNTRY_NAME")=0,"-",CIQ(CIQ($A20,"IQ_TR_TARGET_ID"),"IQ_COUNTRY_NAME")))</t>
        </r>
      </text>
    </comment>
    <comment ref="F20" authorId="0" shapeId="0" xr:uid="{C74DEB5B-0F43-4F83-AA13-573BEB4FB2FD}">
      <text>
        <r>
          <rPr>
            <b/>
            <sz val="9"/>
            <color indexed="81"/>
            <rFont val="Tahoma"/>
            <family val="2"/>
          </rPr>
          <t>=IF($A20="","",CIQ($A20,"IQ_TR_TOTALVALUE"))</t>
        </r>
      </text>
    </comment>
    <comment ref="G20" authorId="0" shapeId="0" xr:uid="{4F9FB601-BD9F-473C-AA32-001242C2114E}">
      <text>
        <r>
          <rPr>
            <b/>
            <sz val="9"/>
            <color indexed="81"/>
            <rFont val="Tahoma"/>
            <family val="2"/>
          </rPr>
          <t>=IF($A20="","",CIQ($A20,"IQ_TR_STATUS"))</t>
        </r>
      </text>
    </comment>
    <comment ref="H20" authorId="0" shapeId="0" xr:uid="{666A261D-02B9-4566-959B-7193E1212311}">
      <text>
        <r>
          <rPr>
            <b/>
            <sz val="9"/>
            <color indexed="81"/>
            <rFont val="Tahoma"/>
            <family val="2"/>
          </rPr>
          <t>=IF($A20="","",CIQ($A20,"IQ_TR_CURRENCY"))</t>
        </r>
      </text>
    </comment>
    <comment ref="I20" authorId="0" shapeId="0" xr:uid="{493A7313-814E-470C-9703-5A0550DA3FBE}">
      <text>
        <r>
          <rPr>
            <b/>
            <sz val="9"/>
            <color indexed="81"/>
            <rFont val="Tahoma"/>
            <family val="2"/>
          </rPr>
          <t>=IF($A20="","",CIQ($A20,"IQ_TR_IMPLIED_EV_EBITDA"))</t>
        </r>
      </text>
    </comment>
    <comment ref="J20" authorId="0" shapeId="0" xr:uid="{38098E56-12E7-4F73-873B-7189F083E925}">
      <text>
        <r>
          <rPr>
            <b/>
            <sz val="9"/>
            <color indexed="81"/>
            <rFont val="Tahoma"/>
            <family val="2"/>
          </rPr>
          <t>=IF($A20="","",CIQ($A20,"IQ_TR_IMPLIED_EV_REV"))</t>
        </r>
      </text>
    </comment>
    <comment ref="K20" authorId="0" shapeId="0" xr:uid="{08819804-7E45-487F-9520-61C8C460E25C}">
      <text>
        <r>
          <rPr>
            <b/>
            <sz val="9"/>
            <color indexed="81"/>
            <rFont val="Tahoma"/>
            <family val="2"/>
          </rPr>
          <t>=IF($A20="","",CIQ($A20,"IQ_TR_IMPLIED_EV_EBIT"))</t>
        </r>
      </text>
    </comment>
    <comment ref="A21" authorId="0" shapeId="0" xr:uid="{C2F6B8F7-C1E6-4271-8F3E-70CB995DF4C9}">
      <text>
        <r>
          <rPr>
            <b/>
            <sz val="9"/>
            <color indexed="81"/>
            <rFont val="Tahoma"/>
            <family val="2"/>
          </rPr>
          <t>=IF(CIQ($C$9,"IQ_TR_TRANSACTION_QUICK_COMPS_MA",$L21)=0,"",CIQ($C$9,"IQ_TR_TRANSACTION_QUICK_COMPS_MA",$L21))</t>
        </r>
      </text>
    </comment>
    <comment ref="B21" authorId="0" shapeId="0" xr:uid="{D4702279-53C5-4F75-9F19-12BBFB6912F1}">
      <text>
        <r>
          <rPr>
            <b/>
            <sz val="9"/>
            <color indexed="81"/>
            <rFont val="Tahoma"/>
            <family val="2"/>
          </rPr>
          <t>=IF($A21="","",CIQ($A21,"IQ_TR_ANN_DATE"))</t>
        </r>
      </text>
    </comment>
    <comment ref="C21" authorId="0" shapeId="0" xr:uid="{3151C96A-66A2-4043-8DDC-60D13570148E}">
      <text>
        <r>
          <rPr>
            <b/>
            <sz val="9"/>
            <color indexed="81"/>
            <rFont val="Tahoma"/>
            <family val="2"/>
          </rPr>
          <t>=IF($A21="","",CIQ($A21,"IQ_TR_TARGETNAME"))</t>
        </r>
      </text>
    </comment>
    <comment ref="D21" authorId="0" shapeId="0" xr:uid="{956E4213-A5D5-4C8D-AE3D-332FBD1EC224}">
      <text>
        <r>
          <rPr>
            <b/>
            <sz val="9"/>
            <color indexed="81"/>
            <rFont val="Tahoma"/>
            <family val="2"/>
          </rPr>
          <t>=IF($A21="","",IF(CIQ($A21,"IQ_TR_BUYERNAME")=0,"-",CIQ($A21,"IQ_TR_BUYERNAME")))</t>
        </r>
      </text>
    </comment>
    <comment ref="E21" authorId="0" shapeId="0" xr:uid="{76099E4F-11E8-4051-A1AC-5697D67B3F79}">
      <text>
        <r>
          <rPr>
            <b/>
            <sz val="9"/>
            <color indexed="81"/>
            <rFont val="Tahoma"/>
            <family val="2"/>
          </rPr>
          <t>=IF($A21="","",IF(CIQ(CIQ($A21,"IQ_TR_TARGET_ID"),"IQ_COUNTRY_NAME")=0,"-",CIQ(CIQ($A21,"IQ_TR_TARGET_ID"),"IQ_COUNTRY_NAME")))</t>
        </r>
      </text>
    </comment>
    <comment ref="F21" authorId="0" shapeId="0" xr:uid="{610E7FFC-8E61-401A-A202-8052C8AEF7E2}">
      <text>
        <r>
          <rPr>
            <b/>
            <sz val="9"/>
            <color indexed="81"/>
            <rFont val="Tahoma"/>
            <family val="2"/>
          </rPr>
          <t>=IF($A21="","",CIQ($A21,"IQ_TR_TOTALVALUE"))</t>
        </r>
      </text>
    </comment>
    <comment ref="G21" authorId="0" shapeId="0" xr:uid="{FAA88FB6-742A-4DF0-8C18-9E4486D25EC4}">
      <text>
        <r>
          <rPr>
            <b/>
            <sz val="9"/>
            <color indexed="81"/>
            <rFont val="Tahoma"/>
            <family val="2"/>
          </rPr>
          <t>=IF($A21="","",CIQ($A21,"IQ_TR_STATUS"))</t>
        </r>
      </text>
    </comment>
    <comment ref="H21" authorId="0" shapeId="0" xr:uid="{98887A36-6445-4B95-AAD2-0D97758D8D80}">
      <text>
        <r>
          <rPr>
            <b/>
            <sz val="9"/>
            <color indexed="81"/>
            <rFont val="Tahoma"/>
            <family val="2"/>
          </rPr>
          <t>=IF($A21="","",CIQ($A21,"IQ_TR_CURRENCY"))</t>
        </r>
      </text>
    </comment>
    <comment ref="I21" authorId="0" shapeId="0" xr:uid="{3EC0BFA9-441A-4EAE-B42F-9CF83A304ABB}">
      <text>
        <r>
          <rPr>
            <b/>
            <sz val="9"/>
            <color indexed="81"/>
            <rFont val="Tahoma"/>
            <family val="2"/>
          </rPr>
          <t>=IF($A21="","",CIQ($A21,"IQ_TR_IMPLIED_EV_EBITDA"))</t>
        </r>
      </text>
    </comment>
    <comment ref="J21" authorId="0" shapeId="0" xr:uid="{47918534-74EC-4124-BC41-0EFEC295CAC1}">
      <text>
        <r>
          <rPr>
            <b/>
            <sz val="9"/>
            <color indexed="81"/>
            <rFont val="Tahoma"/>
            <family val="2"/>
          </rPr>
          <t>=IF($A21="","",CIQ($A21,"IQ_TR_IMPLIED_EV_REV"))</t>
        </r>
      </text>
    </comment>
    <comment ref="K21" authorId="0" shapeId="0" xr:uid="{D08CD3A3-BA2E-429B-93C5-56940BEC9280}">
      <text>
        <r>
          <rPr>
            <b/>
            <sz val="9"/>
            <color indexed="81"/>
            <rFont val="Tahoma"/>
            <family val="2"/>
          </rPr>
          <t>=IF($A21="","",CIQ($A21,"IQ_TR_IMPLIED_EV_EBIT"))</t>
        </r>
      </text>
    </comment>
    <comment ref="A22" authorId="0" shapeId="0" xr:uid="{646F324C-38E8-43B9-BBFB-80A0D1A1A140}">
      <text>
        <r>
          <rPr>
            <b/>
            <sz val="9"/>
            <color indexed="81"/>
            <rFont val="Tahoma"/>
            <family val="2"/>
          </rPr>
          <t>=IF(CIQ($C$9,"IQ_TR_TRANSACTION_QUICK_COMPS_MA",$L22)=0,"",CIQ($C$9,"IQ_TR_TRANSACTION_QUICK_COMPS_MA",$L22))</t>
        </r>
      </text>
    </comment>
    <comment ref="B22" authorId="0" shapeId="0" xr:uid="{D1E27828-D386-47D1-BF55-39DC4C832E00}">
      <text>
        <r>
          <rPr>
            <b/>
            <sz val="9"/>
            <color indexed="81"/>
            <rFont val="Tahoma"/>
            <family val="2"/>
          </rPr>
          <t>=IF($A22="","",CIQ($A22,"IQ_TR_ANN_DATE"))</t>
        </r>
      </text>
    </comment>
    <comment ref="C22" authorId="0" shapeId="0" xr:uid="{9F48C008-5890-45FD-8FE8-26347D2A7AEE}">
      <text>
        <r>
          <rPr>
            <b/>
            <sz val="9"/>
            <color indexed="81"/>
            <rFont val="Tahoma"/>
            <family val="2"/>
          </rPr>
          <t>=IF($A22="","",CIQ($A22,"IQ_TR_TARGETNAME"))</t>
        </r>
      </text>
    </comment>
    <comment ref="D22" authorId="0" shapeId="0" xr:uid="{A0CE77A6-D019-4865-AD5A-E673A60E999A}">
      <text>
        <r>
          <rPr>
            <b/>
            <sz val="9"/>
            <color indexed="81"/>
            <rFont val="Tahoma"/>
            <family val="2"/>
          </rPr>
          <t>=IF($A22="","",IF(CIQ($A22,"IQ_TR_BUYERNAME")=0,"-",CIQ($A22,"IQ_TR_BUYERNAME")))</t>
        </r>
      </text>
    </comment>
    <comment ref="E22" authorId="0" shapeId="0" xr:uid="{D6A7AA72-9C17-4F83-B491-EF3A890B6EA3}">
      <text>
        <r>
          <rPr>
            <b/>
            <sz val="9"/>
            <color indexed="81"/>
            <rFont val="Tahoma"/>
            <family val="2"/>
          </rPr>
          <t>=IF($A22="","",IF(CIQ(CIQ($A22,"IQ_TR_TARGET_ID"),"IQ_COUNTRY_NAME")=0,"-",CIQ(CIQ($A22,"IQ_TR_TARGET_ID"),"IQ_COUNTRY_NAME")))</t>
        </r>
      </text>
    </comment>
    <comment ref="F22" authorId="0" shapeId="0" xr:uid="{5A9CB123-E650-40FA-969D-DAF834BC49CF}">
      <text>
        <r>
          <rPr>
            <b/>
            <sz val="9"/>
            <color indexed="81"/>
            <rFont val="Tahoma"/>
            <family val="2"/>
          </rPr>
          <t>=IF($A22="","",CIQ($A22,"IQ_TR_TOTALVALUE"))</t>
        </r>
      </text>
    </comment>
    <comment ref="G22" authorId="0" shapeId="0" xr:uid="{BC4B53ED-1BE9-41FC-AA71-5EAD3D542175}">
      <text>
        <r>
          <rPr>
            <b/>
            <sz val="9"/>
            <color indexed="81"/>
            <rFont val="Tahoma"/>
            <family val="2"/>
          </rPr>
          <t>=IF($A22="","",CIQ($A22,"IQ_TR_STATUS"))</t>
        </r>
      </text>
    </comment>
    <comment ref="H22" authorId="0" shapeId="0" xr:uid="{6978CE3B-F0FC-4D9B-B7FF-BF7CB61378DC}">
      <text>
        <r>
          <rPr>
            <b/>
            <sz val="9"/>
            <color indexed="81"/>
            <rFont val="Tahoma"/>
            <family val="2"/>
          </rPr>
          <t>=IF($A22="","",CIQ($A22,"IQ_TR_CURRENCY"))</t>
        </r>
      </text>
    </comment>
    <comment ref="I22" authorId="0" shapeId="0" xr:uid="{8BFD0868-CDAC-4286-8E4E-D9EDB0E501D9}">
      <text>
        <r>
          <rPr>
            <b/>
            <sz val="9"/>
            <color indexed="81"/>
            <rFont val="Tahoma"/>
            <family val="2"/>
          </rPr>
          <t>=IF($A22="","",CIQ($A22,"IQ_TR_IMPLIED_EV_EBITDA"))</t>
        </r>
      </text>
    </comment>
    <comment ref="J22" authorId="0" shapeId="0" xr:uid="{AD9AEE1C-4A44-4065-ACDF-AC7B6F704B8E}">
      <text>
        <r>
          <rPr>
            <b/>
            <sz val="9"/>
            <color indexed="81"/>
            <rFont val="Tahoma"/>
            <family val="2"/>
          </rPr>
          <t>=IF($A22="","",CIQ($A22,"IQ_TR_IMPLIED_EV_REV"))</t>
        </r>
      </text>
    </comment>
    <comment ref="K22" authorId="0" shapeId="0" xr:uid="{432BB212-D518-4E27-9015-ADD9EF2CF41A}">
      <text>
        <r>
          <rPr>
            <b/>
            <sz val="9"/>
            <color indexed="81"/>
            <rFont val="Tahoma"/>
            <family val="2"/>
          </rPr>
          <t>=IF($A22="","",CIQ($A22,"IQ_TR_IMPLIED_EV_EBIT"))</t>
        </r>
      </text>
    </comment>
    <comment ref="A23" authorId="0" shapeId="0" xr:uid="{C4C434F9-EBC9-4D58-9CB9-A5653445C6F8}">
      <text>
        <r>
          <rPr>
            <b/>
            <sz val="9"/>
            <color indexed="81"/>
            <rFont val="Tahoma"/>
            <family val="2"/>
          </rPr>
          <t>=IF(CIQ($C$9,"IQ_TR_TRANSACTION_QUICK_COMPS_MA",$L23)=0,"",CIQ($C$9,"IQ_TR_TRANSACTION_QUICK_COMPS_MA",$L23))</t>
        </r>
      </text>
    </comment>
    <comment ref="B23" authorId="0" shapeId="0" xr:uid="{719CBEED-BD97-4297-9566-403585AD5A7F}">
      <text>
        <r>
          <rPr>
            <b/>
            <sz val="9"/>
            <color indexed="81"/>
            <rFont val="Tahoma"/>
            <family val="2"/>
          </rPr>
          <t>=IF($A23="","",CIQ($A23,"IQ_TR_ANN_DATE"))</t>
        </r>
      </text>
    </comment>
    <comment ref="C23" authorId="0" shapeId="0" xr:uid="{AF6E9C2B-D5B0-4510-9790-6A6099D1CAEE}">
      <text>
        <r>
          <rPr>
            <b/>
            <sz val="9"/>
            <color indexed="81"/>
            <rFont val="Tahoma"/>
            <family val="2"/>
          </rPr>
          <t>=IF($A23="","",CIQ($A23,"IQ_TR_TARGETNAME"))</t>
        </r>
      </text>
    </comment>
    <comment ref="D23" authorId="0" shapeId="0" xr:uid="{DD2F04D7-839C-48F7-8EF1-EE533774BD01}">
      <text>
        <r>
          <rPr>
            <b/>
            <sz val="9"/>
            <color indexed="81"/>
            <rFont val="Tahoma"/>
            <family val="2"/>
          </rPr>
          <t>=IF($A23="","",IF(CIQ($A23,"IQ_TR_BUYERNAME")=0,"-",CIQ($A23,"IQ_TR_BUYERNAME")))</t>
        </r>
      </text>
    </comment>
    <comment ref="E23" authorId="0" shapeId="0" xr:uid="{97C48D6B-85F1-4974-8870-D1D749402061}">
      <text>
        <r>
          <rPr>
            <b/>
            <sz val="9"/>
            <color indexed="81"/>
            <rFont val="Tahoma"/>
            <family val="2"/>
          </rPr>
          <t>=IF($A23="","",IF(CIQ(CIQ($A23,"IQ_TR_TARGET_ID"),"IQ_COUNTRY_NAME")=0,"-",CIQ(CIQ($A23,"IQ_TR_TARGET_ID"),"IQ_COUNTRY_NAME")))</t>
        </r>
      </text>
    </comment>
    <comment ref="F23" authorId="0" shapeId="0" xr:uid="{73040BE1-08EE-40E4-A50D-9976DB6E72D0}">
      <text>
        <r>
          <rPr>
            <b/>
            <sz val="9"/>
            <color indexed="81"/>
            <rFont val="Tahoma"/>
            <family val="2"/>
          </rPr>
          <t>=IF($A23="","",CIQ($A23,"IQ_TR_TOTALVALUE"))</t>
        </r>
      </text>
    </comment>
    <comment ref="G23" authorId="0" shapeId="0" xr:uid="{6CAA381F-0664-4E2C-A004-BABEF824A814}">
      <text>
        <r>
          <rPr>
            <b/>
            <sz val="9"/>
            <color indexed="81"/>
            <rFont val="Tahoma"/>
            <family val="2"/>
          </rPr>
          <t>=IF($A23="","",CIQ($A23,"IQ_TR_STATUS"))</t>
        </r>
      </text>
    </comment>
    <comment ref="H23" authorId="0" shapeId="0" xr:uid="{0D31C5B0-277D-4A9E-91C6-191429D4B5A3}">
      <text>
        <r>
          <rPr>
            <b/>
            <sz val="9"/>
            <color indexed="81"/>
            <rFont val="Tahoma"/>
            <family val="2"/>
          </rPr>
          <t>=IF($A23="","",CIQ($A23,"IQ_TR_CURRENCY"))</t>
        </r>
      </text>
    </comment>
    <comment ref="I23" authorId="0" shapeId="0" xr:uid="{39C67956-B4B9-4A2D-A19B-B72FFA709F2B}">
      <text>
        <r>
          <rPr>
            <b/>
            <sz val="9"/>
            <color indexed="81"/>
            <rFont val="Tahoma"/>
            <family val="2"/>
          </rPr>
          <t>=IF($A23="","",CIQ($A23,"IQ_TR_IMPLIED_EV_EBITDA"))</t>
        </r>
      </text>
    </comment>
    <comment ref="J23" authorId="0" shapeId="0" xr:uid="{C28AF200-B57C-4BF7-A54D-346A4EB72670}">
      <text>
        <r>
          <rPr>
            <b/>
            <sz val="9"/>
            <color indexed="81"/>
            <rFont val="Tahoma"/>
            <family val="2"/>
          </rPr>
          <t>=IF($A23="","",CIQ($A23,"IQ_TR_IMPLIED_EV_REV"))</t>
        </r>
      </text>
    </comment>
    <comment ref="K23" authorId="0" shapeId="0" xr:uid="{88C1D723-0A38-444F-8A80-3718E32C62BC}">
      <text>
        <r>
          <rPr>
            <b/>
            <sz val="9"/>
            <color indexed="81"/>
            <rFont val="Tahoma"/>
            <family val="2"/>
          </rPr>
          <t>=IF($A23="","",CIQ($A23,"IQ_TR_IMPLIED_EV_EBIT"))</t>
        </r>
      </text>
    </comment>
    <comment ref="A24" authorId="0" shapeId="0" xr:uid="{59BEFC36-2B52-40DA-A1E6-0951838F9E0E}">
      <text>
        <r>
          <rPr>
            <b/>
            <sz val="9"/>
            <color indexed="81"/>
            <rFont val="Tahoma"/>
            <family val="2"/>
          </rPr>
          <t>=IF(CIQ($C$9,"IQ_TR_TRANSACTION_QUICK_COMPS_MA",$L24)=0,"",CIQ($C$9,"IQ_TR_TRANSACTION_QUICK_COMPS_MA",$L24))</t>
        </r>
      </text>
    </comment>
    <comment ref="B24" authorId="0" shapeId="0" xr:uid="{CE477577-D9D3-4AA7-9BEF-D50EBE876E3D}">
      <text>
        <r>
          <rPr>
            <b/>
            <sz val="9"/>
            <color indexed="81"/>
            <rFont val="Tahoma"/>
            <family val="2"/>
          </rPr>
          <t>=IF($A24="","",CIQ($A24,"IQ_TR_ANN_DATE"))</t>
        </r>
      </text>
    </comment>
    <comment ref="C24" authorId="0" shapeId="0" xr:uid="{DA290723-2CC8-4A71-A661-96C1B44BA9EC}">
      <text>
        <r>
          <rPr>
            <b/>
            <sz val="9"/>
            <color indexed="81"/>
            <rFont val="Tahoma"/>
            <family val="2"/>
          </rPr>
          <t>=IF($A24="","",CIQ($A24,"IQ_TR_TARGETNAME"))</t>
        </r>
      </text>
    </comment>
    <comment ref="D24" authorId="0" shapeId="0" xr:uid="{E2AEB378-7CAF-45CF-AE7B-84A8E4A20A94}">
      <text>
        <r>
          <rPr>
            <b/>
            <sz val="9"/>
            <color indexed="81"/>
            <rFont val="Tahoma"/>
            <family val="2"/>
          </rPr>
          <t>=IF($A24="","",IF(CIQ($A24,"IQ_TR_BUYERNAME")=0,"-",CIQ($A24,"IQ_TR_BUYERNAME")))</t>
        </r>
      </text>
    </comment>
    <comment ref="E24" authorId="0" shapeId="0" xr:uid="{7B47EB45-AC71-4B56-83B6-B589B7D2444C}">
      <text>
        <r>
          <rPr>
            <b/>
            <sz val="9"/>
            <color indexed="81"/>
            <rFont val="Tahoma"/>
            <family val="2"/>
          </rPr>
          <t>=IF($A24="","",IF(CIQ(CIQ($A24,"IQ_TR_TARGET_ID"),"IQ_COUNTRY_NAME")=0,"-",CIQ(CIQ($A24,"IQ_TR_TARGET_ID"),"IQ_COUNTRY_NAME")))</t>
        </r>
      </text>
    </comment>
    <comment ref="F24" authorId="0" shapeId="0" xr:uid="{F977053D-766B-4DB1-8946-2D2E0268E7D6}">
      <text>
        <r>
          <rPr>
            <b/>
            <sz val="9"/>
            <color indexed="81"/>
            <rFont val="Tahoma"/>
            <family val="2"/>
          </rPr>
          <t>=IF($A24="","",CIQ($A24,"IQ_TR_TOTALVALUE"))</t>
        </r>
      </text>
    </comment>
    <comment ref="G24" authorId="0" shapeId="0" xr:uid="{C31C0ADA-2D99-48B9-B9D9-EA66984FB065}">
      <text>
        <r>
          <rPr>
            <b/>
            <sz val="9"/>
            <color indexed="81"/>
            <rFont val="Tahoma"/>
            <family val="2"/>
          </rPr>
          <t>=IF($A24="","",CIQ($A24,"IQ_TR_STATUS"))</t>
        </r>
      </text>
    </comment>
    <comment ref="H24" authorId="0" shapeId="0" xr:uid="{71A767D3-19B1-49D1-9362-6BA14B368C2A}">
      <text>
        <r>
          <rPr>
            <b/>
            <sz val="9"/>
            <color indexed="81"/>
            <rFont val="Tahoma"/>
            <family val="2"/>
          </rPr>
          <t>=IF($A24="","",CIQ($A24,"IQ_TR_CURRENCY"))</t>
        </r>
      </text>
    </comment>
    <comment ref="I24" authorId="0" shapeId="0" xr:uid="{90709C67-6023-4A8D-BC7F-99782738093D}">
      <text>
        <r>
          <rPr>
            <b/>
            <sz val="9"/>
            <color indexed="81"/>
            <rFont val="Tahoma"/>
            <family val="2"/>
          </rPr>
          <t>=IF($A24="","",CIQ($A24,"IQ_TR_IMPLIED_EV_EBITDA"))</t>
        </r>
      </text>
    </comment>
    <comment ref="J24" authorId="0" shapeId="0" xr:uid="{188F14A3-E8D9-447C-BA90-1E1300D7DCDA}">
      <text>
        <r>
          <rPr>
            <b/>
            <sz val="9"/>
            <color indexed="81"/>
            <rFont val="Tahoma"/>
            <family val="2"/>
          </rPr>
          <t>=IF($A24="","",CIQ($A24,"IQ_TR_IMPLIED_EV_REV"))</t>
        </r>
      </text>
    </comment>
    <comment ref="K24" authorId="0" shapeId="0" xr:uid="{991DF19D-F2E9-41E5-9064-BD246FB9224A}">
      <text>
        <r>
          <rPr>
            <b/>
            <sz val="9"/>
            <color indexed="81"/>
            <rFont val="Tahoma"/>
            <family val="2"/>
          </rPr>
          <t>=IF($A24="","",CIQ($A24,"IQ_TR_IMPLIED_EV_EBIT"))</t>
        </r>
      </text>
    </comment>
    <comment ref="A25" authorId="0" shapeId="0" xr:uid="{C9BB9960-727A-4C42-AE69-39730CC44F70}">
      <text>
        <r>
          <rPr>
            <b/>
            <sz val="9"/>
            <color indexed="81"/>
            <rFont val="Tahoma"/>
            <family val="2"/>
          </rPr>
          <t>=IF(CIQ($C$9,"IQ_TR_TRANSACTION_QUICK_COMPS_MA",$L25)=0,"",CIQ($C$9,"IQ_TR_TRANSACTION_QUICK_COMPS_MA",$L25))</t>
        </r>
      </text>
    </comment>
    <comment ref="B25" authorId="0" shapeId="0" xr:uid="{D66E6D67-7B92-47BC-9CD4-B3F193DABC71}">
      <text>
        <r>
          <rPr>
            <b/>
            <sz val="9"/>
            <color indexed="81"/>
            <rFont val="Tahoma"/>
            <family val="2"/>
          </rPr>
          <t>=IF($A25="","",CIQ($A25,"IQ_TR_ANN_DATE"))</t>
        </r>
      </text>
    </comment>
    <comment ref="C25" authorId="0" shapeId="0" xr:uid="{98B68203-C2A6-4416-88D1-89778ED0810B}">
      <text>
        <r>
          <rPr>
            <b/>
            <sz val="9"/>
            <color indexed="81"/>
            <rFont val="Tahoma"/>
            <family val="2"/>
          </rPr>
          <t>=IF($A25="","",CIQ($A25,"IQ_TR_TARGETNAME"))</t>
        </r>
      </text>
    </comment>
    <comment ref="D25" authorId="0" shapeId="0" xr:uid="{A1CC3BDF-6398-43A0-8D18-191342ACEEAA}">
      <text>
        <r>
          <rPr>
            <b/>
            <sz val="9"/>
            <color indexed="81"/>
            <rFont val="Tahoma"/>
            <family val="2"/>
          </rPr>
          <t>=IF($A25="","",IF(CIQ($A25,"IQ_TR_BUYERNAME")=0,"-",CIQ($A25,"IQ_TR_BUYERNAME")))</t>
        </r>
      </text>
    </comment>
    <comment ref="E25" authorId="0" shapeId="0" xr:uid="{0F9E912F-B148-44E8-994F-1EE0755690C8}">
      <text>
        <r>
          <rPr>
            <b/>
            <sz val="9"/>
            <color indexed="81"/>
            <rFont val="Tahoma"/>
            <family val="2"/>
          </rPr>
          <t>=IF($A25="","",IF(CIQ(CIQ($A25,"IQ_TR_TARGET_ID"),"IQ_COUNTRY_NAME")=0,"-",CIQ(CIQ($A25,"IQ_TR_TARGET_ID"),"IQ_COUNTRY_NAME")))</t>
        </r>
      </text>
    </comment>
    <comment ref="F25" authorId="0" shapeId="0" xr:uid="{5E6BC486-F008-4229-BBCD-3827D212C569}">
      <text>
        <r>
          <rPr>
            <b/>
            <sz val="9"/>
            <color indexed="81"/>
            <rFont val="Tahoma"/>
            <family val="2"/>
          </rPr>
          <t>=IF($A25="","",CIQ($A25,"IQ_TR_TOTALVALUE"))</t>
        </r>
      </text>
    </comment>
    <comment ref="G25" authorId="0" shapeId="0" xr:uid="{FB5E20D9-0977-42AD-8378-FA6824B8A1D0}">
      <text>
        <r>
          <rPr>
            <b/>
            <sz val="9"/>
            <color indexed="81"/>
            <rFont val="Tahoma"/>
            <family val="2"/>
          </rPr>
          <t>=IF($A25="","",CIQ($A25,"IQ_TR_STATUS"))</t>
        </r>
      </text>
    </comment>
    <comment ref="H25" authorId="0" shapeId="0" xr:uid="{9AA2FEAE-BAA0-4084-9B54-EDD481FEF11C}">
      <text>
        <r>
          <rPr>
            <b/>
            <sz val="9"/>
            <color indexed="81"/>
            <rFont val="Tahoma"/>
            <family val="2"/>
          </rPr>
          <t>=IF($A25="","",CIQ($A25,"IQ_TR_CURRENCY"))</t>
        </r>
      </text>
    </comment>
    <comment ref="I25" authorId="0" shapeId="0" xr:uid="{3BC05CAC-FA1F-4B0C-B427-CB088A70FF24}">
      <text>
        <r>
          <rPr>
            <b/>
            <sz val="9"/>
            <color indexed="81"/>
            <rFont val="Tahoma"/>
            <family val="2"/>
          </rPr>
          <t>=IF($A25="","",CIQ($A25,"IQ_TR_IMPLIED_EV_EBITDA"))</t>
        </r>
      </text>
    </comment>
    <comment ref="J25" authorId="0" shapeId="0" xr:uid="{36C7B389-6964-4A33-B3D5-2215B5C59A78}">
      <text>
        <r>
          <rPr>
            <b/>
            <sz val="9"/>
            <color indexed="81"/>
            <rFont val="Tahoma"/>
            <family val="2"/>
          </rPr>
          <t>=IF($A25="","",CIQ($A25,"IQ_TR_IMPLIED_EV_REV"))</t>
        </r>
      </text>
    </comment>
    <comment ref="K25" authorId="0" shapeId="0" xr:uid="{A513F73B-C394-4660-A726-8E524371A681}">
      <text>
        <r>
          <rPr>
            <b/>
            <sz val="9"/>
            <color indexed="81"/>
            <rFont val="Tahoma"/>
            <family val="2"/>
          </rPr>
          <t>=IF($A25="","",CIQ($A25,"IQ_TR_IMPLIED_EV_EBIT"))</t>
        </r>
      </text>
    </comment>
    <comment ref="A26" authorId="0" shapeId="0" xr:uid="{007A3AA0-177A-4334-8D36-555FEBF714FF}">
      <text>
        <r>
          <rPr>
            <b/>
            <sz val="9"/>
            <color indexed="81"/>
            <rFont val="Tahoma"/>
            <family val="2"/>
          </rPr>
          <t>=IF(CIQ($C$9,"IQ_TR_TRANSACTION_QUICK_COMPS_MA",$L26)=0,"",CIQ($C$9,"IQ_TR_TRANSACTION_QUICK_COMPS_MA",$L26))</t>
        </r>
      </text>
    </comment>
    <comment ref="B26" authorId="0" shapeId="0" xr:uid="{38EACB01-91AF-4EF7-96C7-FBDAECBBCC1A}">
      <text>
        <r>
          <rPr>
            <b/>
            <sz val="9"/>
            <color indexed="81"/>
            <rFont val="Tahoma"/>
            <family val="2"/>
          </rPr>
          <t>=IF($A26="","",CIQ($A26,"IQ_TR_ANN_DATE"))</t>
        </r>
      </text>
    </comment>
    <comment ref="C26" authorId="0" shapeId="0" xr:uid="{D27B02EB-5EFC-4172-AA10-E333C82A73A3}">
      <text>
        <r>
          <rPr>
            <b/>
            <sz val="9"/>
            <color indexed="81"/>
            <rFont val="Tahoma"/>
            <family val="2"/>
          </rPr>
          <t>=IF($A26="","",CIQ($A26,"IQ_TR_TARGETNAME"))</t>
        </r>
      </text>
    </comment>
    <comment ref="D26" authorId="0" shapeId="0" xr:uid="{0C2CB3E6-33B2-4612-8A5E-ECDE55016E76}">
      <text>
        <r>
          <rPr>
            <b/>
            <sz val="9"/>
            <color indexed="81"/>
            <rFont val="Tahoma"/>
            <family val="2"/>
          </rPr>
          <t>=IF($A26="","",IF(CIQ($A26,"IQ_TR_BUYERNAME")=0,"-",CIQ($A26,"IQ_TR_BUYERNAME")))</t>
        </r>
      </text>
    </comment>
    <comment ref="E26" authorId="0" shapeId="0" xr:uid="{24B22F13-8E6C-45DE-8D79-D0F34A033422}">
      <text>
        <r>
          <rPr>
            <b/>
            <sz val="9"/>
            <color indexed="81"/>
            <rFont val="Tahoma"/>
            <family val="2"/>
          </rPr>
          <t>=IF($A26="","",IF(CIQ(CIQ($A26,"IQ_TR_TARGET_ID"),"IQ_COUNTRY_NAME")=0,"-",CIQ(CIQ($A26,"IQ_TR_TARGET_ID"),"IQ_COUNTRY_NAME")))</t>
        </r>
      </text>
    </comment>
    <comment ref="F26" authorId="0" shapeId="0" xr:uid="{893B8C90-614A-4172-B668-F3765DFE4415}">
      <text>
        <r>
          <rPr>
            <b/>
            <sz val="9"/>
            <color indexed="81"/>
            <rFont val="Tahoma"/>
            <family val="2"/>
          </rPr>
          <t>=IF($A26="","",CIQ($A26,"IQ_TR_TOTALVALUE"))</t>
        </r>
      </text>
    </comment>
    <comment ref="G26" authorId="0" shapeId="0" xr:uid="{4249C0E3-7218-4E0F-B64B-DB4BF04B234D}">
      <text>
        <r>
          <rPr>
            <b/>
            <sz val="9"/>
            <color indexed="81"/>
            <rFont val="Tahoma"/>
            <family val="2"/>
          </rPr>
          <t>=IF($A26="","",CIQ($A26,"IQ_TR_STATUS"))</t>
        </r>
      </text>
    </comment>
    <comment ref="H26" authorId="0" shapeId="0" xr:uid="{7352E06F-F1E8-4890-A434-157F3EA86E20}">
      <text>
        <r>
          <rPr>
            <b/>
            <sz val="9"/>
            <color indexed="81"/>
            <rFont val="Tahoma"/>
            <family val="2"/>
          </rPr>
          <t>=IF($A26="","",CIQ($A26,"IQ_TR_CURRENCY"))</t>
        </r>
      </text>
    </comment>
    <comment ref="I26" authorId="0" shapeId="0" xr:uid="{F79A7659-2CFB-479F-97F4-FB16C3343519}">
      <text>
        <r>
          <rPr>
            <b/>
            <sz val="9"/>
            <color indexed="81"/>
            <rFont val="Tahoma"/>
            <family val="2"/>
          </rPr>
          <t>=IF($A26="","",CIQ($A26,"IQ_TR_IMPLIED_EV_EBITDA"))</t>
        </r>
      </text>
    </comment>
    <comment ref="J26" authorId="0" shapeId="0" xr:uid="{C01C052C-032B-44B0-A087-1D5D6A76EC0B}">
      <text>
        <r>
          <rPr>
            <b/>
            <sz val="9"/>
            <color indexed="81"/>
            <rFont val="Tahoma"/>
            <family val="2"/>
          </rPr>
          <t>=IF($A26="","",CIQ($A26,"IQ_TR_IMPLIED_EV_REV"))</t>
        </r>
      </text>
    </comment>
    <comment ref="K26" authorId="0" shapeId="0" xr:uid="{045A03FC-F71D-4DF6-966D-8A99AF009BE3}">
      <text>
        <r>
          <rPr>
            <b/>
            <sz val="9"/>
            <color indexed="81"/>
            <rFont val="Tahoma"/>
            <family val="2"/>
          </rPr>
          <t>=IF($A26="","",CIQ($A26,"IQ_TR_IMPLIED_EV_EBIT"))</t>
        </r>
      </text>
    </comment>
  </commentList>
</comments>
</file>

<file path=xl/sharedStrings.xml><?xml version="1.0" encoding="utf-8"?>
<sst xmlns="http://schemas.openxmlformats.org/spreadsheetml/2006/main" count="18323" uniqueCount="1597">
  <si>
    <t>Super Simple Template</t>
  </si>
  <si>
    <t>General Information</t>
  </si>
  <si>
    <t>Subject Company</t>
  </si>
  <si>
    <t>Grab Holdings</t>
  </si>
  <si>
    <t>Reference no</t>
  </si>
  <si>
    <t>Project ref number</t>
  </si>
  <si>
    <t>Model version</t>
  </si>
  <si>
    <t>This model version number must match with report version</t>
  </si>
  <si>
    <t>Prepared</t>
  </si>
  <si>
    <t>Name of preparer</t>
  </si>
  <si>
    <t>Reviewed</t>
  </si>
  <si>
    <t>Name of reviewer</t>
  </si>
  <si>
    <t>Approved</t>
  </si>
  <si>
    <t>Name of approver</t>
  </si>
  <si>
    <t>Cells Styles</t>
  </si>
  <si>
    <t>Input</t>
  </si>
  <si>
    <t>User input/ Assumptions</t>
  </si>
  <si>
    <t>CIQ</t>
  </si>
  <si>
    <t>The whole column is inputs from CIQ. To paste value and change back to normal color</t>
  </si>
  <si>
    <t>Results</t>
  </si>
  <si>
    <t>Results. Please do not change</t>
  </si>
  <si>
    <t>Offsheet</t>
  </si>
  <si>
    <t>Linked to another tab</t>
  </si>
  <si>
    <t>Forecast</t>
  </si>
  <si>
    <t>Income Statement</t>
  </si>
  <si>
    <t>Revenue</t>
  </si>
  <si>
    <t>Cost of Goods Sold</t>
  </si>
  <si>
    <t>Gross Profit</t>
  </si>
  <si>
    <t>General &amp; Administrative Expenses</t>
  </si>
  <si>
    <t>Selling &amp; Marketing Expenses</t>
  </si>
  <si>
    <t>Research &amp; Development</t>
  </si>
  <si>
    <t>Other (Income)/Expense, Operating</t>
  </si>
  <si>
    <t>Depreciation &amp; Amortization</t>
  </si>
  <si>
    <t>Operating Income</t>
  </si>
  <si>
    <t>Financial Non-Cash (Gains)/Losses</t>
  </si>
  <si>
    <t>Irregular Cash (Gains)/Losses</t>
  </si>
  <si>
    <t>Net Finance Expense</t>
  </si>
  <si>
    <t>Income Tax Expense</t>
  </si>
  <si>
    <t>Net Income</t>
  </si>
  <si>
    <t>*note: net investment income and non-operating income/expenses were excluded since it is not a core operating income</t>
  </si>
  <si>
    <t>Balance Sheet</t>
  </si>
  <si>
    <t>Cash, Cash Equivalents</t>
  </si>
  <si>
    <t>Short-Term Investments</t>
  </si>
  <si>
    <t>Inventory</t>
  </si>
  <si>
    <t>Accounts Receivable</t>
  </si>
  <si>
    <t>Prepayments and Deposits, Current</t>
  </si>
  <si>
    <t>Other Current Assets</t>
  </si>
  <si>
    <t>Net Property, Plant, and Equipment</t>
  </si>
  <si>
    <t>Other Non-Current Assets</t>
  </si>
  <si>
    <t>Total Assets</t>
  </si>
  <si>
    <t>Accounts Payable</t>
  </si>
  <si>
    <t>Debt</t>
  </si>
  <si>
    <t>Other Operating Liabilities</t>
  </si>
  <si>
    <t>Non-Operating Liabilities</t>
  </si>
  <si>
    <t>Total Liabilities</t>
  </si>
  <si>
    <t>Shareholder's Equity</t>
  </si>
  <si>
    <t>Non-Controlling/Minority Interests</t>
  </si>
  <si>
    <t>Total Equity</t>
  </si>
  <si>
    <t>Stage II</t>
  </si>
  <si>
    <t>Stage III</t>
  </si>
  <si>
    <t>Forecast Notes</t>
  </si>
  <si>
    <t>Grab Holdings Ltd. (NASDAQ: GRAB) | Valuation date 31 Dec 2025 | Currency USD | Singapore tax 17%</t>
  </si>
  <si>
    <t>BUY — Full Model DCF: USD $4.70/sh (+34% upside from $3.50)</t>
  </si>
  <si>
    <t>Market (Median EV/Rev): $4.10 | Triangulated range $3.00-5.45 | WACC 11.29% (US 10Y + SEA CRP)</t>
  </si>
  <si>
    <t>1.Data Points Timeline</t>
  </si>
  <si>
    <t>Date</t>
  </si>
  <si>
    <t>Action</t>
  </si>
  <si>
    <t>PT (USD)</t>
  </si>
  <si>
    <t>Key signal</t>
  </si>
  <si>
    <t>Q3 2021</t>
  </si>
  <si>
    <t>Initiation Overweight</t>
  </si>
  <si>
    <t>Bullish view at SPAC-era peak</t>
  </si>
  <si>
    <t>Jan 17 2024</t>
  </si>
  <si>
    <t>Upgrade to Overweight</t>
  </si>
  <si>
    <t>Post-correction re-engagement</t>
  </si>
  <si>
    <t>Feb 21 2025</t>
  </si>
  <si>
    <t>Maintain Overweight, PT raise</t>
  </si>
  <si>
    <t>"Guidance may be on the conservative side"</t>
  </si>
  <si>
    <t>Apr 16 2025</t>
  </si>
  <si>
    <t>PT trim, OW maintained</t>
  </si>
  <si>
    <t>Modest reset, conviction unchanged</t>
  </si>
  <si>
    <t>Apr 20 2026</t>
  </si>
  <si>
    <t>Latest read: bullish positioning continues</t>
  </si>
  <si>
    <t>2. Revenue Growth Synthesis</t>
  </si>
  <si>
    <t>• FY26E: 21% — Mgmt FY26 guide ($4.04-4.10B, +21-22%) as "may be on the conservative side"</t>
  </si>
  <si>
    <t>• FY27E: 19% — expectations of mid-high teens; we taper from 21% conservatively</t>
  </si>
  <si>
    <t>• FY28-30E: 17% → 15% → 13% — gradual deceleration consistent with maturing operations</t>
  </si>
  <si>
    <t>• FY31-35E (terminal phase): 10% → 9% → 9% → 8% → 7% — converging to long-run SEA digital econ</t>
  </si>
  <si>
    <t>• Implied 10-yr revenue CAGR: ~12.7%. FY30E revenue: $7.4B. FY35E: $11.1B</t>
  </si>
  <si>
    <t>• FY25A consolidated revenue: USD 3,370M (segment sum ties exactly)</t>
  </si>
  <si>
    <t>• Segment mix: Fin Services grows 11.5% → 23.5% of mix as the fastest-growing leg</t>
  </si>
  <si>
    <t>3. Conservative Income Statement Assumptions</t>
  </si>
  <si>
    <t>Line item</t>
  </si>
  <si>
    <t>FY25A</t>
  </si>
  <si>
    <t>FY26E</t>
  </si>
  <si>
    <t>FY30E</t>
  </si>
  <si>
    <t>FY35E</t>
  </si>
  <si>
    <t>Comment</t>
  </si>
  <si>
    <t>COGS % of revenue</t>
  </si>
  <si>
    <t>Marginal scale, food delivery margin pressure</t>
  </si>
  <si>
    <t>G&amp;A % of revenue</t>
  </si>
  <si>
    <t>Step-down with scale</t>
  </si>
  <si>
    <t>S&amp;M % of revenue</t>
  </si>
  <si>
    <t>Variable cost — improvement with scale</t>
  </si>
  <si>
    <t>R&amp;D % of revenue</t>
  </si>
  <si>
    <t>Higher upfront FinServ + AI; declines</t>
  </si>
  <si>
    <t>Other (Income)/Expense, Operating % of revenue</t>
  </si>
  <si>
    <t>Stable Operating Efficiency</t>
  </si>
  <si>
    <t>EBIT margin</t>
  </si>
  <si>
    <t>Drives the operating leverage story</t>
  </si>
  <si>
    <t>EBITDA margin</t>
  </si>
  <si>
    <t>Conservative 18-22% by FY28-30</t>
  </si>
  <si>
    <t>Effective tax rate</t>
  </si>
  <si>
    <t>~31%</t>
  </si>
  <si>
    <t>Singapore statutory 17% (template default)</t>
  </si>
  <si>
    <t>Capex % of revenue</t>
  </si>
  <si>
    <t>2% maintenance + 1% expansionary</t>
  </si>
  <si>
    <t>NWC % of revenue</t>
  </si>
  <si>
    <t>~1.5%</t>
  </si>
  <si>
    <t>Asset-light model</t>
  </si>
  <si>
    <t>4. WACC Build (USD-denominated: US 10Y base + SEA emerging-market premium)</t>
  </si>
  <si>
    <t>Component</t>
  </si>
  <si>
    <t>Value</t>
  </si>
  <si>
    <t>Source / rationale</t>
  </si>
  <si>
    <t>Risk-free rate (10Y UST)</t>
  </si>
  <si>
    <t>Capital IQ US 10-yr Treasury yield (live)</t>
  </si>
  <si>
    <t>Equity Risk Premium</t>
  </si>
  <si>
    <t>Damodaran implied US ERP Dec 2025</t>
  </si>
  <si>
    <t>Unlevered Beta (peer median)</t>
  </si>
  <si>
    <t>10-peer median (Hamada-unlevered from live CIQ adj. beta)</t>
  </si>
  <si>
    <t>Relevered Beta</t>
  </si>
  <si>
    <t>Unlevered × (1+(1-tax)×D/E)</t>
  </si>
  <si>
    <t>Country Risk Premium</t>
  </si>
  <si>
    <t>SEA blended (Indonesia/Malaysia/Philippines weighted)</t>
  </si>
  <si>
    <t>Size Premium</t>
  </si>
  <si>
    <t>Grab is $20B mid-cap — no Duff &amp; Phelps add-on</t>
  </si>
  <si>
    <t>Cost of Equity</t>
  </si>
  <si>
    <t>Rf + Beta×(ERP + Size)</t>
  </si>
  <si>
    <t>Borrowing rate</t>
  </si>
  <si>
    <t>USD A-rated 10Y + ~80bps SEA spread</t>
  </si>
  <si>
    <t>Cost of Debt (after-tax)</t>
  </si>
  <si>
    <t>Borrow × (1 - 17% tax)</t>
  </si>
  <si>
    <t>D/E ratio (peer median)</t>
  </si>
  <si>
    <t>10-peer median live CIQ</t>
  </si>
  <si>
    <t>WACC</t>
  </si>
  <si>
    <t>E_w × Ce + D_w × Cd_after_tax</t>
  </si>
  <si>
    <t>5. Final Triangulation — All Approaches (USD per share)</t>
  </si>
  <si>
    <t>Methodology</t>
  </si>
  <si>
    <t>Equity (USD M)</t>
  </si>
  <si>
    <t>USD/share</t>
  </si>
  <si>
    <t>vs $3.50</t>
  </si>
  <si>
    <t>Comments</t>
  </si>
  <si>
    <t>Current Market Price</t>
  </si>
  <si>
    <t>—</t>
  </si>
  <si>
    <t>Spot at valuation date 31 Dec 2025</t>
  </si>
  <si>
    <t>DCF (FULL MODEL v3)</t>
  </si>
  <si>
    <t>WACC 11.29%, TV 3%, 10-yr horizon</t>
  </si>
  <si>
    <t>Market — Q1 (Low)</t>
  </si>
  <si>
    <t>EV/Rev 1.18x × FY25 Rev $3,370M</t>
  </si>
  <si>
    <t>Market — Median (Base)</t>
  </si>
  <si>
    <t>EV/Rev 2.17x (10-peer median, live CIQ)</t>
  </si>
  <si>
    <t>Market — Q3 (High)</t>
  </si>
  <si>
    <t>Q3 EV/Rev 3.39x</t>
  </si>
  <si>
    <t>Original Report PT</t>
  </si>
  <si>
    <t>Triangulated DCF/Rel/SOTP/Consensus</t>
  </si>
  <si>
    <t>Bloomberg consensus</t>
  </si>
  <si>
    <t>Average of 18 sell-side analysts</t>
  </si>
  <si>
    <t>6. Recommendation: BUY</t>
  </si>
  <si>
    <t>TRIANGULATED FAIR VALUE: USD $4.00 – $5.50 per share (midpoint $4.75, +36% upside from $3.50)</t>
  </si>
  <si>
    <t>This model with live CIQ peer data confirms the BUY recommendation:</t>
  </si>
  <si>
    <t>  • DCF gives $4.70 (+34%) — between the report PT ($5.00) and market median</t>
  </si>
  <si>
    <t>  • Market median EV/Revenue (2.17x) gives $4.10 (+17%)</t>
  </si>
  <si>
    <t>  • Market Q3 (peer best-quartile) gives $5.45 — same as report PT</t>
  </si>
  <si>
    <t>WHAT TO BELIEVE:</t>
  </si>
  <si>
    <t>This model with a 11.29% WACC and 2.17x peer-median EV/Revenue produces a DCF of $4.70</t>
  </si>
  <si>
    <t>and market median of $4.10. This range ($3.00-$5.45) is fully supportive of a BUY rating with the</t>
  </si>
  <si>
    <t>$5.00 report PT representing the upper-conservative bound and JPM's $5.90 representing aggressive upside.</t>
  </si>
  <si>
    <t>7. Peer Analysis (Live Capital IQ data, 10 peers — in USD)</t>
  </si>
  <si>
    <t>Peer</t>
  </si>
  <si>
    <t>Ticker</t>
  </si>
  <si>
    <t>MC USD m</t>
  </si>
  <si>
    <t>EV/Rev</t>
  </si>
  <si>
    <t>EBIT %</t>
  </si>
  <si>
    <t>Adj Beta</t>
  </si>
  <si>
    <t>Country</t>
  </si>
  <si>
    <t>Grab Holdings (Subject)</t>
  </si>
  <si>
    <t>NASDAQ:GRAB</t>
  </si>
  <si>
    <t>4.79x</t>
  </si>
  <si>
    <t>Singapore</t>
  </si>
  <si>
    <t>GoTo (Gojek+Tokopedia)</t>
  </si>
  <si>
    <t>IDX:GOTO</t>
  </si>
  <si>
    <t>2.90x</t>
  </si>
  <si>
    <t>Indonesia</t>
  </si>
  <si>
    <t>Sea Limited</t>
  </si>
  <si>
    <t>NYSE:SE</t>
  </si>
  <si>
    <t>3.33x</t>
  </si>
  <si>
    <t>Uber Technologies</t>
  </si>
  <si>
    <t>NYSE:UBER</t>
  </si>
  <si>
    <t>3.41x</t>
  </si>
  <si>
    <t>United States</t>
  </si>
  <si>
    <t>Lyft</t>
  </si>
  <si>
    <t>NASDAQ:LYFT</t>
  </si>
  <si>
    <t>1.13x</t>
  </si>
  <si>
    <t>DiDi Global</t>
  </si>
  <si>
    <t>OTCPK:DIDI</t>
  </si>
  <si>
    <t>0.62x</t>
  </si>
  <si>
    <t>China</t>
  </si>
  <si>
    <t>Meituan</t>
  </si>
  <si>
    <t>SEHK:3690</t>
  </si>
  <si>
    <t>1.34x</t>
  </si>
  <si>
    <t>Delivery Hero</t>
  </si>
  <si>
    <t>XTRA:DHER</t>
  </si>
  <si>
    <t>0.65x</t>
  </si>
  <si>
    <t>Germany</t>
  </si>
  <si>
    <t>DoorDash</t>
  </si>
  <si>
    <t>NASDAQ:DASH</t>
  </si>
  <si>
    <t>7.58x</t>
  </si>
  <si>
    <t>Talabat Holding</t>
  </si>
  <si>
    <t>DFM:TALABAT</t>
  </si>
  <si>
    <t>1.45x</t>
  </si>
  <si>
    <t>United Arab Emirates</t>
  </si>
  <si>
    <t>---</t>
  </si>
  <si>
    <t>Peer Median</t>
  </si>
  <si>
    <t>2.17x</t>
  </si>
  <si>
    <t>1.40 unlev</t>
  </si>
  <si>
    <t>Peer Q1</t>
  </si>
  <si>
    <t>1.18x</t>
  </si>
  <si>
    <t>Peer Q3</t>
  </si>
  <si>
    <t>3.39x</t>
  </si>
  <si>
    <t>8. Sources (APA-7)</t>
  </si>
  <si>
    <t>JPMORGAN ANALYST NOTES (Ranjan Sharma)</t>
  </si>
  <si>
    <t>Sharma, R. (2021, October). Initiation of coverage on Grab Holdings: Overweight, $12.50 PT. JPMorgan.</t>
  </si>
  <si>
    <t>Sharma, R. (2024, January 17). Upgrade to Overweight, PT $3.80. JPMorgan, via Streetinsider.com.</t>
  </si>
  <si>
    <t>Sharma, R. (2025, February 21). Maintain Overweight, PT raised to $5.60 — "guidance may be on the conservative side". JPMorgan.</t>
  </si>
  <si>
    <t>Sharma, R. (2025, April 16). PT trim to $5.30, OW maintained. JPMorgan.</t>
  </si>
  <si>
    <t>Sharma, R. (2026, April 20). PT trim to $5.90 from $6.10, OW maintained. JPMorgan.</t>
  </si>
  <si>
    <t>CAPITAL IQ / PITCHBOOK</t>
  </si>
  <si>
    <t>S&amp;P Capital IQ. (2025, December 31). Peer set financial data (10 peers in SGD, converted to USD ÷ 1.34).</t>
  </si>
  <si>
    <t>S&amp;P Capital IQ. (2025, December 31). US 10-yr Treasury yield (%TCMSY10): 4.18%.</t>
  </si>
  <si>
    <t>COMPANY FILINGS</t>
  </si>
  <si>
    <t>Grab Holdings Limited. (2026, February). Form 20-F for FY2025. SEC.</t>
  </si>
  <si>
    <t>ACADEMIC / DATA</t>
  </si>
  <si>
    <t>Damodaran, A. (2025, December). Implied ERP by month. NYU Stern.</t>
  </si>
  <si>
    <t>Damodaran, A. (2025, December). Country risk premiums. NYU Stern.</t>
  </si>
  <si>
    <t>9. Tab Roadmap</t>
  </si>
  <si>
    <t>Tab</t>
  </si>
  <si>
    <t>Purpose</t>
  </si>
  <si>
    <t>Status</t>
  </si>
  <si>
    <t>Cover</t>
  </si>
  <si>
    <t>Document metadata</t>
  </si>
  <si>
    <t>Pre-filled</t>
  </si>
  <si>
    <t>Currency=USD, Tax=17%, Forecast=10 yrs</t>
  </si>
  <si>
    <t>Updated to USD</t>
  </si>
  <si>
    <t>Financial Data(BS&amp;IS) (this tab)</t>
  </si>
  <si>
    <t>Sources, derivation, model summary</t>
  </si>
  <si>
    <t>Rebuilt for USD</t>
  </si>
  <si>
    <t>Historicals</t>
  </si>
  <si>
    <t>FY21-FY25 P&amp;L + Balance Sheet (USD k)</t>
  </si>
  <si>
    <t>Restated in USD</t>
  </si>
  <si>
    <t>FY26F-FY35F 10-yr P&amp;L</t>
  </si>
  <si>
    <t>Auto-updated from Historicals</t>
  </si>
  <si>
    <t>Comps</t>
  </si>
  <si>
    <t>Peer set with CIQ data (10 peers)</t>
  </si>
  <si>
    <t>Converted MC/Debt from SGD</t>
  </si>
  <si>
    <t>Comps Financials</t>
  </si>
  <si>
    <t>5-year peer Rev/GP/EBITDA/EBIT</t>
  </si>
  <si>
    <t>Converted ÷ 1.34 from SGD</t>
  </si>
  <si>
    <t>Cost of capital build</t>
  </si>
  <si>
    <t>WACC = 11.29% (US 10Y base)</t>
  </si>
  <si>
    <t>DCF</t>
  </si>
  <si>
    <t>10-yr explicit + Gordon TV</t>
  </si>
  <si>
    <t>EV $14,079M / Equity $19,225M</t>
  </si>
  <si>
    <t>Market </t>
  </si>
  <si>
    <t>EV/Revenue peer-multiples</t>
  </si>
  <si>
    <t>Median EV/Rev = 2.17x</t>
  </si>
  <si>
    <t>C5</t>
  </si>
  <si>
    <t>Recent M&amp;A transactions (14 deals)</t>
  </si>
  <si>
    <t>Converted to USD</t>
  </si>
  <si>
    <t>Charts - Target KPI</t>
  </si>
  <si>
    <t>Auto trends</t>
  </si>
  <si>
    <t>Template-wired</t>
  </si>
  <si>
    <t>Charts - Peer Analysis</t>
  </si>
  <si>
    <t>Auto rankings</t>
  </si>
  <si>
    <t> </t>
  </si>
  <si>
    <t>Income Statement (Fiscal Year)</t>
  </si>
  <si>
    <t>Downloaded on: 23-May-2026</t>
  </si>
  <si>
    <t>Summary Stats</t>
  </si>
  <si>
    <t>Company: Grab Holdings (NAS: GRAB)</t>
  </si>
  <si>
    <t>Median</t>
  </si>
  <si>
    <t>Mean</t>
  </si>
  <si>
    <t>Min</t>
  </si>
  <si>
    <t>Max</t>
  </si>
  <si>
    <t>25th pctile</t>
  </si>
  <si>
    <t>75th pctile</t>
  </si>
  <si>
    <t>Std. Dev</t>
  </si>
  <si>
    <t>Coefficient of Variation</t>
  </si>
  <si>
    <t>FY 2025</t>
  </si>
  <si>
    <t>FY 2024</t>
  </si>
  <si>
    <t>FY 2023</t>
  </si>
  <si>
    <t>FY 2022</t>
  </si>
  <si>
    <t>FY 2021</t>
  </si>
  <si>
    <t>FY 2020</t>
  </si>
  <si>
    <t>FY 2019</t>
  </si>
  <si>
    <t>FY 2018</t>
  </si>
  <si>
    <t>FY 2017</t>
  </si>
  <si>
    <t>FY 2015</t>
  </si>
  <si>
    <t>FY 2014</t>
  </si>
  <si>
    <t>FY 2013</t>
  </si>
  <si>
    <t>End: 31-Dec-2025</t>
  </si>
  <si>
    <t>End: 31-Dec-2024</t>
  </si>
  <si>
    <t>End: 31-Dec-2023</t>
  </si>
  <si>
    <t>End: 31-Dec-2022</t>
  </si>
  <si>
    <t>End: 31-Dec-2021</t>
  </si>
  <si>
    <t>End: 31-Dec-2020</t>
  </si>
  <si>
    <t>End: 31-Dec-2019</t>
  </si>
  <si>
    <t>End: 31-Dec-2018</t>
  </si>
  <si>
    <t>End: 31-Dec-2017</t>
  </si>
  <si>
    <t>End: 31-Dec-2015</t>
  </si>
  <si>
    <t>End: 31-Dec-2014</t>
  </si>
  <si>
    <t>End: 31-Dec-2013</t>
  </si>
  <si>
    <t>Amount in thousands  (USD) (except Ratios, Multiples &amp; per share items)</t>
  </si>
  <si>
    <t>Filed: 06-Mar-2026</t>
  </si>
  <si>
    <t>Filed: 14-Mar-2025</t>
  </si>
  <si>
    <t>Filed: 28-Mar-2024</t>
  </si>
  <si>
    <t>Filed: 26-Apr-2023</t>
  </si>
  <si>
    <t>Filed: 28-Apr-2022</t>
  </si>
  <si>
    <t>View </t>
  </si>
  <si>
    <t>View 20-F</t>
  </si>
  <si>
    <t>    Revenue</t>
  </si>
  <si>
    <t>        Business Revenue</t>
  </si>
  <si>
    <t>    Total Revenue</t>
  </si>
  <si>
    <t>    Cost of Revenue</t>
  </si>
  <si>
    <t>Total Gross Profit</t>
  </si>
  <si>
    <t>Operating (Income)/Expenses</t>
  </si>
  <si>
    <t>    Selling, General and Administrative Expenses</t>
  </si>
  <si>
    <t>        General and Administrative Expenses</t>
  </si>
  <si>
    <t>        Selling and Marketing Expenses</t>
  </si>
  <si>
    <t>    Total Selling, General and Administrative Expenses</t>
  </si>
  <si>
    <t>    Research and Development Expenses</t>
  </si>
  <si>
    <t>    Other (Income)/Expense, Operating</t>
  </si>
  <si>
    <t>        Income from Grants Received, Operating</t>
  </si>
  <si>
    <t>        Other Income, Operating</t>
  </si>
  <si>
    <t>    Total Other (Income)/Expense, Operating</t>
  </si>
  <si>
    <t>Total Operating (Income)/Expenses</t>
  </si>
  <si>
    <t>Total Operating Profit/(Loss)</t>
  </si>
  <si>
    <t>Non-Operating Income/(Expenses)</t>
  </si>
  <si>
    <t>    Net Finance (Income)/Expense</t>
  </si>
  <si>
    <t>        Net Interest (Income)/Expense</t>
  </si>
  <si>
    <t>            Interest Expense Net of Capitalized Interest</t>
  </si>
  <si>
    <t>            Interest Income</t>
  </si>
  <si>
    <t>        Total Net Interest (Income)/Expense</t>
  </si>
  <si>
    <t>        Other Finance (Income)/Expenses</t>
  </si>
  <si>
    <t>            Other Finance Income</t>
  </si>
  <si>
    <t>            Other Finance Expenses</t>
  </si>
  <si>
    <t>        Total Other Finance (Income)/Expenses</t>
  </si>
  <si>
    <t>    Total Net Finance (Income)/Expense</t>
  </si>
  <si>
    <t>    Net Investment Income</t>
  </si>
  <si>
    <t>        Fair Value or Unrealized Gain/(Loss) on Financial Assets</t>
  </si>
  <si>
    <t>        Income from Associates, Joint Ventures and Other Participating Interests</t>
  </si>
  <si>
    <t>        Gain/(Loss) on Foreign Exchange</t>
  </si>
  <si>
    <t>    Total Net Investment Income</t>
  </si>
  <si>
    <t>    Irregular (Income)/Expenses</t>
  </si>
  <si>
    <t>        Goodwill Impairment/Write Off</t>
  </si>
  <si>
    <t>        Impairment/Write Off/Write Down of Other Assets</t>
  </si>
  <si>
    <t>        Restructuring and Reorganization (Income)/Expense</t>
  </si>
  <si>
    <t>    Total Irregular (Income)/Expenses</t>
  </si>
  <si>
    <t>    Other Income/(Expense), Non-Operating</t>
  </si>
  <si>
    <t>Total Non-Operating Income/(Expenses), Total</t>
  </si>
  <si>
    <t>Pretax Income</t>
  </si>
  <si>
    <t>Provision for Income Tax</t>
  </si>
  <si>
    <t>Net Income from Continuing Operations</t>
  </si>
  <si>
    <t>Net Income after Extraordinary Items and Discontinued Operations</t>
  </si>
  <si>
    <t>Net Income after Non-Controlling/Minority Interests</t>
  </si>
  <si>
    <t>Net Income Available to Common Stockholders</t>
  </si>
  <si>
    <t>Diluted Net Income Available to Common Stockholders</t>
  </si>
  <si>
    <t>Basic EPS</t>
  </si>
  <si>
    <t>    Basic EPS from Continuing Operations</t>
  </si>
  <si>
    <t>Total Basic EPS</t>
  </si>
  <si>
    <t>Diluted EPS</t>
  </si>
  <si>
    <t>    Diluted EPS from Continuing Operations</t>
  </si>
  <si>
    <t>Total Diluted EPS</t>
  </si>
  <si>
    <t>Basic Weighted Average Shares Outstanding</t>
  </si>
  <si>
    <t>Diluted Weighted Average Shares Outstanding</t>
  </si>
  <si>
    <t>Income Statement Supplemental Section</t>
  </si>
  <si>
    <t>    Per Share Calculations</t>
  </si>
  <si>
    <t>        EBITDA per Share</t>
  </si>
  <si>
    <t>        EBITDAR per Share</t>
  </si>
  <si>
    <t>        Basic EPS (Normalized)</t>
  </si>
  <si>
    <t>        Diluted EPS (Normalized)</t>
  </si>
  <si>
    <t>        Normalized EBITDA per Share</t>
  </si>
  <si>
    <t>        Normalized EBITDAR per Share</t>
  </si>
  <si>
    <t>        Recommended Normalized Basic EPS</t>
  </si>
  <si>
    <t>        Recommended Normalized Diluted EPS</t>
  </si>
  <si>
    <t>        Sales per Share</t>
  </si>
  <si>
    <t>    Reported Normalized and Operating Income/Expense Supplemental Section</t>
  </si>
  <si>
    <t>        Reported Total Revenue</t>
  </si>
  <si>
    <t>        Reported Total Operating Profit/Loss</t>
  </si>
  <si>
    <t>        Reported Normalized EBITDA</t>
  </si>
  <si>
    <t>Profitability Metrics</t>
  </si>
  <si>
    <t>    Unadjusted Profitability Metrics</t>
  </si>
  <si>
    <t>        EBITDA</t>
  </si>
  <si>
    <t>        EBITA</t>
  </si>
  <si>
    <t>        EBIT</t>
  </si>
  <si>
    <t>        EBITDAR</t>
  </si>
  <si>
    <t>        Interest and Dividend Income</t>
  </si>
  <si>
    <t>        Tax Effect of Unusual Items</t>
  </si>
  <si>
    <t>        Total Unusual Items</t>
  </si>
  <si>
    <t>        Total Unusual Items Excluding Goodwill</t>
  </si>
  <si>
    <t>        Cost of Revenue and Operating Expense</t>
  </si>
  <si>
    <t>        Net Operating Profit After Tax (NOPAT)</t>
  </si>
  <si>
    <t>        Income After Taxes</t>
  </si>
  <si>
    <t>    Normalized Profitability Metrics</t>
  </si>
  <si>
    <t>        EBITDA (Normalized)</t>
  </si>
  <si>
    <t>        EBIT (Normalized)</t>
  </si>
  <si>
    <t>        EBITDAR (Normalized)</t>
  </si>
  <si>
    <t>        Net Income (Normalized)</t>
  </si>
  <si>
    <t>    Analyst Normalized Profitability Metrics</t>
  </si>
  <si>
    <t>        EBITDA (Analyst Normalized)</t>
  </si>
  <si>
    <t>        EBIT (Analyst Normalized)</t>
  </si>
  <si>
    <t>        Net Income (Analyst Normalized)</t>
  </si>
  <si>
    <t>        EPS (Analyst Normalized)</t>
  </si>
  <si>
    <t>Data Origination</t>
  </si>
  <si>
    <t>    Preliminary</t>
  </si>
  <si>
    <t>No</t>
  </si>
  <si>
    <t>    Original</t>
  </si>
  <si>
    <t>Yes</t>
  </si>
  <si>
    <t>    Restated</t>
  </si>
  <si>
    <t>    Calculated</t>
  </si>
  <si>
    <t>© PitchBook Data, Inc.  2026</t>
  </si>
  <si>
    <t>Balance Sheet (Fiscal Year)</t>
  </si>
  <si>
    <t>Filed: 19-Nov-2021</t>
  </si>
  <si>
    <t>Assets</t>
  </si>
  <si>
    <t>    Current Assets</t>
  </si>
  <si>
    <t>        Cash, Cash Equivalents and Short Term Investments</t>
  </si>
  <si>
    <t>            Cash and Cash Equivalents</t>
  </si>
  <si>
    <t>                Cash</t>
  </si>
  <si>
    <t>                Cash Equivalents</t>
  </si>
  <si>
    <t>            Total Cash and Cash Equivalents</t>
  </si>
  <si>
    <t>            Short Term Investments</t>
  </si>
  <si>
    <t>                Available-for-Sale Securities, Current</t>
  </si>
  <si>
    <t>                Other Short Term Investments</t>
  </si>
  <si>
    <t>            Total Short Term Investments</t>
  </si>
  <si>
    <t>        Total Cash, Cash Equivalents and Short Term Investments</t>
  </si>
  <si>
    <t>        Cash Restricted or Pledged, Current</t>
  </si>
  <si>
    <t>        Inventories</t>
  </si>
  <si>
    <t>        Trade and Other Receivables, Current</t>
  </si>
  <si>
    <t>            Trade/Accounts Receivable, Current</t>
  </si>
  <si>
    <t>                Gross Trade/Accounts Receivable, Current</t>
  </si>
  <si>
    <t>                Allowance/Adjustments for Trade/Accounts Receivable, Current</t>
  </si>
  <si>
    <t>            Total Trade/Accounts Receivable, Current</t>
  </si>
  <si>
    <t>            Loans Receivable, Current</t>
  </si>
  <si>
    <t>            Taxes Receivable, Current</t>
  </si>
  <si>
    <t>            Other Receivables, Current</t>
  </si>
  <si>
    <t>            General Allowance for Receivables and Write Offs, Current</t>
  </si>
  <si>
    <t>        Total Trade and Other Receivables, Current</t>
  </si>
  <si>
    <t>        Prepayments and Deposits, Current</t>
  </si>
  <si>
    <t>        Other Current Assets</t>
  </si>
  <si>
    <t>    Total Current Assets</t>
  </si>
  <si>
    <t>    Non-Current Assets</t>
  </si>
  <si>
    <t>        Net Property, Plant and Equipment</t>
  </si>
  <si>
    <t>            Gross Property, Plant and Equipment</t>
  </si>
  <si>
    <t>                Properties</t>
  </si>
  <si>
    <t>                    Buildings and Improvements</t>
  </si>
  <si>
    <t>                Total Properties</t>
  </si>
  <si>
    <t>                Machinery, Furniture and Equipment</t>
  </si>
  <si>
    <t>                    Furniture, Fixtures and Office Equipment</t>
  </si>
  <si>
    <t>                    Flight, Fleet, Vehicle and Related Equipment</t>
  </si>
  <si>
    <t>                Total Machinery, Furniture and Equipment</t>
  </si>
  <si>
    <t>            Total Gross Property, Plant and Equipment</t>
  </si>
  <si>
    <t>            Accumulated Depreciation and Impairment</t>
  </si>
  <si>
    <t>                Accumulated Depreciation</t>
  </si>
  <si>
    <t>                    Accumulated Depreciation of Properties</t>
  </si>
  <si>
    <t>                        Accumulated Depreciation of Buildings</t>
  </si>
  <si>
    <t>                    Total Accumulated Depreciation of Properties</t>
  </si>
  <si>
    <t>                    Accumulated Depreciation of Machinery, Furniture and Equipment</t>
  </si>
  <si>
    <t>                        Accumulated Depreciation of Furniture, Fixtures and Office Equipment</t>
  </si>
  <si>
    <t>                        Accumulated Depreciation of Flight, Fleet, Vehicle and Related Equipments</t>
  </si>
  <si>
    <t>                    Total Accumulated Depreciation of Machinery, Furniture and Equipment</t>
  </si>
  <si>
    <t>                Total Accumulated Depreciation</t>
  </si>
  <si>
    <t>            Total Accumulated Depreciation and Impairment</t>
  </si>
  <si>
    <t>        Total Net Property, Plant and Equipment</t>
  </si>
  <si>
    <t>        Net Intangible Assets</t>
  </si>
  <si>
    <t>            Gross Goodwill and Other Intangible Assets</t>
  </si>
  <si>
    <t>                Goodwill</t>
  </si>
  <si>
    <t>                Intangibles other than Goodwill</t>
  </si>
  <si>
    <t>                    Trademarks and Patents</t>
  </si>
  <si>
    <t>                    Software and Technology</t>
  </si>
  <si>
    <t>                    Research and Development</t>
  </si>
  <si>
    <t>                    Other Intangible Assets</t>
  </si>
  <si>
    <t>                Total Intangibles other than Goodwill</t>
  </si>
  <si>
    <t>            Total Gross Goodwill and Other Intangible Assets</t>
  </si>
  <si>
    <t>            Accumulated Amortization and Impairment</t>
  </si>
  <si>
    <t>                Accumulated Amortization of Intangible Assets</t>
  </si>
  <si>
    <t>                    Accumulated Amortization of Goodwill</t>
  </si>
  <si>
    <t>                    Accumulated Amortization of Intangibles other than Goodwill</t>
  </si>
  <si>
    <t>                        Accumulated Amortization of Trademarks and Patents</t>
  </si>
  <si>
    <t>                        Accumulated Amortization of Software and Technology</t>
  </si>
  <si>
    <t>                        Accumulated Amortization of Other Intangible Assets</t>
  </si>
  <si>
    <t>                    Total Accumulated Amortization of Intangibles other than Goodwill</t>
  </si>
  <si>
    <t>                Total Accumulated Amortization of Intangible Assets</t>
  </si>
  <si>
    <t>            Total Accumulated Amortization and Impairment</t>
  </si>
  <si>
    <t>        Total Net Intangible Assets</t>
  </si>
  <si>
    <t>        Long Term Investments</t>
  </si>
  <si>
    <t>            Long Term Equity Investments</t>
  </si>
  <si>
    <t>            Investment in Financial Assets, Non-Current</t>
  </si>
  <si>
    <t>                Financial Assets Designated as Fair Value Through Profit or Loss, Non-Current</t>
  </si>
  <si>
    <t>                Financial Investment Securities, Available-for-Sale &amp; Held-to-Maturity, Non-Current</t>
  </si>
  <si>
    <t>                    Available-for-Sale Securities, Non-Current</t>
  </si>
  <si>
    <t>                Total Financial Investment Securities, Available-for-Sale &amp; Held-to-Maturity, Non-Current</t>
  </si>
  <si>
    <t>                Other Financial Assets, Non-Current</t>
  </si>
  <si>
    <t>            Total Investment in Financial Assets, Non-Current</t>
  </si>
  <si>
    <t>            Other Investments, Non-Current</t>
  </si>
  <si>
    <t>        Total Long Term Investments</t>
  </si>
  <si>
    <t>        Trade and Other Receivables, Non-Current</t>
  </si>
  <si>
    <t>            Loans Receivable, Non-Current</t>
  </si>
  <si>
    <t>            Other Receivables, Non-Current</t>
  </si>
  <si>
    <t>        Total Trade and Other Receivables, Non-Current</t>
  </si>
  <si>
    <t>        Prepayments and Deposits, Non-Current</t>
  </si>
  <si>
    <t>            Prepayments, Non-Current</t>
  </si>
  <si>
    <t>            Deposits Paid for Business and Fixed Assets, Non-Current</t>
  </si>
  <si>
    <t>        Total Prepayments and Deposits, Non-Current</t>
  </si>
  <si>
    <t>        Deferred Tax Assets, Non-Current</t>
  </si>
  <si>
    <t>    Total Non-Current Assets</t>
  </si>
  <si>
    <t>Liabilities</t>
  </si>
  <si>
    <t>    Current Liabilities</t>
  </si>
  <si>
    <t>        Payables and Accrued Expenses, Current</t>
  </si>
  <si>
    <t>            Trade and Other Payables, Current</t>
  </si>
  <si>
    <t>                Trade/Accounts Payable, Current</t>
  </si>
  <si>
    <t>                Taxes Payable, Current</t>
  </si>
  <si>
    <t>                    Other Tax Payable, Current</t>
  </si>
  <si>
    <t>                Total Taxes Payable, Current</t>
  </si>
  <si>
    <t>                Other Payable, Current</t>
  </si>
  <si>
    <t>            Total Trade and Other Payables, Current</t>
  </si>
  <si>
    <t>            Accrued Expenses, Current</t>
  </si>
  <si>
    <t>        Total Payables and Accrued Expenses, Current</t>
  </si>
  <si>
    <t>        Financial Liabilities, Current</t>
  </si>
  <si>
    <t>            Current Debt and Capital Lease Obligation</t>
  </si>
  <si>
    <t>                Current Portion of Long Term Debt and Capital Lease</t>
  </si>
  <si>
    <t>                    Current Portion of Long Term Debt</t>
  </si>
  <si>
    <t>                        Convertible Loans/Debentures, Current Portion of LT Debt</t>
  </si>
  <si>
    <t>                        Bank/Institutional Loans, Current Portion of LT Debt</t>
  </si>
  <si>
    <t>                    Total Current Portion of Long Term Debt</t>
  </si>
  <si>
    <t>                    Capital Lease Obligations, Current</t>
  </si>
  <si>
    <t>                Total Current Portion of Long Term Debt and Capital Lease</t>
  </si>
  <si>
    <t>            Total Current Debt and Capital Lease Obligation</t>
  </si>
  <si>
    <t>            Derivative and Hedging Liabilities, Current</t>
  </si>
  <si>
    <t>        Total Financial Liabilities, Current</t>
  </si>
  <si>
    <t>        Provisions, Current</t>
  </si>
  <si>
    <t>        Deferred Liabilities, Current</t>
  </si>
  <si>
    <t>            Deferred Income/Customer Advances/Billings in Excess of Cost, Current</t>
  </si>
  <si>
    <t>        Total Deferred Liabilities, Current</t>
  </si>
  <si>
    <t>    Total Current Liabilities</t>
  </si>
  <si>
    <t>    Non-Current Liabilities</t>
  </si>
  <si>
    <t>        Financial Liabilities, Non-Current</t>
  </si>
  <si>
    <t>            Long Term Debt and Capital Lease Obligation</t>
  </si>
  <si>
    <t>                Long Term Debt</t>
  </si>
  <si>
    <t>                    Bank/Institutional Loans, Non-Current</t>
  </si>
  <si>
    <t>                Total Long Term Debt</t>
  </si>
  <si>
    <t>                Capital Lease Obligations, Non-Current</t>
  </si>
  <si>
    <t>            Total Long Term Debt and Capital Lease Obligation</t>
  </si>
  <si>
    <t>            Derivative and Hedging Liabilities, Non-Current</t>
  </si>
  <si>
    <t>        Total Financial Liabilities, Non-Current</t>
  </si>
  <si>
    <t>        Provisions, Non-Current</t>
  </si>
  <si>
    <t>            Provision for Employee Entitlements, Non-Current</t>
  </si>
  <si>
    <t>                Pension and Other Post-Retirement Benefit Plans, Non-Current</t>
  </si>
  <si>
    <t>            Total Provision for Employee Entitlements, Non-Current</t>
  </si>
  <si>
    <t>            Other Provisions, Non-Current</t>
  </si>
  <si>
    <t>        Total Provisions, Non-Current</t>
  </si>
  <si>
    <t>        Tax Liabilities, Non-Current</t>
  </si>
  <si>
    <t>            Deferred Tax Liabilities, Non-Current</t>
  </si>
  <si>
    <t>        Total Tax Liabilities, Non-Current</t>
  </si>
  <si>
    <t>        Payables and Accrued Expenses, Non-Current</t>
  </si>
  <si>
    <t>            Trade and Other Payables, Non-Current</t>
  </si>
  <si>
    <t>                Other Payables, Non-Current</t>
  </si>
  <si>
    <t>            Total Trade and Other Payables, Non-Current</t>
  </si>
  <si>
    <t>        Total Payables and Accrued Expenses, Non-Current</t>
  </si>
  <si>
    <t>        Preferred Securities Outside Stock Equity</t>
  </si>
  <si>
    <t>    Total Non-Current Liabilities</t>
  </si>
  <si>
    <t>Equity</t>
  </si>
  <si>
    <t>    Equity Attributable to Parent Stockholders</t>
  </si>
  <si>
    <t>        Paid in Capital</t>
  </si>
  <si>
    <t>            Capital Stock</t>
  </si>
  <si>
    <t>                Common Stock</t>
  </si>
  <si>
    <t>                Additional Paid in Capital/Share Premium</t>
  </si>
  <si>
    <t>            Total Capital Stock</t>
  </si>
  <si>
    <t>        Total Paid in Capital</t>
  </si>
  <si>
    <t>        Stock Options/Warrants/DeferredShares/ConvertibleDebentures</t>
  </si>
  <si>
    <t>        Retained Earnings/Accumulated Deficit</t>
  </si>
  <si>
    <t>        Reserves/Accumulated Comprehensive Income/Losses</t>
  </si>
  <si>
    <t>            Other Reserves/Accum. Comp. Inc</t>
  </si>
  <si>
    <t>            Cumulative Foreign Exchange Translation Reserves/Accum. Comp. Inc</t>
  </si>
  <si>
    <t>        Total Reserves/Accumulated Comprehensive Income/Losses</t>
  </si>
  <si>
    <t>    Total Equity Attributable to Parent Stockholders</t>
  </si>
  <si>
    <t>    Non-Controlling/Minority Interests</t>
  </si>
  <si>
    <t>Balance Sheet Supplemental Section</t>
  </si>
  <si>
    <t>    Common Shares Issued</t>
  </si>
  <si>
    <t>        Common Shares Outstanding</t>
  </si>
  <si>
    <t>        Common Shares Treasury</t>
  </si>
  <si>
    <t>    Total Common Shares Issued</t>
  </si>
  <si>
    <t>Maturity Schedules</t>
  </si>
  <si>
    <t>    Debt Maturity Schedule</t>
  </si>
  <si>
    <t>        Debt due in Year 1</t>
  </si>
  <si>
    <t>        Debt due in Year 5</t>
  </si>
  <si>
    <t>        Debt - Interests Charges and Other Adjustments</t>
  </si>
  <si>
    <t>    Total Debt Maturity Schedule</t>
  </si>
  <si>
    <t>    Capital Lease Obligation Maturity Schedule</t>
  </si>
  <si>
    <t>        Capital Lease due in Year 1</t>
  </si>
  <si>
    <t>        Capital Lease due in Year 5</t>
  </si>
  <si>
    <t>        Capital Lease due Beyond</t>
  </si>
  <si>
    <t>        Capital Lease - Interests Charges and Other Adjustments</t>
  </si>
  <si>
    <t>    Total Capital Lease Obligation Maturity Schedule</t>
  </si>
  <si>
    <t>    Other Contractual Obligations Maturity Schedule</t>
  </si>
  <si>
    <t>        Other Contractual Obligations due in year 1</t>
  </si>
  <si>
    <t>        Other Contractual Obligations due in year 5</t>
  </si>
  <si>
    <t>    Other Contractual Obligations Maturity Schedule Total</t>
  </si>
  <si>
    <t>    Lease Liability</t>
  </si>
  <si>
    <t>        Total Lease Liability - Due in year 1</t>
  </si>
  <si>
    <t>        Total Lease Liability - Due in year 5</t>
  </si>
  <si>
    <t>        Total Lease Liability - Beyond</t>
  </si>
  <si>
    <t>        Total Lease Liability - Interest Charges and Other Adjustments</t>
  </si>
  <si>
    <t>    Total Lease Liability</t>
  </si>
  <si>
    <t>    Contractual Obligations</t>
  </si>
  <si>
    <t>        Total Contractual Obligations due in year 1</t>
  </si>
  <si>
    <t>        Total Contractual Obligations due in year 5</t>
  </si>
  <si>
    <t>        Total Contractual Obligations due Beyond</t>
  </si>
  <si>
    <t>        Total Contractual Obligations - Interests Charges and Other Adjustments</t>
  </si>
  <si>
    <t>    Total Contractual Obligations</t>
  </si>
  <si>
    <t>Financial Health Metrics</t>
  </si>
  <si>
    <t>    Total Debt</t>
  </si>
  <si>
    <t>    Net Debt</t>
  </si>
  <si>
    <t>    Total Capital Lease Obligations</t>
  </si>
  <si>
    <t>    Common Equity Book Value</t>
  </si>
  <si>
    <t>    Total Liabilities &amp; Equity</t>
  </si>
  <si>
    <t>    Net Tangible Assets</t>
  </si>
  <si>
    <t>    Tangible Book Value</t>
  </si>
  <si>
    <t>    Working Capital</t>
  </si>
  <si>
    <t>    Invested Capital</t>
  </si>
  <si>
    <t>    Total Shares Outstanding (TSO)</t>
  </si>
  <si>
    <t>    Number of Employees</t>
  </si>
  <si>
    <t>Per Share Calculations</t>
  </si>
  <si>
    <t>    Book Value per Share</t>
  </si>
  <si>
    <t>    Cash And Cash Equivalents per Share</t>
  </si>
  <si>
    <t>    Cash, Cash Equivalents And Short Term Investments per Share</t>
  </si>
  <si>
    <t>    Net Intangible Assets per Share</t>
  </si>
  <si>
    <t>    Total Asset per Share</t>
  </si>
  <si>
    <t>Cash Flow (Fiscal Year)</t>
  </si>
  <si>
    <t>Cash Flows from/Used in Operating Activities, Direct</t>
  </si>
  <si>
    <t>Cash Flow from Operating Activities, Indirect</t>
  </si>
  <si>
    <t>    Net Cash Flow from Continuing Operating Activities, Indirect</t>
  </si>
  <si>
    <t>        Cash Generated from Operating Activities</t>
  </si>
  <si>
    <t>            Income/(Loss) before Non-Cash Adjustment</t>
  </si>
  <si>
    <t>            Adjustments for Non-Cash Items</t>
  </si>
  <si>
    <t>                Depreciation, Amortization and Depletion, Non-Cash Adjustment</t>
  </si>
  <si>
    <t>                    Depreciation and Amortization, Non-Cash Adjustment</t>
  </si>
  <si>
    <t>                        Depreciation, Non-Cash Adjustment</t>
  </si>
  <si>
    <t>                        Amortization, Non-Cash Adjustment</t>
  </si>
  <si>
    <t>                    Total Depreciation and Amortization, Non-Cash Adjustment</t>
  </si>
  <si>
    <t>                Total Depreciation, Amortization and Depletion, Non-Cash Adjustment</t>
  </si>
  <si>
    <t>                Stock-Based Compensation, Non-Cash Adjustment</t>
  </si>
  <si>
    <t>                Interest and Finance (Income)/Expenses, Non-Cash Adjustment</t>
  </si>
  <si>
    <t>                Other Provisions, Non-Cash Adjustment</t>
  </si>
  <si>
    <t>                Net Investment (Income)/Loss, Non-Cash Adjustment</t>
  </si>
  <si>
    <t>                    Dividend and Interest Income, Non-Cash Adjustment</t>
  </si>
  <si>
    <t>                    Unrealized (Gain)/Loss on Financial Instruments, Non-Cash Adjustment</t>
  </si>
  <si>
    <t>                    Share of (Profit)/Loss from Associates, Joint Ventures and other Equity Investments, Non-Cash Adjustment</t>
  </si>
  <si>
    <t>                Total Net Investment (Income)/Loss, Non-Cash Adjustment</t>
  </si>
  <si>
    <t>                Irregular (Income)/Loss, Non-Cash Adjustment</t>
  </si>
  <si>
    <t>                    (Gain)/Loss on Disposals, Non-Cash Adjustment</t>
  </si>
  <si>
    <t>                        (Gain)/Loss on Disposal/Sale of Fixed Assets, Non-Cash Adjustment</t>
  </si>
  <si>
    <t>                        (Gain)/Loss on Disposal/Sale of Business, Non-Cash Adjustment</t>
  </si>
  <si>
    <t>                    Total (Gain)/Loss on Disposals, Non-Cash Adjustment</t>
  </si>
  <si>
    <t>                    Impairment/Write Off/Write Down of Capital Assets Loss/Reversal, Non-Cash Adjustment</t>
  </si>
  <si>
    <t>                    Impairment/Write Off/Write Down of Other Assets, Non-Cash Adjustment</t>
  </si>
  <si>
    <t>                Total Irregular (Income)/Loss, Non-Cash Adjustment</t>
  </si>
  <si>
    <t>                Other Non-Cash Items</t>
  </si>
  <si>
    <t>            Total Adjustments for Non-Cash Items</t>
  </si>
  <si>
    <t>            Changes in Operating Capital</t>
  </si>
  <si>
    <t>                Change in Inventories</t>
  </si>
  <si>
    <t>                Change in Trade and Other Receivables</t>
  </si>
  <si>
    <t>                    Change in Trade/Accounts Receivable</t>
  </si>
  <si>
    <t>                    Change in Loans Receivable</t>
  </si>
  <si>
    <t>                Total Change in Trade and Other Receivables</t>
  </si>
  <si>
    <t>                Change in Cash Restricted or Pledged</t>
  </si>
  <si>
    <t>                Change in Payables and Accrued Expenses</t>
  </si>
  <si>
    <t>                    Change in Trade and Other Payables</t>
  </si>
  <si>
    <t>                        Change in Trade/Accounts Payable</t>
  </si>
  <si>
    <t>                    Total Change in Trade and Other Payables</t>
  </si>
  <si>
    <t>                Total Change in Payables and Accrued Expenses</t>
  </si>
  <si>
    <t>                Change in Deferred Assets/Liabilities</t>
  </si>
  <si>
    <t>            Total Changes in Operating Capital</t>
  </si>
  <si>
    <t>        Total Cash Generated from Operating Activities</t>
  </si>
  <si>
    <t>        Taxes Refund/(Paid), Indirect</t>
  </si>
  <si>
    <t>    Total Net Cash Flow from Continuing Operating Activities, Indirect</t>
  </si>
  <si>
    <t>Total Cash Flow from Operating Activities, Indirect</t>
  </si>
  <si>
    <t>Cash Flow from Investing Activities</t>
  </si>
  <si>
    <t>    Cash Flow from Continuing Investing Activities</t>
  </si>
  <si>
    <t>        Payment for Loan Granted and Repayments Received, Net</t>
  </si>
  <si>
    <t>        (Purchase)/Sale and Disposal of Property, Plant and Equipment, Net</t>
  </si>
  <si>
    <t>            Purchase of Property, Plant and Equipment</t>
  </si>
  <si>
    <t>            Sale and Disposal of Property, Plant and Equipment</t>
  </si>
  <si>
    <t>        Total (Purchase)/Sale and Disposal of Property, Plant and Equipment, Net</t>
  </si>
  <si>
    <t>        (Purchase)/Sale of Intangibles, Net</t>
  </si>
  <si>
    <t>            Purchase of Intangibles</t>
  </si>
  <si>
    <t>        Total (Purchase)/Sale of Intangibles, Net</t>
  </si>
  <si>
    <t>        (Purchase)/Sale of Business, Net</t>
  </si>
  <si>
    <t>            Purchase/Acquisition of Business</t>
  </si>
  <si>
    <t>            Sale of Business</t>
  </si>
  <si>
    <t>        Total (Purchase)/Sale of Business, Net</t>
  </si>
  <si>
    <t>        (Purchase)/Sale of Equity Investments</t>
  </si>
  <si>
    <t>            Purchase of Joint Venture/Associate</t>
  </si>
  <si>
    <t>            Sale of Joint Venture/Associate</t>
  </si>
  <si>
    <t>        Total (Purchase)/Sale of Equity Investments</t>
  </si>
  <si>
    <t>        (Purchase)/Sale of Investments, Net</t>
  </si>
  <si>
    <t>            Purchase of Investments</t>
  </si>
  <si>
    <t>        Total (Purchase)/Sale of Investments, Net</t>
  </si>
  <si>
    <t>        Change in Restricted Cash and Cash Equivalents</t>
  </si>
  <si>
    <t>        Dividends Received/(Paid), CFI</t>
  </si>
  <si>
    <t>        Interest Received/(Paid), CFI</t>
  </si>
  <si>
    <t>    Total Cash Flow from Continuing Investing Activities</t>
  </si>
  <si>
    <t>Total Cash Flow from Investing Activities</t>
  </si>
  <si>
    <t>Cash Flow from Financing Activities</t>
  </si>
  <si>
    <t>    Cash Flow from Continuing Financing Activities</t>
  </si>
  <si>
    <t>        Issuance of/(Payments for) Common Stock, Net</t>
  </si>
  <si>
    <t>            Payments for Common Stock</t>
  </si>
  <si>
    <t>        Total Issuance of/(Payments for) Common Stock, Net</t>
  </si>
  <si>
    <t>        Issuance of/(Payments for) Preferred Stock, Net</t>
  </si>
  <si>
    <t>            Proceeds from Issuance of Preferred Stock</t>
  </si>
  <si>
    <t>        Total Issuance of/(Payments for) Preferred Stock, Net</t>
  </si>
  <si>
    <t>        Issuance of/(Repayments for) Debt, Net</t>
  </si>
  <si>
    <t>            Issuance of/(Repayments for) Long Term Debt, Net</t>
  </si>
  <si>
    <t>                Proceeds from Issuance of Long Term Debt</t>
  </si>
  <si>
    <t>                Repayments for Long Term Debt</t>
  </si>
  <si>
    <t>            Total Issuance of/(Repayments for) Long Term Debt, Net</t>
  </si>
  <si>
    <t>        Total Issuance of/(Repayments for) Debt, Net</t>
  </si>
  <si>
    <t>        Issuance of/(Repayments for) Lease Financing</t>
  </si>
  <si>
    <t>            Repayments for Lease Financing</t>
  </si>
  <si>
    <t>        Total Issuance of/(Repayments for) Lease Financing</t>
  </si>
  <si>
    <t>        Net Movement in Non-Controlling/Minority Interest</t>
  </si>
  <si>
    <t>        Issue and Financing Costs</t>
  </si>
  <si>
    <t>            Share Issuance Costs</t>
  </si>
  <si>
    <t>            Debt Issuance Costs</t>
  </si>
  <si>
    <t>        Total Issue and Financing Costs</t>
  </si>
  <si>
    <t>        Cash Dividends and Interest Paid</t>
  </si>
  <si>
    <t>            Interest Paid, CFF</t>
  </si>
  <si>
    <t>        Total Cash Dividends and Interest Paid</t>
  </si>
  <si>
    <t>        Proceeds from Issuance/Exercising of Stock Options/Warrants</t>
  </si>
  <si>
    <t>        Other Financing Cash Flow</t>
  </si>
  <si>
    <t>    Total Cash Flow from Continuing Financing Activities</t>
  </si>
  <si>
    <t>Total Cash Flow from Financing Activities</t>
  </si>
  <si>
    <t>Cash and Cash Equivalents, End of Period</t>
  </si>
  <si>
    <t>    Change in Cash</t>
  </si>
  <si>
    <t>    Effect of Exchange Rate Changes</t>
  </si>
  <si>
    <t>    Cash and Cash Equivalents, Beginning of Period</t>
  </si>
  <si>
    <t>Total Cash and Cash Equivalents, End of Period</t>
  </si>
  <si>
    <t>Cash Flow Supplemental Section</t>
  </si>
  <si>
    <t>    Change in Cash As Reported, Supplemental</t>
  </si>
  <si>
    <t>Cash Flow Metrics</t>
  </si>
  <si>
    <t>    FCF to Firm (FCFF)</t>
  </si>
  <si>
    <t>    FCF to Equityholders (FCFE)</t>
  </si>
  <si>
    <t>    Issuance of Capital Stock</t>
  </si>
  <si>
    <t>    Issuance of Debt</t>
  </si>
  <si>
    <t>    Repayment of Debt</t>
  </si>
  <si>
    <t>    Repurchase of Capital Stock</t>
  </si>
  <si>
    <t>    FCF to CFO Ratio</t>
  </si>
  <si>
    <t>0.65 </t>
  </si>
  <si>
    <t>0.56 </t>
  </si>
  <si>
    <t>0.75 </t>
  </si>
  <si>
    <t>0.60 </t>
  </si>
  <si>
    <t>0.70 </t>
  </si>
  <si>
    <t>0.13 </t>
  </si>
  <si>
    <t>    Free Cash Flow per Share</t>
  </si>
  <si>
    <t>    Operating Cash Flow per Share</t>
  </si>
  <si>
    <t>General</t>
  </si>
  <si>
    <t>Unit</t>
  </si>
  <si>
    <t>Subject company</t>
  </si>
  <si>
    <t>Name</t>
  </si>
  <si>
    <t>Name of Target Company</t>
  </si>
  <si>
    <t>%</t>
  </si>
  <si>
    <t>Percentage of shares to be acquired</t>
  </si>
  <si>
    <t>Corporate tax rate</t>
  </si>
  <si>
    <t>Enter corporate rate rate</t>
  </si>
  <si>
    <t>Currency</t>
  </si>
  <si>
    <t>USD</t>
  </si>
  <si>
    <t>Enter currency</t>
  </si>
  <si>
    <t>Display unit</t>
  </si>
  <si>
    <t>k</t>
  </si>
  <si>
    <t>Enter k for thousands, m for millions and b for billions</t>
  </si>
  <si>
    <t>Date &amp; Time period</t>
  </si>
  <si>
    <t>Valuation Date</t>
  </si>
  <si>
    <t>Next FY date</t>
  </si>
  <si>
    <t>Next financial year end.</t>
  </si>
  <si>
    <t xml:space="preserve"> Cannot be equal to Valuation Date</t>
  </si>
  <si>
    <t>Available historical info</t>
  </si>
  <si>
    <t>years</t>
  </si>
  <si>
    <t>Number of full years of available historical information</t>
  </si>
  <si>
    <t>Forecast period</t>
  </si>
  <si>
    <t>Number of full years of forecast</t>
  </si>
  <si>
    <t>Historical Financial Performance</t>
  </si>
  <si>
    <t>               1,000 </t>
  </si>
  <si>
    <t>No of months</t>
  </si>
  <si>
    <t>Full year?</t>
  </si>
  <si>
    <t>Y</t>
  </si>
  <si>
    <t>Index</t>
  </si>
  <si>
    <t>Grab Holdings's historical P&amp;L</t>
  </si>
  <si>
    <t>(USD k)</t>
  </si>
  <si>
    <t>FY21</t>
  </si>
  <si>
    <t>FY22</t>
  </si>
  <si>
    <t>FY23</t>
  </si>
  <si>
    <t>FY24</t>
  </si>
  <si>
    <t>FY25</t>
  </si>
  <si>
    <t>% of full year</t>
  </si>
  <si>
    <t>n.m</t>
  </si>
  <si>
    <t>Business Revenue</t>
  </si>
  <si>
    <t>COGS</t>
  </si>
  <si>
    <t>Selling &amp; marketing</t>
  </si>
  <si>
    <t>[variable only]</t>
  </si>
  <si>
    <t>Selling &amp; marketing expenses is a VC. </t>
  </si>
  <si>
    <t>Salary &amp; wages</t>
  </si>
  <si>
    <t>[fixed only]</t>
  </si>
  <si>
    <t>Salary and wages are FC and analysed based on y-o-y growth. * 70% is allocated salary and wages and 30% is allocated to general admin</t>
  </si>
  <si>
    <t>General &amp; Admin</t>
  </si>
  <si>
    <t>Other operating expenses are FC and analysed based on y-o-y growth. </t>
  </si>
  <si>
    <t>Other Op Inc/(Exp)</t>
  </si>
  <si>
    <t>EBIT</t>
  </si>
  <si>
    <t>Add: Depreciation</t>
  </si>
  <si>
    <t>Add back Depreciation &amp; Amortisation</t>
  </si>
  <si>
    <t>Add: Amortisation</t>
  </si>
  <si>
    <t>EBITDA</t>
  </si>
  <si>
    <t>Source: Management accounts/ financial statements</t>
  </si>
  <si>
    <t>Key Financial Ratios - Historical P&amp;L </t>
  </si>
  <si>
    <t>3-YR CAGR</t>
  </si>
  <si>
    <t>y-o-y growth</t>
  </si>
  <si>
    <t>Check and change CAGR formula depending on how many years of data available</t>
  </si>
  <si>
    <t>% of revenue</t>
  </si>
  <si>
    <t>3-Year Average</t>
  </si>
  <si>
    <t>GP margin</t>
  </si>
  <si>
    <t>Source: FVA's computation</t>
  </si>
  <si>
    <t>Note:</t>
  </si>
  <si>
    <t>n.m: not meaningful. Not a full year.</t>
  </si>
  <si>
    <t>Grab Holdings's Balance Sheet</t>
  </si>
  <si>
    <t>Assets </t>
  </si>
  <si>
    <t>PPE</t>
  </si>
  <si>
    <t>Property, plant and equipment</t>
  </si>
  <si>
    <t>IA</t>
  </si>
  <si>
    <t>Intangible assets</t>
  </si>
  <si>
    <t>NOA</t>
  </si>
  <si>
    <t>Long Term Investment</t>
  </si>
  <si>
    <t>NC - A</t>
  </si>
  <si>
    <t>Trade and other receivables, non-current</t>
  </si>
  <si>
    <t>Prepayments and deposits, non-current</t>
  </si>
  <si>
    <t>NWC - A</t>
  </si>
  <si>
    <t>Deferred tax Assets</t>
  </si>
  <si>
    <t>[Other long term assets 1]</t>
  </si>
  <si>
    <t>[Other long term assets 2]</t>
  </si>
  <si>
    <t>[Other long term assets 3]</t>
  </si>
  <si>
    <t>Total Non-Current Assets</t>
  </si>
  <si>
    <t>Cash &amp; CE</t>
  </si>
  <si>
    <t>Cash and cash equivalents</t>
  </si>
  <si>
    <t>Trade and other receivables</t>
  </si>
  <si>
    <t>Inventories</t>
  </si>
  <si>
    <t>Other current assets</t>
  </si>
  <si>
    <t>Prepayments and deposits, current</t>
  </si>
  <si>
    <t>Short-term investments</t>
  </si>
  <si>
    <t>Cash Restricted or Pledged, Current</t>
  </si>
  <si>
    <t>[Other current assets 1]</t>
  </si>
  <si>
    <t>[Other current assets 2]</t>
  </si>
  <si>
    <t>[Other current assets 3]</t>
  </si>
  <si>
    <t>Total Current Assets</t>
  </si>
  <si>
    <t>NWC - L</t>
  </si>
  <si>
    <t>Trade and other payables</t>
  </si>
  <si>
    <t>Accrued expenses</t>
  </si>
  <si>
    <t>Current Debt and Capital Lease Obligation</t>
  </si>
  <si>
    <t>NOL</t>
  </si>
  <si>
    <t>Derivative and Hedging Liabilities, Current</t>
  </si>
  <si>
    <t>Provisions, Current</t>
  </si>
  <si>
    <t>Deferred Income/Customer Advances/Billings in Excess of Cost, Current</t>
  </si>
  <si>
    <t>[Other current liabilities 1]</t>
  </si>
  <si>
    <t>[Other current liabilities 2]</t>
  </si>
  <si>
    <t>[Other current liabilities 3]</t>
  </si>
  <si>
    <t>Total Current Liabilities</t>
  </si>
  <si>
    <t>Long Term Debt</t>
  </si>
  <si>
    <t>Lease Liability</t>
  </si>
  <si>
    <t>Capital Lease Obligations, Non-Current</t>
  </si>
  <si>
    <t>Derivative and Hedging Liabilities, Non-Current</t>
  </si>
  <si>
    <t>NC - L</t>
  </si>
  <si>
    <t>Provisions, Non-Current</t>
  </si>
  <si>
    <t>Tax Liabilities, Non-Current</t>
  </si>
  <si>
    <t>Payables and Accrued Expenses, Non-Current</t>
  </si>
  <si>
    <t>[Other non-current liabilities 3]</t>
  </si>
  <si>
    <t>Total Non-Current Liabilities</t>
  </si>
  <si>
    <t>Net Assets / (Liabilities)</t>
  </si>
  <si>
    <t>Capital Expenditures</t>
  </si>
  <si>
    <t>Purchase of CAPEX</t>
  </si>
  <si>
    <t>Link to cashflow statement otherwise see implied Capex below</t>
  </si>
  <si>
    <t>Proceeds from CAPEX</t>
  </si>
  <si>
    <t>Net CAPEX</t>
  </si>
  <si>
    <t>Capex/Sales</t>
  </si>
  <si>
    <t>Capex/Sales (3 year avg.)</t>
  </si>
  <si>
    <t>Net Working Capital</t>
  </si>
  <si>
    <t>Total NWC - A</t>
  </si>
  <si>
    <t>Total NWC - L</t>
  </si>
  <si>
    <t>Net working capital</t>
  </si>
  <si>
    <t>NWC/Sales</t>
  </si>
  <si>
    <t>NWC/Sales (3 year avg.)</t>
  </si>
  <si>
    <t>Change in NWC</t>
  </si>
  <si>
    <t>Net debt</t>
  </si>
  <si>
    <t>Total debt</t>
  </si>
  <si>
    <t>Total cash &amp; cash equivalents</t>
  </si>
  <si>
    <t>Non-Operating Assets / Surplus Assets</t>
  </si>
  <si>
    <t>Total NOA</t>
  </si>
  <si>
    <t>Total NOL</t>
  </si>
  <si>
    <t>Net non-operating assets</t>
  </si>
  <si>
    <t>Grab Holdings's Balance Sheet - M&amp;A format</t>
  </si>
  <si>
    <t>Property Plant &amp; Equipment</t>
  </si>
  <si>
    <t>Intangible Assets</t>
  </si>
  <si>
    <t>Trade receivables</t>
  </si>
  <si>
    <t>Trade payables</t>
  </si>
  <si>
    <t>Other current liabilities</t>
  </si>
  <si>
    <t> Net working capital </t>
  </si>
  <si>
    <t> Enterprise Value </t>
  </si>
  <si>
    <t>Cash &amp; cash equivalents</t>
  </si>
  <si>
    <t> Net Debt </t>
  </si>
  <si>
    <t>Non-operating assets</t>
  </si>
  <si>
    <t>Non-operating liabilities</t>
  </si>
  <si>
    <t> Net non-operating assets </t>
  </si>
  <si>
    <t>Equity Value</t>
  </si>
  <si>
    <t>Key Financial Ratios - Historical Balance Sheet</t>
  </si>
  <si>
    <t>Efficiency</t>
  </si>
  <si>
    <t>Fixed asset turnover ratio</t>
  </si>
  <si>
    <t>Cash conversion cycle</t>
  </si>
  <si>
    <t>Collection period (days)</t>
  </si>
  <si>
    <t>Payment period (days)</t>
  </si>
  <si>
    <t>Inventory (days on hand)</t>
  </si>
  <si>
    <t>Cash conversion (days)</t>
  </si>
  <si>
    <t>As a % of revenue</t>
  </si>
  <si>
    <t>Balance sheet ratios</t>
  </si>
  <si>
    <t>Return on total capital</t>
  </si>
  <si>
    <t>Return on total capital (After tax operating profit)/Total Assets</t>
  </si>
  <si>
    <t>Return on operating assets</t>
  </si>
  <si>
    <t>Return on total capital (After tax operating profit)/Enterprise Value</t>
  </si>
  <si>
    <t>Return on equity</t>
  </si>
  <si>
    <t>Return on equity (net profit / equity value)</t>
  </si>
  <si>
    <t>ROU Asset</t>
  </si>
  <si>
    <t>Financial Forecast</t>
  </si>
  <si>
    <t>                    1,000 </t>
  </si>
  <si>
    <t>No of months (first period)</t>
  </si>
  <si>
    <t>Full year? (First period)</t>
  </si>
  <si>
    <t>Grab Holdings P&amp;L Forecast</t>
  </si>
  <si>
    <t>FY26F</t>
  </si>
  <si>
    <t>FY27F</t>
  </si>
  <si>
    <t>FY28F</t>
  </si>
  <si>
    <t>FY29F</t>
  </si>
  <si>
    <t>FY30F</t>
  </si>
  <si>
    <t>FY31F</t>
  </si>
  <si>
    <t>FY32F</t>
  </si>
  <si>
    <t>FY33F</t>
  </si>
  <si>
    <t>FY34F</t>
  </si>
  <si>
    <t>FY35F</t>
  </si>
  <si>
    <t>Deliveries</t>
  </si>
  <si>
    <t>Mobility</t>
  </si>
  <si>
    <t>Financial Services</t>
  </si>
  <si>
    <t>Others / Enterprise</t>
  </si>
  <si>
    <t>VC</t>
  </si>
  <si>
    <t>FC</t>
  </si>
  <si>
    <t>Other Op Income / (Exp)</t>
  </si>
  <si>
    <t>Source: Management forecast</t>
  </si>
  <si>
    <t>Key financial ratios</t>
  </si>
  <si>
    <t>Selected Capex</t>
  </si>
  <si>
    <t>Selected Change in NWC</t>
  </si>
  <si>
    <t>Option</t>
  </si>
  <si>
    <t>1. Capex Forecast as provided by Management</t>
  </si>
  <si>
    <t>Grab Holdings Capital Expenditures Forecast</t>
  </si>
  <si>
    <t>Maintenance CAPEX</t>
  </si>
  <si>
    <t>Expansionary CAPEX</t>
  </si>
  <si>
    <t>Total CAPEX</t>
  </si>
  <si>
    <t>Source: Management</t>
  </si>
  <si>
    <t>Forecast PPE</t>
  </si>
  <si>
    <t>Fixed Asset Turnover Ratio</t>
  </si>
  <si>
    <t>2. Capex Forecast based on fixed asset turns</t>
  </si>
  <si>
    <t>Implied Capex</t>
  </si>
  <si>
    <t>Source: FVA analysis</t>
  </si>
  <si>
    <t>3. Capex Forecast based on capex/sales</t>
  </si>
  <si>
    <t>1. NWC Forecast as provided by Management</t>
  </si>
  <si>
    <t>Grab Holdings Net Working Capital Forecast</t>
  </si>
  <si>
    <t>Provided by Management</t>
  </si>
  <si>
    <t>Grab Holdings Limited. (2025, November 4). Grab Holdings Ltd Q3 2025 earnings prepared remarks [PDF]. Grab Investor Relations. https://s205.q4cdn.com/179588156/files/doc_financials/2025/q3/Grab-Q3-2025-Prepared-Remarks.pdf</t>
  </si>
  <si>
    <t>Grab Holdings Limited. (2026, February 12). Grab reports fourth quarter and 2025 results with first full year net profit(Form 6-K, Exhibit 99.1). U.S. Securities and Exchange Commission. https://www.sec.gov/Archives/edgar/data/0001855612/000185561226000011/a2025q4-earningspressrelea.htm</t>
  </si>
  <si>
    <t>Grab Holdings Limited. (2026, May 5). Grab reports first quarter 2026 results [Press release]. https://www.grab.com/sg/press/others/grab-reports-first-quarter-2026-results/</t>
  </si>
  <si>
    <t>Grab Holdings Limited. (2026, May 5). Report of foreign private issuer (Form 6-K, Exhibit 99.1: First quarter 2026 earnings release). U.S. Securities and Exchange Commission. https://www.sec.gov/Archives/edgar/data/0001855612/000185561226000077/a42026q1-earningspressrele.htm</t>
  </si>
  <si>
    <t>2. NWC Forecast based on NWC/sales</t>
  </si>
  <si>
    <t>Based on historical NWC/sales</t>
  </si>
  <si>
    <t>3. NWC Forecast based on KPIs</t>
  </si>
  <si>
    <t>Based on historical KPIs such as days outstanding etc</t>
  </si>
  <si>
    <t>Grab Holdings Limited. (2026, May 5). Grab Holdings Ltd Q1 2026 earnings prepared remarks [PDF]. Grab Investor Relations. https://s205.q4cdn.com/179588156/files/doc_financials/2026/q1/Grab-Q1-2026-Prepared-Remarks.pdf</t>
  </si>
  <si>
    <t>5-Year CAGR</t>
  </si>
  <si>
    <t>Fixed Asset Turnover ratio</t>
  </si>
  <si>
    <t>Comparable Companies &amp; Risk Free Rate</t>
  </si>
  <si>
    <t>EV/EBITDA Excl. Oper. Leases</t>
  </si>
  <si>
    <t>IQ_TEV_EBITDA_EXCL_OPER_LEASES</t>
  </si>
  <si>
    <t>IQ_LTM</t>
  </si>
  <si>
    <t>EV/EBITDA</t>
  </si>
  <si>
    <t>IQ_TEV_EBITDA</t>
  </si>
  <si>
    <t>New CapIQ Model</t>
  </si>
  <si>
    <t>1YR Forward EV/EBITDA</t>
  </si>
  <si>
    <t>IQ_TEV_EBITDA_FWD</t>
  </si>
  <si>
    <t>IQ_NTM</t>
  </si>
  <si>
    <t>Multiple</t>
  </si>
  <si>
    <t>EV/Revenue</t>
  </si>
  <si>
    <t>Change this field if EV/EBITDA is N.A</t>
  </si>
  <si>
    <t>EV/EBIT</t>
  </si>
  <si>
    <t>IQ_TEV_EBIT</t>
  </si>
  <si>
    <t>Interval (yrs)</t>
  </si>
  <si>
    <t>5Y</t>
  </si>
  <si>
    <t>1YR Forward EV/EBIT</t>
  </si>
  <si>
    <t>IQ_TEV_EBIT_FWD</t>
  </si>
  <si>
    <t>Period</t>
  </si>
  <si>
    <t>W</t>
  </si>
  <si>
    <t>IQ_TEV_TOTAL_REV</t>
  </si>
  <si>
    <t>Units</t>
  </si>
  <si>
    <t>mln</t>
  </si>
  <si>
    <t>Tax</t>
  </si>
  <si>
    <t>E</t>
  </si>
  <si>
    <t>1YR Forward EV/Revenue</t>
  </si>
  <si>
    <t>IQ_TEV_TOTAL_REV_FWD</t>
  </si>
  <si>
    <t>COMPARABLE COMPANY ANALYSIS</t>
  </si>
  <si>
    <t xml:space="preserve">Target Name </t>
  </si>
  <si>
    <t>Target's Business Description</t>
  </si>
  <si>
    <t>EBIT margin (%)</t>
  </si>
  <si>
    <t>5 year sales CAGR (%)</t>
  </si>
  <si>
    <t>D/E (%)</t>
  </si>
  <si>
    <t>Unlevered Beta</t>
  </si>
  <si>
    <t>Adjusted Beta</t>
  </si>
  <si>
    <t>Tax rate</t>
  </si>
  <si>
    <t>Statutory Tax</t>
  </si>
  <si>
    <t>Exchange</t>
  </si>
  <si>
    <t>Latest FY End</t>
  </si>
  <si>
    <t>Description</t>
  </si>
  <si>
    <t>Market Cap</t>
  </si>
  <si>
    <t>CAGR</t>
  </si>
  <si>
    <t>Selected Multiple</t>
  </si>
  <si>
    <t>DE ratio</t>
  </si>
  <si>
    <t>Unlv.beta</t>
  </si>
  <si>
    <t>Stat Tax rate</t>
  </si>
  <si>
    <t>Grab Holdings Limited</t>
  </si>
  <si>
    <t>NASDAQGS:GRAB</t>
  </si>
  <si>
    <t>Grab Holdings Limited operates the Grab superapp in Cambodia, Indonesia, Malaysia, Myanmar, the Philippines, Singapore, Thailand, and Vietnam. The company offers delivery services on its platform, such as GrabFood, a food ordering and delivery booking service; Dine-Out for table reservations; GrabMart, a goods ordering and delivery booking service; GrabAds, an online advertising solution; GrabExpress, a package delivery booking service; Grab for Business platform, a unified management portal for corporate clients. It also provides GrabKios, a network of agents; GrabCar, which enables a private hire driver-partner to register with Grab and accept bookings through its driver-partner application; and GrabTaxi, which enables a taxi driver-partner to register with Grab and accept bookings through the Grab driver-partner application. In addition, the company offers JustGrab, which enables consumers to book a private car or a traditional taxi; GrabBike, a motorcycle ride-hailing offering; three-wheel vehicles for culturally localized modes; carpooling shared mobility options; GrabRentals, which facilitates vehicle rental for its driver-partners; GrabPay, a digital payments solution; and GrabCoins, a loyalty platform. Further, it provides GrabFin for financial services comprising digital and offline lending, PayLater services, white goods financing, receivables factoring, and working capital loans; GrabInsure, aprotection for rides and package deliveries, personal accident insurance, income protection insurance, critical illness insurance, vehicle insurance, and travel insurance; GrabLink, a payment gateway and acquiring service; Digibank Savings Account, a digital banking deposit account. Additionally, the company offers GX Bank debit cards; GXS FlexiCard, a fee-based credit card; and mapping services, autonomous vehicle services, and last-mile delivery infrastructure. Grab Holdings Limited was founded in 2012 and is headquartered in Singapore, Singapore.</t>
  </si>
  <si>
    <t>NasdaqGS</t>
  </si>
  <si>
    <t>Pt Goto Gojek Tokopedia Tbk</t>
  </si>
  <si>
    <t>IDX: GOTO</t>
  </si>
  <si>
    <t>PT GoTo Gojek Tokopedia Tbk provides and operates on-demand services in Indonesia and internationally. It offers Gojek on-demand services, including mobility, food delivery, and logistics through electronic media, software platforms, or applications to micro-entrepreneurs; GoTo Financial technology solutions, including consumer payments, lending, and merchant services; and e-commerce services. The company also engages in retail trading of motor vehicle equipment; wholesale trading; digital identity provision activities; professional, and scientific and technical activities; repair of communication equipment; and operation of e-commerce marketplace and digital platform. In addition, it provides management consultancy, software development, package courier, electronic certificate and digital identity, financial intermediary, mobile advertising, data processing and information, motor vehicle rental, mobile and fixed advertising, transportation, online retail, web portal, financial transaction and payment technology, and point-of-sales technology, financing, trading, freight, management and administration, and warehousing and storage services. The company was founded in 2009 and is based in Jakarta, Indonesia.</t>
  </si>
  <si>
    <t>NA</t>
  </si>
  <si>
    <t>IDX</t>
  </si>
  <si>
    <t>NYSE: SE</t>
  </si>
  <si>
    <t>Sea Limited, through its subsidiaries, operates as a technology company in Southeast Asia, Latin America, the rest of Asia, and internationally. The company operates through E-commerce, Digital Financial Services, and Digital Entertainment segments. It offers Garena, a digital entertainment platform for users to access mobile and PC online games, as well as promotes eSports operations and develops games. The company also operates the Shopee e-commerce platform, a mobile-centric marketplace that provides integrated payments, logistics and fulfillment infrastructure, and other value-added services. In addition, it offers Monee digital financial services comprising consumer, and small and medium-sized enterprises (SME) credit, e- wallets, payment processing, banking, Insurtech, and wealth services; and acts as an underwriter for various life and non-life insurance products under the MoneeInsure tradename, as well as insurance agency services. It serves buyers, such as individuals and households; and sellers, including small and medium businesses, brands, and large retailers. The company was formerly known as Garena Interactive Holding Limited and changed its name to Sea Limited in April 2017. Sea Limited was incorporated in 2009 and is headquartered in Singapore.</t>
  </si>
  <si>
    <t>NYSE</t>
  </si>
  <si>
    <t>Uber Technologies, Inc.</t>
  </si>
  <si>
    <t>Uber Technologies, Inc. develops and operates proprietary technology applications in the United States, Canada, Latin America, Europe, the Middle East, Africa, and the Asia Pacific. The company operates through three segments: Mobility, Delivery, and Freight. The Mobility segment connects consumers with a range of transportation modalities, such as ridesharing, carsharing, micromobility, rentals, public transit, taxis, and other modalities; and offers riders in a variety of vehicle types, as well as financial partnerships products and advertising services. The Delivery segment allows consumers to search for and discover restaurants to grocery, alcohol, convenience, and other retailers, as well as order a meal or other items, and either pick-up at the restaurant or have it delivered; and provides Uber direct, a white-label delivery-as-a-service for retailers and restaurants, as well as advertising services. The Freight segment manages transportation and logistics networks, which connects shippers and carriers in digital marketplace, including carriers upfronts, pricing, and shipment booking; and offers on-demand platform to automate logistics end-to-end transactions for small-and medium-sized businesses to global enterprises. The company was formerly known as Ubercab, Inc. and changed its name to Uber Technologies, Inc. in February 2011. Uber Technologies, Inc. was founded in 2009 and is headquartered in San Francisco, California.</t>
  </si>
  <si>
    <t>Lyft, Inc.</t>
  </si>
  <si>
    <t>NASDAQGS:LYFT</t>
  </si>
  <si>
    <t>Lyft, Inc. operates multimodal transportation networks that offer access to various transportation options through platform and mobile based applications in the United States and internationally. The company facilitates peer-to-peer ridesharing by connecting drivers who have vehicles with riders who need a ride. It also operates Lyft Platform that provides a marketplace where drivers can be matched with riders via the Lyft mobile application. The company’s platform provides a ridesharing marketplace that connects drivers with riders; Express Drive, a car rental program for drivers; and a network of shared bikes and scooters in various cities to address the needs of riders for short trips. In addition, it offers licensing and data access agreements; sells bikes and bike station software and hardware; and provides advertising services. The company was formerly known as Zimride, Inc. and changed its name to Lyft, Inc. in April 2013. Lyft, Inc. was incorporated in 2007 and is headquartered in San Francisco, California.</t>
  </si>
  <si>
    <t>Didi Global Inc.</t>
  </si>
  <si>
    <t>OTCPK:DIDI.Y</t>
  </si>
  <si>
    <t>DiDi Global Inc. operates a mobility technology platform that provides various mobility and other services in the People's Republic of China, Brazil, Mexico, and internationally. The company operates through three segments: China Mobility, International, and Other Initiatives. It offers ride hailing, chauffeur, hitch, online taxi, and other forms of shared mobility services; food delivery and financial services; and bike and e-bike sharing, energy and vehicle, intra-city freight, and autonomous driving services. The company was formerly known as Xiaoju Kuaizhi Inc. and changed its name to DiDi Global Inc. in June 2021. The company was founded in 2012 and is based in Beijing, China.</t>
  </si>
  <si>
    <t>OTCPK</t>
  </si>
  <si>
    <t>Meituan operates as a technology driven retail company in the People’s Republic of China, Hong Kong, Macao, Taiwan, and internationally. It operates through Core Local Commerce and New Initiatives segments. The company offers daily goods and services, such as food delivery, in-store, hotel and travel booking, and other services and sales; bike sharing, e-moped sharing, power banks and micro-credit; and operates Kuailv and Xiaoxiang Supermarkets. It also sells goods from B2B food distribution services; provides online marketing services to merchants; e-commerce; multimedia information technology; online retail platform; cloud computing; and merchant information advisory services. The company was formerly known as Meituan Dianping and changed its name to Meituan in October 2020. Meituan was founded in 2003 and is headquartered in Beijing, China.</t>
  </si>
  <si>
    <t>SEHK</t>
  </si>
  <si>
    <t>Delivery Hero Se</t>
  </si>
  <si>
    <t>Delivery Hero SE provides online food ordering, quick commerce, and delivery services. The company also offers advertising services. It operates in approximately 70 countries across Asia, the Middle East, Africa, Europe, and Latin America. Delivery Hero SE was founded in 2011 and is headquartered in Berlin, Germany.</t>
  </si>
  <si>
    <t>XTRA</t>
  </si>
  <si>
    <t>Doordash, Inc.</t>
  </si>
  <si>
    <t>NASDAQGS:DASH</t>
  </si>
  <si>
    <t>DoorDash, Inc., together with its subsidiaries, operates a commerce platform that connects merchants, consumers, and dashers in the United States and internationally. The company operates DoorDash Marketplace, Wolt Marketplace, and Deliveroo Marketplace, which provide various services, such as customer acquisition, demand generation, order fulfillment, merchandising, payment processing, and customer support. It also offers consumer membership programs, DashPass, Wolt+, and Deliveroo Plus; advertising as a value-added service through its marketplaces; and white-label delivery fulfillment services, as well as services that help merchants establish online ordering, build branded mobile apps, manage reservations and in-store dining, manage consumer relationships, enable tableside order and pay, and improve customer support. The company was formerly known as Palo Alto Delivery Inc. and changed its name to DoorDash, Inc. in 2015. DoorDash, Inc. was founded in 2013 and is headquartered in San Francisco, California.</t>
  </si>
  <si>
    <t>Talabat Holding Plc</t>
  </si>
  <si>
    <t>Talabat Holding plc operates as an on-demand online food ordering, delivery, takeaway and groceries, and convenience retail marketplace in the United Arab Emirates, Kuwait, Qatar, Bahrain, Egypt, Oman, Jordan, Iraq, and internationally. The company’s online food ordering offers customers to order food from partner restaurants; and groceries, pharmacy products, food and beverages, snacks, household items, and personal care products from various local partners, including grocery stores, pharmacies, and flower shops, as well as its own warehousing and distribution centers designed for the fulfilment of online and on-demand orders of convenience products and groceries. The company also offers logistics services, retail sales through the internet, structured financing, software development, and the operation of cloud kitchens and delivery-only stores. Talabat Holding plc was founded in 2004 and is headquartered in Dubai, the United Arab Emirates. Talabat Holding plc operates as a subsidiary of Delivery Hero MENA Holding GmbH.</t>
  </si>
  <si>
    <t>DFM</t>
  </si>
  <si>
    <t>Source: CIQ &amp; FVA's computations</t>
  </si>
  <si>
    <t>n.m: not meaningful. The slope coefficient is not statistically significant.</t>
  </si>
  <si>
    <t>Risk free rate</t>
  </si>
  <si>
    <t>AAA-rated</t>
  </si>
  <si>
    <t>Bond ID</t>
  </si>
  <si>
    <t>Rate</t>
  </si>
  <si>
    <t>Australia</t>
  </si>
  <si>
    <t>IQ50027527</t>
  </si>
  <si>
    <t>Canada</t>
  </si>
  <si>
    <t>IQ50027537</t>
  </si>
  <si>
    <t>Denmark</t>
  </si>
  <si>
    <t>IQ136585876</t>
  </si>
  <si>
    <t>IQ50027534</t>
  </si>
  <si>
    <t>Netherlands</t>
  </si>
  <si>
    <t>IQ50027561</t>
  </si>
  <si>
    <t>IQ136585832</t>
  </si>
  <si>
    <t>Sweden</t>
  </si>
  <si>
    <t>IQ50027572</t>
  </si>
  <si>
    <t>Switzerland</t>
  </si>
  <si>
    <t>IQ50027576</t>
  </si>
  <si>
    <t>%TCMSY10</t>
  </si>
  <si>
    <t>Credit spread (new CapIQ Model)</t>
  </si>
  <si>
    <t>Sector &gt;&gt;</t>
  </si>
  <si>
    <t>All Corporates</t>
  </si>
  <si>
    <t>Curve Method &gt;&gt;</t>
  </si>
  <si>
    <t>Annual</t>
  </si>
  <si>
    <t>Ratings</t>
  </si>
  <si>
    <t>Sector Name</t>
  </si>
  <si>
    <t>Sector Code</t>
  </si>
  <si>
    <t>Methods</t>
  </si>
  <si>
    <t>Metric</t>
  </si>
  <si>
    <t>Tenor</t>
  </si>
  <si>
    <t>Yield to maturity and credit spread on US corporate bonds</t>
  </si>
  <si>
    <t>AAA</t>
  </si>
  <si>
    <t>AllCorp</t>
  </si>
  <si>
    <t>Continuous</t>
  </si>
  <si>
    <t>_CONTINUOUS</t>
  </si>
  <si>
    <t>Investment rating</t>
  </si>
  <si>
    <t>Yield</t>
  </si>
  <si>
    <t>Spread</t>
  </si>
  <si>
    <t>AA</t>
  </si>
  <si>
    <t>Consumer Discretionary</t>
  </si>
  <si>
    <t>ConsumerDiscretionary</t>
  </si>
  <si>
    <t>Semi Annual</t>
  </si>
  <si>
    <t>_SEMIANNUAL</t>
  </si>
  <si>
    <t>A</t>
  </si>
  <si>
    <t>Consumer Staples</t>
  </si>
  <si>
    <t>ConsumerStaples</t>
  </si>
  <si>
    <t>_ANNUAL</t>
  </si>
  <si>
    <t>BBB</t>
  </si>
  <si>
    <t>Energy</t>
  </si>
  <si>
    <t>BB</t>
  </si>
  <si>
    <t>Financials</t>
  </si>
  <si>
    <t>B</t>
  </si>
  <si>
    <t>Health Care</t>
  </si>
  <si>
    <t>Healthcare</t>
  </si>
  <si>
    <t>CCC</t>
  </si>
  <si>
    <t>Industrials</t>
  </si>
  <si>
    <t>IG</t>
  </si>
  <si>
    <t>Information Technology</t>
  </si>
  <si>
    <t>InformationTechnology</t>
  </si>
  <si>
    <t>HY</t>
  </si>
  <si>
    <t>Materials</t>
  </si>
  <si>
    <t>Non Financials</t>
  </si>
  <si>
    <t>NonFin</t>
  </si>
  <si>
    <t>Real Estate</t>
  </si>
  <si>
    <t>RealEstate</t>
  </si>
  <si>
    <t>Communication Services</t>
  </si>
  <si>
    <t>TelecommunicationServices</t>
  </si>
  <si>
    <t>Utilities</t>
  </si>
  <si>
    <t>Comps Historical Financials</t>
  </si>
  <si>
    <t>3 year CAGR</t>
  </si>
  <si>
    <t>Source: CIQ</t>
  </si>
  <si>
    <t>ROIC</t>
  </si>
  <si>
    <t>Average</t>
  </si>
  <si>
    <t>max</t>
  </si>
  <si>
    <t>min</t>
  </si>
  <si>
    <t>Inventory DOH</t>
  </si>
  <si>
    <t>(no of days)</t>
  </si>
  <si>
    <t>AR DOH</t>
  </si>
  <si>
    <t>AP DOH</t>
  </si>
  <si>
    <t>NM</t>
  </si>
  <si>
    <t>Time period</t>
  </si>
  <si>
    <t>Historical data available</t>
  </si>
  <si>
    <t>Period start</t>
  </si>
  <si>
    <t>Period end</t>
  </si>
  <si>
    <t>Months in period</t>
  </si>
  <si>
    <t>Year</t>
  </si>
  <si>
    <t>Years from VD</t>
  </si>
  <si>
    <t>Discounting period (mid-year)</t>
  </si>
  <si>
    <t>BAABTAVMT0NBTAFI/////wFQrwQAACdDSVEuLklRX1RSX1RSQU5TQUNUSU9OX1FVSUNLX0NPTVBTX01BLjEFAAAAAAAAAAgAAAAUKEludmFsaWQgSWRlbnRpZmllcilIumIGl7XeCCM4SBSXtd4IJkNJUS4uSVFfVFJfVFJBTlNBQ1RJT05fUVVJQ0tfQ09NUFNfTUEuBQAAAAAAAAAIAAAAFChJbnZhbGlkIElkZW50aWZpZXIpSLpiBpe13ggjOEgUl7XeCCdDSVEuLklRX1RSX1RSQU5TQUNUSU9OX1FVSUNLX0NPTVBTX01BLjIFAAAAAAAAAAgAAAAUKEludmFsaWQgSWRlbnRpZmllcilIumIGl7XeCGdCahSXtd4IJ0NJUS4uSVFfVFJfVFJBTlNBQ1RJT05fUVVJQ0tfQ09NUFNfTUEuMwUAAAAAAAAACAAAABQoSW52YWxpZCBJZGVudGlmaWVyKUi6YgaXtd4IZ0JqFJe13ggnQ0lRLi5JUV9UUl9UUkFOU0FDVElPTl9RVUlDS19DT01QU19NQS40BQAAAAAAAAAIAAAAFChJbnZhbGlkIElkZW50aWZpZXIpSLpiBpe13ghnQmoUl7XeCCdDSVEuLklRX1RSX1RSQU5TQUNUSU9OX1FVSUNLX0NPTVBTX01BLjUFAAAAAAAAAAgAAAAUKEludmFsaWQgSWRlbnRpZmllcilIumIGl7XeCIKzbBSXtd4IJ0NJUS4uSVFfVFJfVFJBTlNBQ1RJT05fUVVJQ0tfQ09NUFNfTUEuNgUAAAAAAAAACAAAABQoSW52YWxpZCBJZGVudGlmaWVyKUi6YgaXtd4IgrNsFJe13ggnQ0lRLi5JUV9UUl9UUkFOU0FDVElPTl9RVUlDS19DT01QU19N</t>
  </si>
  <si>
    <t>QS43BQAAAAAAAAAIAAAAFChJbnZhbGlkIElkZW50aWZpZXIpSLpiBpe13giCs2wUl7XeCCdDSVEuLklRX1RSX1RSQU5TQUNUSU9OX1FVSUNLX0NPTVBTX01BLjgFAAAAAAAAAAgAAAAUKEludmFsaWQgSWRlbnRpZmllcilIumIGl7XeCIKzbBSXtd4IJ0NJUS4uSVFfVFJfVFJBTlNBQ1RJT05fUVVJQ0tfQ09NUFNfTUEuOQUAAAAAAAAACAAAABQoSW52YWxpZCBJZGVudGlmaWVyKUi6YgaXtd4IgrNsFJe13ggoQ0lRLi5JUV9UUl9UUkFOU0FDVElPTl9RVUlDS19DT01QU19NQS4xMAUAAAAAAAAACAAAABQoSW52YWxpZCBJZGVudGlmaWVyKUi6YgaXtd4IgrNsFJe13ggoQ0lRLi5JUV9UUl9UUkFOU0FDVElPTl9RVUlDS19DT01QU19NQS4xMQUAAAAAAAAACAAAABQoSW52YWxpZCBJZGVudGlmaWVyKUi6YgaXtd4IgrNsFJe13ggoQ0lRLi5JUV9UUl9UUkFOU0FDVElPTl9RVUlDS19DT01QU19NQS4xMgUAAAAAAAAACAAAABQoSW52YWxpZCBJZGVudGlmaWVyKUi6YgaXtd4IgrNsFJe13ggoQ0lRLi5JUV9UUl9UUkFOU0FDVElPTl9RVUlDS19DT01QU19NQS4xMwUAAAAAAAAACAAAABQoSW52YWxpZCBJZGVudGlmaWVyKUi6YgaXtd4IgrNsFJe13ggoQ0lRLi5JUV9UUl9UUkFOU0FDVElPTl9RVUlDS19DT01QU19NQS4xNAUAAAAAAAAACAAAABQoSW52YWxpZCBJZGVudGlmaWVyKUi6YgaXtd4IgrNsFJe13ggz</t>
  </si>
  <si>
    <t>Q0lRLlNFSEs6MzY5MC5JUV9EQVlTX1BBWUFCTEVfT1VULkZZMjAyNS4zMS8xMi8yMDI1AQAAAC11zQYDAAAAAABIumIGl7XeCI25BCWXtd4IM0NJUS5YVFJBOkRIRVIuSVFfREFZU19QQVlBQkxFX09VVC5GWTIwMTUuMzEvMTIvMjAyNQEAAACqtmIIAwAAAAJOTQEIAAAABQAAAAExAQAAAAoxODQ3NjE4NDQ1AwAAAAI1MAIAAAAENDE4MwQAAAABMAcAAAAKMTIvMzEvMjAyNQgAAAAKMTIvMzEvMjAxNQkAAAABMEi6YgaXtd4IjbkEJZe13ggzQ0lRLlhUUkE6REhFUi5JUV9EQVlTX1BBWUFCTEVfT1VULkZZMjAxNi4zMS8xMi8yMDI1AQAAAKq2YggCAAAACjM1Ni40ODQzNjYBCAAAAAUAAAABMQEAAAAKMTg4NTA5ODM3NgMAAAACNTACAAAABDQxODMEAAAAATAHAAAACjEyLzMxLzIwMjUIAAAACjEyLzMxLzIwMTYJAAAAATBIumIGl7XeCI25BCWXtd4IM0NJUS5YVFJBOkRIRVIuSVFfREFZU19QQVlBQkxFX09VVC5GWTIwMTcuMzEvMTIvMjAyNQEAAACqtmIIAgAAAAk3MC40MDAxMDUBCAAAAAUAAAABMQEAAAAKMTk1NzQ4NzgyNwMAAAACNTACAAAABDQxODMEAAAAATAHAAAACjEyLzMxLzIwMjUIAAAACjEyLzMxLzIwMTcJAAAAATBIumIGl7XeCI25BCWXtd4IM0NJUS5YVFJBOkRIRVIuSVFfREFZU19QQVlBQkxFX09VVC5GWTIwMTguMzEvMTIvMjAyNQEAAACqtmIIAgAAAAkzMy4yNzAxMTUBCAAAAAUAAAAB</t>
  </si>
  <si>
    <t>MQEAAAAKMjAzMjQzNTkxMgMAAAACNTACAAAABDQxODMEAAAAATAHAAAACjEyLzMxLzIwMjUIAAAACjEyLzMxLzIwMTgJAAAAATBIumIGl7XeCI25BCWXtd4IM0NJUS5YVFJBOkRIRVIuSVFfREFZU19QQVlBQkxFX09VVC5GWTIwMTkuMzEvMTIvMjAyNQEAAACqtmIIAgAAAAkxOC4xNTc2NTUBCAAAAAUAAAABMQEAAAAKMjA5MzIwODEzNQMAAAACNTACAAAABDQxODMEAAAAATAHAAAACjEyLzMxLzIwMjUIAAAACjEyLzMxLzIwMTkJAAAAATBIumIGl7XeCI25BCWXtd4IM0NJUS5YVFJBOkRIRVIuSVFfREFZU19QQVlBQkxFX09VVC5GWTIwMjAuMzEvMTIvMjAyNQEAAACqtmIIAgAAAAgxNC41OTk3NAEIAAAABQAAAAExAQAAAAstMjEwMDEzMzA4NAMAAAACNTACAAAABDQxODMEAAAAATAHAAAACjEyLzMxLzIwMjUIAAAACjEyLzMxLzIwMjAJAAAAATBIumIGl7XeCI25BCWXtd4IM0NJUS5YVFJBOkRIRVIuSVFfREFZU19QQVlBQkxFX09VVC5GWTIwMjEuMzEvMTIvMjAyNQEAAACqtmIIAgAAAAcxMy4xMTgxAQgAAAAFAAAAATEBAAAACy0yMDQ3NjQ3MDkyAwAAAAI1MAIAAAAENDE4MwQAAAABMAcAAAAKMTIvMzEvMjAyNQgAAAAKMTIvMzEvMjAyMQkAAAABMEi6YgaXtd4IjbkEJZe13ggzQ0lRLlhUUkE6REhFUi5JUV9EQVlTX1BBWUFCTEVfT1VULkZZMjAyMi4zMS8xMi8yMDI1AQAAAKq2YggCAAAACDE1Ljg4</t>
  </si>
  <si>
    <t>MTg4AQgAAAAFAAAAATEBAAAACy0xOTk5NjQzOTMyAwAAAAI1MAIAAAAENDE4MwQAAAABMAcAAAAKMTIvMzEvMjAyNQgAAAAKMTIvMzEvMjAyMgkAAAABMEi6YgaXtd4IjbkEJZe13ggzQ0lRLlhUUkE6REhFUi5JUV9EQVlTX1BBWUFCTEVfT1VULkZZMjAyMy4zMS8xMi8yMDI1AQAAAKq2YggCAAAACDE2LjA4MTE3AQgAAAAFAAAAATEBAAAACy0xOTQ5Mjg3MDI5AwAAAAI1MAIAAAAENDE4MwQAAAABMAcAAAAKMTIvMzEvMjAyNQgAAAAKMTIvMzEvMjAyMwkAAAABMEi6YgaXtd4IjbkEJZe13ggzQ0lRLlhUUkE6REhFUi5JUV9EQVlTX1BBWUFCTEVfT1VULkZZMjAyNC4zMS8xMi8yMDI1AQAAAKq2YggCAAAACTE1LjA3MjYxMgEIAAAABQAAAAExAQAAAAstMTk0OTI4NzAzNwMAAAACNTACAAAABDQxODMEAAAAATAHAAAACjEyLzMxLzIwMjUIAAAACjEyLzMxLzIwMjQJAAAAATBIumIGl7XeCI25BCWXtd4IM0NJUS5YVFJBOkRIRVIuSVFfREFZU19QQVlBQkxFX09VVC5GWTIwMjUuMzEvMTIvMjAyNQEAAACqtmIIAwAAAAAASLpiBpe13giNuQQll7XeCDdDSVEuTkFTREFRR1M6REFTSC5JUV9EQVlTX1BBWUFCTEVfT1VULkZZMjAxNS4zMS8xMi8yMDI1AQAAAKcchw4DAAAAAABIumIGl7XeCJJSAiWXtd4IN0NJUS5OQVNEQVFHUzpEQVNILklRX0RBWVNfUEFZQUJMRV9PVVQuRlkyMDE2LjMxLzEyLzIwMjUBAAAA</t>
  </si>
  <si>
    <t>pxyHDgMAAAAAAEi6YgaXtd4IklICJZe13gg3Q0lRLk5BU0RBUUdTOkRBU0guSVFfREFZU19QQVlBQkxFX09VVC5GWTIwMTcuMzEvMTIvMjAyNQEAAACnHIcOAwAAAAAASLpiBpe13giSUgIll7XeCDdDSVEuTkFTREFRR1M6REFTSC5JUV9EQVlTX1BBWUFCTEVfT1VULkZZMjAxOC4zMS8xMi8yMDI1AQAAAKcchw4DAAAAAABIumIGl7XeCJJSAiWXtd4IN0NJUS5OQVNEQVFHUzpEQVNILklRX0RBWVNfUEFZQUJMRV9PVVQuRlkyMDE5LjMxLzEyLzIwMjUBAAAApxyHDgIAAAAIMjAuMzE4ODIBCAAAAAUAAAABMQEAAAALLTIxMTAwNjEzODgDAAAAAzE2MAIAAAAENDE4MwQAAAABMAcAAAAKMTIvMzEvMjAyNQgAAAAKMTIvMzEvMjAxOQkAAAABMEi6YgaXtd4IklICJZe13gg3Q0lRLk5BU0RBUUdTOkRBU0guSVFfREFZU19QQVlBQkxFX09VVC5GWTIwMjAuMzEvMTIvMjAyNQEAAACnHIcOAgAAAAkxMy44NDI0ODYBCAAAAAUAAAABMQEAAAALLTIwNTkzOTM0MTcDAAAAAzE2MAIAAAAENDE4MwQAAAABMAcAAAAKMTIvMzEvMjAyNQgAAAAKMTIvMzEvMjAyMAkAAAABMEi6YgaXtd4IklICJZe13gg3Q0lRLk5BU0RBUUdTOkRBU0guSVFfREFZU19QQVlBQkxFX09VVC5GWTIwMjEuMzEvMTIvMjAyNQEAAACnHIcOAgAAAAkxOS4zNzUyOTUBCAAAAAUAAAABMQEAAAALLTIwMDk1MTg0MjMDAAAAAzE2MAIAAAAENDE4MwQA</t>
  </si>
  <si>
    <t>AAABMAcAAAAKMTIvMzEvMjAyNQgAAAAKMTIvMzEvMjAyMQkAAAABMEi6YgaXtd4IklICJZe13gg3Q0lRLk5BU0RBUUdTOkRBU0guSVFfREFZU19QQVlBQkxFX09VVC5GWTIwMjIuMzEvMTIvMjAyNQEAAACnHIcOAgAAAAkxNi41ODU5NjUBCAAAAAUAAAABMQEAAAALLTE5NTk1NTQ2NzADAAAAAzE2MAIAAAAENDE4MwQAAAABMAcAAAAKMTIvMzEvMjAyNQgAAAAKMTIvMzEvMjAyMgkAAAABMEi6YgaXtd4IklICJZe13gg3Q0lRLk5BU0RBUUdTOkRBU0guSVFfREFZU19QQVlBQkxFX09VVC5GWTIwMjMuMzEvMTIvMjAyNQEAAACnHIcOAgAAAAkxNS4yMjUyNDUBCAAAAAUAAAABMQEAAAALLTE5NTk1NTQ2NzMDAAAAAzE2MAIAAAAENDE4MwQAAAABMAcAAAAKMTIvMzEvMjAyNQgAAAAKMTIvMzEvMjAyMwkAAAABMEi6YgaXtd4IklICJZe13gg3Q0lRLk5BU0RBUUdTOkRBU0guSVFfREFZU19QQVlBQkxFX09VVC5GWTIwMjQuMzEvMTIvMjAyNQEAAACnHIcOAgAAAAkxOC4xMjEwMjYBCAAAAAUAAAABMQEAAAALLTE5NTk1NTQ2NzYDAAAAAzE2MAIAAAAENDE4MwQAAAABMAcAAAAKMTIvMzEvMjAyNQgAAAAKMTIvMzEvMjAyNAkAAAABMEi6YgaXtd4IklICJZe13gg3Q0lRLk5BU0RBUUdTOkRBU0guSVFfREFZU19QQVlBQkxFX09VVC5GWTIwMjUuMzEvMTIvMjAyNQEAAACnHIcOAwAAAAAASLpiBpe13giSUgIll7Xe</t>
  </si>
  <si>
    <t>CDVDSVEuREZNOlRBTEFCQVQuSVFfREFZU19QQVlBQkxFX09VVC5GWTIwMTUuMzEvMTIvMjAyNQEAAADZvoJuAwAAAAAASLpiBpe13giSUgIll7XeCDVDSVEuREZNOlRBTEFCQVQuSVFfREFZU19QQVlBQkxFX09VVC5GWTIwMTYuMzEvMTIvMjAyNQEAAADZvoJuAwAAAAAASLpiBpe13giSUgIll7XeCDVDSVEuREZNOlRBTEFCQVQuSVFfREFZU19QQVlBQkxFX09VVC5GWTIwMTcuMzEvMTIvMjAyNQEAAADZvoJuAwAAAAAASLpiBpe13giSUgIll7XeCDVDSVEuREZNOlRBTEFCQVQuSVFfREFZU19QQVlBQkxFX09VVC5GWTIwMTguMzEvMTIvMjAyNQEAAADZvoJuAwAAAAAASLpiBpe13giSUgIll7XeCDVDSVEuREZNOlRBTEFCQVQuSVFfREFZU19QQVlBQkxFX09VVC5GWTIwMTkuMzEvMTIvMjAyNQEAAADZvoJuAwAAAAAASLpiBpe13giSUgIll7XeCDVDSVEuREZNOlRBTEFCQVQuSVFfREFZU19QQVlBQkxFX09VVC5GWTIwMjAuMzEvMTIvMjAyNQEAAADZvoJuAwAAAAAASLpiBpe13giSUgIll7XeCDVDSVEuREZNOlRBTEFCQVQuSVFfREFZU19QQVlBQkxFX09VVC5GWTIwMjEuMzEvMTIvMjAyNQEAAADZvoJuAwAAAAAASLpiBpe13giSUgIll7XeCDVDSVEuREZNOlRBTEFCQVQuSVFfREFZU19QQVlBQkxFX09VVC5GWTIwMjIuMzEvMTIvMjAyNQEAAADZvoJuAwAAAAAASLpiBpe13giSUgIll7XeCDVDSVEuREZN</t>
  </si>
  <si>
    <t>OlRBTEFCQVQuSVFfREFZU19QQVlBQkxFX09VVC5GWTIwMjMuMzEvMTIvMjAyNQEAAADZvoJuAgAAAAg4MC44MTI0NgEIAAAABQAAAAExAQAAAAstMTk2MjQwNTM4OQMAAAABMQIAAAAENDE4MwQAAAABMAcAAAAKMTIvMzEvMjAyNQgAAAAKMTIvMzEvMjAyMwkAAAABMEi6YgaXtd4IklICJZe13gg1Q0lRLkRGTTpUQUxBQkFULklRX0RBWVNfUEFZQUJMRV9PVVQuRlkyMDI0LjMxLzEyLzIwMjUBAAAA2b6CbgIAAAAJNjkuODk1Mzg2AQgAAAAFAAAAATEBAAAACy0xOTU0Mjk3NTQ3AwAAAAMxNjACAAAABDQxODMEAAAAATAHAAAACjEyLzMxLzIwMjUIAAAACjEyLzMxLzIwMjQJAAAAATBIumIGl7XeCJJSAiWXtd4INUNJUS5ERk06VEFMQUJBVC5JUV9EQVlTX1BBWUFCTEVfT1VULkZZMjAyNS4zMS8xMi8yMDI1AQAAANm+gm4DAAAAAABIumIGl7XeCJJSAiWXtd4IMUNJUS5OQVNEQVFHUzpHUkFCLklRX1RFVl9FQklUREEuSVFfTFRNLjMxLzEyLzIwMjUBAAAAcZnOIwIAAAAQODEuODE1NTAyNjQ1NTAyNgEHAAAABQAAAAExAQAAAAstMTkxODY4NzA2MQMAAAABMAIAAAAGMTAwMDYzBAAAAAEwBwAAAAoxMi8zMS8yMDI1CAAAAAoxMi8zMS8yMDI1f9OkBpe13ggWMSQll7XeCC1DSVEuSURYOiBHT1RPLklRX1RFVl9FQklUREEuSVFfTFRNLjMxLzEyLzIwMjUBAAAAb5NqEQMAAAACTk0BBwAAAAUAAAABMQEAAAAL</t>
  </si>
  <si>
    <t>LTE5MTk4MDAwNjYDAAAAATACAAAABjEwMDA2MwQAAAABMAcAAAAKMTIvMzAvMjAyNQgAAAAKMTIvMzAvMjAyNX/TpAaXtd4IFjEkJZe13ggsQ0lRLk5ZU0U6IFNFLklRX1RFVl9FQklUREEuSVFfTFRNLjMxLzEyLzIwMjUBAAAA+wJnGQIAAAAPMzIuNTIzOTg1ODEzMDIyAQcAAAAFAAAAATEBAAAACy0xOTE3MzIwMjQxAwAAAAEwAgAAAAYxMDAwNjMEAAAAATAHAAAACjEyLzMxLzIwMjUIAAAACjEyLzMxLzIwMjV/06QGl7XeCBYxJCWXtd4ILUNJUS5OWVNFOlVCRVIuSVFfVEVWX0VCSVREQS5JUV9MVE0uMzEvMTIvMjAyNQEAAAAwRp0IAgAAABAzMC4yNjYzNDg1NTk5NTE3AQcAAAAFAAAAATEBAAAACy0xOTE4NDk5MDYyAwAAAAEwAgAAAAYxMDAwNjMEAAAAATAHAAAACjEyLzMxLzIwMjUIAAAACjEyLzMxLzIwMjV/06QGl7XeCBYxJCWXtd4IMUNJUS5OQVNEQVFHUzpMWUZULklRX1RFVl9FQklUREEuSVFfTFRNLjMxLzEyLzIwMjUBAAAAVTGEAwIAAAAQMzkuODQzMzE1MDY3NTY0MQEHAAAABQAAAAExAQAAAAstMTkxODExODQyOQMAAAABMAIAAAAGMTAwMDYzBAAAAAEwBwAAAAoxMi8zMS8yMDI1CAAAAAoxMi8zMS8yMDI1f9OkBpe13ggWMSQll7XeCDBDSVEuT1RDUEs6RElESS5ZLklRX1RFVl9FQklUREEuSVFfTFRNLjMxLzEyLzIwMjUBAAAAyWasYwIAAAAQNjkuNDgzMzE5MDkyNDI1NQEHAAAABQAA</t>
  </si>
  <si>
    <t>AAExAQAAAAstMTkxNDEwNzExNQMAAAABMAIAAAAGMTAwMDYzBAAAAAEwBwAAAAoxMi8zMS8yMDI1CAAAAAoxMi8zMS8yMDI1f9OkBpe13ggWMSQll7XeCC1DSVEuU0VISzozNjkwLklRX1RFVl9FQklUREEuSVFfTFRNLjMxLzEyLzIwMjUBAAAALXXNBgIAAAAQMTIyLjE0OTU2NzA2NjUwMQEHAAAABQAAAAExAQAAAAstMTkxMzYzNTc2MAMAAAABMAIAAAAGMTAwMDYzBAAAAAEwBwAAAAoxMi8zMS8yMDI1CAAAAAoxMi8zMS8yMDI1f9OkBpe13ghEmCYll7XeCC1DSVEuWFRSQTpESEVSLklRX1RFVl9FQklUREEuSVFfTFRNLjMxLzEyLzIwMjUBAAAAqrZiCAIAAAAQMTcuMDAxNzcyNzEyODkxMwEHAAAABQAAAAExAQAAAAstMTkyNzIzNDg0NgMAAAABMAIAAAAGMTAwMDYzBAAAAAEwBwAAAAoxMi8zMC8yMDI1CAAAAAoxMi8zMC8yMDI1f9OkBpe13ghEmCYll7XeCDFDSVEuTkFTREFRR1M6REFTSC5JUV9URVZfRUJJVERBLklRX0xUTS4zMS8xMi8yMDI1AQAAAKcchw4CAAAAEDg0LjE3NDQ2Nzk5OTIyNjcBBwAAAAUAAAABMQEAAAALLTE5MTc5MzM0NzADAAAAATACAAAABjEwMDA2MwQAAAABMAcAAAAKMTIvMzEvMjAyNQgAAAAKMTIvMzEvMjAyNX/TpAaXtd4IRJgmJZe13ggvQ0lRLkRGTTpUQUxBQkFULklRX1RFVl9FQklUREEuSVFfTFRNLjMxLzEyLzIwMjUBAAAA2b6CbgIAAAAQMTAuMjE0NDgxOTUxNzA2</t>
  </si>
  <si>
    <t>NAEHAAAABQAAAAExAQAAAAstMTkxNzY4ODc3MQMAAAABMAIAAAAGMTAwMDYzBAAAAAEwBwAAAAoxMi8zMS8yMDI1CAAAAAoxMi8zMS8yMDI1f9OkBpe13ghEmCYll7XeCC1DSVEuTkFTREFRR1M6R1JBQi5JUV9NQVJLRVRDQVAuMzEvMTIvMjAyNS5TR0QBAAAAcZnOIwIAAAANMjYyMzEuNTQxODI5OQEGAAAABQAAAAExAQAAAAstMTkxODY4NzM5OQMAAAADMTM4AgAAAAYxMDAwNTQEAAAAATAHAAAACjEyLzMxLzIwMjV/06QGl7XeCBYxJCWXtd4IKUNJUS5JRFg6IEdPVE8uSVFfTUFSS0VUQ0FQLjMxLzEyLzIwMjUuU0dEAQAAAG+TahECAAAAEDUyMTUuOTM0NTc5ODMzMDYBBgAAAAUAAAABMQEAAAALLTE5MTk4MDA4MzIDAAAAAzEzOAIAAAAGMTAwMDU0BAAAAAEwBwAAAAoxMi8zMS8yMDI1f9OkBpe13ggWMSQll7XeCChDSVEuTllTRTogU0UuSVFfTUFSS0VUQ0FQLjMxLzEyLzIwMjUuU0dEAQAAAPsCZxkCAAAAEDk3MTQxLjIxMjYyODM2NTQBBgAAAAUAAAABMQEAAAALLTE5MTczMjMzMTUDAAAAAzEzOAIAAAAGMTAwMDU0BAAAAAEwBwAAAAoxMi8zMS8yMDI1f9OkBpe13ggWMSQll7XeCClDSVEuTllTRTpVQkVSLklRX01BUktFVENBUC4zMS8xMi8yMDI1LlNHRAEAAAAwRp0IAgAAABAyMTgzNzUuNTEyNTY1MjUxAQYAAAAFAAAAATEBAAAACy0xOTE4NTAwNDgxAwAAAAMxMzgCAAAABjEwMDA1NAQAAAAB</t>
  </si>
  <si>
    <t>MAcAAAAKMTIvMzEvMjAyNX/TpAaXtd4IFjEkJZe13ggtQ0lRLk5BU0RBUUdTOkxZRlQuSVFfTUFSS0VUQ0FQLjMxLzEyLzIwMjUuU0dEAQAAAFUxhAMCAAAAEDk5NDkuNjAwNDE5NTU3MzcBBgAAAAUAAAABMQEAAAALLTE5MTgxMTk1OTEDAAAAAzEzOAIAAAAGMTAwMDU0BAAAAAEwBwAAAAoxMi8zMS8yMDI1f9OkBpe13ggWMSQll7XeCCxDSVEuT1RDUEs6RElESS5ZLklRX01BUktFVENBUC4zMS8xMi8yMDI1LlNHRAEAAADJZqxjAgAAABAzMTYyMi43MjQ2MzIxODM3AQYAAAAFAAAAATEBAAAACy0xOTE0MTA3NzE3AwAAAAMxMzgCAAAABjEwMDA1NAQAAAABMAcAAAAKMTIvMzEvMjAyNX/TpAaXtd4IFjEkJZe13ggpQ0lRLlNFSEs6MzY5MC5JUV9NQVJLRVRDQVAuMzEvMTIvMjAyNS5TR0QBAAAALXXNBgIAAAAQMTA0MjY4LjE2ODA1MDk0OAEGAAAABQAAAAExAQAAAAstMTkxMzYzNTkyNQMAAAADMTM4AgAAAAYxMDAwNTQEAAAAATAHAAAACjEyLzMxLzIwMjV/06QGl7XeCESYJiWXtd4IKUNJUS5YVFJBOkRIRVIuSVFfTUFSS0VUQ0FQLjMxLzEyLzIwMjUuU0dEAQAAAKq2YggCAAAAEDEwMjMyLjAxNzM0ODc2NDkBBgAAAAUAAAABMQEAAAALLTE5MjcyMzUzNTgDAAAAAzEzOAIAAAAGMTAwMDU0BAAAAAEwBwAAAAoxMi8zMS8yMDI1f9OkBpe13ghEmCYll7XeCC1DSVEuTkFTREFRR1M6REFTSC5JUV9NQVJL</t>
  </si>
  <si>
    <t>RVRDQVAuMzEvMTIvMjAyNS5TR0QBAAAApxyHDgIAAAAQMTI1NTUyLjE4MzIxODk5MgEGAAAABQAAAAExAQAAAAstMTkxNzkzNDcyMgMAAAADMTM4AgAAAAYxMDAwNTQEAAAAATAHAAAACjEyLzMxLzIwMjV/06QGl7XeCESYJiWXtd4IK0NJUS5ERk06VEFMQUJBVC5JUV9NQVJLRVRDQVAuMzEvMTIvMjAyNS5TR0QBAAAA2b6CbgIAAAAQNzY2NS40NjY1NTE0NTE1NQEGAAAABQAAAAExAQAAAAstMTkxNzY4OTExMgMAAAADMTM4AgAAAAYxMDAwNTQEAAAAATAHAAAACjEyLzMxLzIwMjV/06QGl7XeCESYJiWXtd4IJ0NJUS5JUTUwMDI3NTI3LklRX1JBVEVfTEVWRUwuMzEvMTIvMjAyNQEAAAAHXPsCAgAAAAU0LjczOAB/06QGl7XeCESYJiWXtd4IJ0NJUS5JUTUwMDI3NTM3LklRX1JBVEVfTEVWRUwuMzEvMTIvMjAyNQEAAAARXPsCAgAAAAQzLjUzAH/TpAaXtd4IRJgmJZe13ggoQ0lRLklRMTM2NTg1ODc2LklRX1JBVEVfTEVWRUwuMzEvMTIvMjAyNQEAAACUIiQIAgAAAAUyLjc1MwB/06QGl7XeCESYJiWXtd4IJ0NJUS5JUTUwMDI3NTM0LklRX1JBVEVfTEVWRUwuMzEvMTIvMjAyNQEAAAAOXPsCAgAAAAUyLjk2MQB/06QGl7XeCESYJiWXtd4IJ0NJUS5JUTUwMDI3NTYxLklRX1JBVEVfTEVWRUwuMzEvMTIvMjAyNQEAAAApXPsCAgAAAAUzLjA5OAB/06QGl7XeCESYJiWXtd4IKENJUS5JUTEzNjU4NTgzMi5J</t>
  </si>
  <si>
    <t>UV9SQVRFX0xFVkVMLjMxLzEyLzIwMjUBAAAAaCIkCAIAAAAHMi4yMjQ5NgB/06QGl7XeCESYJiWXtd4IJ0NJUS5JUTUwMDI3NTcyLklRX1JBVEVfTEVWRUwuMzEvMTIvMjAyNQEAAAA0XPsCAgAAAAUyLjc1MgB/06QGl7XeCESYJiWXtd4IJ0NJUS5JUTUwMDI3NTc2LklRX1JBVEVfTEVWRUwuMzEvMTIvMjAyNQEAAAA4XPsCAgAAAAUwLjMxNwB/06QGl7XeCESYJiWXtd4IJUNJUS4lVENNU1kxMC5JUV9SQVRFX0xFVkVMLjMxLzEyLzIwMjUBAAAAHR8oAgIAAAAENC4xOAB/06QGl7XeCESYJiWXtd4IIUNJUS5OQVNEQVFHUzpHUkFCLklRX0NPTVBBTllfTkFNRQEAAABxmc4jAwAAABVHcmFiIEhvbGRpbmdzIExpbWl0ZWQAf9OkBpe13ghaXmUUl7XeCClDSVEuTkFTREFRR1M6R1JBQi5JUV9CVVNJTkVTU19ERVNDUklQVElPTgEAAABxmc4jAwAAAL4PR3JhYiBIb2xkaW5ncyBMaW1pdGVkIG9wZXJhdGVzIHRoZSBHcmFiIHN1cGVyYXBwIGluIENhbWJvZGlhLCBJbmRvbmVzaWEsIE1hbGF5c2lhLCBNeWFubWFyLCB0aGUgUGhpbGlwcGluZXMsIFNpbmdhcG9yZSwgVGhhaWxhbmQsIGFuZCBWaWV0bmFtLiBUaGUgY29tcGFueSBvZmZlcnMgZGVsaXZlcnkgc2VydmljZXMgb24gaXRzIHBsYXRmb3JtLCBzdWNoIGFzIEdyYWJGb29kLCBhIGZvb2Qgb3JkZXJpbmcgYW5kIGRlbGl2ZXJ5IGJvb2tpbmcgc2Vydmlj</t>
  </si>
  <si>
    <t>ZTsgRGluZS1PdXQgZm9yIHRhYmxlIHJlc2VydmF0aW9uczsgR3JhYk1hcnQsIGEgZ29vZHMgb3JkZXJpbmcgYW5kIGRlbGl2ZXJ5IGJvb2tpbmcgc2VydmljZTsgR3JhYkFkcywgYW4gb25saW5lIGFkdmVydGlzaW5nIHNvbHV0aW9uOyBHcmFiRXhwcmVzcywgYSBwYWNrYWdlIGRlbGl2ZXJ5IGJvb2tpbmcgc2VydmljZTsgR3JhYiBmb3IgQnVzaW5lc3MgcGxhdGZvcm0sIGEgdW5pZmllZCBtYW5hZ2VtZW50IHBvcnRhbCBmb3IgY29ycG9yYXRlIGNsaWVudHMuIEl0IGFsc28gcHJvdmlkZXMgR3JhYktpb3MsIGEgbmV0d29yayBvZiBhZ2VudHM7IEdyYWJDYXIsIHdoaWNoIGVuYWJsZXMgYSBwcml2YXRlIGhpcmUgZHJpdmVyLXBhcnRuZXIgdG8gcmVnaXN0ZXIgd2l0aCBHcmFiIGFuZCBhY2NlcHQgYm9va2luZ3MgdGhyb3VnaCBpdHMgZHJpdmVyLXBhcnRuZXIgYXBwbGljYXRpb247IGFuZCBHcmFiVGF4aSwgd2hpY2ggZW5hYmxlcyBhIHRheGkgZHJpdmVyLXBhcnRuZXIgdG8gcmVnaXN0ZXIgd2l0aCBHcmFiIGFuZCBhY2NlcHQgYm9va2luZ3MgdGhyb3VnaCB0aGUgR3JhYiBkcml2ZXItcGFydG5lciBhcHBsaWNhdGlvbi4gSW4gYWRkaXRpb24sIHRoZSBjb21wYW55IG9mZmVycyBKdXN0R3JhYiwgd2hpY2ggZW5hYmxlcyBjb25zdW1lcnMgdG8gYm9vayBhIHByaXZhdGUgY2FyIG9yIGEgdHJhZGl0</t>
  </si>
  <si>
    <t>aW9uYWwgdGF4aTsgR3JhYkJpa2UsIGEgbW90b3JjeWNsZSByaWRlLWhhaWxpbmcgb2ZmZXJpbmc7IHRocmVlLXdoZWVsIHZlaGljbGVzIGZvciBjdWx0dXJhbGx5IGxvY2FsaXplZCBtb2RlczsgY2FycG9vbGluZyBzaGFyZWQgbW9iaWxpdHkgb3B0aW9uczsgR3JhYlJlbnRhbHMsIHdoaWNoIGZhY2lsaXRhdGVzIHZlaGljbGUgcmVudGFsIGZvciBpdHMgZHJpdmVyLXBhcnRuZXJzOyBHcmFiUGF5LCBhIGRpZ2l0YWwgcGF5bWVudHMgc29sdXRpb247IGFuZCBHcmFiQ29pbnMsIGEgbG95YWx0eSBwbGF0Zm9ybS4gRnVydGhlciwgaXQgcHJvdmlkZXMgR3JhYkZpbiBmb3IgZmluYW5jaWFsIHNlcnZpY2VzIGNvbXByaXNpbmcgZGlnaXRhbCBhbmQgb2ZmbGluZSBsZW5kaW5nLCBQYXlMYXRlciBzZXJ2aWNlcywgd2hpdGUgZ29vZHMgZmluYW5jaW5nLCByZWNlaXZhYmxlcyBmYWN0b3JpbmcsIGFuZCB3b3JraW5nIGNhcGl0YWwgbG9hbnM7IEdyYWJJbnN1cmUsIGFwcm90ZWN0aW9uIGZvciByaWRlcyBhbmQgcGFja2FnZSBkZWxpdmVyaWVzLCBwZXJzb25hbCBhY2NpZGVudCBpbnN1cmFuY2UsIGluY29tZSBwcm90ZWN0aW9uIGluc3VyYW5jZSwgY3JpdGljYWwgaWxsbmVzcyBpbnN1cmFuY2UsIHZlaGljbGUgaW5zdXJhbmNlLCBhbmQgdHJhdmVsIGluc3VyYW5jZTsgR3JhYkxpbmssIGEgcGF5bWVudCBn</t>
  </si>
  <si>
    <t>YXRld2F5IGFuZCBhY3F1aXJpbmcgc2VydmljZTsgRGlnaWJhbmsgU2F2aW5ncyBBY2NvdW50LCBhIGRpZ2l0YWwgYmFua2luZyBkZXBvc2l0IGFjY291bnQuIEFkZGl0aW9uYWxseSwgdGhlIGNvbXBhbnkgb2ZmZXJzIEdYIEJhbmsgZGViaXQgY2FyZHM7IEdYUyBGbGV4aUNhcmQsIGEgZmVlLWJhc2VkIGNyZWRpdCBjYXJkOyBhbmQgbWFwcGluZyBzZXJ2aWNlcywgYXV0b25vbW91cyB2ZWhpY2xlIHNlcnZpY2VzLCBhbmQgbGFzdC1taWxlIGRlbGl2ZXJ5IGluZnJhc3RydWN0dXJlLiBHcmFiIEhvbGRpbmdzIExpbWl0ZWQgd2FzIGZvdW5kZWQgaW4gMjAxMiBhbmQgaXMgaGVhZHF1YXJ0ZXJlZCBpbiBTaW5nYXBvcmUsIFNpbmdhcG9yZS4Af9OkBpe13ghaXmUUl7XeCB1DSVEuTkFTREFRR1M6R1JBQi5JUV9FWENIQU5HRQEAAABxmc4jAwAAAAhOYXNkYXFHUwB/06QGl7XeCFpeZRSXtd4IIUNJUS5OQVNEQVFHUzpHUkFCLklRX0NPVU5UUllfTkFNRQEAAABxmc4jAwAAAAlTaW5nYXBvcmUAf9OkBpe13ghaXmUUl7XeCB1DSVEuSURYOiBHT1RPLklRX0NPTVBBTllfTkFNRQEAAABvk2oRAwAAABtQVCBHb1RvIEdvamVrIFRva29wZWRpYSBUYmsAf9OkBpe13ghaXmUUl7XeCCVDSVEuSURYOiBHT1RPLklRX0JVU0lORVNTX0RFU0NSSVBUSU9OAQAAAG+TahEDAAAAyQlQVCBHb1RvIEdvamVrIFRva29wZWRp</t>
  </si>
  <si>
    <t>YSBUYmsgcHJvdmlkZXMgYW5kIG9wZXJhdGVzIG9uLWRlbWFuZCBzZXJ2aWNlcyBpbiBJbmRvbmVzaWEgYW5kIGludGVybmF0aW9uYWxseS4gSXQgb2ZmZXJzIEdvamVrIG9uLWRlbWFuZCBzZXJ2aWNlcywgaW5jbHVkaW5nIG1vYmlsaXR5LCBmb29kIGRlbGl2ZXJ5LCBhbmQgbG9naXN0aWNzIHRocm91Z2ggZWxlY3Ryb25pYyBtZWRpYSwgc29mdHdhcmUgcGxhdGZvcm1zLCBvciBhcHBsaWNhdGlvbnMgdG8gbWljcm8tZW50cmVwcmVuZXVyczsgR29UbyBGaW5hbmNpYWwgdGVjaG5vbG9neSBzb2x1dGlvbnMsIGluY2x1ZGluZyBjb25zdW1lciBwYXltZW50cywgbGVuZGluZywgYW5kIG1lcmNoYW50IHNlcnZpY2VzOyBhbmQgZS1jb21tZXJjZSBzZXJ2aWNlcy4gVGhlIGNvbXBhbnkgYWxzbyBlbmdhZ2VzIGluIHJldGFpbCB0cmFkaW5nIG9mIG1vdG9yIHZlaGljbGUgZXF1aXBtZW50OyB3aG9sZXNhbGUgdHJhZGluZzsgZGlnaXRhbCBpZGVudGl0eSBwcm92aXNpb24gYWN0aXZpdGllczsgcHJvZmVzc2lvbmFsLCBhbmQgc2NpZW50aWZpYyBhbmQgdGVjaG5pY2FsIGFjdGl2aXRpZXM7IHJlcGFpciBvZiBjb21tdW5pY2F0aW9uIGVxdWlwbWVudDsgYW5kIG9wZXJhdGlvbiBvZiBlLWNvbW1lcmNlIG1hcmtldHBsYWNlIGFuZCBkaWdpdGFsIHBsYXRmb3JtLiBJbiBhZGRpdGlvbiwgaXQgcHJvdmlkZXMg</t>
  </si>
  <si>
    <t>bWFuYWdlbWVudCBjb25zdWx0YW5jeSwgc29mdHdhcmUgZGV2ZWxvcG1lbnQsIHBhY2thZ2UgY291cmllciwgZWxlY3Ryb25pYyBjZXJ0aWZpY2F0ZSBhbmQgZGlnaXRhbCBpZGVudGl0eSwgZmluYW5jaWFsIGludGVybWVkaWFyeSwgbW9iaWxlIGFkdmVydGlzaW5nLCBkYXRhIHByb2Nlc3NpbmcgYW5kIGluZm9ybWF0aW9uLCBtb3RvciB2ZWhpY2xlIHJlbnRhbCwgbW9iaWxlIGFuZCBmaXhlZCBhZHZlcnRpc2luZywgdHJhbnNwb3J0YXRpb24sIG9ubGluZSByZXRhaWwsIHdlYiBwb3J0YWwsIGZpbmFuY2lhbCB0cmFuc2FjdGlvbiBhbmQgcGF5bWVudCB0ZWNobm9sb2d5LCBhbmQgcG9pbnQtb2Ytc2FsZXMgdGVjaG5vbG9neSwgZmluYW5jaW5nLCB0cmFkaW5nLCBmcmVpZ2h0LCBtYW5hZ2VtZW50IGFuZCBhZG1pbmlzdHJhdGlvbiwgYW5kIHdhcmVob3VzaW5nIGFuZCBzdG9yYWdlIHNlcnZpY2VzLiBUaGUgY29tcGFueSB3YXMgZm91bmRlZCBpbiAyMDA5IGFuZCBpcyBiYXNlZCBpbiBKYWthcnRhLCBJbmRvbmVzaWEuAH/TpAaXtd4IWl5lFJe13ggZQ0lRLklEWDogR09UTy5JUV9FWENIQU5HRQEAAABvk2oRAwAAAANJRFgAf9OkBpe13ghaXmUUl7XeCB1DSVEuSURYOiBHT1RPLklRX0NPVU5UUllfTkFNRQEAAABvk2oRAwAAAAlJbmRvbmVzaWEAf9OkBpe13ghaXmUUl7XeCBxDSVEuTllTRTogU0Uu</t>
  </si>
  <si>
    <t>SVFfQ09NUEFOWV9OQU1FAQAAAPsCZxkDAAAAC1NlYSBMaW1pdGVkAH/TpAaXtd4IWl5lFJe13ggkQ0lRLk5ZU0U6IFNFLklRX0JVU0lORVNTX0RFU0NSSVBUSU9OAQAAAPsCZxkDAAAAgApTZWEgTGltaXRlZCwgdGhyb3VnaCBpdHMgc3Vic2lkaWFyaWVzLCBvcGVyYXRlcyBhcyBhIHRlY2hub2xvZ3kgY29tcGFueSBpbiBTb3V0aGVhc3QgQXNpYSwgTGF0aW4gQW1lcmljYSwgdGhlIHJlc3Qgb2YgQXNpYSwgYW5kIGludGVybmF0aW9uYWxseS4gVGhlIGNvbXBhbnkgb3BlcmF0ZXMgdGhyb3VnaCBFLWNvbW1lcmNlLCBEaWdpdGFsIEZpbmFuY2lhbCBTZXJ2aWNlcywgYW5kIERpZ2l0YWwgRW50ZXJ0YWlubWVudCBzZWdtZW50cy4gSXQgb2ZmZXJzIEdhcmVuYSwgYSBkaWdpdGFsIGVudGVydGFpbm1lbnQgcGxhdGZvcm0gZm9yIHVzZXJzIHRvIGFjY2VzcyBtb2JpbGUgYW5kIFBDIG9ubGluZSBnYW1lcywgYXMgd2VsbCBhcyBwcm9tb3RlcyBlU3BvcnRzIG9wZXJhdGlvbnMgYW5kIGRldmVsb3BzIGdhbWVzLiBUaGUgY29tcGFueSBhbHNvIG9wZXJhdGVzIHRoZSBTaG9wZWUgZS1jb21tZXJjZSBwbGF0Zm9ybSwgYSBtb2JpbGUtY2VudHJpYyBtYXJrZXRwbGFjZSB0aGF0IHByb3ZpZGVzIGludGVncmF0ZWQgcGF5bWVudHMsIGxvZ2lzdGljcyBhbmQgZnVsZmlsbG1lbnQgaW5mcmFzdHJ1Y3R1cmUsIGFu</t>
  </si>
  <si>
    <t>ZCBvdGhlciB2YWx1ZS1hZGRlZCBzZXJ2aWNlcy4gSW4gYWRkaXRpb24sIGl0IG9mZmVycyBNb25lZSBkaWdpdGFsIGZpbmFuY2lhbCBzZXJ2aWNlcyBjb21wcmlzaW5nIGNvbnN1bWVyLCBhbmQgc21hbGwgYW5kIG1lZGl1bS1zaXplZCBlbnRlcnByaXNlcyAoU01FKSBjcmVkaXQsIGUtIHdhbGxldHMsIHBheW1lbnQgcHJvY2Vzc2luZywgYmFua2luZywgSW5zdXJ0ZWNoLCBhbmQgd2VhbHRoIHNlcnZpY2VzOyBhbmQgYWN0cyBhcyBhbiB1bmRlcndyaXRlciBmb3IgdmFyaW91cyBsaWZlIGFuZCBub24tbGlmZSBpbnN1cmFuY2UgcHJvZHVjdHMgdW5kZXIgdGhlIE1vbmVlSW5zdXJlIHRyYWRlbmFtZSwgYXMgd2VsbCBhcyBpbnN1cmFuY2UgYWdlbmN5IHNlcnZpY2VzLiBJdCBzZXJ2ZXMgYnV5ZXJzLCBzdWNoIGFzIGluZGl2aWR1YWxzIGFuZCBob3VzZWhvbGRzOyBhbmQgc2VsbGVycywgaW5jbHVkaW5nIHNtYWxsIGFuZCBtZWRpdW0gYnVzaW5lc3NlcywgYnJhbmRzLCBhbmQgbGFyZ2UgcmV0YWlsZXJzLiBUaGUgY29tcGFueSB3YXMgZm9ybWVybHkga25vd24gYXMgR2FyZW5hIEludGVyYWN0aXZlIEhvbGRpbmcgTGltaXRlZCBhbmQgY2hhbmdlZCBpdHMgbmFtZSB0byBTZWEgTGltaXRlZCBpbiBBcHJpbCAyMDE3LiBTZWEgTGltaXRlZCB3YXMgaW5jb3Jwb3JhdGVkIGluIDIwMDkgYW5kIGlzIGhl</t>
  </si>
  <si>
    <t>YWRxdWFydGVyZWQgaW4gU2luZ2Fwb3JlLgB/06QGl7XeCFpeZRSXtd4IGENJUS5OWVNFOiBTRS5JUV9FWENIQU5HRQEAAAD7AmcZAwAAAAROWVNFAH/TpAaXtd4IgfFiFJe13ggcQ0lRLk5ZU0U6IFNFLklRX0NPVU5UUllfTkFNRQEAAAD7AmcZAwAAAAlTaW5nYXBvcmUAf9OkBpe13giB8WIUl7XeCB1DSVEuTllTRTpVQkVSLklRX0NPTVBBTllfTkFNRQEAAAAwRp0IAwAAABdVYmVyIFRlY2hub2xvZ2llcywgSW5jLgB/06QGl7XeCIHxYhSXtd4IJUNJUS5OWVNFOlVCRVIuSVFfQlVTSU5FU1NfREVTQ1JJUFRJT04BAAAAMEadCAMAAACtC1ViZXIgVGVjaG5vbG9naWVzLCBJbmMuIGRldmVsb3BzIGFuZCBvcGVyYXRlcyBwcm9wcmlldGFyeSB0ZWNobm9sb2d5IGFwcGxpY2F0aW9ucyBpbiB0aGUgVW5pdGVkIFN0YXRlcywgQ2FuYWRhLCBMYXRpbiBBbWVyaWNhLCBFdXJvcGUsIHRoZSBNaWRkbGUgRWFzdCwgQWZyaWNhLCBhbmQgdGhlIEFzaWEgUGFjaWZpYy4gVGhlIGNvbXBhbnkgb3BlcmF0ZXMgdGhyb3VnaCB0aHJlZSBzZWdtZW50czogTW9iaWxpdHksIERlbGl2ZXJ5LCBhbmQgRnJlaWdodC4gVGhlIE1vYmlsaXR5IHNlZ21lbnQgY29ubmVjdHMgY29uc3VtZXJzIHdpdGggYSByYW5nZSBvZiB0cmFuc3BvcnRhdGlvbiBtb2RhbGl0aWVzLCBzdWNoIGFzIHJpZGVzaGFyaW5nLCBjYXJzaGFyaW5nLCBt</t>
  </si>
  <si>
    <t>aWNyb21vYmlsaXR5LCByZW50YWxzLCBwdWJsaWMgdHJhbnNpdCwgdGF4aXMsIGFuZCBvdGhlciBtb2RhbGl0aWVzOyBhbmQgb2ZmZXJzIHJpZGVycyBpbiBhIHZhcmlldHkgb2YgdmVoaWNsZSB0eXBlcywgYXMgd2VsbCBhcyBmaW5hbmNpYWwgcGFydG5lcnNoaXBzIHByb2R1Y3RzIGFuZCBhZHZlcnRpc2luZyBzZXJ2aWNlcy4gVGhlIERlbGl2ZXJ5IHNlZ21lbnQgYWxsb3dzIGNvbnN1bWVycyB0byBzZWFyY2ggZm9yIGFuZCBkaXNjb3ZlciByZXN0YXVyYW50cyB0byBncm9jZXJ5LCBhbGNvaG9sLCBjb252ZW5pZW5jZSwgYW5kIG90aGVyIHJldGFpbGVycywgYXMgd2VsbCBhcyBvcmRlciBhIG1lYWwgb3Igb3RoZXIgaXRlbXMsIGFuZCBlaXRoZXIgcGljay11cCBhdCB0aGUgcmVzdGF1cmFudCBvciBoYXZlIGl0IGRlbGl2ZXJlZDsgYW5kIHByb3ZpZGVzIFViZXIgZGlyZWN0LCBhIHdoaXRlLWxhYmVsIGRlbGl2ZXJ5LWFzLWEtc2VydmljZSBmb3IgcmV0YWlsZXJzIGFuZCByZXN0YXVyYW50cywgYXMgd2VsbCBhcyBhZHZlcnRpc2luZyBzZXJ2aWNlcy4gVGhlIEZyZWlnaHQgc2VnbWVudCBtYW5hZ2VzIHRyYW5zcG9ydGF0aW9uIGFuZCBsb2dpc3RpY3MgbmV0d29ya3MsIHdoaWNoIGNvbm5lY3RzIHNoaXBwZXJzIGFuZCBjYXJyaWVycyBpbiBkaWdpdGFsIG1hcmtldHBsYWNlLCBpbmNsdWRpbmcg</t>
  </si>
  <si>
    <t>Y2FycmllcnMgdXBmcm9udHMsIHByaWNpbmcsIGFuZCBzaGlwbWVudCBib29raW5nOyBhbmQgb2ZmZXJzIG9uLWRlbWFuZCBwbGF0Zm9ybSB0byBhdXRvbWF0ZSBsb2dpc3RpY3MgZW5kLXRvLWVuZCB0cmFuc2FjdGlvbnMgZm9yIHNtYWxsLWFuZCBtZWRpdW0tc2l6ZWQgYnVzaW5lc3NlcyB0byBnbG9iYWwgZW50ZXJwcmlzZXMuIFRoZSBjb21wYW55IHdhcyBmb3JtZXJseSBrbm93biBhcyBVYmVyY2FiLCBJbmMuIGFuZCBjaGFuZ2VkIGl0cyBuYW1lIHRvIFViZXIgVGVjaG5vbG9naWVzLCBJbmMuIGluIEZlYnJ1YXJ5IDIwMTEuIFViZXIgVGVjaG5vbG9naWVzLCBJbmMuIHdhcyBmb3VuZGVkIGluIDIwMDkgYW5kIGlzIGhlYWRxdWFydGVyZWQgaW4gU2FuIEZyYW5jaXNjbywgQ2FsaWZvcm5pYS4Af9OkBpe13giB8WIUl7XeCBlDSVEuTllTRTpVQkVSLklRX0VYQ0hBTkdFAQAAADBGnQgDAAAABE5ZU0UAf9OkBpe13giB8WIUl7XeCB1DSVEuTllTRTpVQkVSLklRX0NPVU5UUllfTkFNRQEAAAAwRp0IAwAAAA1Vbml0ZWQgU3RhdGVzAH/TpAaXtd4IgfFiFJe13gghQ0lRLk5BU0RBUUdTOkxZRlQuSVFfQ09NUEFOWV9OQU1FAQAAAFUxhAMDAAAACkx5ZnQsIEluYy4Af9OkBpe13giB8WIUl7XeCClDSVEuTkFTREFRR1M6TFlGVC5JUV9CVVNJTkVTU19ERVNDUklQVElPTgEAAABVMYQDAwAAAIgITHlmdCwg</t>
  </si>
  <si>
    <t>SW5jLiBvcGVyYXRlcyBtdWx0aW1vZGFsIHRyYW5zcG9ydGF0aW9uIG5ldHdvcmtzIHRoYXQgb2ZmZXIgYWNjZXNzIHRvIHZhcmlvdXMgdHJhbnNwb3J0YXRpb24gb3B0aW9ucyB0aHJvdWdoIHBsYXRmb3JtIGFuZCBtb2JpbGUgYmFzZWQgYXBwbGljYXRpb25zIGluIHRoZSBVbml0ZWQgU3RhdGVzIGFuZCBpbnRlcm5hdGlvbmFsbHkuIFRoZSBjb21wYW55IGZhY2lsaXRhdGVzIHBlZXItdG8tcGVlciByaWRlc2hhcmluZyBieSBjb25uZWN0aW5nIGRyaXZlcnMgd2hvIGhhdmUgdmVoaWNsZXMgd2l0aCByaWRlcnMgd2hvIG5lZWQgYSByaWRlLiBJdCBhbHNvIG9wZXJhdGVzIEx5ZnQgUGxhdGZvcm0gdGhhdCBwcm92aWRlcyBhIG1hcmtldHBsYWNlIHdoZXJlIGRyaXZlcnMgY2FuIGJlIG1hdGNoZWQgd2l0aCByaWRlcnMgdmlhIHRoZSBMeWZ0IG1vYmlsZSBhcHBsaWNhdGlvbi4gVGhlIGNvbXBhbnnigJlzIHBsYXRmb3JtIHByb3ZpZGVzIGEgcmlkZXNoYXJpbmcgbWFya2V0cGxhY2UgdGhhdCBjb25uZWN0cyBkcml2ZXJzIHdpdGggcmlkZXJzOyBFeHByZXNzIERyaXZlLCBhIGNhciByZW50YWwgcHJvZ3JhbSBmb3IgZHJpdmVyczsgYW5kIGEgbmV0d29yayBvZiBzaGFyZWQgYmlrZXMgYW5kIHNjb290ZXJzIGluIHZhcmlvdXMgY2l0aWVzIHRvIGFkZHJlc3MgdGhlIG5lZWRzIG9mIHJpZGVycyBmb3Ig</t>
  </si>
  <si>
    <t>c2hvcnQgdHJpcHMuIEluIGFkZGl0aW9uLCBpdCBvZmZlcnMgbGljZW5zaW5nIGFuZCBkYXRhIGFjY2VzcyBhZ3JlZW1lbnRzOyBzZWxscyBiaWtlcyBhbmQgYmlrZSBzdGF0aW9uIHNvZnR3YXJlIGFuZCBoYXJkd2FyZTsgYW5kIHByb3ZpZGVzIGFkdmVydGlzaW5nIHNlcnZpY2VzLiBUaGUgY29tcGFueSB3YXMgZm9ybWVybHkga25vd24gYXMgWmltcmlkZSwgSW5jLiBhbmQgY2hhbmdlZCBpdHMgbmFtZSB0byBMeWZ0LCBJbmMuIGluIEFwcmlsIDIwMTMuIEx5ZnQsIEluYy4gd2FzIGluY29ycG9yYXRlZCBpbiAyMDA3IGFuZCBpcyBoZWFkcXVhcnRlcmVkIGluIFNhbiBGcmFuY2lzY28sIENhbGlmb3JuaWEuAH/TpAaXtd4IgfFiFJe13ggdQ0lRLk5BU0RBUUdTOkxZRlQuSVFfRVhDSEFOR0UBAAAAVTGEAwMAAAAITmFzZGFxR1MAf9OkBpe13giB8WIUl7XeCCFDSVEuTkFTREFRR1M6TFlGVC5JUV9DT1VOVFJZX05BTUUBAAAAVTGEAwMAAAANVW5pdGVkIFN0YXRlcwB/06QGl7XeCIHxYhSXtd4IIENJUS5PVENQSzpESURJLlkuSVFfQ09NUEFOWV9OQU1FAQAAAMlmrGMDAAAAEERpRGkgR2xvYmFsIEluYy4Af9OkBpe13giB8WIUl7XeCChDSVEuT1RDUEs6RElESS5ZLklRX0JVU0lORVNTX0RFU0NSSVBUSU9OAQAAAMlmrGMDAAAAsgVEaURpIEdsb2JhbCBJbmMuIG9wZXJhdGVzIGEgbW9iaWxpdHkgdGVj</t>
  </si>
  <si>
    <t>aG5vbG9neSBwbGF0Zm9ybSB0aGF0IHByb3ZpZGVzIHZhcmlvdXMgbW9iaWxpdHkgYW5kIG90aGVyIHNlcnZpY2VzIGluIHRoZSBQZW9wbGUncyBSZXB1YmxpYyBvZiBDaGluYSwgQnJhemlsLCBNZXhpY28sIGFuZCBpbnRlcm5hdGlvbmFsbHkuIFRoZSBjb21wYW55IG9wZXJhdGVzIHRocm91Z2ggdGhyZWUgc2VnbWVudHM6IENoaW5hIE1vYmlsaXR5LCBJbnRlcm5hdGlvbmFsLCBhbmQgT3RoZXIgSW5pdGlhdGl2ZXMuIEl0IG9mZmVycyByaWRlIGhhaWxpbmcsIGNoYXVmZmV1ciwgaGl0Y2gsIG9ubGluZSB0YXhpLCBhbmQgb3RoZXIgZm9ybXMgb2Ygc2hhcmVkIG1vYmlsaXR5IHNlcnZpY2VzOyBmb29kIGRlbGl2ZXJ5IGFuZCBmaW5hbmNpYWwgc2VydmljZXM7IGFuZCBiaWtlIGFuZCBlLWJpa2Ugc2hhcmluZywgZW5lcmd5IGFuZCB2ZWhpY2xlLCBpbnRyYS1jaXR5IGZyZWlnaHQsIGFuZCBhdXRvbm9tb3VzIGRyaXZpbmcgc2VydmljZXMuIFRoZSBjb21wYW55IHdhcyBmb3JtZXJseSBrbm93biBhcyBYaWFvanUgS3VhaXpoaSBJbmMuIGFuZCBjaGFuZ2VkIGl0cyBuYW1lIHRvIERpRGkgR2xvYmFsIEluYy4gaW4gSnVuZSAyMDIxLiBUaGUgY29tcGFueSB3YXMgZm91bmRlZCBpbiAyMDEyIGFuZCBpcyBiYXNlZCBpbiBCZWlqaW5nLCBDaGluYS4Af9OkBpe13giB8WIUl7XeCBxDSVEuT1RDUEs6RElE</t>
  </si>
  <si>
    <t>SS5ZLklRX0VYQ0hBTkdFAQAAAMlmrGMDAAAABU9UQ1BLAH/TpAaXtd4IgfFiFJe13gggQ0lRLk9UQ1BLOkRJREkuWS5JUV9DT1VOVFJZX05BTUUBAAAAyWasYwMAAAAFQ2hpbmEAf9OkBpe13giB8WIUl7XeCB1DSVEuU0VISzozNjkwLklRX0NPTVBBTllfTkFNRQEAAAAtdc0GAwAAAAdNZWl0dWFuAH/TpAaXtd4IgfFiFJe13gglQ0lRLlNFSEs6MzY5MC5JUV9CVVNJTkVTU19ERVNDUklQVElPTgEAAAAtdc0GAwAAANkGTWVpdHVhbiBvcGVyYXRlcyBhcyBhIHRlY2hub2xvZ3kgZHJpdmVuIHJldGFpbCBjb21wYW55IGluIHRoZSBQZW9wbGXigJlzIFJlcHVibGljIG9mIENoaW5hLCBIb25nIEtvbmcsIE1hY2FvLCBUYWl3YW4sIGFuZCBpbnRlcm5hdGlvbmFsbHkuIEl0IG9wZXJhdGVzIHRocm91Z2ggQ29yZSBMb2NhbCBDb21tZXJjZSBhbmQgTmV3IEluaXRpYXRpdmVzIHNlZ21lbnRzLiBUaGUgY29tcGFueSBvZmZlcnMgZGFpbHkgZ29vZHMgYW5kIHNlcnZpY2VzLCBzdWNoIGFzIGZvb2QgZGVsaXZlcnksIGluLXN0b3JlLCBob3RlbCBhbmQgdHJhdmVsIGJvb2tpbmcsIGFuZCBvdGhlciBzZXJ2aWNlcyBhbmQgc2FsZXM7IGJpa2Ugc2hhcmluZywgZS1tb3BlZCBzaGFyaW5nLCBwb3dlciBiYW5rcyBhbmQgbWljcm8tY3JlZGl0OyBhbmQgb3BlcmF0ZXMgS3VhaWx2IGFuZCBYaWFveGlhbmcgU3VwZXJt</t>
  </si>
  <si>
    <t>YXJrZXRzLiBJdCBhbHNvIHNlbGxzIGdvb2RzIGZyb20gQjJCIGZvb2QgZGlzdHJpYnV0aW9uIHNlcnZpY2VzOyBwcm92aWRlcyBvbmxpbmUgbWFya2V0aW5nIHNlcnZpY2VzIHRvIG1lcmNoYW50czsgZS1jb21tZXJjZTsgbXVsdGltZWRpYSBpbmZvcm1hdGlvbiB0ZWNobm9sb2d5OyBvbmxpbmUgcmV0YWlsIHBsYXRmb3JtOyBjbG91ZCBjb21wdXRpbmc7IGFuZCBtZXJjaGFudCBpbmZvcm1hdGlvbiBhZHZpc29yeSBzZXJ2aWNlcy4gVGhlIGNvbXBhbnkgd2FzIGZvcm1lcmx5IGtub3duIGFzIE1laXR1YW4gRGlhbnBpbmcgYW5kIGNoYW5nZWQgaXRzIG5hbWUgdG8gTWVpdHVhbiBpbiBPY3RvYmVyIDIwMjAuIE1laXR1YW4gd2FzIGZvdW5kZWQgaW4gMjAwMyBhbmQgaXMgaGVhZHF1YXJ0ZXJlZCBpbiBCZWlqaW5nLCBDaGluYS4Af9OkBpe13giB8WIUl7XeCBlDSVEuU0VISzozNjkwLklRX0VYQ0hBTkdFAQAAAC11zQYDAAAABFNFSEsAf9OkBpe13giB8WIUl7XeCB1DSVEuU0VISzozNjkwLklRX0NPVU5UUllfTkFNRQEAAAAtdc0GAwAAAAVDaGluYQB/06QGl7XeCIHxYhSXtd4IHUNJUS5YVFJBOkRIRVIuSVFfQ09NUEFOWV9OQU1FAQAAAKq2YggDAAAAEERlbGl2ZXJ5IEhlcm8gU0UAf9OkBpe13giB8WIUl7XeCCVDSVEuWFRSQTpESEVSLklRX0JVU0lORVNTX0RFU0NSSVBUSU9OAQAAAKq2YggDAAAA</t>
  </si>
  <si>
    <t>vQJEZWxpdmVyeSBIZXJvIFNFIHByb3ZpZGVzIG9ubGluZSBmb29kIG9yZGVyaW5nLCBxdWljayBjb21tZXJjZSwgYW5kIGRlbGl2ZXJ5IHNlcnZpY2VzLiBUaGUgY29tcGFueSBhbHNvIG9mZmVycyBhZHZlcnRpc2luZyBzZXJ2aWNlcy4gSXQgb3BlcmF0ZXMgaW4gYXBwcm94aW1hdGVseSA3MCBjb3VudHJpZXMgYWNyb3NzIEFzaWEsIHRoZSBNaWRkbGUgRWFzdCwgQWZyaWNhLCBFdXJvcGUsIGFuZCBMYXRpbiBBbWVyaWNhLiBEZWxpdmVyeSBIZXJvIFNFIHdhcyBmb3VuZGVkIGluIDIwMTEgYW5kIGlzIGhlYWRxdWFydGVyZWQgaW4gQmVybGluLCBHZXJtYW55LgB/06QGl7XeCIHxYhSXtd4IGUNJUS5YVFJBOkRIRVIuSVFfRVhDSEFOR0UBAAAAqrZiCAMAAAAEWFRSQQB/06QGl7XeCNZ9YBSXtd4IHUNJUS5YVFJBOkRIRVIuSVFfQ09VTlRSWV9OQU1FAQAAAKq2YggDAAAAB0dlcm1hbnkAf9OkBpe13gjWfWAUl7XeCCFDSVEuTkFTREFRR1M6REFTSC5JUV9DT01QQU5ZX05BTUUBAAAApxyHDgMAAAAORG9vckRhc2gsIEluYy4Af9OkBpe13gjWfWAUl7XeCClDSVEuTkFTREFRR1M6REFTSC5JUV9CVVNJTkVTU19ERVNDUklQVElPTgEAAACnHIcOAwAAAP8HRG9vckRhc2gsIEluYy4sIHRvZ2V0aGVyIHdpdGggaXRzIHN1YnNpZGlhcmllcywgb3BlcmF0ZXMgYSBjb21tZXJjZSBwbGF0Zm9ybSB0aGF0IGNv</t>
  </si>
  <si>
    <t>bm5lY3RzIG1lcmNoYW50cywgY29uc3VtZXJzLCBhbmQgZGFzaGVycyBpbiB0aGUgVW5pdGVkIFN0YXRlcyBhbmQgaW50ZXJuYXRpb25hbGx5LiBUaGUgY29tcGFueSBvcGVyYXRlcyBEb29yRGFzaCBNYXJrZXRwbGFjZSwgV29sdCBNYXJrZXRwbGFjZSwgYW5kIERlbGl2ZXJvbyBNYXJrZXRwbGFjZSwgd2hpY2ggcHJvdmlkZSB2YXJpb3VzIHNlcnZpY2VzLCBzdWNoIGFzIGN1c3RvbWVyIGFjcXVpc2l0aW9uLCBkZW1hbmQgZ2VuZXJhdGlvbiwgb3JkZXIgZnVsZmlsbG1lbnQsIG1lcmNoYW5kaXNpbmcsIHBheW1lbnQgcHJvY2Vzc2luZywgYW5kIGN1c3RvbWVyIHN1cHBvcnQuIEl0IGFsc28gb2ZmZXJzIGNvbnN1bWVyIG1lbWJlcnNoaXAgcHJvZ3JhbXMsIERhc2hQYXNzLCBXb2x0KywgYW5kIERlbGl2ZXJvbyBQbHVzOyBhZHZlcnRpc2luZyBhcyBhIHZhbHVlLWFkZGVkIHNlcnZpY2UgdGhyb3VnaCBpdHMgbWFya2V0cGxhY2VzOyBhbmQgd2hpdGUtbGFiZWwgZGVsaXZlcnkgZnVsZmlsbG1lbnQgc2VydmljZXMsIGFzIHdlbGwgYXMgc2VydmljZXMgdGhhdCBoZWxwIG1lcmNoYW50cyBlc3RhYmxpc2ggb25saW5lIG9yZGVyaW5nLCBidWlsZCBicmFuZGVkIG1vYmlsZSBhcHBzLCBtYW5hZ2UgcmVzZXJ2YXRpb25zIGFuZCBpbi1zdG9yZSBkaW5pbmcsIG1hbmFnZSBjb25zdW1lciByZWxhdGlvbnNo</t>
  </si>
  <si>
    <t>aXBzLCBlbmFibGUgdGFibGVzaWRlIG9yZGVyIGFuZCBwYXksIGFuZCBpbXByb3ZlIGN1c3RvbWVyIHN1cHBvcnQuIFRoZSBjb21wYW55IHdhcyBmb3JtZXJseSBrbm93biBhcyBQYWxvIEFsdG8gRGVsaXZlcnkgSW5jLiBhbmQgY2hhbmdlZCBpdHMgbmFtZSB0byBEb29yRGFzaCwgSW5jLiBpbiAyMDE1LiBEb29yRGFzaCwgSW5jLiB3YXMgZm91bmRlZCBpbiAyMDEzIGFuZCBpcyBoZWFkcXVhcnRlcmVkIGluIFNhbiBGcmFuY2lzY28sIENhbGlmb3JuaWEuAH/TpAaXtd4I1n1gFJe13ggdQ0lRLk5BU0RBUUdTOkRBU0guSVFfRVhDSEFOR0UBAAAApxyHDgMAAAAITmFzZGFxR1MAf9OkBpe13gjWfWAUl7XeCCFDSVEuTkFTREFRR1M6REFTSC5JUV9DT1VOVFJZX05BTUUBAAAApxyHDgMAAAANVW5pdGVkIFN0YXRlcwB/06QGl7XeCNZ9YBSXtd4IH0NJUS5ERk06VEFMQUJBVC5JUV9DT01QQU5ZX05BTUUBAAAA2b6CbgMAAAATVGFsYWJhdCBIb2xkaW5nIHBsYwB/06QGl7XeCNZ9YBSXtd4IJ0NJUS5ERk06VEFMQUJBVC5JUV9CVVNJTkVTU19ERVNDUklQVElPTgEAAADZvoJuAwAAAI4IVGFsYWJhdCBIb2xkaW5nIHBsYyBvcGVyYXRlcyBhcyBhbiBvbi1kZW1hbmQgb25saW5lIGZvb2Qgb3JkZXJpbmcsIGRlbGl2ZXJ5LCB0YWtlYXdheSBhbmQgZ3JvY2VyaWVzLCBhbmQgY29udmVuaWVuY2UgcmV0YWlsIG1h</t>
  </si>
  <si>
    <t>cmtldHBsYWNlIGluIHRoZSBVbml0ZWQgQXJhYiBFbWlyYXRlcywgS3V3YWl0LCBRYXRhciwgQmFocmFpbiwgRWd5cHQsIE9tYW4sIEpvcmRhbiwgSXJhcSwgYW5kIGludGVybmF0aW9uYWxseS4gVGhlIGNvbXBhbnnigJlzIG9ubGluZSBmb29kIG9yZGVyaW5nIG9mZmVycyBjdXN0b21lcnMgdG8gb3JkZXIgZm9vZCBmcm9tIHBhcnRuZXIgcmVzdGF1cmFudHM7IGFuZCBncm9jZXJpZXMsIHBoYXJtYWN5IHByb2R1Y3RzLCBmb29kIGFuZCBiZXZlcmFnZXMsIHNuYWNrcywgaG91c2Vob2xkIGl0ZW1zLCBhbmQgcGVyc29uYWwgY2FyZSBwcm9kdWN0cyBmcm9tIHZhcmlvdXMgbG9jYWwgcGFydG5lcnMsIGluY2x1ZGluZyBncm9jZXJ5IHN0b3JlcywgcGhhcm1hY2llcywgYW5kIGZsb3dlciBzaG9wcywgYXMgd2VsbCBhcyBpdHMgb3duIHdhcmVob3VzaW5nIGFuZCBkaXN0cmlidXRpb24gY2VudGVycyBkZXNpZ25lZCBmb3IgdGhlIGZ1bGZpbG1lbnQgb2Ygb25saW5lIGFuZCBvbi1kZW1hbmQgb3JkZXJzIG9mIGNvbnZlbmllbmNlIHByb2R1Y3RzIGFuZCBncm9jZXJpZXMuIFRoZSBjb21wYW55IGFsc28gb2ZmZXJzIGxvZ2lzdGljcyBzZXJ2aWNlcywgcmV0YWlsIHNhbGVzIHRocm91Z2ggdGhlIGludGVybmV0LCBzdHJ1Y3R1cmVkIGZpbmFuY2luZywgc29mdHdhcmUgZGV2ZWxvcG1lbnQsIGFuZCB0aGUg</t>
  </si>
  <si>
    <t>b3BlcmF0aW9uIG9mIGNsb3VkIGtpdGNoZW5zIGFuZCBkZWxpdmVyeS1vbmx5IHN0b3Jlcy4gVGFsYWJhdCBIb2xkaW5nIHBsYyB3YXMgZm91bmRlZCBpbiAyMDA0IGFuZCBpcyBoZWFkcXVhcnRlcmVkIGluIER1YmFpLCB0aGUgVW5pdGVkIEFyYWIgRW1pcmF0ZXMuIFRhbGFiYXQgSG9sZGluZyBwbGMgb3BlcmF0ZXMgYXMgYSBzdWJzaWRpYXJ5IG9mIERlbGl2ZXJ5IEhlcm8gTUVOQSBIb2xkaW5nIEdtYkguAH/TpAaXtd4I1n1gFJe13ggbQ0lRLkRGTTpUQUxBQkFULklRX0VYQ0hBTkdFAQAAANm+gm4DAAAAA0RGTQB/06QGl7XeCNZ9YBSXtd4IH0NJUS5ERk06VEFMQUJBVC5JUV9DT1VOVFJZX05BTUUBAAAA2b6CbgMAAAAUVW5pdGVkIEFyYWIgRW1pcmF0ZXMAf9OkBpe13gjWfWAUl7XeCDFDSVEuTkFTREFRR1M6R1JBQi5JUV9DVVNUT01fQkVUQS4tNVkuMzEvMTIvMjAyNS5XAQAAAHGZziMCAAAAEDEuMjgwNzc5MTE5Mjg1MDYAf9OkBpe13ggWMSQll7XeCC1DSVEuSURYOiBHT1RPLklRX0NVU1RPTV9CRVRBLi01WS4zMS8xMi8yMDI1LlcBAAAAb5NqEQIAAAARMC45NzMxODU3MDk0OTM4MjIAf9OkBpe13ggWMSQll7XeCCxDSVEuTllTRTogU0UuSVFfQ1VTVE9NX0JFVEEuLTVZLjMxLzEyLzIwMjUuVwEAAAD7AmcZAgAAABAxLjc3NTkyNDkzMjI2NjU3AH/TpAaXtd4IFjEkJZe13ggtQ0lRLk5ZU0U6</t>
  </si>
  <si>
    <t>VUJFUi5JUV9DVVNUT01fQkVUQS4tNVkuMzEvMTIvMjAyNS5XAQAAADBGnQgCAAAAEDEuMzQ2MDQ2ODAyNTc0NDMAf9OkBpe13ggWMSQll7XeCDFDSVEuTkFTREFRR1M6TFlGVC5JUV9DVVNUT01fQkVUQS4tNVkuMzEvMTIvMjAyNS5XAQAAAFUxhAMCAAAAEDEuNjU2NTk1NzcxMDEyNTkAf9OkBpe13ggWMSQll7XeCDBDSVEuT1RDUEs6RElESS5ZLklRX0NVU1RPTV9CRVRBLi01WS4zMS8xMi8yMDI1LlcBAAAAyWasYwIAAAAQMS40NDg1MDQ1MDk4Mzc1OQB/06QGl7XeCBYxJCWXtd4ILUNJUS5TRUhLOjM2OTAuSVFfQ1VTVE9NX0JFVEEuLTVZLjMxLzEyLzIwMjUuVwEAAAAtdc0GAgAAABAxLjAxMzQ2MzI1NTYwMzE0AH/TpAaXtd4IRJgmJZe13ggtQ0lRLlhUUkE6REhFUi5JUV9DVVNUT01fQkVUQS4tNVkuMzEvMTIvMjAyNS5XAQAAAKq2YggCAAAAEDEuODg1MTgwMDY0NjQ3NjUAf9OkBpe13ghEmCYll7XeCDFDSVEuTkFTREFRR1M6REFTSC5JUV9DVVNUT01fQkVUQS4tNVkuMzEvMTIvMjAyNS5XAQAAAKcchw4CAAAAEDEuNzIyNjk0MDExMzUxMjMAf9OkBpe13ghEmCYll7XeCC9DSVEuREZNOlRBTEFCQVQuSVFfQ1VTVE9NX0JFVEEuLTVZLjMxLzEyLzIwMjUuVwEAAADZvoJuAgAAABEwLjQ3MDA4MTE3MjA5OTQ5NQB/06QGl7XeCESYJiWXtd4IMENJUS5OQVNEQVFHUzpHUkFCLklRX0VCSVRfTUFSR0lO</t>
  </si>
  <si>
    <t>LjEwMDAuMzEvMTIvMjAyNQEAAABxmc4jAgAAAAYyLjM3MzgBCAAAAAUAAAABMQEAAAALLTE5MDMwNzk3MzcDAAAAAzE2MAIAAAAENDA1MwQAAAABMAcAAAAKMTIvMzEvMjAyNQgAAAAKMTIvMzEvMjAyNQkAAAABMH/TpAaXtd4IFjEkJZe13gg3Q0lRLk5BU0RBUUdTOkdSQUIuSVFfVE9UQUxfREVCVC41MDAuMzEvMTIvMjAyNS5MRlIuLlNHRAEAAABxmc4jAgAAAAoyMDQ4Ljk2NDM5AQgAAAAFAAAAATEBAAAACy0xOTAzMDc4OTMxAwAAAAMxMzgCAAAABDQxNzMEAAAAATAHAAAACjEyLzMxLzIwMjUIAAAACjEyLzMxLzIwMjUJAAAAATB/06QGl7XeCBYxJCWXtd4INENJUS5OQVNEQVFHUzpHUkFCLklRX0VGRkVDVF9UQVhfUkFURS4xMDAwLjMxLzEyLzIwMjUBAAAAcZnOIwIAAAAHMjUuNjUwNQEIAAAABQAAAAExAQAAAAstMTkwMzA3OTczNwMAAAADMTYwAgAAAAQ0Mzc2BAAAAAEwBwAAAAoxMi8zMS8yMDI1CAAAAAoxMi8zMS8yMDI1CQAAAAEwf9OkBpe13ggWMSQll7XeCC9DSVEuTkFTREFRR1M6R1JBQi5JUV9QRVJJT0REQVRFLjEwMDAuMzEvMTIvMjAyNQEAAABxmc4jBQAAAAozMS8xMi8yMDI1AH/TpAaXtd4IFjEkJZe13ggsQ0lRLklEWDogR09UTy5JUV9FQklUX01BUkdJTi4xMDAwLjMxLzEyLzIwMjUBAAAAb5NqEQIAAAAHLTIuMDY0NAEIAAAABQAAAAExAQAAAAstMTkwMjE0NjczOAMAAAACNjkC</t>
  </si>
  <si>
    <t>AAAABDQwNTMEAAAAATAHAAAACjEyLzMxLzIwMjUIAAAACjEyLzMxLzIwMjUJAAAAATB/06QGl7XeCBYxJCWXtd4IM0NJUS5JRFg6IEdPVE8uSVFfVE9UQUxfREVCVC41MDAuMzEvMTIvMjAyNS5MRlIuLlNHRAEAAABvk2oRAgAAAAo1OTYuMTkxMjU0AQgAAAAFAAAAATEBAAAACy0xOTAyMTQ2NzE3AwAAAAMxMzgCAAAABDQxNzMEAAAAATAHAAAACjEyLzMxLzIwMjUIAAAACjEyLzMxLzIwMjUJAAAAATB/06QGl7XeCBYxJCWXtd4IMENJUS5JRFg6IEdPVE8uSVFfRUZGRUNUX1RBWF9SQVRFLjEwMDAuMzEvMTIvMjAyNQEAAABvk2oRAwAAAAJOTQEIAAAABQAAAAExAQAAAAstMTkwMjE0NjczOAMAAAACNjkCAAAABDQzNzYEAAAAATAHAAAACjEyLzMxLzIwMjUIAAAACjEyLzMxLzIwMjUJAAAAATB/06QGl7XeCBYxJCWXtd4IK0NJUS5OWVNFOiBTRS5JUV9FQklUX01BUkdJTi4xMDAwLjMxLzEyLzIwMjUBAAAA+wJnGQIAAAAGOC42NTQ5AQgAAAAFAAAAATEBAAAACy0xODk2MjIzOTAzAwAAAAMxNjACAAAABDQwNTMEAAAAATAHAAAACjEyLzMxLzIwMjUIAAAACjEyLzMxLzIwMjUJAAAAATB/06QGl7XeCBYxJCWXtd4IMkNJUS5OWVNFOiBTRS5JUV9UT1RBTF9ERUJULjUwMC4zMS8xMi8yMDI1LkxGUi4uU0dEAQAAAPsCZxkCAAAACzQzNDIuMTE1Njg3AQgAAAAFAAAAATEBAAAACy0xODk2MjIzMjg2AwAAAAMx</t>
  </si>
  <si>
    <t>MzgCAAAABDQxNzMEAAAAATAHAAAACjEyLzMxLzIwMjUIAAAACjEyLzMxLzIwMjUJAAAAATB/06QGl7XeCBYxJCWXtd4IL0NJUS5OWVNFOiBTRS5JUV9FRkZFQ1RfVEFYX1JBVEUuMTAwMC4zMS8xMi8yMDI1AQAAAPsCZxkCAAAABzI4Ljc4MzcBCAAAAAUAAAABMQEAAAALLTE4OTYyMjM5MDMDAAAAAzE2MAIAAAAENDM3NgQAAAABMAcAAAAKMTIvMzEvMjAyNQgAAAAKMTIvMzEvMjAyNQkAAAABMH/TpAaXtd4IFjEkJZe13ggqQ0lRLk5ZU0U6IFNFLklRX1BFUklPRERBVEUuMTAwMC4zMS8xMi8yMDI1AQAAAPsCZxkFAAAACjMxLzEyLzIwMjUAf9OkBpe13ggWMSQll7XeCCxDSVEuTllTRTpVQkVSLklRX0VCSVRfTUFSR0lOLjEwMDAuMzEvMTIvMjAyNQEAAAAwRp0IAgAAAAcxMC42OTg0AQgAAAAFAAAAATEBAAAACy0xOTA2NjkzNDIxAwAAAAMxNjACAAAABDQwNTMEAAAAATAHAAAACjEyLzMxLzIwMjUIAAAACjEyLzMxLzIwMjUJAAAAATB/06QGl7XeCBYxJCWXtd4IM0NJUS5OWVNFOlVCRVIuSVFfVE9UQUxfREVCVC41MDAuMzEvMTIvMjAyNS5MRlIuLlNHRAEAAAAwRp0IAgAAAAsxNTgyMy4yMDE0NgEIAAAABQAAAAExAQAAAAstMTkwNjY5MTc2MwMAAAADMTM4AgAAAAQ0MTczBAAAAAEwBwAAAAoxMi8zMS8yMDI1CAAAAAoxMi8zMS8yMDI1CQAAAAEwf9OkBpe13ggWMSQll7XeCDBDSVEuTllTRTpVQkVS</t>
  </si>
  <si>
    <t>LklRX0VGRkVDVF9UQVhfUkFURS4xMDAwLjMxLzEyLzIwMjUBAAAAMEadCAMAAAACTk0BCAAAAAUAAAABMQEAAAALLTE5MDY2OTM0MjEDAAAAAzE2MAIAAAAENDM3NgQAAAABMAcAAAAKMTIvMzEvMjAyNQgAAAAKMTIvMzEvMjAyNQkAAAABMH/TpAaXtd4IFjEkJZe13ggrQ0lRLk5ZU0U6VUJFUi5JUV9QRVJJT0REQVRFLjEwMDAuMzEvMTIvMjAyNQEAAAAwRp0IBQAAAAozMS8xMi8yMDI1AH/TpAaXtd4IFjEkJZe13ggwQ0lRLk5BU0RBUUdTOkxZRlQuSVFfRUJJVF9NQVJHSU4uMTAwMC4zMS8xMi8yMDI1AQAAAFUxhAMCAAAABy0yLjY2NzMBCAAAAAUAAAABMQEAAAALLTE5MDcyMjc1MzgDAAAAAzE2MAIAAAAENDA1MwQAAAABMAcAAAAKMTIvMzEvMjAyNQgAAAAKMTIvMzEvMjAyNQkAAAABMH/TpAaXtd4IFjEkJZe13gg3Q0lRLk5BU0RBUUdTOkxZRlQuSVFfVE9UQUxfREVCVC41MDAuMzEvMTIvMjAyNS5MRlIuLlNHRAEAAABVMYQDAgAAAAoxNjkzLjA3MDk4AQgAAAAFAAAAATEBAAAACy0xOTA3MjE5OTY3AwAAAAMxMzgCAAAABDQxNzMEAAAAATAHAAAACjEyLzMxLzIwMjUIAAAACjEyLzMxLzIwMjUJAAAAATB/06QGl7XeCBYxJCWXtd4INENJUS5OQVNEQVFHUzpMWUZULklRX0VGRkVDVF9UQVhfUkFURS4xMDAwLjMxLzEyLzIwMjUBAAAAVTGEAwMAAAACTk0BCAAAAAUAAAABMQEAAAALLTE5MDcyMjc1</t>
  </si>
  <si>
    <t>MzgDAAAAAzE2MAIAAAAENDM3NgQAAAABMAcAAAAKMTIvMzEvMjAyNQgAAAAKMTIvMzEvMjAyNQkAAAABMH/TpAaXtd4IFjEkJZe13ggvQ0lRLk5BU0RBUUdTOkxZRlQuSVFfUEVSSU9EREFURS4xMDAwLjMxLzEyLzIwMjUBAAAAVTGEAwUAAAAKMzEvMTIvMjAyNQB/06QGl7XeCBYxJCWXtd4IL0NJUS5PVENQSzpESURJLlkuSVFfRUJJVF9NQVJHSU4uMTAwMC4zMS8xMi8yMDI1AQAAAMlmrGMCAAAABy0xLjYwMDkBCAAAAAUAAAABMQEAAAALLTE4OTcxNjMyNDUDAAAAAjMyAgAAAAQ0MDUzBAAAAAEwBwAAAAoxMi8zMS8yMDI1CAAAAAoxMi8zMS8yMDI1CQAAAAEwf9OkBpe13ggWMSQll7XeCDZDSVEuT1RDUEs6RElESS5ZLklRX1RPVEFMX0RFQlQuNTAwLjMxLzEyLzIwMjUuTEZSLi5TR0QBAAAAyWasYwIAAAALMjUzMS4yODUzMzYBCAAAAAUAAAABMQEAAAALLTE4OTcxNjI1MzQDAAAAAzEzOAIAAAAENDE3MwQAAAABMAcAAAAKMTIvMzEvMjAyNQgAAAAKMTIvMzEvMjAyNQkAAAABMH/TpAaXtd4IFjEkJZe13ggzQ0lRLk9UQ1BLOkRJREkuWS5JUV9FRkZFQ1RfVEFYX1JBVEUuMTAwMC4zMS8xMi8yMDI1AQAAAMlmrGMDAAAAAk5NAQgAAAAFAAAAATEBAAAACy0xODk3MTYzMjQ1AwAAAAIzMgIAAAAENDM3NgQAAAABMAcAAAAKMTIvMzEvMjAyNQgAAAAKMTIvMzEvMjAyNQkAAAABMH/TpAaXtd4IFjEkJZe1</t>
  </si>
  <si>
    <t>3gguQ0lRLk9UQ1BLOkRJREkuWS5JUV9QRVJJT0REQVRFLjEwMDAuMzEvMTIvMjAyNQEAAADJZqxjBQAAAAozMS8xMi8yMDI1AH/TpAaXtd4IFjEkJZe13ggsQ0lRLlNFSEs6MzY5MC5JUV9FQklUX01BUkdJTi4xMDAwLjMxLzEyLzIwMjUBAAAALXXNBgIAAAAHLTguNTA2NAEIAAAABQAAAAExAQAAAAstMTg5NDc5MjUyNgMAAAACMzICAAAABDQwNTMEAAAAATAHAAAACjEyLzMxLzIwMjUIAAAACjEyLzMxLzIwMjUJAAAAATB/06QGl7XeCBYxJCWXtd4IM0NJUS5TRUhLOjM2OTAuSVFfVE9UQUxfREVCVC41MDAuMzEvMTIvMjAyNS5MRlIuLlNHRAEAAAAtdc0GAgAAAAwxNTkyOC43NTYyMjYBCAAAAAUAAAABMQEAAAALLTE4OTQ2ODI2NDYDAAAAAzEzOAIAAAAENDE3MwQAAAABMAcAAAAKMTIvMzEvMjAyNQgAAAAKMTIvMzEvMjAyNQkAAAABMH/TpAaXtd4IFjEkJZe13ggwQ0lRLlNFSEs6MzY5MC5JUV9FRkZFQ1RfVEFYX1JBVEUuMTAwMC4zMS8xMi8yMDI1AQAAAC11zQYDAAAAAk5NAQgAAAAFAAAAATEBAAAACy0xODk0NzkyNTI2AwAAAAIzMgIAAAAENDM3NgQAAAABMAcAAAAKMTIvMzEvMjAyNQgAAAAKMTIvMzEvMjAyNQkAAAABMH/TpAaXtd4IRJgmJZe13ggrQ0lRLlNFSEs6MzY5MC5JUV9QRVJJT0REQVRFLjEwMDAuMzEvMTIvMjAyNQEAAAAtdc0GBQAAAAozMS8xMi8yMDI1AH/TpAaXtd4IRJgmJZe1</t>
  </si>
  <si>
    <t>3ggsQ0lRLlhUUkE6REhFUi5JUV9FQklUX01BUkdJTi4xMDAwLjMxLzEyLzIwMjUBAAAAqrZiCAIAAAAGMC42NjY0AQgAAAAFAAAAATEBAAAACy0xOTAwMTIyMzQ3AwAAAAI1MAIAAAAENDA1MwQAAAABMAcAAAAKMTIvMzEvMjAyNQgAAAAKMTIvMzEvMjAyNQkAAAABMH/TpAaXtd4IRJgmJZe13ggzQ0lRLlhUUkE6REhFUi5JUV9UT1RBTF9ERUJULjUwMC4zMS8xMi8yMDI1LkxGUi4uU0dEAQAAAKq2YggCAAAACzY5ODUuMzkwMjM3AQgAAAAFAAAAATEBAAAACy0xOTAwMTIxMzkxAwAAAAMxMzgCAAAABDQxNzMEAAAAATAHAAAACjEyLzMxLzIwMjUIAAAACjEyLzMxLzIwMjUJAAAAATB/06QGl7XeCESYJiWXtd4IMENJUS5YVFJBOkRIRVIuSVFfRUZGRUNUX1RBWF9SQVRFLjEwMDAuMzEvMTIvMjAyNQEAAACqtmIIAwAAAAJOTQEIAAAABQAAAAExAQAAAAstMTkwMDEyMjM0NwMAAAACNTACAAAABDQzNzYEAAAAATAHAAAACjEyLzMxLzIwMjUIAAAACjEyLzMxLzIwMjUJAAAAATB/06QGl7XeCESYJiWXtd4IK0NJUS5YVFJBOkRIRVIuSVFfUEVSSU9EREFURS4xMDAwLjMxLzEyLzIwMjUBAAAAqrZiCAUAAAAKMzEvMTIvMjAyNQB/06QGl7XeCESYJiWXtd4IMENJUS5OQVNEQVFHUzpEQVNILklRX0VCSVRfTUFSR0lOLjEwMDAuMzEvMTIvMjAyNQEAAACnHIcOAgAAAAU2LjEzMQEIAAAABQAAAAExAQAAAAstMTkw</t>
  </si>
  <si>
    <t>NTk3OTE3OAMAAAADMTYwAgAAAAQ0MDUzBAAAAAEwBwAAAAoxMi8zMS8yMDI1CAAAAAoxMi8zMS8yMDI1CQAAAAEwf9OkBpe13ghEmCYll7XeCDdDSVEuTkFTREFRR1M6REFTSC5JUV9UT1RBTF9ERUJULjUwMC4zMS8xMi8yMDI1LkxGUi4uU0dEAQAAAKcchw4CAAAACTQyMzEuNjk2NwEIAAAABQAAAAExAQAAAAstMTkwNTk3ODY1OAMAAAADMTM4AgAAAAQ0MTczBAAAAAEwBwAAAAoxMi8zMS8yMDI1CAAAAAoxMi8zMS8yMDI1CQAAAAEwf9OkBpe13ghEmCYll7XeCDRDSVEuTkFTREFRR1M6REFTSC5JUV9FRkZFQ1RfVEFYX1JBVEUuMTAwMC4zMS8xMi8yMDI1AQAAAKcchw4CAAAABjAuNzQ1NAEIAAAABQAAAAExAQAAAAstMTkwNTk3OTE3OAMAAAADMTYwAgAAAAQ0Mzc2BAAAAAEwBwAAAAoxMi8zMS8yMDI1CAAAAAoxMi8zMS8yMDI1CQAAAAEwf9OkBpe13ghEmCYll7XeCC9DSVEuTkFTREFRR1M6REFTSC5JUV9QRVJJT0REQVRFLjEwMDAuMzEvMTIvMjAyNQEAAACnHIcOBQAAAAozMS8xMi8yMDI1AH/TpAaXtd4IRJgmJZe13gguQ0lRLkRGTTpUQUxBQkFULklRX0VCSVRfTUFSR0lOLjEwMDAuMzEvMTIvMjAyNQEAAADZvoJuAgAAAAcxNC40MTk2AQgAAAAFAAAAATEBAAAACy0xOTA2NzAwOTg0AwAAAAMxNjACAAAABDQwNTMEAAAAATAHAAAACjEyLzMxLzIwMjUIAAAACjEyLzMxLzIwMjUJAAAAATB/06QG</t>
  </si>
  <si>
    <t>l7XeCESYJiWXtd4INUNJUS5ERk06VEFMQUJBVC5JUV9UT1RBTF9ERUJULjUwMC4zMS8xMi8yMDI1LkxGUi4uU0dEAQAAANm+gm4CAAAACjE5Ni41MzAwMzIBCAAAAAUAAAABMQEAAAALLTE5MDY2OTk1NjIDAAAAAzEzOAIAAAAENDE3MwQAAAABMAcAAAAKMTIvMzEvMjAyNQgAAAAKMTIvMzEvMjAyNQkAAAABMH/TpAaXtd4IRJgmJZe13ggyQ0lRLkRGTTpUQUxBQkFULklRX0VGRkVDVF9UQVhfUkFURS4xMDAwLjMxLzEyLzIwMjUBAAAA2b6CbgIAAAAGMTEuOTc3AQgAAAAFAAAAATEBAAAACy0xOTA2NzAwOTg0AwAAAAMxNjACAAAABDQzNzYEAAAAATAHAAAACjEyLzMxLzIwMjUIAAAACjEyLzMxLzIwMjUJAAAAATB/06QGl7XeCESYJiWXtd4ILUNJUS5ERk06VEFMQUJBVC5JUV9QRVJJT0REQVRFLjEwMDAuMzEvMTIvMjAyNQEAAADZvoJuBQAAAAozMS8xMi8yMDI1AH/TpAaXtd4IRJgmJZe13gg2Q0lRLk5BU0RBUUdTOkdSQUIuSVFfVE9UQUxfUkVWLkZZMjAxNS4zMS8xMi8yMDI1Li4uU0dEAQAAAHGZziMDAAAAAAB/06QGl7XeCBYxJCWXtd4INkNJUS5OQVNEQVFHUzpHUkFCLklRX1RPVEFMX1JFVi5GWTIwMTYuMzEvMTIvMjAyNS4uLlNHRAEAAABxmc4jAwAAAAAAf9OkBpe13ggWMSQll7XeCDZDSVEuTkFTREFRR1M6R1JBQi5JUV9UT1RBTF9SRVYuRlkyMDE3LjMxLzEyLzIwMjUuLi5TR0QBAAAAcZnO</t>
  </si>
  <si>
    <t>IwMAAAAAAH/TpAaXtd4IFjEkJZe13gg2Q0lRLk5BU0RBUUdTOkdSQUIuSVFfVE9UQUxfUkVWLkZZMjAxOC4zMS8xMi8yMDI1Li4uU0dEAQAAAHGZziMDAAAAAAB/06QGl7XeCBYxJCWXtd4INkNJUS5OQVNEQVFHUzpHUkFCLklRX1RPVEFMX1JFVi5GWTIwMTkuMzEvMTIvMjAyNS4uLlNHRAEAAABxmc4jAgAAAAstMTEzNi41MTY1NQEIAAAABQAAAAExAQAAAAstMjA5OTgyNDgyMQMAAAADMTM4AgAAAAIyOAQAAAABMAcAAAAKMTIvMzEvMjAyNQgAAAAKMTIvMzEvMjAxOQkAAAABMH/TpAaXtd4IFjEkJZe13gg2Q0lRLk5BU0RBUUdTOkdSQUIuSVFfVE9UQUxfUkVWLkZZMjAyMC4zMS8xMi8yMDI1Li4uU0dEAQAAAHGZziMCAAAACTYxOS45MTAxMwEIAAAABQAAAAExAQAAAAstMjA0OTgwMjUwMgMAAAADMTM4AgAAAAIyOAQAAAABMAcAAAAKMTIvMzEvMjAyNQgAAAAKMTIvMzEvMjAyMAkAAAABMH/TpAaXtd4IFjEkJZe13gg2Q0lRLk5BU0RBUUdTOkdSQUIuSVFfVE9UQUxfUkVWLkZZMjAyMS4zMS8xMi8yMDI1Li4uU0dEAQAAAHGZziMCAAAACDkxMC4wMjE1AQgAAAAFAAAAATEBAAAACy0yMDA0MjU4ODg3AwAAAAMxMzgCAAAAAjI4BAAAAAEwBwAAAAoxMi8zMS8yMDI1CAAAAAoxMi8zMS8yMDIxCQAAAAEwf9OkBpe13ggWMSQll7XeCDZDSVEuTkFTREFRR1M6R1JBQi5JUV9UT1RBTF9SRVYuRlkyMDIyLjMx</t>
  </si>
  <si>
    <t>LzEyLzIwMjUuLi5TR0QBAAAAcZnOIwIAAAAKMTkyMS40NTIzOAEIAAAABQAAAAExAQAAAAstMTk1NTc3Mjc5OAMAAAADMTM4AgAAAAIyOAQAAAABMAcAAAAKMTIvMzEvMjAyNQgAAAAKMTIvMzEvMjAyMgkAAAABMH/TpAaXtd4IFjEkJZe13gg2Q0lRLk5BU0RBUUdTOkdSQUIuSVFfVE9UQUxfUkVWLkZZMjAyMy4zMS8xMi8yMDI1Li4uU0dEAQAAAHGZziMCAAAACjMxMTMuNzM4NDYBCAAAAAUAAAABMQEAAAALLTE5NTU3NzI4MTUDAAAAAzEzOAIAAAACMjgEAAAAATAHAAAACjEyLzMxLzIwMjUIAAAACjEyLzMxLzIwMjMJAAAAATB/06QGl7XeCBYxJCWXtd4INkNJUS5OQVNEQVFHUzpHUkFCLklRX1RPVEFMX1JFVi5GWTIwMjQuMzEvMTIvMjAyNS4uLlNHRAEAAABxmc4jAgAAAAozODE3LjIwNTc1AQgAAAAFAAAAATEBAAAACy0xOTU1NzcyNzk5AwAAAAMxMzgCAAAAAjI4BAAAAAEwBwAAAAoxMi8zMS8yMDI1CAAAAAoxMi8zMS8yMDI0CQAAAAEwf9OkBpe13ggWMSQll7XeCDZDSVEuTkFTREFRR1M6R1JBQi5JUV9UT1RBTF9SRVYuRlkyMDI1LjMxLzEyLzIwMjUuLi5TR0QBAAAAcZnOIwMAAAAAAH/TpAaXtd4IFjEkJZe13ggyQ0lRLklEWDogR09UTy5JUV9UT1RBTF9SRVYuRlkyMDE1LjMxLzEyLzIwMjUuLi5TR0QBAAAAb5NqEQMAAAAAAH/TpAaXtd4IFjEkJZe13ggyQ0lRLklEWDogR09UTy5JUV9UT1RB</t>
  </si>
  <si>
    <t>TF9SRVYuRlkyMDE2LjMxLzEyLzIwMjUuLi5TR0QBAAAAb5NqEQMAAAAAAH/TpAaXtd4IFjEkJZe13ggyQ0lRLklEWDogR09UTy5JUV9UT1RBTF9SRVYuRlkyMDE3LjMxLzEyLzIwMjUuLi5TR0QBAAAAb5NqEQMAAAAAAH/TpAaXtd4IFjEkJZe13ggyQ0lRLklEWDogR09UTy5JUV9UT1RBTF9SRVYuRlkyMDE4LjMxLzEyLzIwMjUuLi5TR0QBAAAAb5NqEQIAAAAJMTM1LjY4ODUyAQgAAAAFAAAAATEBAAAACy0yMTA3NjgzNjk2AwAAAAMxMzgCAAAAAjI4BAAAAAEwBwAAAAoxMi8zMS8yMDI1CAAAAAoxMi8zMS8yMDE4CQAAAAEwf9OkBpe13ggWMSQll7XeCDJDSVEuSURYOiBHT1RPLklRX1RPVEFMX1JFVi5GWTIwMTkuMzEvMTIvMjAyNS4uLlNHRAEAAABvk2oRAgAAAAoyMjMuOTI3MjY5AQgAAAAFAAAAATEBAAAACy0yMTA3NjgzNjk0AwAAAAMxMzgCAAAAAjI4BAAAAAEwBwAAAAoxMi8zMS8yMDI1CAAAAAoxMi8zMS8yMDE5CQAAAAEwf9OkBpe13ggWMSQll7XeCDJDSVEuSURYOiBHT1RPLklRX1RPVEFMX1JFVi5GWTIwMjAuMzEvMTIvMjAyNS4uLlNHRAEAAABvk2oRAgAAAAozMTUuODE1MzM4AQgAAAAFAAAAATEBAAAACy0yMDkyNzkxODc4AwAAAAMxMzgCAAAAAjI4BAAAAAEwBwAAAAoxMi8zMS8yMDI1CAAAAAoxMi8zMS8yMDIwCQAAAAEwf9OkBpe13ggWMSQll7XeCDJDSVEuSURYOiBHT1RPLklRX1RP</t>
  </si>
  <si>
    <t>VEFMX1JFVi5GWTIwMjEuMzEvMTIvMjAyNS4uLlNHRAEAAABvk2oRAgAAAAo0MjkuMjE0ODEyAQgAAAAFAAAAATEBAAAACy0yMDU0NjMzMTQ5AwAAAAMxMzgCAAAAAjI4BAAAAAEwBwAAAAoxMi8zMS8yMDI1CAAAAAoxMi8zMS8yMDIxCQAAAAEwf9OkBpe13ggWMSQll7XeCDJDSVEuSURYOiBHT1RPLklRX1RPVEFMX1JFVi5GWTIwMjIuMzEvMTIvMjAyNS4uLlNHRAEAAABvk2oRAgAAAAo5NzkuOTU1MTc0AQgAAAAFAAAAATEBAAAACy0yMDA1NDMwMjI0AwAAAAMxMzgCAAAAAjI4BAAAAAEwBwAAAAoxMi8zMS8yMDI1CAAAAAoxMi8zMS8yMDIyCQAAAAEwf9OkBpe13ggWMSQll7XeCDJDSVEuSURYOiBHT1RPLklRX1RPVEFMX1JFVi5GWTIwMjMuMzEvMTIvMjAyNS4uLlNHRAEAAABvk2oRAgAAAAsxMjY2LjEyNjAzNgEIAAAABQAAAAExAQAAAAstMTk1NjE2NDUxMQMAAAADMTM4AgAAAAIyOAQAAAABMAcAAAAKMTIvMzEvMjAyNQgAAAAKMTIvMzEvMjAyMwkAAAABMH/TpAaXtd4IFjEkJZe13ggyQ0lRLklEWDogR09UTy5JUV9UT1RBTF9SRVYuRlkyMDI0LjMxLzEyLzIwMjUuLi5TR0QBAAAAb5NqEQIAAAALMTM0Ny41MDA2OTkBCAAAAAUAAAABMQEAAAALLTE5NTYxNjQ1MTADAAAAAzEzOAIAAAACMjgEAAAAATAHAAAACjEyLzMxLzIwMjUIAAAACjEyLzMxLzIwMjQJAAAAATB/06QGl7XeCBYxJCWXtd4IMkNJ</t>
  </si>
  <si>
    <t>US5JRFg6IEdPVE8uSVFfVE9UQUxfUkVWLkZZMjAyNS4zMS8xMi8yMDI1Li4uU0dEAQAAAG+TahEDAAAAAAB/06QGl7XeCBYxJCWXtd4IMUNJUS5OWVNFOiBTRS5JUV9UT1RBTF9SRVYuRlkyMDE1LjMxLzEyLzIwMjUuLi5TR0QBAAAA+wJnGQIAAAAJNDEzLjk5MjI5AQgAAAAFAAAAATEBAAAACjE4ODIyOTYzNTMDAAAAAzEzOAIAAAACMjgEAAAAATAHAAAACjEyLzMxLzIwMjUIAAAACjEyLzMxLzIwMTUJAAAAATB/06QGl7XeCJrJISWXtd4IMUNJUS5OWVNFOiBTRS5JUV9UT1RBTF9SRVYuRlkyMDE2LjMxLzEyLzIwMjUuLi5TR0QBAAAA+wJnGQIAAAAKNDk5LjU4OTkzOAEIAAAABQAAAAExAQAAAAoxOTQ4MTYwMTE2AwAAAAMxMzgCAAAAAjI4BAAAAAEwBwAAAAoxMi8zMS8yMDI1CAAAAAoxMi8zMS8yMDE2CQAAAAEwf9OkBpe13giaySEll7XeCDFDSVEuTllTRTogU0UuSVFfVE9UQUxfUkVWLkZZMjAxNy4zMS8xMi8yMDI1Li4uU0dEAQAAAPsCZxkCAAAACjU1My41NDQyMjYBCAAAAAUAAAABMQEAAAAKMjAyODAwNTg1MwMAAAADMTM4AgAAAAIyOAQAAAABMAcAAAAKMTIvMzEvMjAyNQgAAAAKMTIvMzEvMjAxNwkAAAABMH/TpAaXtd4ImskhJZe13ggxQ0lRLk5ZU0U6IFNFLklRX1RPVEFMX1JFVi5GWTIwMTguMzEvMTIvMjAyNS4uLlNHRAEAAAD7AmcZAgAAAAsxMTI2LjYxOTg1NQEIAAAABQAAAAExAQAA</t>
  </si>
  <si>
    <t>AAoyMDg5NjI2ODQxAwAAAAMxMzgCAAAAAjI4BAAAAAEwBwAAAAoxMi8zMS8yMDI1CAAAAAoxMi8zMS8yMDE4CQAAAAEwf9OkBpe13giaySEll7XeCDFDSVEuTllTRTogU0UuSVFfVE9UQUxfUkVWLkZZMjAxOS4zMS8xMi8yMDI1Li4uU0dEAQAAAPsCZxkCAAAACzI5MjUuODYxNjU2AQgAAAAFAAAAATEBAAAACy0yMTAxOTU5MTY0AwAAAAMxMzgCAAAAAjI4BAAAAAEwBwAAAAoxMi8zMS8yMDI1CAAAAAoxMi8zMS8yMDE5CQAAAAEwf9OkBpe13giaySEll7XeCDFDSVEuTllTRTogU0UuSVFfVE9UQUxfUkVWLkZZMjAyMC4zMS8xMi8yMDI1Li4uU0dEAQAAAPsCZxkCAAAACzU3ODMuNjIxNDA1AQgAAAAFAAAAATEBAAAACy0yMDUzNjMwODQ3AwAAAAMxMzgCAAAAAjI4BAAAAAEwBwAAAAoxMi8zMS8yMDI1CAAAAAoxMi8zMS8yMDIwCQAAAAEwf9OkBpe13giaySEll7XeCDFDSVEuTllTRTogU0UuSVFfVE9UQUxfUkVWLkZZMjAyMS4zMS8xMi8yMDI1Li4uU0dEAQAAAPsCZxkCAAAADDEzNDIxLjM4ODA1NAEIAAAABQAAAAExAQAAAAstMTk5ODg1NjY5OAMAAAADMTM4AgAAAAIyOAQAAAABMAcAAAAKMTIvMzEvMjAyNQgAAAAKMTIvMzEvMjAyMQkAAAABMH/TpAaXtd4ImskhJZe13ggxQ0lRLk5ZU0U6IFNFLklRX1RPVEFMX1JFVi5GWTIwMjIuMzEvMTIvMjAyNS4uLlNHRAEAAAD7AmcZAgAAAAwxNjY5My4zMTE0</t>
  </si>
  <si>
    <t>NDYBCAAAAAUAAAABMQEAAAALLTE5NTA3NTM3ODADAAAAAzEzOAIAAAACMjgEAAAAATAHAAAACjEyLzMxLzIwMjUIAAAACjEyLzMxLzIwMjIJAAAAATB/06QGl7XeCJrJISWXtd4IMUNJUS5OWVNFOiBTRS5JUV9UT1RBTF9SRVYuRlkyMDIzLjMxLzEyLzIwMjUuLi5TR0QBAAAA+wJnGQIAAAAMMTcyNDMuMTE1Mzg2AQgAAAAFAAAAATEBAAAACy0xOTUwNzUzNzc5AwAAAAMxMzgCAAAAAjI4BAAAAAEwBwAAAAoxMi8zMS8yMDI1CAAAAAoxMi8zMS8yMDIzCQAAAAEwf9OkBpe13giaySEll7XeCDFDSVEuTllTRTogU0UuSVFfVE9UQUxfUkVWLkZZMjAyNC4zMS8xMi8yMDI1Li4uU0dEAQAAAPsCZxkCAAAADDIyOTU0LjkxMjEyNAEIAAAABQAAAAExAQAAAAstMTk1MDc1Mzc3NgMAAAADMTM4AgAAAAIyOAQAAAABMAcAAAAKMTIvMzEvMjAyNQgAAAAKMTIvMzEvMjAyNAkAAAABMH/TpAaXtd4ImskhJZe13ggxQ0lRLk5ZU0U6IFNFLklRX1RPVEFMX1JFVi5GWTIwMjUuMzEvMTIvMjAyNS4uLlNHRAEAAAD7AmcZAwAAAAAAf9OkBpe13giaySEll7XeCDJDSVEuTllTRTpVQkVSLklRX1RPVEFMX1JFVi5GWTIwMTUuMzEvMTIvMjAyNS4uLlNHRAEAAAAwRp0IAwAAAAAAf9OkBpe13ggWMSQll7XeCDJDSVEuTllTRTpVQkVSLklRX1RPVEFMX1JFVi5GWTIwMTYuMzEvMTIvMjAyNS4uLlNHRAEAAAAwRp0IAgAAAAk1NTU3</t>
  </si>
  <si>
    <t>LjEwMTYBCAAAAAUAAAABMQEAAAAKMTk2NDYxNDkxNAMAAAADMTM4AgAAAAIyOAQAAAABMAcAAAAKMTIvMzEvMjAyNQgAAAAKMTIvMzEvMjAxNgkAAAABMH/TpAaXtd4IFjEkJZe13ggyQ0lRLk5ZU0U6VUJFUi5JUV9UT1RBTF9SRVYuRlkyMDE3LjMxLzEyLzIwMjUuLi5TR0QBAAAAMEadCAIAAAAKMTA2MDAuNzIxNAEIAAAABQAAAAExAQAAAAoyMDE4ODkyNDUzAwAAAAMxMzgCAAAAAjI4BAAAAAEwBwAAAAoxMi8zMS8yMDI1CAAAAAoxMi8zMS8yMDE3CQAAAAEwf9OkBpe13ggWMSQll7XeCDJDSVEuTllTRTpVQkVSLklRX1RPVEFMX1JFVi5GWTIwMTguMzEvMTIvMjAyNS4uLlNHRAEAAAAwRp0IAgAAAAsxNDIxMy4zOTc1NQEIAAAABQAAAAExAQAAAAoyMDgyNTAxMTY5AwAAAAMxMzgCAAAAAjI4BAAAAAEwBwAAAAoxMi8zMS8yMDI1CAAAAAoxMi8zMS8yMDE4CQAAAAEwf9OkBpe13ggWMSQll7XeCDJDSVEuTllTRTpVQkVSLklRX1RPVEFMX1JFVi5GWTIwMTkuMzEvMTIvMjAyNS4uLlNHRAEAAAAwRp0IAgAAAAgxNzQ4NC44NwEIAAAABQAAAAExAQAAAAstMjExMDQ1NTIwMgMAAAADMTM4AgAAAAIyOAQAAAABMAcAAAAKMTIvMzEvMjAyNQgAAAAKMTIvMzEvMjAxOQkAAAABMH/TpAaXtd4ImskhJZe13ggyQ0lRLk5ZU0U6VUJFUi5JUV9UT1RBTF9SRVYuRlkyMDIwLjMxLzEyLzIwMjUuLi5TR0QBAAAAMEad</t>
  </si>
  <si>
    <t>CAIAAAALMTQ3MjMuMTk2MDMBCAAAAAUAAAABMQEAAAALLTIwNjAxNDc0MDcDAAAAAzEzOAIAAAACMjgEAAAAATAHAAAACjEyLzMxLzIwMjUIAAAACjEyLzMxLzIwMjAJAAAAATB/06QGl7XeCBYxJCWXtd4IMkNJUS5OWVNFOlVCRVIuSVFfVE9UQUxfUkVWLkZZMjAyMS4zMS8xMi8yMDI1Li4uU0dEAQAAADBGnQgCAAAACjIzNTMyLjQ4MTkBCAAAAAUAAAABMQEAAAALLTIwMTAxMjU4NTYDAAAAAzEzOAIAAAACMjgEAAAAATAHAAAACjEyLzMxLzIwMjUIAAAACjEyLzMxLzIwMjEJAAAAATB/06QGl7XeCJrJISWXtd4IMkNJUS5OWVNFOlVCRVIuSVFfVE9UQUxfUkVWLkZZMjAyMi4zMS8xMi8yMDI1Li4uU0dEAQAAADBGnQgCAAAACzQyNzQyLjU5NDIyAQgAAAAFAAAAATEBAAAACy0xOTU5NTU0NjY2AwAAAAMxMzgCAAAAAjI4BAAAAAEwBwAAAAoxMi8zMS8yMDI1CAAAAAoxMi8zMS8yMDIyCQAAAAEwf9OkBpe13giaySEll7XeCDJDSVEuTllTRTpVQkVSLklRX1RPVEFMX1JFVi5GWTIwMjMuMzEvMTIvMjAyNS4uLlNHRAEAAAAwRp0IAgAAAAs0OTIwOC42ODMxNAEIAAAABQAAAAExAQAAAAstMTk1OTU1NDY1NgMAAAADMTM4AgAAAAIyOAQAAAABMAcAAAAKMTIvMzEvMjAyNQgAAAAKMTIvMzEvMjAyMwkAAAABMH/TpAaXtd4IFjEkJZe13ggyQ0lRLk5ZU0U6VUJFUi5JUV9UT1RBTF9SRVYuRlkyMDI0LjMxLzEy</t>
  </si>
  <si>
    <t>LzIwMjUuLi5TR0QBAAAAMEadCAIAAAAKNjAwMTguOTc1NQEIAAAABQAAAAExAQAAAAstMTk1OTU1NDY2OAMAAAADMTM4AgAAAAIyOAQAAAABMAcAAAAKMTIvMzEvMjAyNQgAAAAKMTIvMzEvMjAyNAkAAAABMH/TpAaXtd4ImskhJZe13ggyQ0lRLk5ZU0U6VUJFUi5JUV9UT1RBTF9SRVYuRlkyMDI1LjMxLzEyLzIwMjUuLi5TR0QBAAAAMEadCAMAAAAAAH/TpAaXtd4ImskhJZe13gg2Q0lRLk5BU0RBUUdTOkxZRlQuSVFfVE9UQUxfUkVWLkZZMjAxNS4zMS8xMi8yMDI1Li4uU0dEAQAAAFUxhAMDAAAAAAB/06QGl7XeCJrJISWXtd4INkNJUS5OQVNEQVFHUzpMWUZULklRX1RPVEFMX1JFVi5GWTIwMTYuMzEvMTIvMjAyNS4uLlNHRAEAAABVMYQDAgAAAAo0OTYuMTYxNzMzAQgAAAAFAAAAATEBAAAACjE5NjQ4MDIxODADAAAAAzEzOAIAAAACMjgEAAAAATAHAAAACjEyLzMxLzIwMjUIAAAACjEyLzMxLzIwMTYJAAAAATB/06QGl7XeCJrJISWXtd4INkNJUS5OQVNEQVFHUzpMWUZULklRX1RPVEFMX1JFVi5GWTIwMTcuMzEvMTIvMjAyNS4uLlNHRAEAAABVMYQDAgAAAAsxNDE2LjQ3Nzk2MgEIAAAABQAAAAExAQAAAAoyMDE4MzE0NjkxAwAAAAMxMzgCAAAAAjI4BAAAAAEwBwAAAAoxMi8zMS8yMDI1CAAAAAoxMi8zMS8yMDE3CQAAAAEwf9OkBpe13giaySEll7XeCDZDSVEuTkFTREFRR1M6TFlGVC5JUV9UT1RB</t>
  </si>
  <si>
    <t>TF9SRVYuRlkyMDE4LjMxLzEyLzIwMjUuLi5TR0QBAAAAVTGEAwIAAAALMjkzOC4wNjU4MDgBCAAAAAUAAAABMQEAAAAKMjA4MjY4Njg1NAMAAAADMTM4AgAAAAIyOAQAAAABMAcAAAAKMTIvMzEvMjAyNQgAAAAKMTIvMzEvMjAxOAkAAAABMH/TpAaXtd4ImskhJZe13gg2Q0lRLk5BU0RBUUdTOkxZRlQuSVFfVE9UQUxfUkVWLkZZMjAxOS4zMS8xMi8yMDI1Li4uU0dEAQAAAFUxhAMCAAAACjQ4NjMuNDMwMDQBCAAAAAUAAAABMQEAAAALLTIxMDk4NjkzNTcDAAAAAzEzOAIAAAACMjgEAAAAATAHAAAACjEyLzMxLzIwMjUIAAAACjEyLzMxLzIwMTkJAAAAATB/06QGl7XeCJrJISWXtd4INkNJUS5OQVNEQVFHUzpMWUZULklRX1RPVEFMX1JFVi5GWTIwMjAuMzEvMTIvMjAyNS4uLlNHRAEAAABVMYQDAgAAAAszMTI1LjU2NDQwNQEIAAAABQAAAAExAQAAAAstMjA1OTI1MTUzNQMAAAADMTM4AgAAAAIyOAQAAAABMAcAAAAKMTIvMzEvMjAyNQgAAAAKMTIvMzEvMjAyMAkAAAABMH/TpAaXtd4ImskhJZe13gg2Q0lRLk5BU0RBUUdTOkxZRlQuSVFfVE9UQUxfUkVWLkZZMjAyMS4zMS8xMi8yMDI1Li4uU0dEAQAAAFUxhAMCAAAACzQzMjUuMzk2OTAyAQgAAAAFAAAAATEBAAAACy0yMDA5NTg2MjY3AwAAAAMxMzgCAAAAAjI4BAAAAAEwBwAAAAoxMi8zMS8yMDI1CAAAAAoxMi8zMS8yMDIxCQAAAAEwf9OkBpe13gia</t>
  </si>
  <si>
    <t>ySEll7XeCDZDSVEuTkFTREFRR1M6TFlGVC5JUV9UT1RBTF9SRVYuRlkyMDIyLjMxLzEyLzIwMjUuLi5TR0QBAAAAVTGEAwIAAAALNTQ5MS4wMDI3MTYBCAAAAAUAAAABMQEAAAALLTE5NTk0NzM1NDADAAAAAzEzOAIAAAACMjgEAAAAATAHAAAACjEyLzMxLzIwMjUIAAAACjEyLzMxLzIwMjIJAAAAATB/06QGl7XeCJrJISWXtd4INkNJUS5OQVNEQVFHUzpMWUZULklRX1RPVEFMX1JFVi5GWTIwMjMuMzEvMTIvMjAyNS4uLlNHRAEAAABVMYQDAgAAAAs1ODEyLjQ3MzI2NQEIAAAABQAAAAExAQAAAAstMTk1OTQ3MzU0MQMAAAADMTM4AgAAAAIyOAQAAAABMAcAAAAKMTIvMzEvMjAyNQgAAAAKMTIvMzEvMjAyMwkAAAABMH/TpAaXtd4ImskhJZe13gg2Q0lRLk5BU0RBUUdTOkxZRlQuSVFfVE9UQUxfUkVWLkZZMjAyNC4zMS8xMi8yMDI1Li4uU0dEAQAAAFUxhAMCAAAACzc4OTYuNDY1MzM2AQgAAAAFAAAAATEBAAAACy0xOTU5NDczNTI5AwAAAAMxMzgCAAAAAjI4BAAAAAEwBwAAAAoxMi8zMS8yMDI1CAAAAAoxMi8zMS8yMDI0CQAAAAEwf9OkBpe13giaySEll7XeCDZDSVEuTkFTREFRR1M6TFlGVC5JUV9UT1RBTF9SRVYuRlkyMDI1LjMxLzEyLzIwMjUuLi5TR0QBAAAAVTGEAwMAAAAAAH/TpAaXtd4ImskhJZe13gg1Q0lRLk9UQ1BLOkRJREkuWS5JUV9UT1RBTF9SRVYuRlkyMDE1LjMxLzEyLzIwMjUuLi5T</t>
  </si>
  <si>
    <t>R0QBAAAAyWasYwMAAAAAAH/TpAaXtd4IemQfJZe13gg1Q0lRLk9UQ1BLOkRJREkuWS5JUV9UT1RBTF9SRVYuRlkyMDE2LjMxLzEyLzIwMjUuLi5TR0QBAAAAyWasYwMAAAAAAH/TpAaXtd4IemQfJZe13gg1Q0lRLk9UQ1BLOkRJREkuWS5JUV9UT1RBTF9SRVYuRlkyMDE3LjMxLzEyLzIwMjUuLi5TR0QBAAAAyWasYwMAAAAAAH/TpAaXtd4IemQfJZe13gg1Q0lRLk9UQ1BLOkRJREkuWS5JUV9UT1RBTF9SRVYuRlkyMDE4LjMxLzEyLzIwMjUuLi5TR0QBAAAAyWasYwIAAAALMjY3OTguMTUwNTEBCAAAAAUAAAABMQEAAAALLTIxNDQyNDc3ODMDAAAAAzEzOAIAAAACMjgEAAAAATAHAAAACjEyLzMxLzIwMjUIAAAACjEyLzMxLzIwMTgJAAAAATB/06QGl7XeCHpkHyWXtd4INUNJUS5PVENQSzpESURJLlkuSVFfVE9UQUxfUkVWLkZZMjAxOS4zMS8xMi8yMDI1Li4uU0dEAQAAAMlmrGMCAAAADDI5ODk5LjI5Mzk5MQEIAAAABQAAAAExAQAAAAstMjA5OTE3NzQ4NQMAAAADMTM4AgAAAAIyOAQAAAABMAcAAAAKMTIvMzEvMjAyNQgAAAAKMTIvMzEvMjAxOQkAAAABMH/TpAaXtd4IemQfJZe13gg1Q0lRLk9UQ1BLOkRJREkuWS5JUV9UT1RBTF9SRVYuRlkyMDIwLjMxLzEyLzIwMjUuLi5TR0QBAAAAyWasYwIAAAALMjg2OTUuNjc2NTQBCAAAAAUAAAABMQEAAAALLTIwNDgyNDYyMzIDAAAAAzEzOAIAAAACMjgEAAAA</t>
  </si>
  <si>
    <t>ATAHAAAACjEyLzMxLzIwMjUIAAAACjEyLzMxLzIwMjAJAAAAATB/06QGl7XeCHpkHyWXtd4INUNJUS5PVENQSzpESURJLlkuSVFfVE9UQUxfUkVWLkZZMjAyMS4zMS8xMi8yMDI1Li4uU0dEAQAAAMlmrGMCAAAADDM2ODkwLjUwMTU0MwEIAAAABQAAAAExAQAAAAstMjAwMTc0MjEzOQMAAAADMTM4AgAAAAIyOAQAAAABMAcAAAAKMTIvMzEvMjAyNQgAAAAKMTIvMzEvMjAyMQkAAAABMH/TpAaXtd4IemQfJZe13gg1Q0lRLk9UQ1BLOkRJREkuWS5JUV9UT1RBTF9SRVYuRlkyMDIyLjMxLzEyLzIwMjUuLi5TR0QBAAAAyWasYwIAAAAMMjczNzAuODA3OTAzAQgAAAAFAAAAATEBAAAACy0xOTUwMzUxODY4AwAAAAMxMzgCAAAAAjI4BAAAAAEwBwAAAAoxMi8zMS8yMDI1CAAAAAoxMi8zMS8yMDIyCQAAAAEwf9OkBpe13gh6ZB8ll7XeCDVDSVEuT1RDUEs6RElESS5ZLklRX1RPVEFMX1JFVi5GWTIwMjMuMzEvMTIvMjAyNS4uLlNHRAEAAADJZqxjAgAAAAwzNTgxMC42Nzk2ODkBCAAAAAUAAAABMQEAAAALLTE5NTAzNTE4NjUDAAAAAzEzOAIAAAACMjgEAAAAATAHAAAACjEyLzMxLzIwMjUIAAAACjEyLzMxLzIwMjMJAAAAATB/06QGl7XeCHpkHyWXtd4INUNJUS5PVENQSzpESURJLlkuSVFfVE9UQUxfUkVWLkZZMjAyNC4zMS8xMi8yMDI1Li4uU0dEAQAAAMlmrGMCAAAADDM4NjY2LjE5NjE1OQEIAAAABQAAAAEx</t>
  </si>
  <si>
    <t>AQAAAAstMTk1MDM1MTg1OAMAAAADMTM4AgAAAAIyOAQAAAABMAcAAAAKMTIvMzEvMjAyNQgAAAAKMTIvMzEvMjAyNAkAAAABMH/TpAaXtd4IemQfJZe13gg1Q0lRLk9UQ1BLOkRJREkuWS5JUV9UT1RBTF9SRVYuRlkyMDI1LjMxLzEyLzIwMjUuLi5TR0QBAAAAyWasYwMAAAAAAH/TpAaXtd4IemQfJZe13ggyQ0lRLlNFSEs6MzY5MC5JUV9UT1RBTF9SRVYuRlkyMDE1LjMxLzEyLzIwMjUuLi5TR0QBAAAALXXNBgIAAAAKODc3LjI1NjU3NAEIAAAABQAAAAExAQAAAAoxOTA3MTQwODgyAwAAAAMxMzgCAAAAAjI4BAAAAAEwBwAAAAoxMi8zMS8yMDI1CAAAAAoxMi8zMS8yMDE1CQAAAAEwf9OkBpe13giaySEll7XeCDJDSVEuU0VISzozNjkwLklRX1RPVEFMX1JFVi5GWTIwMTYuMzEvMTIvMjAyNS4uLlNHRAEAAAAtdc0GAgAAAAsyNzAzLjQ4OTM0NgEIAAAABQAAAAExAQAAAAoxOTA3MTQwODQwAwAAAAMxMzgCAAAAAjI4BAAAAAEwBwAAAAoxMi8zMS8yMDI1CAAAAAoxMi8zMS8yMDE2CQAAAAEwf9OkBpe13giaySEll7XeCDJDSVEuU0VISzozNjkwLklRX1RPVEFMX1JFVi5GWTIwMTcuMzEvMTIvMjAyNS4uLlNHRAEAAAAtdc0GAgAAAAs2OTY4LjY3MjAwNAEIAAAABQAAAAExAQAAAAoxOTUzODM1MTg0AwAAAAMxMzgCAAAAAjI4BAAAAAEwBwAAAAoxMi8zMS8yMDI1CAAAAAoxMi8zMS8yMDE3CQAAAAEwf9Ok</t>
  </si>
  <si>
    <t>Bpe13giaySEll7XeCDJDSVEuU0VISzozNjkwLklRX1RPVEFMX1JFVi5GWTIwMTguMzEvMTIvMjAyNS4uLlNHRAEAAAAtdc0GAgAAAAwxMjgzMC4wMjI1MDkBCAAAAAUAAAABMQEAAAAKMjAyODc0NDk1NAMAAAADMTM4AgAAAAIyOAQAAAABMAcAAAAKMTIvMzEvMjAyNQgAAAAKMTIvMzEvMjAxOAkAAAABMH/TpAaXtd4ImskhJZe13ggyQ0lRLlNFSEs6MzY5MC5JUV9UT1RBTF9SRVYuRlkyMDE5LjMxLzEyLzIwMjUuLi5TR0QBAAAALXXNBgIAAAAMMTg2ODcuMjg0NTU1AQgAAAAFAAAAATEBAAAACjIwOTAwNjk1ODgDAAAAAzEzOAIAAAACMjgEAAAAATAHAAAACjEyLzMxLzIwMjUIAAAACjEyLzMxLzIwMTkJAAAAATB/06QGl7XeCJrJISWXtd4IMkNJUS5TRUhLOjM2OTAuSVFfVE9UQUxfUkVWLkZZMjAyMC4zMS8xMi8yMDI1Li4uU0dEAQAAAC11zQYCAAAADDIzMjQxLjExNDQzMQEIAAAABQAAAAExAQAAAAstMjEwMjg3NTYwNwMAAAADMTM4AgAAAAIyOAQAAAABMAcAAAAKMTIvMzEvMjAyNQgAAAAKMTIvMzEvMjAyMAkAAAABMH/TpAaXtd4ImskhJZe13ggyQ0lRLlNFSEs6MzY5MC5JUV9UT1RBTF9SRVYuRlkyMDIxLjMxLzEyLzIwMjUuLi5TR0QBAAAALXXNBgIAAAAMMzgwMTUuNDI0MTE3AQgAAAAFAAAAATEBAAAACy0yMDUwNDkxODc3AwAAAAMxMzgCAAAAAjI4BAAAAAEwBwAAAAoxMi8zMS8yMDI1CAAA</t>
  </si>
  <si>
    <t>AAoxMi8zMS8yMDIxCQAAAAEwf9OkBpe13giaySEll7XeCDJDSVEuU0VISzozNjkwLklRX1RPVEFMX1JFVi5GWTIwMjIuMzEvMTIvMjAyNS4uLlNHRAEAAAAtdc0GAgAAAAw0Mjc2MC42NTUzMjIBCAAAAAUAAAABMQEAAAALLTE5OTc5MjIyOTQDAAAAAzEzOAIAAAACMjgEAAAAATAHAAAACjEyLzMxLzIwMjUIAAAACjEyLzMxLzIwMjIJAAAAATB/06QGl7XeCJrJISWXtd4IMkNJUS5TRUhLOjM2OTAuSVFfVE9UQUxfUkVWLkZZMjAyMy4zMS8xMi8yMDI1Li4uU0dEAQAAAC11zQYCAAAADDUxNTE0Ljg2MTg3NAEIAAAABQAAAAExAQAAAAstMTk0NzE3MTM2OQMAAAADMTM4AgAAAAIyOAQAAAABMAcAAAAKMTIvMzEvMjAyNQgAAAAKMTIvMzEvMjAyMwkAAAABMH/TpAaXtd4ImskhJZe13ggyQ0lRLlNFSEs6MzY5MC5JUV9UT1RBTF9SRVYuRlkyMDI0LjMxLzEyLzIwMjUuLi5TR0QBAAAALXXNBgIAAAAMNjMxMjEuMjIxMDQ1AQgAAAAFAAAAATEBAAAACy0xOTQ3MTcxNDIwAwAAAAMxMzgCAAAAAjI4BAAAAAEwBwAAAAoxMi8zMS8yMDI1CAAAAAoxMi8zMS8yMDI0CQAAAAEwf9OkBpe13giaySEll7XeCDJDSVEuU0VISzozNjkwLklRX1RPVEFMX1JFVi5GWTIwMjUuMzEvMTIvMjAyNS4uLlNHRAEAAAAtdc0GAwAAAAAAByKlBpe13giaySEll7XeCDJDSVEuWFRSQTpESEVSLklRX1RPVEFMX1JFVi5GWTIwMTUuMzEv</t>
  </si>
  <si>
    <t>MTIvMjAyNS4uLlNHRAEAAACqtmIIAgAAAAoyNTUuNzQxOTI1AQgAAAAFAAAAATEBAAAACjE4NDc2MTg0NDUDAAAAAzEzOAIAAAACMjgEAAAAATAHAAAACjEyLzMxLzIwMjUIAAAACjEyLzMxLzIwMTUJAAAAATAHIqUGl7XeCJrJISWXtd4IMkNJUS5YVFJBOkRIRVIuSVFfVE9UQUxfUkVWLkZZMjAxNi4zMS8xMi8yMDI1Li4uU0dEAQAAAKq2YggCAAAACjQ0Mi4yOTU2NTMBCAAAAAUAAAABMQEAAAAKMTg4NTA5ODM3NgMAAAADMTM4AgAAAAIyOAQAAAABMAcAAAAKMTIvMzEvMjAyNQgAAAAKMTIvMzEvMjAxNgkAAAABMAcipQaXtd4ImskhJZe13ggyQ0lRLlhUUkE6REhFUi5JUV9UT1RBTF9SRVYuRlkyMDE3LjMxLzEyLzIwMjUuLi5TR0QBAAAAqrZiCAIAAAAKNzI4LjA4MjgxMQEIAAAABQAAAAExAQAAAAoxOTU3NDg3ODI3AwAAAAMxMzgCAAAAAjI4BAAAAAEwBwAAAAoxMi8zMS8yMDI1CAAAAAoxMi8zMS8yMDE3CQAAAAEwByKlBpe13giaySEll7XeCDJDSVEuWFRSQTpESEVSLklRX1RPVEFMX1JFVi5GWTIwMTguMzEvMTIvMjAyNS4uLlNHRAEAAACqtmIIAgAAAAsxMDM3LjQzODcyOAEIAAAABQAAAAExAQAAAAoyMDMyNDM1OTEyAwAAAAMxMzgCAAAAAjI4BAAAAAEwBwAAAAoxMi8zMS8yMDI1CAAAAAoxMi8zMS8yMDE4CQAAAAEwByKlBpe13giaySEll7XeCDJDSVEuWFRSQTpESEVSLklRX1RPVEFMX1JF</t>
  </si>
  <si>
    <t>Vi5GWTIwMTkuMzEvMTIvMjAyNS4uLlNHRAEAAACqtmIIAgAAAAsxODY3Ljk4Mjk2OQEIAAAABQAAAAExAQAAAAoyMDkzMjA4MTM1AwAAAAMxMzgCAAAAAjI4BAAAAAEwBwAAAAoxMi8zMS8yMDI1CAAAAAoxMi8zMS8yMDE5CQAAAAEwByKlBpe13giaySEll7XeCDJDSVEuWFRSQTpESEVSLklRX1RPVEFMX1JFVi5GWTIwMjAuMzEvMTIvMjAyNS4uLlNHRAEAAACqtmIIAgAAAAszOTk2LjY3Njc3NQEIAAAABQAAAAExAQAAAAstMjEwMDEzMzA4NAMAAAADMTM4AgAAAAIyOAQAAAABMAcAAAAKMTIvMzEvMjAyNQgAAAAKMTIvMzEvMjAyMAkAAAABMAcipQaXtd4ImskhJZe13ggyQ0lRLlhUUkE6REhFUi5JUV9UT1RBTF9SRVYuRlkyMDIxLjMxLzEyLzIwMjUuLi5TR0QBAAAAqrZiCAIAAAALODk3OC4wNTM5MTYBCAAAAAUAAAABMQEAAAALLTIwNDc2NDcwOTIDAAAAAzEzOAIAAAACMjgEAAAAATAHAAAACjEyLzMxLzIwMjUIAAAACjEyLzMxLzIwMjEJAAAAATAHIqUGl7XeCJrJISWXtd4IMkNJUS5YVFJBOkRIRVIuSVFfVE9UQUxfUkVWLkZZMjAyMi4zMS8xMi8yMDI1Li4uU0dEAQAAAKq2YggCAAAACzEyMjkxLjI4ODMyAQgAAAAFAAAAATEBAAAACy0xOTk5NjQzOTMyAwAAAAMxMzgCAAAAAjI4BAAAAAEwBwAAAAoxMi8zMS8yMDI1CAAAAAoxMi8zMS8yMDIyCQAAAAEwByKlBpe13giaySEll7XeCDJDSVEuWFRS</t>
  </si>
  <si>
    <t>QTpESEVSLklRX1RPVEFMX1JFVi5GWTIwMjMuMzEvMTIvMjAyNS4uLlNHRAEAAACqtmIIAgAAAAwxNDUwNS4wNDE5OTEBCAAAAAUAAAABMQEAAAALLTE5NDkyODcwMjkDAAAAAzEzOAIAAAACMjgEAAAAATAHAAAACjEyLzMxLzIwMjUIAAAACjEyLzMxLzIwMjMJAAAAATAHIqUGl7XeCJrJISWXtd4IMkNJUS5YVFJBOkRIRVIuSVFfVE9UQUxfUkVWLkZZMjAyNC4zMS8xMi8yMDI1Li4uU0dEAQAAAKq2YggCAAAADDE3MzcxLjU2MjA4OQEIAAAABQAAAAExAQAAAAstMTk0OTI4NzAzNwMAAAADMTM4AgAAAAIyOAQAAAABMAcAAAAKMTIvMzEvMjAyNQgAAAAKMTIvMzEvMjAyNAkAAAABMAcipQaXtd4ImskhJZe13ggyQ0lRLlhUUkE6REhFUi5JUV9UT1RBTF9SRVYuRlkyMDI1LjMxLzEyLzIwMjUuLi5TR0QBAAAAqrZiCAMAAAAAAAcipQaXtd4ImskhJZe13gg2Q0lRLk5BU0RBUUdTOkRBU0guSVFfVE9UQUxfUkVWLkZZMjAxNS4zMS8xMi8yMDI1Li4uU0dEAQAAAKcchw4DAAAAAAAHIqUGl7XeCJrJISWXtd4INkNJUS5OQVNEQVFHUzpEQVNILklRX1RPVEFMX1JFVi5GWTIwMTYuMzEvMTIvMjAyNS4uLlNHRAEAAACnHIcOAwAAAAAAByKlBpe13giaySEll7XeCDZDSVEuTkFTREFRR1M6REFTSC5JUV9UT1RBTF9SRVYuRlkyMDE3LjMxLzEyLzIwMjUuLi5TR0QBAAAApxyHDgMAAAAAAAcipQaXtd4IemQfJZe13gg2</t>
  </si>
  <si>
    <t>Q0lRLk5BU0RBUUdTOkRBU0guSVFfVE9UQUxfUkVWLkZZMjAxOC4zMS8xMi8yMDI1Li4uU0dEAQAAAKcchw4CAAAACTM5Ni40NDM4NQEIAAAABQAAAAExAQAAAAoyMDgzMjk5NzMxAwAAAAMxMzgCAAAAAjI4BAAAAAEwBwAAAAoxMi8zMS8yMDI1CAAAAAoxMi8zMS8yMDE4CQAAAAEwByKlBpe13giaySEll7XeCDZDSVEuTkFTREFRR1M6REFTSC5JUV9UT1RBTF9SRVYuRlkyMDE5LjMxLzEyLzIwMjUuLi5TR0QBAAAApxyHDgIAAAAKMTE5MC4zMTYxNQEIAAAABQAAAAExAQAAAAstMjExMDA2MTM4OAMAAAADMTM4AgAAAAIyOAQAAAABMAcAAAAKMTIvMzEvMjAyNQgAAAAKMTIvMzEvMjAxOQkAAAABMAcipQaXtd4ImskhJZe13gg2Q0lRLk5BU0RBUUdTOkRBU0guSVFfVE9UQUxfUkVWLkZZMjAyMC4zMS8xMi8yMDI1Li4uU0dEAQAAAKcchw4CAAAACjM4MTQuNjI4MjIBCAAAAAUAAAABMQEAAAALLTIwNTkzOTM0MTcDAAAAAzEzOAIAAAACMjgEAAAAATAHAAAACjEyLzMxLzIwMjUIAAAACjEyLzMxLzIwMjAJAAAAATAHIqUGl7XeCHpkHyWXtd4INkNJUS5OQVNEQVFHUzpEQVNILklRX1RPVEFMX1JFVi5GWTIwMjEuMzEvMTIvMjAyNS4uLlNHRAEAAACnHIcOAgAAAAo2NTg5LjkwMzg0AQgAAAAFAAAAATEBAAAACy0yMDA5NTE4NDIzAwAAAAMxMzgCAAAAAjI4BAAAAAEwBwAAAAoxMi8zMS8yMDI1CAAAAAoxMi8z</t>
  </si>
  <si>
    <t>MS8yMDIxCQAAAAEwByKlBpe13giaySEll7XeCDZDSVEuTkFTREFRR1M6REFTSC5JUV9UT1RBTF9SRVYuRlkyMDIyLjMxLzEyLzIwMjUuLi5TR0QBAAAApxyHDgIAAAAKODgyNi44ODEzOAEIAAAABQAAAAExAQAAAAstMTk1OTU1NDY3MAMAAAADMTM4AgAAAAIyOAQAAAABMAcAAAAKMTIvMzEvMjAyNQgAAAAKMTIvMzEvMjAyMgkAAAABMAcipQaXtd4ImskhJZe13gg2Q0lRLk5BU0RBUUdTOkRBU0guSVFfVE9UQUxfUkVWLkZZMjAyMy4zMS8xMi8yMDI1Li4uU0dEAQAAAKcchw4CAAAACjExMzk3LjY4MTkBCAAAAAUAAAABMQEAAAALLTE5NTk1NTQ2NzMDAAAAAzEzOAIAAAACMjgEAAAAATAHAAAACjEyLzMxLzIwMjUIAAAACjEyLzMxLzIwMjMJAAAAATAHIqUGl7XeCHpkHyWXtd4INkNJUS5OQVNEQVFHUzpEQVNILklRX1RPVEFMX1JFVi5GWTIwMjQuMzEvMTIvMjAyNS4uLlNHRAEAAACnHIcOAgAAAAoxNDYzMi44NDk1AQgAAAAFAAAAATEBAAAACy0xOTU5NTU0Njc2AwAAAAMxMzgCAAAAAjI4BAAAAAEwBwAAAAoxMi8zMS8yMDI1CAAAAAoxMi8zMS8yMDI0CQAAAAEwByKlBpe13gh6ZB8ll7XeCDZDSVEuTkFTREFRR1M6REFTSC5JUV9UT1RBTF9SRVYuRlkyMDI1LjMxLzEyLzIwMjUuLi5TR0QBAAAApxyHDgMAAAAAAAcipQaXtd4IemQfJZe13gg0Q0lRLkRGTTpUQUxBQkFULklRX1RPVEFMX1JFVi5GWTIw</t>
  </si>
  <si>
    <t>MTUuMzEvMTIvMjAyNS4uLlNHRAEAAADZvoJuAwAAAAAAByKlBpe13giaySEll7XeCDRDSVEuREZNOlRBTEFCQVQuSVFfVE9UQUxfUkVWLkZZMjAxNi4zMS8xMi8yMDI1Li4uU0dEAQAAANm+gm4DAAAAAAAHIqUGl7XeCJrJISWXtd4INENJUS5ERk06VEFMQUJBVC5JUV9UT1RBTF9SRVYuRlkyMDE3LjMxLzEyLzIwMjUuLi5TR0QBAAAA2b6CbgMAAAAAAAcipQaXtd4ImskhJZe13gg0Q0lRLkRGTTpUQUxBQkFULklRX1RPVEFMX1JFVi5GWTIwMTguMzEvMTIvMjAyNS4uLlNHRAEAAADZvoJuAwAAAAAAByKlBpe13giaySEll7XeCDRDSVEuREZNOlRBTEFCQVQuSVFfVE9UQUxfUkVWLkZZMjAxOS4zMS8xMi8yMDI1Li4uU0dEAQAAANm+gm4DAAAAAAAHIqUGl7XeCJrJISWXtd4INENJUS5ERk06VEFMQUJBVC5JUV9UT1RBTF9SRVYuRlkyMDIwLjMxLzEyLzIwMjUuLi5TR0QBAAAA2b6CbgMAAAAAAAcipQaXtd4ImskhJZe13gg0Q0lRLkRGTTpUQUxBQkFULklRX1RPVEFMX1JFVi5GWTIwMjEuMzEvMTIvMjAyNS4uLlNHRAEAAADZvoJuAwAAAAAAByKlBpe13giaySEll7XeCDRDSVEuREZNOlRBTEFCQVQuSVFfVE9UQUxfUkVWLkZZMjAyMi4zMS8xMi8yMDI1Li4uU0dEAQAAANm+gm4CAAAACzE4NTEuOTM2MzAxAQgAAAAFAAAAATEBAAAACy0xOTYyNDA1Mzg2AwAAAAMxMzgCAAAAAjI4BAAAAAEwBwAAAAoxMi8z</t>
  </si>
  <si>
    <t>MS8yMDI1CAAAAAoxMi8zMS8yMDIyCQAAAAEwByKlBpe13giaySEll7XeCDRDSVEuREZNOlRBTEFCQVQuSVFfVE9UQUxfUkVWLkZZMjAyMy4zMS8xMi8yMDI1Li4uU0dEAQAAANm+gm4CAAAACzIyMTQuNTg4NTQyAQgAAAAFAAAAATEBAAAACy0xOTYyNDA1Mzg5AwAAAAMxMzgCAAAAAjI4BAAAAAEwBwAAAAoxMi8zMS8yMDI1CAAAAAoxMi8zMS8yMDIzCQAAAAEwByKlBpe13giaySEll7XeCDRDSVEuREZNOlRBTEFCQVQuSVFfVE9UQUxfUkVWLkZZMjAyNC4zMS8xMi8yMDI1Li4uU0dEAQAAANm+gm4CAAAACzMyODAuNTk0OTA3AQgAAAAFAAAAATEBAAAACy0xOTU0Mjk3NTQ3AwAAAAMxMzgCAAAAAjI4BAAAAAEwBwAAAAoxMi8zMS8yMDI1CAAAAAoxMi8zMS8yMDI0CQAAAAEwByKlBpe13giaySEll7XeCDRDSVEuREZNOlRBTEFCQVQuSVFfVE9UQUxfUkVWLkZZMjAyNS4zMS8xMi8yMDI1Li4uU0dEAQAAANm+gm4DAAAAAAAHIqUGl7XeCJrJISWXtd4IL0NJUS5OQVNEQVFHUzpHUkFCLklRX0dQLkZZMjAxNS4zMS8xMi8yMDI1Li4uU0dEAQAAAHGZziMDAAAAAAAHIqUGl7XeCEEnGCWXtd4IL0NJUS5OQVNEQVFHUzpHUkFCLklRX0dQLkZZMjAxNi4zMS8xMi8yMDI1Li4uU0dEAQAAAHGZziMDAAAAAAAHIqUGl7XeCEEnGCWXtd4IL0NJUS5OQVNEQVFHUzpHUkFCLklRX0dQLkZZMjAxNy4zMS8xMi8yMDI1Li4u</t>
  </si>
  <si>
    <t>U0dEAQAAAHGZziMDAAAAAAAHIqUGl7XeCEEnGCWXtd4IL0NJUS5OQVNEQVFHUzpHUkFCLklRX0dQLkZZMjAxOC4zMS8xMi8yMDI1Li4uU0dEAQAAAHGZziMDAAAAAAAHIqUGl7XeCEEnGCWXtd4IL0NJUS5OQVNEQVFHUzpHUkFCLklRX0dQLkZZMjAxOS4zMS8xMi8yMDI1Li4uU0dEAQAAAHGZziMCAAAACy0yOTExLjkwMzM1AQgAAAAFAAAAATEBAAAACy0yMDk5ODI0ODIxAwAAAAMxMzgCAAAAAjEwBAAAAAEwBwAAAAoxMi8zMS8yMDI1CAAAAAoxMi8zMS8yMDE5CQAAAAEwByKlBpe13ghBJxgll7XeCC9DSVEuTkFTREFRR1M6R1JBQi5JUV9HUC5GWTIwMjAuMzEvMTIvMjAyNS4uLlNHRAEAAABxmc4jAgAAAAotNjUyLjk1NDM4AQgAAAAFAAAAATEBAAAACy0yMDQ5ODAyNTAyAwAAAAMxMzgCAAAAAjEwBAAAAAEwBwAAAAoxMi8zMS8yMDI1CAAAAAoxMi8zMS8yMDIwCQAAAAEwByKlBpe13ghBJxgll7XeCC9DSVEuTkFTREFRR1M6R1JBQi5JUV9HUC5GWTIwMjEuMzEvMTIvMjAyNS4uLlNHRAEAAABxmc4jAgAAAAktNTMyLjUzMTEBCAAAAAUAAAABMQEAAAALLTIwMDQyNTg4ODcDAAAAAzEzOAIAAAACMTAEAAAAATAHAAAACjEyLzMxLzIwMjUIAAAACjEyLzMxLzIwMjEJAAAAATAHIqUGl7XeCEEnGCWXtd4IL0NJUS5OQVNEQVFHUzpHUkFCLklRX0dQLkZZMjAyMi4zMS8xMi8yMDI1Li4uU0dEAQAAAHGZziMC</t>
  </si>
  <si>
    <t>AAAACDYxLjY3OTU2AQgAAAAFAAAAATEBAAAACy0xOTU1NzcyNzk4AwAAAAMxMzgCAAAAAjEwBAAAAAEwBwAAAAoxMi8zMS8yMDI1CAAAAAoxMi8zMS8yMDIyCQAAAAEwByKlBpe13ghBJxgll7XeCC9DSVEuTkFTREFRR1M6R1JBQi5JUV9HUC5GWTIwMjMuMzEvMTIvMjAyNS4uLlNHRAEAAABxmc4jAgAAAAoxMDc5LjcxMDkyAQgAAAAFAAAAATEBAAAACy0xOTU1NzcyODE1AwAAAAMxMzgCAAAAAjEwBAAAAAEwBwAAAAoxMi8zMS8yMDI1CAAAAAoxMi8zMS8yMDIzCQAAAAEwByKlBpe13ghBJxgll7XeCC9DSVEuTkFTREFRR1M6R1JBQi5JUV9HUC5GWTIwMjQuMzEvMTIvMjAyNS4uLlNHRAEAAABxmc4jAgAAAAkxNTI1Ljc5MDUBCAAAAAUAAAABMQEAAAALLTE5NTU3NzI3OTkDAAAAAzEzOAIAAAACMTAEAAAAATAHAAAACjEyLzMxLzIwMjUIAAAACjEyLzMxLzIwMjQJAAAAATAHIqUGl7XeCEEnGCWXtd4IL0NJUS5OQVNEQVFHUzpHUkFCLklRX0dQLkZZMjAyNS4zMS8xMi8yMDI1Li4uU0dEAQAAAHGZziMDAAAAAAAHIqUGl7XeCEEnGCWXtd4IK0NJUS5JRFg6IEdPVE8uSVFfR1AuRlkyMDE1LjMxLzEyLzIwMjUuLi5TR0QBAAAAb5NqEQMAAAAAAAcipQaXtd4IQScYJZe13ggrQ0lRLklEWDogR09UTy5JUV9HUC5GWTIwMTYuMzEvMTIvMjAyNS4uLlNHRAEAAABvk2oRAwAAAAAAByKlBpe13ghBJxgll7XeCCtD</t>
  </si>
  <si>
    <t>SVEuSURYOiBHT1RPLklRX0dQLkZZMjAxNy4zMS8xMi8yMDI1Li4uU0dEAQAAAG+TahEDAAAAAAAHIqUGl7XeCEEnGCWXtd4IK0NJUS5JRFg6IEdPVE8uSVFfR1AuRlkyMDE4LjMxLzEyLzIwMjUuLi5TR0QBAAAAb5NqEQIAAAAILTE1Ljc1NzYBCAAAAAUAAAABMQEAAAALLTIxMDc2ODM2OTYDAAAAAzEzOAIAAAACMTAEAAAAATAHAAAACjEyLzMxLzIwMjUIAAAACjEyLzMxLzIwMTgJAAAAATAHIqUGl7XeCEEnGCWXtd4IK0NJUS5JRFg6IEdPVE8uSVFfR1AuRlkyMDE5LjMxLzEyLzIwMjUuLi5TR0QBAAAAb5NqEQIAAAAKLTQ2LjM4MzM5OAEIAAAABQAAAAExAQAAAAstMjEwNzY4MzY5NAMAAAADMTM4AgAAAAIxMAQAAAABMAcAAAAKMTIvMzEvMjAyNQgAAAAKMTIvMzEvMjAxOQkAAAABMAcipQaXtd4IQScYJZe13ggrQ0lRLklEWDogR09UTy5JUV9HUC5GWTIwMjAuMzEvMTIvMjAyNS4uLlNHRAEAAABvk2oRAgAAAAk4NC40MDExMTgBCAAAAAUAAAABMQEAAAALLTIwOTI3OTE4NzgDAAAAAzEzOAIAAAACMTAEAAAAATAHAAAACjEyLzMxLzIwMjUIAAAACjEyLzMxLzIwMjAJAAAAATAHIqUGl7XeCEEnGCWXtd4IK0NJUS5JRFg6IEdPVE8uSVFfR1AuRlkyMDIxLjMxLzEyLzIwMjUuLi5TR0QBAAAAb5NqEQIAAAAJNzEuOTIyMjk4AQgAAAAFAAAAATEBAAAACy0yMDU0NjMzMTQ5AwAAAAMxMzgCAAAAAjEwBAAA</t>
  </si>
  <si>
    <t>AAEwBwAAAAoxMi8zMS8yMDI1CAAAAAoxMi8zMS8yMDIxCQAAAAEwByKlBpe13ghBJxgll7XeCCtDSVEuSURYOiBHT1RPLklRX0dQLkZZMjAyMi4zMS8xMi8yMDI1Li4uU0dEAQAAAG+TahECAAAACjUwNi43ODE2ODQBCAAAAAUAAAABMQEAAAALLTIwMDU0MzAyMjQDAAAAAzEzOAIAAAACMTAEAAAAATAHAAAACjEyLzMxLzIwMjUIAAAACjEyLzMxLzIwMjIJAAAAATAHIqUGl7XeCEEnGCWXtd4IK0NJUS5JRFg6IEdPVE8uSVFfR1AuRlkyMDIzLjMxLzEyLzIwMjUuLi5TR0QBAAAAb5NqEQIAAAAKODI5Ljk4MTgzOQEIAAAABQAAAAExAQAAAAstMTk1NjE2NDUxMQMAAAADMTM4AgAAAAIxMAQAAAABMAcAAAAKMTIvMzEvMjAyNQgAAAAKMTIvMzEvMjAyMwkAAAABMAcipQaXtd4IQScYJZe13ggrQ0lRLklEWDogR09UTy5JUV9HUC5GWTIwMjQuMzEvMTIvMjAyNS4uLlNHRAEAAABvk2oRAgAAAAo3MTkuMDA4MTUyAQgAAAAFAAAAATEBAAAACy0xOTU2MTY0NTEwAwAAAAMxMzgCAAAAAjEwBAAAAAEwBwAAAAoxMi8zMS8yMDI1CAAAAAoxMi8zMS8yMDI0CQAAAAEwByKlBpe13ghBJxgll7XeCCtDSVEuSURYOiBHT1RPLklRX0dQLkZZMjAyNS4zMS8xMi8yMDI1Li4uU0dEAQAAAG+TahEDAAAAAAAHIqUGl7XeCEEnGCWXtd4IKkNJUS5OWVNFOiBTRS5JUV9HUC5GWTIwMTUuMzEvMTIvMjAyNS4uLlNHRAEAAAD7AmcZ</t>
  </si>
  <si>
    <t>AgAAAAoxNTIuODA4ODUxAQgAAAAFAAAAATEBAAAACjE4ODIyOTYzNTMDAAAAAzEzOAIAAAACMTAEAAAAATAHAAAACjEyLzMxLzIwMjUIAAAACjEyLzMxLzIwMTUJAAAAATAHIqUGl7XeCEEnGCWXtd4IKkNJUS5OWVNFOiBTRS5JUV9HUC5GWTIwMTYuMzEvMTIvMjAyNS4uLlNHRAEAAAD7AmcZAgAAAAgxNjMuNDIwNwEIAAAABQAAAAExAQAAAAoxOTQ4MTYwMTE2AwAAAAMxMzgCAAAAAjEwBAAAAAEwBwAAAAoxMi8zMS8yMDI1CAAAAAoxMi8zMS8yMDE2CQAAAAEwByKlBpe13ghBJxgll7XeCCpDSVEuTllTRTogU0UuSVFfR1AuRlkyMDE3LjMxLzEyLzIwMjUuLi5TR0QBAAAA+wJnGQIAAAAKMTE2LjY4ODEyMgEIAAAABQAAAAExAQAAAAoyMDI4MDA1ODUzAwAAAAMxMzgCAAAAAjEwBAAAAAEwBwAAAAoxMi8zMS8yMDI1CAAAAAoxMi8zMS8yMDE3CQAAAAEwByKlBpe13ghBJxgll7XeCCpDSVEuTllTRTogU0UuSVFfR1AuRlkyMDE4LjMxLzEyLzIwMjUuLi5TR0QBAAAA+wJnGQIAAAAJMjAuMTA1NTYxAQgAAAAFAAAAATEBAAAACjIwODk2MjY4NDEDAAAAAzEzOAIAAAACMTAEAAAAATAHAAAACjEyLzMxLzIwMjUIAAAACjEyLzMxLzIwMTgJAAAAATAHIqUGl7XeCEEnGCWXtd4IKkNJUS5OWVNFOiBTRS5JUV9HUC5GWTIwMTkuMzEvMTIvMjAyNS4uLlNHRAEAAAD7AmcZAgAAAAo4MTMuNjExMzUxAQgAAAAFAAAA</t>
  </si>
  <si>
    <t>ATEBAAAACy0yMTAxOTU5MTY0AwAAAAMxMzgCAAAAAjEwBAAAAAEwBwAAAAoxMi8zMS8yMDI1CAAAAAoxMi8zMS8yMDE5CQAAAAEwByKlBpe13ghBJxgll7XeCCpDSVEuTllTRTogU0UuSVFfR1AuRlkyMDIwLjMxLzEyLzIwMjUuLi5TR0QBAAAA+wJnGQIAAAALMTc4Mi45NDIxNjIBCAAAAAUAAAABMQEAAAALLTIwNTM2MzA4NDcDAAAAAzEzOAIAAAACMTAEAAAAATAHAAAACjEyLzMxLzIwMjUIAAAACjEyLzMxLzIwMjAJAAAAATAHIqUGl7XeCEEnGCWXtd4IKkNJUS5OWVNFOiBTRS5JUV9HUC5GWTIwMjEuMzEvMTIvMjAyNS4uLlNHRAEAAAD7AmcZAgAAAAs1MjUyLjE1MjAxMgEIAAAABQAAAAExAQAAAAstMTk5ODg1NjY5OAMAAAADMTM4AgAAAAIxMAQAAAABMAcAAAAKMTIvMzEvMjAyNQgAAAAKMTIvMzEvMjAyMQkAAAABMAcipQaXtd4IQScYJZe13ggqQ0lRLk5ZU0U6IFNFLklRX0dQLkZZMjAyMi4zMS8xMi8yMDI1Li4uU0dEAQAAAPsCZxkCAAAACzY5NTIuNzMwNTE4AQgAAAAFAAAAATEBAAAACy0xOTUwNzUzNzgwAwAAAAMxMzgCAAAAAjEwBAAAAAEwBwAAAAoxMi8zMS8yMDI1CAAAAAoxMi8zMS8yMDIyCQAAAAEwByKlBpe13ghBJxgll7XeCCpDSVEuTllTRTogU0UuSVFfR1AuRlkyMDIzLjMxLzEyLzIwMjUuLi5TR0QBAAAA+wJnGQIAAAALNzcwMC4wNjQwMjEBCAAAAAUAAAABMQEAAAALLTE5NTA3</t>
  </si>
  <si>
    <t>NTM3NzkDAAAAAzEzOAIAAAACMTAEAAAAATAHAAAACjEyLzMxLzIwMjUIAAAACjEyLzMxLzIwMjMJAAAAATAHIqUGl7XeCEEnGCWXtd4IKkNJUS5OWVNFOiBTRS5JUV9HUC5GWTIwMjQuMzEvMTIvMjAyNS4uLlNHRAEAAAD7AmcZAgAAAAs5ODMzLjE0Mzg0OAEIAAAABQAAAAExAQAAAAstMTk1MDc1Mzc3NgMAAAADMTM4AgAAAAIxMAQAAAABMAcAAAAKMTIvMzEvMjAyNQgAAAAKMTIvMzEvMjAyNAkAAAABMAcipQaXtd4IQScYJZe13ggqQ0lRLk5ZU0U6IFNFLklRX0dQLkZZMjAyNS4zMS8xMi8yMDI1Li4uU0dEAQAAAPsCZxkDAAAAAAAHIqUGl7XeCEEnGCWXtd4IK0NJUS5OWVNFOlVCRVIuSVFfR1AuRlkyMDE1LjMxLzEyLzIwMjUuLi5TR0QBAAAAMEadCAMAAAAAAAcipQaXtd4IQScYJZe13ggrQ0lRLk5ZU0U6VUJFUi5JUV9HUC5GWTIwMTYuMzEvMTIvMjAyNS4uLlNHRAEAAAAwRp0IAgAAAAoxMDYzLjcyNjA4AQgAAAAFAAAAATEBAAAACjE5NjQ2MTQ5MTQDAAAAAzEzOAIAAAACMTAEAAAAATAHAAAACjEyLzMxLzIwMjUIAAAACjEyLzMxLzIwMTYJAAAAATAHIqUGl7XeCEEnGCWXtd4IK0NJUS5OWVNFOlVCRVIuSVFfR1AuRlkyMDE3LjMxLzEyLzIwMjUuLi5TR0QBAAAAMEadCAIAAAAJMzIzMS41MzYxAQgAAAAFAAAAATEBAAAACjIwMTg4OTI0NTMDAAAAAzEzOAIAAAACMTAEAAAAATAHAAAACjEyLzMx</t>
  </si>
  <si>
    <t>LzIwMjUIAAAACjEyLzMxLzIwMTcJAAAAATAHIqUGl7XeCEEnGCWXtd4IK0NJUS5OWVNFOlVCRVIuSVFfR1AuRlkyMDE4LjMxLzEyLzIwMjUuLi5TR0QBAAAAMEadCAIAAAAKNTYyNy44Njc4NQEIAAAABQAAAAExAQAAAAoyMDgyNTAxMTY5AwAAAAMxMzgCAAAAAjEwBAAAAAEwBwAAAAoxMi8zMS8yMDI1CAAAAAoxMi8zMS8yMDE4CQAAAAEwByKlBpe13ghBJxgll7XeCCtDSVEuTllTRTpVQkVSLklRX0dQLkZZMjAxOS4zMS8xMi8yMDI1Li4uU0dEAQAAADBGnQgCAAAACjYyMzYuNzE4NjMBCAAAAAUAAAABMQEAAAALLTIxMTA0NTUyMDIDAAAAAzEzOAIAAAACMTAEAAAAATAHAAAACjEyLzMxLzIwMjUIAAAACjEyLzMxLzIwMTkJAAAAATAHIqUGl7XeCEEnGCWXtd4IK0NJUS5OWVNFOlVCRVIuSVFfR1AuRlkyMDIwLjMxLzEyLzIwMjUuLi5TR0QBAAAAMEadCAIAAAAKNTczMy44MzgyNgEIAAAABQAAAAExAQAAAAstMjA2MDE0NzQwNwMAAAADMTM4AgAAAAIxMAQAAAABMAcAAAAKMTIvMzEvMjAyNQgAAAAKMTIvMzEvMjAyMAkAAAABMAcipQaXtd4IQScYJZe13ggrQ0lRLk5ZU0U6VUJFUi5JUV9HUC5GWTIwMjEuMzEvMTIvMjAyNS4uLlNHRAEAAAAwRp0IAgAAAAo4Mzk1LjExNjg2AQgAAAAFAAAAATEBAAAACy0yMDEwMTI1ODU2AwAAAAMxMzgCAAAAAjEwBAAAAAEwBwAAAAoxMi8zMS8yMDI1CAAAAAoxMi8z</t>
  </si>
  <si>
    <t>MS8yMDIxCQAAAAEwByKlBpe13ghBJxgll7XeCCtDSVEuTllTRTpVQkVSLklRX0dQLkZZMjAyMi4zMS8xMi8yMDI1Li4uU0dEAQAAADBGnQgCAAAACjEzMTQ3LjEzMjMBCAAAAAUAAAABMQEAAAALLTE5NTk1NTQ2NjYDAAAAAzEzOAIAAAACMTAEAAAAATAHAAAACjEyLzMxLzIwMjUIAAAACjEyLzMxLzIwMjIJAAAAATAHIqUGl7XeCEEnGCWXtd4IK0NJUS5OWVNFOlVCRVIuSVFfR1AuRlkyMDIzLjMxLzEyLzIwMjUuLi5TR0QBAAAAMEadCAIAAAAKMTYwMTcuNDcxOQEIAAAABQAAAAExAQAAAAstMTk1OTU1NDY1NgMAAAADMTM4AgAAAAIxMAQAAAABMAcAAAAKMTIvMzEvMjAyNQgAAAAKMTIvMzEvMjAyMwkAAAABMAcipQaXtd4IQScYJZe13ggrQ0lRLk5ZU0U6VUJFUi5JUV9HUC5GWTIwMjQuMzEvMTIvMjAyNS4uLlNHRAEAAAAwRp0IAgAAAAsxOTkxOC41MjYyNQEIAAAABQAAAAExAQAAAAstMTk1OTU1NDY2OAMAAAADMTM4AgAAAAIxMAQAAAABMAcAAAAKMTIvMzEvMjAyNQgAAAAKMTIvMzEvMjAyNAkAAAABMAcipQaXtd4IQScYJZe13ggrQ0lRLk5ZU0U6VUJFUi5JUV9HUC5GWTIwMjUuMzEvMTIvMjAyNS4uLlNHRAEAAAAwRp0IAwAAAAAAByKlBpe13ghBJxgll7XeCC9DSVEuTkFTREFRR1M6TFlGVC5JUV9HUC5GWTIwMTUuMzEvMTIvMjAyNS4uLlNHRAEAAABVMYQDAwAAAAAAByKlBpe13gh/kRoll7Xe</t>
  </si>
  <si>
    <t>CC9DSVEuTkFTREFRR1M6TFlGVC5JUV9HUC5GWTIwMTYuMzEvMTIvMjAyNS4uLlNHRAEAAABVMYQDAgAAAAotNDguNTUxMjkxAQgAAAAFAAAAATEBAAAACjE5NjQ4MDIxODADAAAAAzEzOAIAAAACMTAEAAAAATAHAAAACjEyLzMxLzIwMjUIAAAACjEyLzMxLzIwMTYJAAAAATAHIqUGl7XeCH+RGiWXtd4IL0NJUS5OQVNEQVFHUzpMWUZULklRX0dQLkZZMjAxNy4zMS8xMi8yMDI1Li4uU0dEAQAAAFUxhAMCAAAACjI4OS43ODkxMzYBCAAAAAUAAAABMQEAAAAKMjAxODMxNDY5MQMAAAADMTM4AgAAAAIxMAQAAAABMAcAAAAKMTIvMzEvMjAyNQgAAAAKMTIvMzEvMjAxNwkAAAABMAcipQaXtd4If5EaJZe13ggvQ0lRLk5BU0RBUUdTOkxZRlQuSVFfR1AuRlkyMDE4LjMxLzEyLzIwMjUuLi5TR0QBAAAAVTGEAwIAAAAKNzgzLjA5Nzg1MwEIAAAABQAAAAExAQAAAAoyMDgyNjg2ODU0AwAAAAMxMzgCAAAAAjEwBAAAAAEwBwAAAAoxMi8zMS8yMDI1CAAAAAoxMi8zMS8yMDE4CQAAAAEwByKlBpe13gh/kRoll7XeCC9DSVEuTkFTREFRR1M6TFlGVC5JUV9HUC5GWTIwMTkuMzEvMTIvMjAyNS4uLlNHRAEAAABVMYQDAgAAAAsxMDgyLjk1MjMyMwEIAAAABQAAAAExAQAAAAstMjEwOTg2OTM1NwMAAAADMTM4AgAAAAIxMAQAAAABMAcAAAAKMTIvMzEvMjAyNQgAAAAKMTIvMzEvMjAxOQkAAAABMAcipQaXtd4If5EaJZe1</t>
  </si>
  <si>
    <t>3ggvQ0lRLk5BU0RBUUdTOkxZRlQuSVFfR1AuRlkyMDIwLjMxLzEyLzIwMjUuLi5TR0QBAAAAVTGEAwIAAAAKNzA0LjUyMzIzNwEIAAAABQAAAAExAQAAAAstMjA1OTI1MTUzNQMAAAADMTM4AgAAAAIxMAQAAAABMAcAAAAKMTIvMzEvMjAyNQgAAAAKMTIvMzEvMjAyMAkAAAABMAcipQaXtd4If5EaJZe13ggvQ0lRLk5BU0RBUUdTOkxZRlQuSVFfR1AuRlkyMDIxLjMxLzEyLzIwMjUuLi5TR0QBAAAAVTGEAwIAAAALMTQ4OC4wODQ2ODMBCAAAAAUAAAABMQEAAAALLTIwMDk1ODYyNjcDAAAAAzEzOAIAAAACMTAEAAAAATAHAAAACjEyLzMxLzIwMjUIAAAACjEyLzMxLzIwMjEJAAAAATAHIqUGl7XeCH+RGiWXtd4IL0NJUS5OQVNEQVFHUzpMWUZULklRX0dQLkZZMjAyMi4zMS8xMi8yMDI1Li4uU0dEAQAAAFUxhAMCAAAACzE2NTcuMzI5Nzc3AQgAAAAFAAAAATEBAAAACy0xOTU5NDczNTQwAwAAAAMxMzgCAAAAAjEwBAAAAAEwBwAAAAoxMi8zMS8yMDI1CAAAAAoxMi8zMS8yMDIyCQAAAAEwByKlBpe13gh/kRoll7XeCC9DSVEuTkFTREFRR1M6TFlGVC5JUV9HUC5GWTIwMjMuMzEvMTIvMjAyNS4uLlNHRAEAAABVMYQDAgAAAAsxOTI2LjcyNjk3OAEIAAAABQAAAAExAQAAAAstMTk1OTQ3MzU0MQMAAAADMTM4AgAAAAIxMAQAAAABMAcAAAAKMTIvMzEvMjAyNQgAAAAKMTIvMzEvMjAyMwkAAAABMAcipQaXtd4I</t>
  </si>
  <si>
    <t>f5EaJZe13ggvQ0lRLk5BU0RBUUdTOkxZRlQuSVFfR1AuRlkyMDI0LjMxLzEyLzIwMjUuLi5TR0QBAAAAVTGEAwIAAAALMjc4NC4xMDkxMDcBCAAAAAUAAAABMQEAAAALLTE5NTk0NzM1MjkDAAAAAzEzOAIAAAACMTAEAAAAATAHAAAACjEyLzMxLzIwMjUIAAAACjEyLzMxLzIwMjQJAAAAATAHIqUGl7XeCH+RGiWXtd4IL0NJUS5OQVNEQVFHUzpMWUZULklRX0dQLkZZMjAyNS4zMS8xMi8yMDI1Li4uU0dEAQAAAFUxhAMDAAAAAAAHIqUGl7XeCH+RGiWXtd4ILkNJUS5PVENQSzpESURJLlkuSVFfR1AuRlkyMDE1LjMxLzEyLzIwMjUuLi5TR0QBAAAAyWasYwMAAAAAAAcipQaXtd4If5EaJZe13gguQ0lRLk9UQ1BLOkRJREkuWS5JUV9HUC5GWTIwMTYuMzEvMTIvMjAyNS4uLlNHRAEAAADJZqxjAwAAAAAAByKlBpe13gh/kRoll7XeCC5DSVEuT1RDUEs6RElESS5ZLklRX0dQLkZZMjAxNy4zMS8xMi8yMDI1Li4uU0dEAQAAAMlmrGMDAAAAAAAHIqUGl7XeCH+RGiWXtd4ILkNJUS5PVENQSzpESURJLlkuSVFfR1AuRlkyMDE4LjMxLzEyLzIwMjUuLi5TR0QBAAAAyWasYwIAAAAKNzQ4Ljg3NTE0MgEIAAAABQAAAAExAQAAAAstMjE0NDI0Nzc4MwMAAAADMTM4AgAAAAIxMAQAAAABMAcAAAAKMTIvMzEvMjAyNQgAAAAKMTIvMzEvMjAxOAkAAAABMAcipQaXtd4If5EaJZe13gguQ0lRLk9UQ1BLOkRJREkuWS5JUV9H</t>
  </si>
  <si>
    <t>UC5GWTIwMTkuMzEvMTIvMjAyNS4uLlNHRAEAAADJZqxjAgAAAAsyMTMzLjIxMTYyNAEIAAAABQAAAAExAQAAAAstMjA5OTE3NzQ4NQMAAAADMTM4AgAAAAIxMAQAAAABMAcAAAAKMTIvMzEvMjAyNQgAAAAKMTIvMzEvMjAxOQkAAAABMAcipQaXtd4If5EaJZe13gguQ0lRLk9UQ1BLOkRJREkuWS5JUV9HUC5GWTIwMjAuMzEvMTIvMjAyNS4uLlNHRAEAAADJZqxjAgAAAAsyMjcwLjg0MDc4OAEIAAAABQAAAAExAQAAAAstMjA0ODI0NjIzMgMAAAADMTM4AgAAAAIxMAQAAAABMAcAAAAKMTIvMzEvMjAyNQgAAAAKMTIvMzEvMjAyMAkAAAABMAcipQaXtd4If5EaJZe13gguQ0lRLk9UQ1BLOkRJREkuWS5JUV9HUC5GWTIwMjEuMzEvMTIvMjAyNS4uLlNHRAEAAADJZqxjAgAAAAsyMDAzLjEzODk4NwEIAAAABQAAAAExAQAAAAstMjAwMTc0MjEzOQMAAAADMTM4AgAAAAIxMAQAAAABMAcAAAAKMTIvMzEvMjAyNQgAAAAKMTIvMzEvMjAyMQkAAAABMAcipQaXtd4If5EaJZe13gguQ0lRLk9UQ1BLOkRJREkuWS5JUV9HUC5GWTIwMjIuMzEvMTIvMjAyNS4uLlNHRAEAAADJZqxjAgAAAAszNTk1LjIzNTIxNQEIAAAABQAAAAExAQAAAAstMTk1MDM1MTg2OAMAAAADMTM4AgAAAAIxMAQAAAABMAcAAAAKMTIvMzEvMjAyNQgAAAAKMTIvMzEvMjAyMgkAAAABMAcipQaXtd4If5EaJZe13gguQ0lRLk9UQ1BLOkRJREkuWS5J</t>
  </si>
  <si>
    <t>UV9HUC5GWTIwMjMuMzEvMTIvMjAyNS4uLlNHRAEAAADJZqxjAgAAAAs0MTA0LjA2NzU4OAEIAAAABQAAAAExAQAAAAstMTk1MDM1MTg2NQMAAAADMTM4AgAAAAIxMAQAAAABMAcAAAAKMTIvMzEvMjAyNQgAAAAKMTIvMzEvMjAyMwkAAAABMAcipQaXtd4If5EaJZe13gguQ0lRLk9UQ1BLOkRJREkuWS5JUV9HUC5GWTIwMjQuMzEvMTIvMjAyNS4uLlNHRAEAAADJZqxjAgAAAAs1NTkwLjg0NTUxMQEIAAAABQAAAAExAQAAAAstMTk1MDM1MTg1OAMAAAADMTM4AgAAAAIxMAQAAAABMAcAAAAKMTIvMzEvMjAyNQgAAAAKMTIvMzEvMjAyNAkAAAABMAcipQaXtd4If5EaJZe13gguQ0lRLk9UQ1BLOkRJREkuWS5JUV9HUC5GWTIwMjUuMzEvMTIvMjAyNS4uLlNHRAEAAADJZqxjAwAAAAAAByKlBpe13gh/kRoll7XeCCtDSVEuU0VISzozNjkwLklRX0dQLkZZMjAxNS4zMS8xMi8yMDI1Li4uU0dEAQAAAC11zQYCAAAACjYwNi42OTgxOTUBCAAAAAUAAAABMQEAAAAKMTkwNzE0MDg4MgMAAAADMTM4AgAAAAIxMAQAAAABMAcAAAAKMTIvMzEvMjAyNQgAAAAKMTIvMzEvMjAxNQkAAAABMAcipQaXtd4If5EaJZe13ggrQ0lRLlNFSEs6MzY5MC5JUV9HUC5GWTIwMTYuMzEvMTIvMjAyNS4uLlNHRAEAAAAtdc0GAgAAAAsxMjM2LjY3NzkzNAEIAAAABQAAAAExAQAAAAoxOTA3MTQwODQwAwAAAAMxMzgCAAAAAjEwBAAAAAEw</t>
  </si>
  <si>
    <t>BwAAAAoxMi8zMS8yMDI1CAAAAAoxMi8zMS8yMDE2CQAAAAEwByKlBpe13gh/kRoll7XeCCtDSVEuU0VISzozNjkwLklRX0dQLkZZMjAxNy4zMS8xMi8yMDI1Li4uU0dEAQAAAC11zQYCAAAACjI1MDkuODM2OTUBCAAAAAUAAAABMQEAAAAKMTk1MzgzNTE4NAMAAAADMTM4AgAAAAIxMAQAAAABMAcAAAAKMTIvMzEvMjAyNQgAAAAKMTIvMzEvMjAxNwkAAAABMAcipQaXtd4If5EaJZe13ggrQ0lRLlNFSEs6MzY5MC5JUV9HUC5GWTIwMTguMzEvMTIvMjAyNS4uLlNHRAEAAAAtdc0GAgAAAAsyOTAxLjY4MjY5MwEIAAAABQAAAAExAQAAAAoyMDI4NzQ0OTU0AwAAAAMxMzgCAAAAAjEwBAAAAAEwBwAAAAoxMi8zMS8yMDI1CAAAAAoxMi8zMS8yMDE4CQAAAAEwByKlBpe13gh/kRoll7XeCCtDSVEuU0VISzozNjkwLklRX0dQLkZZMjAxOS4zMS8xMi8yMDI1Li4uU0dEAQAAAC11zQYCAAAACjYwOTEuMzQwMzEBCAAAAAUAAAABMQEAAAAKMjA5MDA2OTU4OAMAAAADMTM4AgAAAAIxMAQAAAABMAcAAAAKMTIvMzEvMjAyNQgAAAAKMTIvMzEvMjAxOQkAAAABMAcipQaXtd4If5EaJZe13ggrQ0lRLlNFSEs6MzY5MC5JUV9HUC5GWTIwMjAuMzEvMTIvMjAyNS4uLlNHRAEAAAAtdc0GAgAAAAs2ODkzLjczNzc0NgEIAAAABQAAAAExAQAAAAstMjEwMjg3NTYwNwMAAAADMTM4AgAAAAIxMAQAAAABMAcAAAAKMTIvMzEvMjAy</t>
  </si>
  <si>
    <t>NQgAAAAKMTIvMzEvMjAyMAkAAAABMAcipQaXtd4If5EaJZe13ggrQ0lRLlNFSEs6MzY5MC5JUV9HUC5GWTIwMjEuMzEvMTIvMjAyNS4uLlNHRAEAAAAtdc0GAgAAAAs5MDE0LjA2ODI0NwEIAAAABQAAAAExAQAAAAstMjA1MDQ5MTg3NwMAAAADMTM4AgAAAAIxMAQAAAABMAcAAAAKMTIvMzEvMjAyNQgAAAAKMTIvMzEvMjAyMQkAAAABMAcipQaXtd4If5EaJZe13ggrQ0lRLlNFSEs6MzY5MC5JUV9HUC5GWTIwMjIuMzEvMTIvMjAyNS4uLlNHRAEAAAAtdc0GAgAAAAwxMjAwNS4xNzU5NDIBCAAAAAUAAAABMQEAAAALLTE5OTc5MjIyOTQDAAAAAzEzOAIAAAACMTAEAAAAATAHAAAACjEyLzMxLzIwMjUIAAAACjEyLzMxLzIwMjIJAAAAATAHIqUGl7XeCH+RGiWXtd4IK0NJUS5TRUhLOjM2OTAuSVFfR1AuRlkyMDIzLjMxLzEyLzIwMjUuLi5TR0QBAAAALXXNBgIAAAAMMTgwOTEuNzA5MjE0AQgAAAAFAAAAATEBAAAACy0xOTQ3MTcxMzY5AwAAAAMxMzgCAAAAAjEwBAAAAAEwBwAAAAoxMi8zMS8yMDI1CAAAAAoxMi8zMS8yMDIzCQAAAAEwByKlBpe13gh/kRoll7XeCCtDSVEuU0VISzozNjkwLklRX0dQLkZZMjAyNC4zMS8xMi8yMDI1Li4uU0dEAQAAAC11zQYCAAAACzI0MjY2LjQ4ODM1AQgAAAAFAAAAATEBAAAACy0xOTQ3MTcxNDIwAwAAAAMxMzgCAAAAAjEwBAAAAAEwBwAAAAoxMi8zMS8yMDI1CAAAAAox</t>
  </si>
  <si>
    <t>Mi8zMS8yMDI0CQAAAAEwByKlBpe13gh/kRoll7XeCCtDSVEuU0VISzozNjkwLklRX0dQLkZZMjAyNS4zMS8xMi8yMDI1Li4uU0dEAQAAAC11zQYDAAAAAAAHIqUGl7XeCH+RGiWXtd4IK0NJUS5YVFJBOkRIRVIuSVFfR1AuRlkyMDE1LjMxLzEyLzIwMjUuLi5TR0QBAAAAqrZiCAIAAAAJMjEwLjYwMzAzAQgAAAAFAAAAATEBAAAACjE4NDc2MTg0NDUDAAAAAzEzOAIAAAACMTAEAAAAATAHAAAACjEyLzMxLzIwMjUIAAAACjEyLzMxLzIwMTUJAAAAATAHIqUGl7XeCH+RGiWXtd4IK0NJUS5YVFJBOkRIRVIuSVFfR1AuRlkyMDE2LjMxLzEyLzIwMjUuLi5TR0QBAAAAqrZiCAIAAAAKMzI0LjUxMjg4NQEIAAAABQAAAAExAQAAAAoxODg1MDk4Mzc2AwAAAAMxMzgCAAAAAjEwBAAAAAEwBwAAAAoxMi8zMS8yMDI1CAAAAAoxMi8zMS8yMDE2CQAAAAEwByKlBpe13gh/kRoll7XeCCtDSVEuWFRSQTpESEVSLklRX0dQLkZZMjAxNy4zMS8xMi8yMDI1Li4uU0dEAQAAAKq2YggCAAAACjQ0OS40OTUyNTEBCAAAAAUAAAABMQEAAAAKMTk1NzQ4NzgyNwMAAAADMTM4AgAAAAIxMAQAAAABMAcAAAAKMTIvMzEvMjAyNQgAAAAKMTIvMzEvMjAxNwkAAAABMAcipQaXtd4If5EaJZe13ggrQ0lRLlhUUkE6REhFUi5JUV9HUC5GWTIwMTguMzEvMTIvMjAyNS4uLlNHRAEAAACqtmIIAgAAAAo1NDEuNDE0Nzk5AQgAAAAFAAAAATEB</t>
  </si>
  <si>
    <t>AAAACjIwMzI0MzU5MTIDAAAAAzEzOAIAAAACMTAEAAAAATAHAAAACjEyLzMxLzIwMjUIAAAACjEyLzMxLzIwMTgJAAAAATAHIqUGl7XeCH+RGiWXtd4IK0NJUS5YVFJBOkRIRVIuSVFfR1AuRlkyMDE5LjMxLzEyLzIwMjUuLi5TR0QBAAAAqrZiCAIAAAAKNDY5LjcxMjU4OQEIAAAABQAAAAExAQAAAAoyMDkzMjA4MTM1AwAAAAMxMzgCAAAAAjEwBAAAAAEwBwAAAAoxMi8zMS8yMDI1CAAAAAoxMi8zMS8yMDE5CQAAAAEwByKlBpe13gh/kRoll7XeCCtDSVEuWFRSQTpESEVSLklRX0dQLkZZMjAyMC4zMS8xMi8yMDI1Li4uU0dEAQAAAKq2YggCAAAACjc5OC44ODI2MzkBCAAAAAUAAAABMQEAAAALLTIxMDAxMzMwODQDAAAAAzEzOAIAAAACMTAEAAAAATAHAAAACjEyLzMxLzIwMjUIAAAACjEyLzMxLzIwMjAJAAAAATAHIqUGl7XeCH+RGiWXtd4IK0NJUS5YVFJBOkRIRVIuSVFfR1AuRlkyMDIxLjMxLzEyLzIwMjUuLi5TR0QBAAAAqrZiCAIAAAALMTkyOC44MTg4NzkBCAAAAAUAAAABMQEAAAALLTIwNDc2NDcwOTIDAAAAAzEzOAIAAAACMTAEAAAAATAHAAAACjEyLzMxLzIwMjUIAAAACjEyLzMxLzIwMjEJAAAAATAHIqUGl7XeCH+RGiWXtd4IK0NJUS5YVFJBOkRIRVIuSVFfR1AuRlkyMDIyLjMxLzEyLzIwMjUuLi5TR0QBAAAAqrZiCAIAAAALMzE5OC4xNzM5MzMBCAAAAAUAAAABMQEAAAALLTE5OTk2NDM5</t>
  </si>
  <si>
    <t>MzIDAAAAAzEzOAIAAAACMTAEAAAAATAHAAAACjEyLzMxLzIwMjUIAAAACjEyLzMxLzIwMjIJAAAAATAHIqUGl7XeCH+RGiWXtd4IK0NJUS5YVFJBOkRIRVIuSVFfR1AuRlkyMDIzLjMxLzEyLzIwMjUuLi5TR0QBAAAAqrZiCAIAAAALNDMzNy4xMTI0NTYBCAAAAAUAAAABMQEAAAALLTE5NDkyODcwMjkDAAAAAzEzOAIAAAACMTAEAAAAATAHAAAACjEyLzMxLzIwMjUIAAAACjEyLzMxLzIwMjMJAAAAATAHIqUGl7XeCH+RGiWXtd4IK0NJUS5YVFJBOkRIRVIuSVFfR1AuRlkyMDI0LjMxLzEyLzIwMjUuLi5TR0QBAAAAqrZiCAIAAAALNDcwMy45Mjk3MDIBCAAAAAUAAAABMQEAAAALLTE5NDkyODcwMzcDAAAAAzEzOAIAAAACMTAEAAAAATAHAAAACjEyLzMxLzIwMjUIAAAACjEyLzMxLzIwMjQJAAAAATAHIqUGl7XeCH+RGiWXtd4IK0NJUS5YVFJBOkRIRVIuSVFfR1AuRlkyMDI1LjMxLzEyLzIwMjUuLi5TR0QBAAAAqrZiCAMAAAAAAAcipQaXtd4If5EaJZe13ggvQ0lRLk5BU0RBUUdTOkRBU0guSVFfR1AuRlkyMDE1LjMxLzEyLzIwMjUuLi5TR0QBAAAApxyHDgMAAAAAAAcipQaXtd4If5EaJZe13ggvQ0lRLk5BU0RBUUdTOkRBU0guSVFfR1AuRlkyMDE2LjMxLzEyLzIwMjUuLi5TR0QBAAAApxyHDgMAAAAAAAcipQaXtd4If5EaJZe13ggvQ0lRLk5BU0RBUUdTOkRBU0guSVFfR1AuRlkyMDE3LjMxLzEyLzIw</t>
  </si>
  <si>
    <t>MjUuLi5TR0QBAAAApxyHDgMAAAAAAAcipQaXtd4If5EaJZe13ggvQ0lRLk5BU0RBUUdTOkRBU0guSVFfR1AuRlkyMDE4LjMxLzEyLzIwMjUuLi5TR0QBAAAApxyHDgIAAAAIOTkuNDUxNTUBCAAAAAUAAAABMQEAAAAKMjA4MzI5OTczMQMAAAADMTM4AgAAAAIxMAQAAAABMAcAAAAKMTIvMzEvMjAyNQgAAAAKMTIvMzEvMjAxOAkAAAABMAcipQaXtd4IQScYJZe13ggvQ0lRLk5BU0RBUUdTOkRBU0guSVFfR1AuRlkyMDE5LjMxLzEyLzIwMjUuLi5TR0QBAAAApxyHDgIAAAAJNTI1Ljg5MTA5AQgAAAAFAAAAATEBAAAACy0yMTEwMDYxMzg4AwAAAAMxMzgCAAAAAjEwBAAAAAEwBwAAAAoxMi8zMS8yMDI1CAAAAAoxMi8zMS8yMDE5CQAAAAEwByKlBpe13ghBJxgll7XeCC9DSVEuTkFTREFRR1M6REFTSC5JUV9HUC5GWTIwMjAuMzEvMTIvMjAyNS4uLlNHRAEAAACnHIcOAgAAAAoyMDY3LjI0ODI4AQgAAAAFAAAAATEBAAAACy0yMDU5MzkzNDE3AwAAAAMxMzgCAAAAAjEwBAAAAAEwBwAAAAoxMi8zMS8yMDI1CAAAAAoxMi8zMS8yMDIwCQAAAAEwByKlBpe13gh/kRoll7XeCC9DSVEuTkFTREFRR1M6REFTSC5JUV9HUC5GWTIwMjEuMzEvMTIvMjAyNS4uLlNHRAEAAACnHIcOAgAAAAozNTI5LjUzNTI0AQgAAAAFAAAAATEBAAAACy0yMDA5NTE4NDIzAwAAAAMxMzgCAAAAAjEwBAAAAAEwBwAAAAoxMi8zMS8yMDI1</t>
  </si>
  <si>
    <t>CAAAAAoxMi8zMS8yMDIxCQAAAAEwByKlBpe13ghBJxgll7XeCC9DSVEuTkFTREFRR1M6REFTSC5JUV9HUC5GWTIwMjIuMzEvMTIvMjAyNS4uLlNHRAEAAACnHIcOAgAAAAo0MTM1LjIxMjI0AQgAAAAFAAAAATEBAAAACy0xOTU5NTU0NjcwAwAAAAMxMzgCAAAAAjEwBAAAAAEwBwAAAAoxMi8zMS8yMDI1CAAAAAoxMi8zMS8yMDIyCQAAAAEwByKlBpe13ghBJxgll7XeCC9DSVEuTkFTREFRR1M6REFTSC5JUV9HUC5GWTIwMjMuMzEvMTIvMjAyNS4uLlNHRAEAAACnHIcOAgAAAAo1NDk2LjIzMDE2AQgAAAAFAAAAATEBAAAACy0xOTU5NTU0NjczAwAAAAMxMzgCAAAAAjEwBAAAAAEwBwAAAAoxMi8zMS8yMDI1CAAAAAoxMi8zMS8yMDIzCQAAAAEwByKlBpe13ghBJxgll7XeCC9DSVEuTkFTREFRR1M6REFTSC5JUV9HUC5GWTIwMjQuMzEvMTIvMjAyNS4uLlNHRAEAAACnHIcOAgAAAAo3MjMxLjgxMDI1AQgAAAAFAAAAATEBAAAACy0xOTU5NTU0Njc2AwAAAAMxMzgCAAAAAjEwBAAAAAEwBwAAAAoxMi8zMS8yMDI1CAAAAAoxMi8zMS8yMDI0CQAAAAEwByKlBpe13ghBJxgll7XeCC9DSVEuTkFTREFRR1M6REFTSC5JUV9HUC5GWTIwMjUuMzEvMTIvMjAyNS4uLlNHRAEAAACnHIcOAwAAAAAAByKlBpe13ghBJxgll7XeCC1DSVEuREZNOlRBTEFCQVQuSVFfR1AuRlkyMDE1LjMxLzEyLzIwMjUuLi5TR0QBAAAA2b6C</t>
  </si>
  <si>
    <t>bgMAAAAAAAcipQaXtd4IQScYJZe13ggtQ0lRLkRGTTpUQUxBQkFULklRX0dQLkZZMjAxNi4zMS8xMi8yMDI1Li4uU0dEAQAAANm+gm4DAAAAAAAHIqUGl7XeCEEnGCWXtd4ILUNJUS5ERk06VEFMQUJBVC5JUV9HUC5GWTIwMTcuMzEvMTIvMjAyNS4uLlNHRAEAAADZvoJuAwAAAAAAByKlBpe13ghBJxgll7XeCC1DSVEuREZNOlRBTEFCQVQuSVFfR1AuRlkyMDE4LjMxLzEyLzIwMjUuLi5TR0QBAAAA2b6CbgMAAAAAAAcipQaXtd4IQScYJZe13ggtQ0lRLkRGTTpUQUxBQkFULklRX0dQLkZZMjAxOS4zMS8xMi8yMDI1Li4uU0dEAQAAANm+gm4DAAAAAAAHIqUGl7XeCEEnGCWXtd4ILUNJUS5ERk06VEFMQUJBVC5JUV9HUC5GWTIwMjAuMzEvMTIvMjAyNS4uLlNHRAEAAADZvoJuAwAAAAAAByKlBpe13ghBJxgll7XeCC1DSVEuREZNOlRBTEFCQVQuSVFfR1AuRlkyMDIxLjMxLzEyLzIwMjUuLi5TR0QBAAAA2b6CbgMAAAAAAAcipQaXtd4IQScYJZe13ggtQ0lRLkRGTTpUQUxBQkFULklRX0dQLkZZMjAyMi4zMS8xMi8yMDI1Li4uU0dEAQAAANm+gm4CAAAACjY3My40Mzk5NjgBCAAAAAUAAAABMQEAAAALLTE5NjI0MDUzODYDAAAAAzEzOAIAAAACMTAEAAAAATAHAAAACjEyLzMxLzIwMjUIAAAACjEyLzMxLzIwMjIJAAAAATAHIqUGl7XeCEEnGCWXtd4ILUNJUS5ERk06VEFMQUJBVC5JUV9HUC5GWTIwMjMuMzEv</t>
  </si>
  <si>
    <t>MTIvMjAyNS4uLlNHRAEAAADZvoJuAgAAAAo4MjkuMTYxODQ3AQgAAAAFAAAAATEBAAAACy0xOTYyNDA1Mzg5AwAAAAMxMzgCAAAAAjEwBAAAAAEwBwAAAAoxMi8zMS8yMDI1CAAAAAoxMi8zMS8yMDIzCQAAAAEwByKlBpe13ghBJxgll7XeCC1DSVEuREZNOlRBTEFCQVQuSVFfR1AuRlkyMDI0LjMxLzEyLzIwMjUuLi5TR0QBAAAA2b6CbgIAAAALMTA0NC4xNDc2NDQBCAAAAAUAAAABMQEAAAALLTE5NTQyOTc1NDcDAAAAAzEzOAIAAAACMTAEAAAAATAHAAAACjEyLzMxLzIwMjUIAAAACjEyLzMxLzIwMjQJAAAAATAHIqUGl7XeCEEnGCWXtd4ILUNJUS5ERk06VEFMQUJBVC5JUV9HUC5GWTIwMjUuMzEvMTIvMjAyNS4uLlNHRAEAAADZvoJuAwAAAAAAByKlBpe13ghBJxgll7XeCDNDSVEuTkFTREFRR1M6R1JBQi5JUV9FQklUREEuRlkyMDE1LjMxLzEyLzIwMjUuLi5TR0QBAAAAcZnOIwMAAAAAAAcipQaXtd4Ihr8VJZe13ggzQ0lRLk5BU0RBUUdTOkdSQUIuSVFfRUJJVERBLkZZMjAxNi4zMS8xMi8yMDI1Li4uU0dEAQAAAHGZziMDAAAAAAAHIqUGl7XeCIa/FSWXtd4IM0NJUS5OQVNEQVFHUzpHUkFCLklRX0VCSVREQS5GWTIwMTcuMzEvMTIvMjAyNS4uLlNHRAEAAABxmc4jAwAAAAAAByKlBpe13giGvxUll7XeCDNDSVEuTkFTREFRR1M6R1JBQi5JUV9FQklUREEuRlkyMDE4LjMxLzEyLzIwMjUuLi5TR0QB</t>
  </si>
  <si>
    <t>AAAAcZnOIwMAAAAAAAcipQaXtd4Ihr8VJZe13ggzQ0lRLk5BU0RBUUdTOkdSQUIuSVFfRUJJVERBLkZZMjAxOS4zMS8xMi8yMDI1Li4uU0dEAQAAAHGZziMCAAAACy0zMTM5LjIwNjY2AQgAAAAFAAAAATEBAAAACy0yMDk5ODI0ODIxAwAAAAMxMzgCAAAABDQwNTEEAAAAATAHAAAACjEyLzMxLzIwMjUIAAAACjEyLzMxLzIwMTkJAAAAATAHIqUGl7XeCIa/FSWXtd4IM0NJUS5OQVNEQVFHUzpHUkFCLklRX0VCSVREQS5GWTIwMjAuMzEvMTIvMjAyNS4uLlNHRAEAAABxmc4jAgAAAAstMTE3OS4wMTg4NAEIAAAABQAAAAExAQAAAAstMjA0OTgwMjUwMgMAAAADMTM4AgAAAAQ0MDUxBAAAAAEwBwAAAAoxMi8zMS8yMDI1CAAAAAoxMi8zMS8yMDIwCQAAAAEwByKlBpe13giGvxUll7XeCDNDSVEuTkFTREFRR1M6R1JBQi5JUV9FQklUREEuRlkyMDIxLjMxLzEyLzIwMjUuLi5TR0QBAAAAcZnOIwIAAAAKLTE2MzEuMjk3OAEIAAAABQAAAAExAQAAAAstMjAwNDI1ODg4NwMAAAADMTM4AgAAAAQ0MDUxBAAAAAEwBwAAAAoxMi8zMS8yMDI1CAAAAAoxMi8zMS8yMDIxCQAAAAEwByKlBpe13giGvxUll7XeCDNDSVEuTkFTREFRR1M6R1JBQi5JUV9FQklUREEuRlkyMDIyLjMxLzEyLzIwMjUuLi5TR0QBAAAAcZnOIwIAAAALLTE2MjUuMTIyMzIBCAAAAAUAAAABMQEAAAALLTE5NTU3NzI3OTgDAAAAAzEzOAIAAAAENDA1</t>
  </si>
  <si>
    <t>MQQAAAABMAcAAAAKMTIvMzEvMjAyNQgAAAAKMTIvMzEvMjAyMgkAAAABMAcipQaXtd4Ihr8VJZe13ggzQ0lRLk5BU0RBUUdTOkdSQUIuSVFfRUJJVERBLkZZMjAyMy4zMS8xMi8yMDI1Li4uU0dEAQAAAHGZziMCAAAACi00MzAuMzAwNDQBCAAAAAUAAAABMQEAAAALLTE5NTU3NzI4MTUDAAAAAzEzOAIAAAAENDA1MQQAAAABMAcAAAAKMTIvMzEvMjAyNQgAAAAKMTIvMzEvMjAyMwkAAAABMAcipQaXtd4Ihr8VJZe13ggzQ0lRLk5BU0RBUUdTOkdSQUIuSVFfRUJJVERBLkZZMjAyNC4zMS8xMi8yMDI1Li4uU0dEAQAAAHGZziMCAAAACS0xMi4yODI3NQEIAAAABQAAAAExAQAAAAstMTk1NTc3Mjc5OQMAAAADMTM4AgAAAAQ0MDUxBAAAAAEwBwAAAAoxMi8zMS8yMDI1CAAAAAoxMi8zMS8yMDI0CQAAAAEwByKlBpe13giGvxUll7XeCDNDSVEuTkFTREFRR1M6R1JBQi5JUV9FQklUREEuRlkyMDI1LjMxLzEyLzIwMjUuLi5TR0QBAAAAcZnOIwMAAAAAAAcipQaXtd4Ihr8VJZe13ggvQ0lRLklEWDogR09UTy5JUV9FQklUREEuRlkyMDE1LjMxLzEyLzIwMjUuLi5TR0QBAAAAb5NqEQMAAAAAAAcipQaXtd4Ihr8VJZe13ggvQ0lRLklEWDogR09UTy5JUV9FQklUREEuRlkyMDE2LjMxLzEyLzIwMjUuLi5TR0QBAAAAb5NqEQMAAAAAAAcipQaXtd4Ihr8VJZe13ggvQ0lRLklEWDogR09UTy5JUV9FQklUREEuRlkyMDE3</t>
  </si>
  <si>
    <t>LjMxLzEyLzIwMjUuLi5TR0QBAAAAb5NqEQMAAAAAAAcipQaXtd4Ihr8VJZe13ggvQ0lRLklEWDogR09UTy5JUV9FQklUREEuRlkyMDE4LjMxLzEyLzIwMjUuLi5TR0QBAAAAb5NqEQIAAAAMLTExMTEuNzU0NTQ1AQgAAAAFAAAAATEBAAAACy0yMTA3NjgzNjk2AwAAAAMxMzgCAAAABDQwNTEEAAAAATAHAAAACjEyLzMxLzIwMjUIAAAACjEyLzMxLzIwMTgJAAAAATAHIqUGl7XeCIa/FSWXtd4IL0NJUS5JRFg6IEdPVE8uSVFfRUJJVERBLkZZMjAxOS4zMS8xMi8yMDI1Li4uU0dEAQAAAG+TahECAAAADC0yMDA0LjA5NTQ4OAEIAAAABQAAAAExAQAAAAstMjEwNzY4MzY5NAMAAAADMTM4AgAAAAQ0MDUxBAAAAAEwBwAAAAoxMi8zMS8yMDI1CAAAAAoxMi8zMS8yMDE5CQAAAAEwByKlBpe13giGvxUll7XeCC9DSVEuSURYOiBHT1RPLklRX0VCSVREQS5GWTIwMjAuMzEvMTIvMjAyNS4uLlNHRAEAAABvk2oRAgAAAAstOTI4LjUzMTk2OAEIAAAABQAAAAExAQAAAAstMjA5Mjc5MTg3OAMAAAADMTM4AgAAAAQ0MDUxBAAAAAEwBwAAAAoxMi8zMS8yMDI1CAAAAAoxMi8zMS8yMDIwCQAAAAEwByKlBpe13giGvxUll7XeCC9DSVEuSURYOiBHT1RPLklRX0VCSVREQS5GWTIwMjEuMzEvMTIvMjAyNS4uLlNHRAEAAABvk2oRAgAAAAwtMjAwNC41Nzk3NjIBCAAAAAUAAAABMQEAAAALLTIwNTQ2MzMxNDkDAAAAAzEzOAIA</t>
  </si>
  <si>
    <t>AAAENDA1MQQAAAABMAcAAAAKMTIvMzEvMjAyNQgAAAAKMTIvMzEvMjAyMQkAAAABMAcipQaXtd4Ihr8VJZe13ggvQ0lRLklEWDogR09UTy5JUV9FQklUREEuRlkyMDIyLjMxLzEyLzIwMjUuLi5TR0QBAAAAb5NqEQIAAAAMLTI1MDYuNDE0OTA1AQgAAAAFAAAAATEBAAAACy0yMDA1NDMwMjI0AwAAAAMxMzgCAAAABDQwNTEEAAAAATAHAAAACjEyLzMxLzIwMjUIAAAACjEyLzMxLzIwMjIJAAAAATAHIqUGl7XeCIa/FSWXtd4IL0NJUS5JRFg6IEdPVE8uSVFfRUJJVERBLkZZMjAyMy4zMS8xMi8yMDI1Li4uU0dEAQAAAG+TahECAAAACy03NzMuOTM0NDQxAQgAAAAFAAAAATEBAAAACy0xOTU2MTY0NTExAwAAAAMxMzgCAAAABDQwNTEEAAAAATAHAAAACjEyLzMxLzIwMjUIAAAACjEyLzMxLzIwMjMJAAAAATAHIqUGl7XeCIa/FSWXtd4IL0NJUS5JRFg6IEdPVE8uSVFfRUJJVERBLkZZMjAyNC4zMS8xMi8yMDI1Li4uU0dEAQAAAG+TahECAAAACy0xNjguNTc5MzU3AQgAAAAFAAAAATEBAAAACy0xOTU2MTY0NTEwAwAAAAMxMzgCAAAABDQwNTEEAAAAATAHAAAACjEyLzMxLzIwMjUIAAAACjEyLzMxLzIwMjQJAAAAATAHIqUGl7XeCIa/FSWXtd4IL0NJUS5JRFg6IEdPVE8uSVFfRUJJVERBLkZZMjAyNS4zMS8xMi8yMDI1Li4uU0dEAQAAAG+TahEDAAAAAAAHIqUGl7XeCIa/FSWXtd4ILkNJUS5OWVNFOiBTRS5J</t>
  </si>
  <si>
    <t>UV9FQklUREEuRlkyMDE1LjMxLzEyLzIwMjUuLi5TR0QBAAAA+wJnGQIAAAAKLTczLjg3NjE3NgEIAAAABQAAAAExAQAAAAoxODgyMjk2MzUzAwAAAAMxMzgCAAAABDQwNTEEAAAAATAHAAAACjEyLzMxLzIwMjUIAAAACjEyLzMxLzIwMTUJAAAAATAHIqUGl7XeCIa/FSWXtd4ILkNJUS5OWVNFOiBTRS5JUV9FQklUREEuRlkyMDE2LjMxLzEyLzIwMjUuLi5TR0QBAAAA+wJnGQIAAAAKLTIzMS42MzA2OQEIAAAABQAAAAExAQAAAAoxOTQ4MTYwMTE2AwAAAAMxMzgCAAAABDQwNTEEAAAAATAHAAAACjEyLzMxLzIwMjUIAAAACjEyLzMxLzIwMTYJAAAAATAHIqUGl7XeCIa/FSWXtd4ILkNJUS5OWVNFOiBTRS5JUV9FQklUREEuRlkyMDE3LjMxLzEyLzIwMjUuLi5TR0QBAAAA+wJnGQIAAAALLTYxNS40NTEyNjIBCAAAAAUAAAABMQEAAAAKMjAyODAwNTg1MwMAAAADMTM4AgAAAAQ0MDUxBAAAAAEwBwAAAAoxMi8zMS8yMDI1CAAAAAoxMi8zMS8yMDE3CQAAAAEwByKlBpe13giGvxUll7XeCC5DSVEuTllTRTogU0UuSVFfRUJJVERBLkZZMjAxOC4zMS8xMi8yMDI1Li4uU0dEAQAAAPsCZxkCAAAADC0xMjMyLjc1NTA5NAEIAAAABQAAAAExAQAAAAoyMDg5NjI2ODQxAwAAAAMxMzgCAAAABDQwNTEEAAAAATAHAAAACjEyLzMxLzIwMjUIAAAACjEyLzMxLzIwMTgJAAAAATAHIqUGl7XeCIa/FSWXtd4ILkNJUS5OWVNF</t>
  </si>
  <si>
    <t>OiBTRS5JUV9FQklUREEuRlkyMDE5LjMxLzEyLzIwMjUuLi5TR0QBAAAA+wJnGQIAAAAMLTEwMzUuMTA0MzA0AQgAAAAFAAAAATEBAAAACy0yMTAxOTU5MTY0AwAAAAMxMzgCAAAABDQwNTEEAAAAATAHAAAACjEyLzMxLzIwMjUIAAAACjEyLzMxLzIwMTkJAAAAATAHIqUGl7XeCIa/FSWXtd4ILkNJUS5OWVNFOiBTRS5JUV9FQklUREEuRlkyMDIwLjMxLzEyLzIwMjUuLi5TR0QBAAAA+wJnGQIAAAAMLTE0ODMuNzcxNDE4AQgAAAAFAAAAATEBAAAACy0yMDUzNjMwODQ3AwAAAAMxMzgCAAAABDQwNTEEAAAAATAHAAAACjEyLzMxLzIwMjUIAAAACjEyLzMxLzIwMjAJAAAAATAHIqUGl7XeCIa/FSWXtd4ILkNJUS5OWVNFOiBTRS5JUV9FQklUREEuRlkyMDIxLjMxLzEyLzIwMjUuLi5TR0QBAAAA+wJnGQIAAAAMLTE3NTguMDY0NDY5AQgAAAAFAAAAATEBAAAACy0xOTk4ODU2Njk4AwAAAAMxMzgCAAAABDQwNTEEAAAAATAHAAAACjEyLzMxLzIwMjUIAAAACjEyLzMxLzIwMjEJAAAAATAHIqUGl7XeCIa/FSWXtd4ILkNJUS5OWVNFOiBTRS5JUV9FQklUREEuRlkyMDIyLjMxLzEyLzIwMjUuLi5TR0QBAAAA+wJnGQIAAAAKLTk0NC4yNjE3NwEIAAAABQAAAAExAQAAAAstMTk1MDc1Mzc4MAMAAAADMTM4AgAAAAQ0MDUxBAAAAAEwBwAAAAoxMi8zMS8yMDI1CAAAAAoxMi8zMS8yMDIyCQAAAAEwByKlBpe13giGvxUl</t>
  </si>
  <si>
    <t>l7XeCC5DSVEuTllTRTogU0UuSVFfRUJJVERBLkZZMjAyMy4zMS8xMi8yMDI1Li4uU0dEAQAAAPsCZxkCAAAACjEwMzQuMTcwMzUBCAAAAAUAAAABMQEAAAALLTE5NTA3NTM3NzkDAAAAAzEzOAIAAAAENDA1MQQAAAABMAcAAAAKMTIvMzEvMjAyNQgAAAAKMTIvMzEvMjAyMwkAAAABMAcipQaXtd4Ihr8VJZe13gguQ0lRLk5ZU0U6IFNFLklRX0VCSVREQS5GWTIwMjQuMzEvMTIvMjAyNS4uLlNHRAEAAAD7AmcZAgAAAAsxNDM1LjQ3ODE2OQEIAAAABQAAAAExAQAAAAstMTk1MDc1Mzc3NgMAAAADMTM4AgAAAAQ0MDUxBAAAAAEwBwAAAAoxMi8zMS8yMDI1CAAAAAoxMi8zMS8yMDI0CQAAAAEwByKlBpe13giGvxUll7XeCC5DSVEuTllTRTogU0UuSVFfRUJJVERBLkZZMjAyNS4zMS8xMi8yMDI1Li4uU0dEAQAAAPsCZxkDAAAAAAAHIqUGl7XeCIa/FSWXtd4IL0NJUS5OWVNFOlVCRVIuSVFfRUJJVERBLkZZMjAxNS4zMS8xMi8yMDI1Li4uU0dEAQAAADBGnQgDAAAAAAAHIqUGl7XeCNBVEyWXtd4IL0NJUS5OWVNFOlVCRVIuSVFfRUJJVERBLkZZMjAxNi4zMS8xMi8yMDI1Li4uU0dEAQAAADBGnQgCAAAACi0zOTIzLjkzNTIBCAAAAAUAAAABMQEAAAAKMTk2NDYxNDkxNAMAAAADMTM4AgAAAAQ0MDUxBAAAAAEwBwAAAAoxMi8zMS8yMDI1CAAAAAoxMi8zMS8yMDE2CQAAAAEwByKlBpe13gjQVRMll7XeCC9DSVEu</t>
  </si>
  <si>
    <t>TllTRTpVQkVSLklRX0VCSVREQS5GWTIwMTcuMzEvMTIvMjAyNS4uLlNHRAEAAAAwRp0IAgAAAAstNDQ5MS44MDg0NQEIAAAABQAAAAExAQAAAAoyMDE4ODkyNDUzAwAAAAMxMzgCAAAABDQwNTEEAAAAATAHAAAACjEyLzMxLzIwMjUIAAAACjEyLzMxLzIwMTcJAAAAATAHIqUGl7XeCNBVEyWXtd4IL0NJUS5OWVNFOlVCRVIuSVFfRUJJVERBLkZZMjAxOC4zMS8xMi8yMDI1Li4uU0dEAQAAADBGnQgCAAAACi0zMjk5LjYxMTcBCAAAAAUAAAABMQEAAAAKMjA4MjUwMTE2OQMAAAADMTM4AgAAAAQ0MDUxBAAAAAEwBwAAAAoxMi8zMS8yMDI1CAAAAAoxMi8zMS8yMDE4CQAAAAEwByKlBpe13gjQVRMll7XeCC9DSVEuTllTRTpVQkVSLklRX0VCSVREQS5GWTIwMTkuMzEvMTIvMjAyNS4uLlNHRAEAAAAwRp0IAgAAAAwtMTA5NTYuMjg4NTQBCAAAAAUAAAABMQEAAAALLTIxMTA0NTUyMDIDAAAAAzEzOAIAAAAENDA1MQQAAAABMAcAAAAKMTIvMzEvMjAyNQgAAAAKMTIvMzEvMjAxOQkAAAABMAcipQaXtd4Ihr8VJZe13ggvQ0lRLk5ZU0U6VUJFUi5JUV9FQklUREEuRlkyMDIwLjMxLzEyLzIwMjUuLi5TR0QBAAAAMEadCAIAAAALLTUxODkuMjY5MDIBCAAAAAUAAAABMQEAAAALLTIwNjAxNDc0MDcDAAAAAzEzOAIAAAAENDA1MQQAAAABMAcAAAAKMTIvMzEvMjAyNQgAAAAKMTIvMzEvMjAyMAkAAAABMAcipQaXtd4I</t>
  </si>
  <si>
    <t>0FUTJZe13ggvQ0lRLk5ZU0U6VUJFUi5JUV9FQklUREEuRlkyMDIxLjMxLzEyLzIwMjUuLi5TR0QBAAAAMEadCAIAAAALLTM5NTIuODYzNzYBCAAAAAUAAAABMQEAAAALLTIwMTAxMjU4NTYDAAAAAzEzOAIAAAAENDA1MQQAAAABMAcAAAAKMTIvMzEvMjAyNQgAAAAKMTIvMzEvMjAyMQkAAAABMAcipQaXtd4I0FUTJZe13ggvQ0lRLk5ZU0U6VUJFUi5JUV9FQklUREEuRlkyMDIyLjMxLzEyLzIwMjUuLi5TR0QBAAAAMEadCAIAAAAKLTExODYuNjYxMQEIAAAABQAAAAExAQAAAAstMTk1OTU1NDY2NgMAAAADMTM4AgAAAAQ0MDUxBAAAAAEwBwAAAAoxMi8zMS8yMDI1CAAAAAoxMi8zMS8yMDIyCQAAAAEwByKlBpe13gjQVRMll7XeCC9DSVEuTllTRTpVQkVSLklRX0VCSVREQS5GWTIwMjMuMzEvMTIvMjAyNS4uLlNHRAEAAAAwRp0IAgAAAAoyNTUxLjQ0NDAyAQgAAAAFAAAAATEBAAAACy0xOTU5NTU0NjU2AwAAAAMxMzgCAAAABDQwNTEEAAAAATAHAAAACjEyLzMxLzIwMjUIAAAACjEyLzMxLzIwMjMJAAAAATAHIqUGl7XeCNBVEyWXtd4IL0NJUS5OWVNFOlVCRVIuSVFfRUJJVERBLkZZMjAyNC4zMS8xMi8yMDI1Li4uU0dEAQAAADBGnQgCAAAACDQ4MjUuNzU2AQgAAAAFAAAAATEBAAAACy0xOTU5NTU0NjY4AwAAAAMxMzgCAAAABDQwNTEEAAAAATAHAAAACjEyLzMxLzIwMjUIAAAACjEyLzMxLzIwMjQJAAAA</t>
  </si>
  <si>
    <t>ATAHIqUGl7XeCNBVEyWXtd4IL0NJUS5OWVNFOlVCRVIuSVFfRUJJVERBLkZZMjAyNS4zMS8xMi8yMDI1Li4uU0dEAQAAADBGnQgDAAAAAAAHIqUGl7XeCNBVEyWXtd4IM0NJUS5OQVNEQVFHUzpMWUZULklRX0VCSVREQS5GWTIwMTUuMzEvMTIvMjAyNS4uLlNHRAEAAABVMYQDAwAAAAAAByKlBpe13gjQVRMll7XeCDNDSVEuTkFTREFRR1M6TFlGVC5JUV9FQklUREEuRlkyMDE2LjMxLzEyLzIwMjUuLi5TR0QBAAAAVTGEAwIAAAAMLTEwMDAuMjQzNjAxAQgAAAAFAAAAATEBAAAACjE5NjQ4MDIxODADAAAAAzEzOAIAAAAENDA1MQQAAAABMAcAAAAKMTIvMzEvMjAyNQgAAAAKMTIvMzEvMjAxNgkAAAABMAcipQaXtd4I0FUTJZe13ggzQ0lRLk5BU0RBUUdTOkxZRlQuSVFfRUJJVERBLkZZMjAxNy4zMS8xMi8yMDI1Li4uU0dEAQAAAFUxhAMCAAAACy05NDMuMDgwNjQzAQgAAAAFAAAAATEBAAAACjIwMTgzMTQ2OTEDAAAAAzEzOAIAAAAENDA1MQQAAAABMAcAAAAKMTIvMzEvMjAyNQgAAAAKMTIvMzEvMjAxNwkAAAABMAcipQaXtd4I0FUTJZe13ggzQ0lRLk5BU0RBUUdTOkxZRlQuSVFfRUJJVERBLkZZMjAxOC4zMS8xMi8yMDI1Li4uU0dEAQAAAFUxhAMCAAAADC0xMzAyLjg5NTY4NAEIAAAABQAAAAExAQAAAAoyMDgyNjg2ODU0AwAAAAMxMzgCAAAABDQwNTEEAAAAATAHAAAACjEyLzMxLzIwMjUIAAAACjEy</t>
  </si>
  <si>
    <t>LzMxLzIwMTgJAAAAATAHIqUGl7XeCNBVEyWXtd4IM0NJUS5OQVNEQVFHUzpMWUZULklRX0VCSVREQS5GWTIwMTkuMzEvMTIvMjAyNS4uLlNHRAEAAABVMYQDAgAAAAwtMzQ4OC45NzI2NTQBCAAAAAUAAAABMQEAAAALLTIxMDk4NjkzNTcDAAAAAzEzOAIAAAAENDA1MQQAAAABMAcAAAAKMTIvMzEvMjAyNQgAAAAKMTIvMzEvMjAxOQkAAAABMAcipQaXtd4I0FUTJZe13ggzQ0lRLk5BU0RBUUdTOkxZRlQuSVFfRUJJVERBLkZZMjAyMC4zMS8xMi8yMDI1Li4uU0dEAQAAAFUxhAMCAAAADC0yMTE1Ljk5MTE5MgEIAAAABQAAAAExAQAAAAstMjA1OTI1MTUzNQMAAAADMTM4AgAAAAQ0MDUxBAAAAAEwBwAAAAoxMi8zMS8yMDI1CAAAAAoxMi8zMS8yMDIwCQAAAAEwByKlBpe13gjQVRMll7XeCDNDSVEuTkFTREFRR1M6TFlGVC5JUV9FQklUREEuRlkyMDIxLjMxLzEyLzIwMjUuLi5TR0QBAAAAVTGEAwIAAAAMLTEzNDIuNjEyMDE3AQgAAAAFAAAAATEBAAAACy0yMDA5NTg2MjY3AwAAAAMxMzgCAAAABDQwNTEEAAAAATAHAAAACjEyLzMxLzIwMjUIAAAACjEyLzMxLzIwMjEJAAAAATAHIqUGl7XeCNBVEyWXtd4IM0NJUS5OQVNEQVFHUzpMWUZULklRX0VCSVREQS5GWTIwMjIuMzEvMTIvMjAyNS4uLlNHRAEAAABVMYQDAgAAAAwtMTYxOS40NTA0ODIBCAAAAAUAAAABMQEAAAALLTE5NTk0NzM1NDADAAAAAzEzOAIA</t>
  </si>
  <si>
    <t>AAAENDA1MQQAAAABMAcAAAAKMTIvMzEvMjAyNQgAAAAKMTIvMzEvMjAyMgkAAAABMAcipQaXtd4I0FUTJZe13ggzQ0lRLk5BU0RBUUdTOkxZRlQuSVFfRUJJVERBLkZZMjAyMy4zMS8xMi8yMDI1Li4uU0dEAQAAAFUxhAMCAAAACi0zNTkuNDcyNDYBCAAAAAUAAAABMQEAAAALLTE5NTk0NzM1NDEDAAAAAzEzOAIAAAAENDA1MQQAAAABMAcAAAAKMTIvMzEvMjAyNQgAAAAKMTIvMzEvMjAyMwkAAAABMAcipQaXtd4I0FUTJZe13ggzQ0lRLk5BU0RBUUdTOkxZRlQuSVFfRUJJVERBLkZZMjAyNC4zMS8xMi8yMDI1Li4uU0dEAQAAAFUxhAMCAAAACTM3LjMwNTQ0MQEIAAAABQAAAAExAQAAAAstMTk1OTQ3MzUyOQMAAAADMTM4AgAAAAQ0MDUxBAAAAAEwBwAAAAoxMi8zMS8yMDI1CAAAAAoxMi8zMS8yMDI0CQAAAAEwByKlBpe13gjQVRMll7XeCDNDSVEuTkFTREFRR1M6TFlGVC5JUV9FQklUREEuRlkyMDI1LjMxLzEyLzIwMjUuLi5TR0QBAAAAVTGEAwMAAAAAAAcipQaXtd4I0FUTJZe13ggyQ0lRLk9UQ1BLOkRJREkuWS5JUV9FQklUREEuRlkyMDE1LjMxLzEyLzIwMjUuLi5TR0QBAAAAyWasYwMAAAAAAAcipQaXtd4Ihr8VJZe13ggyQ0lRLk9UQ1BLOkRJREkuWS5JUV9FQklUREEuRlkyMDE2LjMxLzEyLzIwMjUuLi5TR0QBAAAAyWasYwMAAAAAAAcipQaXtd4Ihr8VJZe13ggyQ0lRLk9UQ1BLOkRJREkuWS5J</t>
  </si>
  <si>
    <t>UV9FQklUREEuRlkyMDE3LjMxLzEyLzIwMjUuLi5TR0QBAAAAyWasYwMAAAAAAAcipQaXtd4Ihr8VJZe13ggyQ0lRLk9UQ1BLOkRJREkuWS5JUV9FQklUREEuRlkyMDE4LjMxLzEyLzIwMjUuLi5TR0QBAAAAyWasYwIAAAAMLTE5MTMuMDcyNjE3AQgAAAAFAAAAATEBAAAACy0yMTQ0MjQ3NzgzAwAAAAMxMzgCAAAABDQwNTEEAAAAATAHAAAACjEyLzMxLzIwMjUIAAAACjEyLzMxLzIwMTgJAAAAATAHIqUGl7XeCIa/FSWXtd4IMkNJUS5PVENQSzpESURJLlkuSVFfRUJJVERBLkZZMjAxOS4zMS8xMi8yMDI1Li4uU0dEAQAAAMlmrGMCAAAACy03NzIuOTg3MDcyAQgAAAAFAAAAATEBAAAACy0yMDk5MTc3NDg1AwAAAAMxMzgCAAAABDQwNTEEAAAAATAHAAAACjEyLzMxLzIwMjUIAAAACjEyLzMxLzIwMTkJAAAAATAHIqUGl7XeCIa/FSWXtd4IMkNJUS5PVENQSzpESURJLlkuSVFfRUJJVERBLkZZMjAyMC4zMS8xMi8yMDI1Li4uU0dEAQAAAMlmrGMCAAAADC0xNzI0LjcxMzQ2NwEIAAAABQAAAAExAQAAAAstMjA0ODI0NjIzMgMAAAADMTM4AgAAAAQ0MDUxBAAAAAEwBwAAAAoxMi8zMS8yMDI1CAAAAAoxMi8zMS8yMDIwCQAAAAEwByKlBpe13giGvxUll7XeCDJDSVEuT1RDUEs6RElESS5ZLklRX0VCSVREQS5GWTIwMjEuMzEvMTIvMjAyNS4uLlNHRAEAAADJZqxjAgAAAAwtODQwNS42MjIzODQBCAAAAAUAAAAB</t>
  </si>
  <si>
    <t>MQEAAAALLTIwMDE3NDIxMzkDAAAAAzEzOAIAAAAENDA1MQQAAAABMAcAAAAKMTIvMzEvMjAyNQgAAAAKMTIvMzEvMjAyMQkAAAABMAcipQaXtd4Ihr8VJZe13ggyQ0lRLk9UQ1BLOkRJREkuWS5JUV9FQklUREEuRlkyMDIyLjMxLzEyLzIwMjUuLi5TR0QBAAAAyWasYwIAAAAMLTI0NTUuMTM5NzAyAQgAAAAFAAAAATEBAAAACy0xOTUwMzUxODY4AwAAAAMxMzgCAAAABDQwNTEEAAAAATAHAAAACjEyLzMxLzIwMjUIAAAACjEyLzMxLzIwMjIJAAAAATAHIqUGl7XeCIa/FSWXtd4IMkNJUS5PVENQSzpESURJLlkuSVFfRUJJVERBLkZZMjAyMy4zMS8xMi8yMDI1Li4uU0dEAQAAAMlmrGMCAAAACjI1NS45MzI3MzQBCAAAAAUAAAABMQEAAAALLTE5NTAzNTE4NjUDAAAAAzEzOAIAAAAENDA1MQQAAAABMAcAAAAKMTIvMzEvMjAyNQgAAAAKMTIvMzEvMjAyMwkAAAABMAcipQaXtd4Ihr8VJZe13ggyQ0lRLk9UQ1BLOkRJREkuWS5JUV9FQklUREEuRlkyMDI0LjMxLzEyLzIwMjUuLi5TR0QBAAAAyWasYwIAAAAKODQ4LjkyNTEzNQEIAAAABQAAAAExAQAAAAstMTk1MDM1MTg1OAMAAAADMTM4AgAAAAQ0MDUxBAAAAAEwBwAAAAoxMi8zMS8yMDI1CAAAAAoxMi8zMS8yMDI0CQAAAAEwByKlBpe13giGvxUll7XeCDJDSVEuT1RDUEs6RElESS5ZLklRX0VCSVREQS5GWTIwMjUuMzEvMTIvMjAyNS4uLlNHRAEAAADJZqxj</t>
  </si>
  <si>
    <t>AwAAAAAAByKlBpe13giGvxUll7XeCC9DSVEuU0VISzozNjkwLklRX0VCSVREQS5GWTIwMTUuMzEvMTIvMjAyNS4uLlNHRAEAAAAtdc0GAgAAAAwtMTgwOS4xNjA5NjIBCAAAAAUAAAABMQEAAAAKMTkwNzE0MDg4MgMAAAADMTM4AgAAAAQ0MDUxBAAAAAEwBwAAAAoxMi8zMS8yMDI1CAAAAAoxMi8zMS8yMDE1CQAAAAEwByKlBpe13ghBJxgll7XeCC9DSVEuU0VISzozNjkwLklRX0VCSVREQS5GWTIwMTYuMzEvMTIvMjAyNS4uLlNHRAEAAAAtdc0GAgAAAAwtMTE5MS4zODYyMjIBCAAAAAUAAAABMQEAAAAKMTkwNzE0MDg0MAMAAAADMTM4AgAAAAQ0MDUxBAAAAAEwBwAAAAoxMi8zMS8yMDI1CAAAAAoxMi8zMS8yMDE2CQAAAAEwByKlBpe13ghBJxgll7XeCC9DSVEuU0VISzozNjkwLklRX0VCSVREQS5GWTIwMTcuMzEvMTIvMjAyNS4uLlNHRAEAAAAtdc0GAgAAAAstNzkwLjQ1OTAxOQEIAAAABQAAAAExAQAAAAoxOTUzODM1MTg0AwAAAAMxMzgCAAAABDQwNTEEAAAAATAHAAAACjEyLzMxLzIwMjUIAAAACjEyLzMxLzIwMTcJAAAAATAHIqUGl7XeCEEnGCWXtd4IL0NJUS5TRUhLOjM2OTAuSVFfRUJJVERBLkZZMjAxOC4zMS8xMi8yMDI1Li4uU0dEAQAAAC11zQYCAAAADC0xNDM3LjY3MzUzNQEIAAAABQAAAAExAQAAAAoyMDI4NzQ0OTU0AwAAAAMxMzgCAAAABDQwNTEEAAAAATAHAAAACjEyLzMxLzIwMjUI</t>
  </si>
  <si>
    <t>AAAACjEyLzMxLzIwMTgJAAAAATAHIqUGl7XeCEEnGCWXtd4IL0NJUS5TRUhLOjM2OTAuSVFfRUJJVERBLkZZMjAxOS4zMS8xMi8yMDI1Li4uU0dEAQAAAC11zQYCAAAACjYzMC4wMTczOTIBCAAAAAUAAAABMQEAAAAKMjA5MDA2OTU4OAMAAAADMTM4AgAAAAQ0MDUxBAAAAAEwBwAAAAoxMi8zMS8yMDI1CAAAAAoxMi8zMS8yMDE5CQAAAAEwByKlBpe13ghBJxgll7XeCC9DSVEuU0VISzozNjkwLklRX0VCSVREQS5GWTIwMjAuMzEvMTIvMjAyNS4uLlNHRAEAAAAtdc0GAgAAAAoyODAuMTIzNjg5AQgAAAAFAAAAATEBAAAACy0yMTAyODc1NjA3AwAAAAMxMzgCAAAABDQwNTEEAAAAATAHAAAACjEyLzMxLzIwMjUIAAAACjEyLzMxLzIwMjAJAAAAATAHIqUGl7XeCEEnGCWXtd4IL0NJUS5TRUhLOjM2OTAuSVFfRUJJVERBLkZZMjAyMS4zMS8xMi8yMDI1Li4uU0dEAQAAAC11zQYCAAAADC00MTI1LjM3OTIzNAEIAAAABQAAAAExAQAAAAstMjA1MDQ5MTg3NwMAAAADMTM4AgAAAAQ0MDUxBAAAAAEwBwAAAAoxMi8zMS8yMDI1CAAAAAoxMi8zMS8yMDIxCQAAAAEwByKlBpe13ghBJxgll7XeCC9DSVEuU0VISzozNjkwLklRX0VCSVREQS5GWTIwMjIuMzEvMTIvMjAyNS4uLlNHRAEAAAAtdc0GAgAAAAk2Ni4yMzY0MDgBCAAAAAUAAAABMQEAAAALLTE5OTc5MjIyOTQDAAAAAzEzOAIAAAAENDA1MQQAAAABMAcAAAAK</t>
  </si>
  <si>
    <t>MTIvMzEvMjAyNQgAAAAKMTIvMzEvMjAyMgkAAAABMAcipQaXtd4IQScYJZe13ggvQ0lRLlNFSEs6MzY5MC5JUV9FQklUREEuRlkyMDIzLjMxLzEyLzIwMjUuLi5TR0QBAAAALXXNBgIAAAALMjYxNS4zODA2MjYBCAAAAAUAAAABMQEAAAALLTE5NDcxNzEzNjkDAAAAAzEzOAIAAAAENDA1MQQAAAABMAcAAAAKMTIvMzEvMjAyNQgAAAAKMTIvMzEvMjAyMwkAAAABMAcipQaXtd4IQScYJZe13ggvQ0lRLlNFSEs6MzY5MC5JUV9FQklUREEuRlkyMDI0LjMxLzEyLzIwMjUuLi5TR0QBAAAALXXNBgIAAAALNzE5My40NjczMDIBCAAAAAUAAAABMQEAAAALLTE5NDcxNzE0MjADAAAAAzEzOAIAAAAENDA1MQQAAAABMAcAAAAKMTIvMzEvMjAyNQgAAAAKMTIvMzEvMjAyNAkAAAABMAcipQaXtd4IQScYJZe13ggvQ0lRLlNFSEs6MzY5MC5JUV9FQklUREEuRlkyMDI1LjMxLzEyLzIwMjUuLi5TR0QBAAAALXXNBgMAAAAAAAcipQaXtd4IQScYJZe13ggvQ0lRLlhUUkE6REhFUi5JUV9FQklUREEuRlkyMDE1LjMxLzEyLzIwMjUuLi5TR0QBAAAAqrZiCAIAAAALLTIzOS45NDg2MjIBCAAAAAUAAAABMQEAAAAKMTg0NzYxODQ0NQMAAAADMTM4AgAAAAQ0MDUxBAAAAAEwBwAAAAoxMi8zMS8yMDI1CAAAAAoxMi8zMS8yMDE1CQAAAAEwByKlBpe13giGvxUll7XeCC9DSVEuWFRSQTpESEVSLklRX0VCSVREQS5GWTIwMTYuMzEv</t>
  </si>
  <si>
    <t>MTIvMjAyNS4uLlNHRAEAAACqtmIIAgAAAAstMTYyLjQ4NTI5NQEIAAAABQAAAAExAQAAAAoxODg1MDk4Mzc2AwAAAAMxMzgCAAAABDQwNTEEAAAAATAHAAAACjEyLzMxLzIwMjUIAAAACjEyLzMxLzIwMTYJAAAAATAHIqUGl7XeCEEnGCWXtd4IL0NJUS5YVFJBOkRIRVIuSVFfRUJJVERBLkZZMjAxNy4zMS8xMi8yMDI1Li4uU0dEAQAAAKq2YggCAAAACy0zMDEuNTM1NzI5AQgAAAAFAAAAATEBAAAACjE5NTc0ODc4MjcDAAAAAzEzOAIAAAAENDA1MQQAAAABMAcAAAAKMTIvMzEvMjAyNQgAAAAKMTIvMzEvMjAxNwkAAAABMAcipQaXtd4IQScYJZe13ggvQ0lRLlhUUkE6REhFUi5JUV9FQklUREEuRlkyMDE4LjMxLzEyLzIwMjUuLi5TR0QBAAAAqrZiCAIAAAALLTI1Ny4zNzA5MDcBCAAAAAUAAAABMQEAAAAKMjAzMjQzNTkxMgMAAAADMTM4AgAAAAQ0MDUxBAAAAAEwBwAAAAoxMi8zMS8yMDI1CAAAAAoxMi8zMS8yMDE4CQAAAAEwByKlBpe13giGvxUll7XeCC9DSVEuWFRSQTpESEVSLklRX0VCSVREQS5GWTIwMTkuMzEvMTIvMjAyNS4uLlNHRAEAAACqtmIIAgAAAAstODgyLjIyMDQ2NAEIAAAABQAAAAExAQAAAAoyMDkzMjA4MTM1AwAAAAMxMzgCAAAABDQwNTEEAAAAATAHAAAACjEyLzMxLzIwMjUIAAAACjEyLzMxLzIwMTkJAAAAATAHIqUGl7XeCEEnGCWXtd4IL0NJUS5YVFJBOkRIRVIuSVFfRUJJVERB</t>
  </si>
  <si>
    <t>LkZZMjAyMC4zMS8xMi8yMDI1Li4uU0dEAQAAAKq2YggCAAAADC0xMjk0Ljc2ODcwNQEIAAAABQAAAAExAQAAAAstMjEwMDEzMzA4NAMAAAADMTM4AgAAAAQ0MDUxBAAAAAEwBwAAAAoxMi8zMS8yMDI1CAAAAAoxMi8zMS8yMDIwCQAAAAEwByKlBpe13giGvxUll7XeCC9DSVEuWFRSQTpESEVSLklRX0VCSVREQS5GWTIwMjEuMzEvMTIvMjAyNS4uLlNHRAEAAACqtmIIAgAAAAwtMjIwNC45NTU4MjYBCAAAAAUAAAABMQEAAAALLTIwNDc2NDcwOTIDAAAAAzEzOAIAAAAENDA1MQQAAAABMAcAAAAKMTIvMzEvMjAyNQgAAAAKMTIvMzEvMjAyMQkAAAABMAcipQaXtd4Ihr8VJZe13ggvQ0lRLlhUUkE6REhFUi5JUV9FQklUREEuRlkyMDIyLjMxLzEyLzIwMjUuLi5TR0QBAAAAqrZiCAIAAAAMLTE2NTQuNTQ0MTQ1AQgAAAAFAAAAATEBAAAACy0xOTk5NjQzOTMyAwAAAAMxMzgCAAAABDQwNTEEAAAAATAHAAAACjEyLzMxLzIwMjUIAAAACjEyLzMxLzIwMjIJAAAAATAHIqUGl7XeCIa/FSWXtd4IL0NJUS5YVFJBOkRIRVIuSVFfRUJJVERBLkZZMjAyMy4zMS8xMi8yMDI1Li4uU0dEAQAAAKq2YggCAAAACy02NTguMTQ2Mjc0AQgAAAAFAAAAATEBAAAACy0xOTQ5Mjg3MDI5AwAAAAMxMzgCAAAABDQwNTEEAAAAATAHAAAACjEyLzMxLzIwMjUIAAAACjEyLzMxLzIwMjMJAAAAATAHIqUGl7XeCIa/FSWXtd4IL0NJUS5Y</t>
  </si>
  <si>
    <t>VFJBOkRIRVIuSVFfRUJJVERBLkZZMjAyNC4zMS8xMi8yMDI1Li4uU0dEAQAAAKq2YggCAAAACi0zOC45OTY4OTQBCAAAAAUAAAABMQEAAAALLTE5NDkyODcwMzcDAAAAAzEzOAIAAAAENDA1MQQAAAABMAcAAAAKMTIvMzEvMjAyNQgAAAAKMTIvMzEvMjAyNAkAAAABMAcipQaXtd4Ihr8VJZe13ggvQ0lRLlhUUkE6REhFUi5JUV9FQklUREEuRlkyMDI1LjMxLzEyLzIwMjUuLi5TR0QBAAAAqrZiCAMAAAAAAAcipQaXtd4Ihr8VJZe13ggzQ0lRLk5BU0RBUUdTOkRBU0guSVFfRUJJVERBLkZZMjAxNS4zMS8xMi8yMDI1Li4uU0dEAQAAAKcchw4DAAAAAAAHIqUGl7XeCIa/FSWXtd4IM0NJUS5OQVNEQVFHUzpEQVNILklRX0VCSVREQS5GWTIwMTYuMzEvMTIvMjAyNS4uLlNHRAEAAACnHIcOAwAAAAAAByKlBpe13giGvxUll7XeCDNDSVEuTkFTREFRR1M6REFTSC5JUV9FQklUREEuRlkyMDE3LjMxLzEyLzIwMjUuLi5TR0QBAAAApxyHDgMAAAAAAAcipQaXtd4Ihr8VJZe13ggzQ0lRLk5BU0RBUUdTOkRBU0guSVFfRUJJVERBLkZZMjAxOC4zMS8xMi8yMDI1Li4uU0dEAQAAAKcchw4CAAAACS0yNzcuOTE5NAEIAAAABQAAAAExAQAAAAoyMDgzMjk5NzMxAwAAAAMxMzgCAAAABDQwNTEEAAAAATAHAAAACjEyLzMxLzIwMjUIAAAACjEyLzMxLzIwMTgJAAAAATAHIqUGl7XeCIa/FSWXtd4IM0NJUS5OQVNEQVFHUzpE</t>
  </si>
  <si>
    <t>QVNILklRX0VCSVREQS5GWTIwMTkuMzEvMTIvMjAyNS4uLlNHRAEAAACnHIcOAgAAAAotNzg1LjQ3NDE2AQgAAAAFAAAAATEBAAAACy0yMTEwMDYxMzg4AwAAAAMxMzgCAAAABDQwNTEEAAAAATAHAAAACjEyLzMxLzIwMjUIAAAACjEyLzMxLzIwMTkJAAAAATAHIqUGl7XeCIa/FSWXtd4IM0NJUS5OQVNEQVFHUzpEQVNILklRX0VCSVREQS5GWTIwMjAuMzEvMTIvMjAyNS4uLlNHRAEAAACnHIcOAgAAAAotNDI0LjI4ODE3AQgAAAAFAAAAATEBAAAACy0yMDU5MzkzNDE3AwAAAAMxMzgCAAAABDQwNTEEAAAAATAHAAAACjEyLzMxLzIwMjUIAAAACjEyLzMxLzIwMjAJAAAAATAHIqUGl7XeCIa/FSWXtd4IM0NJUS5OQVNEQVFHUzpEQVNILklRX0VCSVREQS5GWTIwMjEuMzEvMTIvMjAyNS4uLlNHRAEAAACnHIcOAgAAAAotNDY5LjE2NjY0AQgAAAAFAAAAATEBAAAACy0yMDA5NTE4NDIzAwAAAAMxMzgCAAAABDQwNTEEAAAAATAHAAAACjEyLzMxLzIwMjUIAAAACjEyLzMxLzIwMjEJAAAAATAHIqUGl7XeCIa/FSWXtd4IM0NJUS5OQVNEQVFHUzpEQVNILklRX0VCSVREQS5GWTIwMjIuMzEvMTIvMjAyNS4uLlNHRAEAAACnHIcOAgAAAAstMTAwMi45NjMyOAEIAAAABQAAAAExAQAAAAstMTk1OTU1NDY3MAMAAAADMTM4AgAAAAQ0MDUxBAAAAAEwBwAAAAoxMi8zMS8yMDI1CAAAAAoxMi8zMS8yMDIyCQAAAAEwByKl</t>
  </si>
  <si>
    <t>Bpe13giGvxUll7XeCDNDSVEuTkFTREFRR1M6REFTSC5JUV9FQklUREEuRlkyMDIzLjMxLzEyLzIwMjUuLi5TR0QBAAAApxyHDgIAAAAKLTQyNS4wMjA2OAEIAAAABQAAAAExAQAAAAstMTk1OTU1NDY3MwMAAAADMTM4AgAAAAQ0MDUxBAAAAAEwBwAAAAoxMi8zMS8yMDI1CAAAAAoxMi8zMS8yMDIzCQAAAAEwByKlBpe13giGvxUll7XeCDNDSVEuTkFTREFRR1M6REFTSC5JUV9FQklUREEuRlkyMDI0LjMxLzEyLzIwMjUuLi5TR0QBAAAApxyHDgIAAAAJNDAyLjYwMTI1AQgAAAAFAAAAATEBAAAACy0xOTU5NTU0Njc2AwAAAAMxMzgCAAAABDQwNTEEAAAAATAHAAAACjEyLzMxLzIwMjUIAAAACjEyLzMxLzIwMjQJAAAAATAHIqUGl7XeCIa/FSWXtd4IM0NJUS5OQVNEQVFHUzpEQVNILklRX0VCSVREQS5GWTIwMjUuMzEvMTIvMjAyNS4uLlNHRAEAAACnHIcOAwAAAAAAByKlBpe13giGvxUll7XeCDFDSVEuREZNOlRBTEFCQVQuSVFfRUJJVERBLkZZMjAxNS4zMS8xMi8yMDI1Li4uU0dEAQAAANm+gm4DAAAAAAAHIqUGl7XeCIa/FSWXtd4IMUNJUS5ERk06VEFMQUJBVC5JUV9FQklUREEuRlkyMDE2LjMxLzEyLzIwMjUuLi5TR0QBAAAA2b6CbgMAAAAAAAcipQaXtd4Ihr8VJZe13ggxQ0lRLkRGTTpUQUxBQkFULklRX0VCSVREQS5GWTIwMTcuMzEvMTIvMjAyNS4uLlNHRAEAAADZvoJuAwAAAAAAByKlBpe13giG</t>
  </si>
  <si>
    <t>vxUll7XeCDFDSVEuREZNOlRBTEFCQVQuSVFfRUJJVERBLkZZMjAxOC4zMS8xMi8yMDI1Li4uU0dEAQAAANm+gm4DAAAAAAAHIqUGl7XeCIa/FSWXtd4IMUNJUS5ERk06VEFMQUJBVC5JUV9FQklUREEuRlkyMDE5LjMxLzEyLzIwMjUuLi5TR0QBAAAA2b6CbgMAAAAAAAcipQaXtd4Ihr8VJZe13ggxQ0lRLkRGTTpUQUxBQkFULklRX0VCSVREQS5GWTIwMjAuMzEvMTIvMjAyNS4uLlNHRAEAAADZvoJuAwAAAAAAByKlBpe13giGvxUll7XeCDFDSVEuREZNOlRBTEFCQVQuSVFfRUJJVERBLkZZMjAyMS4zMS8xMi8yMDI1Li4uU0dEAQAAANm+gm4DAAAAAAAHIqUGl7XeCIa/FSWXtd4IMUNJUS5ERk06VEFMQUJBVC5JUV9FQklUREEuRlkyMDIyLjMxLzEyLzIwMjUuLi5TR0QBAAAA2b6CbgIAAAAKMzAwLjkxNTc3NwEIAAAABQAAAAExAQAAAAstMTk2MjQwNTM4NgMAAAADMTM4AgAAAAQ0MDUxBAAAAAEwBwAAAAoxMi8zMS8yMDI1CAAAAAoxMi8zMS8yMDIyCQAAAAEwByKlBpe13giGvxUll7XeCDFDSVEuREZNOlRBTEFCQVQuSVFfRUJJVERBLkZZMjAyMy4zMS8xMi8yMDI1Li4uU0dEAQAAANm+gm4CAAAACTQxOC42OTgxNgEIAAAABQAAAAExAQAAAAstMTk2MjQwNTM4OQMAAAADMTM4AgAAAAQ0MDUxBAAAAAEwBwAAAAoxMi8zMS8yMDI1CAAAAAoxMi8zMS8yMDIzCQAAAAEwByKlBpe13giGvxUll7XeCDFDSVEu</t>
  </si>
  <si>
    <t>REZNOlRBTEFCQVQuSVFfRUJJVERBLkZZMjAyNC4zMS8xMi8yMDI1Li4uU0dEAQAAANm+gm4CAAAACjU4MC40OTczMTIBCAAAAAUAAAABMQEAAAALLTE5NTQyOTc1NDcDAAAAAzEzOAIAAAAENDA1MQQAAAABMAcAAAAKMTIvMzEvMjAyNQgAAAAKMTIvMzEvMjAyNAkAAAABMAcipQaXtd4Ihr8VJZe13ggxQ0lRLkRGTTpUQUxBQkFULklRX0VCSVREQS5GWTIwMjUuMzEvMTIvMjAyNS4uLlNHRAEAAADZvoJuAwAAAAAAByKlBpe13giGvxUll7XeCDFDSVEuTkFTREFRR1M6R1JBQi5JUV9FQklULkZZMjAxNS4zMS8xMi8yMDI1Li4uU0dEAQAAAHGZziMDAAAAAAAHIqUGl7XeCDrmECWXtd4IMUNJUS5OQVNEQVFHUzpHUkFCLklRX0VCSVQuRlkyMDE2LjMxLzEyLzIwMjUuLi5TR0QBAAAAcZnOIwMAAAAAAAcipQaXtd4IOuYQJZe13ggxQ0lRLk5BU0RBUUdTOkdSQUIuSVFfRUJJVC5GWTIwMTcuMzEvMTIvMjAyNS4uLlNHRAEAAABxmc4jAwAAAAAAByKlBpe13gg65hAll7XeCDFDSVEuTkFTREFRR1M6R1JBQi5JUV9FQklULkZZMjAxOC4zMS8xMi8yMDI1Li4uU0dEAQAAAHGZziMDAAAAAAAHIqUGl7XeCDrmECWXtd4IMUNJUS5OQVNEQVFHUzpHUkFCLklRX0VCSVQuRlkyMDE5LjMxLzEyLzIwMjUuLi5TR0QBAAAAcZnOIwIAAAALLTQwMDkuNDE1MTkBCAAAAAUAAAABMQEAAAALLTIwOTk4MjQ4MjEDAAAAAzEzOAIA</t>
  </si>
  <si>
    <t>AAADNDAwBAAAAAEwBwAAAAoxMi8zMS8yMDI1CAAAAAoxMi8zMS8yMDE5CQAAAAEwByKlBpe13gg65hAll7XeCDFDSVEuTkFTREFRR1M6R1JBQi5JUV9FQklULkZZMjAyMC4zMS8xMi8yMDI1Li4uU0dEAQAAAHGZziMCAAAACy0xNjkwLjU0MzgzAQgAAAAFAAAAATEBAAAACy0yMDQ5ODAyNTAyAwAAAAMxMzgCAAAAAzQwMAQAAAABMAcAAAAKMTIvMzEvMjAyNQgAAAAKMTIvMzEvMjAyMAkAAAABMAcipQaXtd4IOuYQJZe13ggxQ0lRLk5BU0RBUUdTOkdSQUIuSVFfRUJJVC5GWTIwMjEuMzEvMTIvMjAyNS4uLlNHRAEAAABxmc4jAgAAAAotMjA5Ni40MTk5AQgAAAAFAAAAATEBAAAACy0yMDA0MjU4ODg3AwAAAAMxMzgCAAAAAzQwMAQAAAABMAcAAAAKMTIvMzEvMjAyNQgAAAAKMTIvMzEvMjAyMQkAAAABMAcipQaXtd4IOuYQJZe13ggxQ0lRLk5BU0RBUUdTOkdSQUIuSVFfRUJJVC5GWTIwMjIuMzEvMTIvMjAyNS4uLlNHRAEAAABxmc4jAgAAAAstMTgyNi4yNTEzMgEIAAAABQAAAAExAQAAAAstMTk1NTc3Mjc5OAMAAAADMTM4AgAAAAM0MDAEAAAAATAHAAAACjEyLzMxLzIwMjUIAAAACjEyLzMxLzIwMjIJAAAAATAHIqUGl7XeCDrmECWXtd4IMUNJUS5OQVNEQVFHUzpHUkFCLklRX0VCSVQuRlkyMDIzLjMxLzEyLzIwMjUuLi5TR0QBAAAAcZnOIwIAAAAKLTYyMS42OTE3NAEIAAAABQAAAAExAQAAAAstMTk1</t>
  </si>
  <si>
    <t>NTc3MjgxNQMAAAADMTM4AgAAAAM0MDAEAAAAATAHAAAACjEyLzMxLzIwMjUIAAAACjEyLzMxLzIwMjMJAAAAATAHIqUGl7XeCDrmECWXtd4IMUNJUS5OQVNEQVFHUzpHUkFCLklRX0VCSVQuRlkyMDI0LjMxLzEyLzIwMjUuLi5TR0QBAAAAcZnOIwIAAAAILTIxMi45MDEBCAAAAAUAAAABMQEAAAALLTE5NTU3NzI3OTkDAAAAAzEzOAIAAAADNDAwBAAAAAEwBwAAAAoxMi8zMS8yMDI1CAAAAAoxMi8zMS8yMDI0CQAAAAEwByKlBpe13gg65hAll7XeCDFDSVEuTkFTREFRR1M6R1JBQi5JUV9FQklULkZZMjAyNS4zMS8xMi8yMDI1Li4uU0dEAQAAAHGZziMDAAAAAAAHIqUGl7XeCDrmECWXtd4ILUNJUS5JRFg6IEdPVE8uSVFfRUJJVC5GWTIwMTUuMzEvMTIvMjAyNS4uLlNHRAEAAABvk2oRAwAAAAAAByKlBpe13gjQVRMll7XeCC1DSVEuSURYOiBHT1RPLklRX0VCSVQuRlkyMDE2LjMxLzEyLzIwMjUuLi5TR0QBAAAAb5NqEQMAAAAAAAcipQaXtd4I0FUTJZe13ggtQ0lRLklEWDogR09UTy5JUV9FQklULkZZMjAxNy4zMS8xMi8yMDI1Li4uU0dEAQAAAG+TahEDAAAAAAAHIqUGl7XeCNBVEyWXtd4ILUNJUS5JRFg6IEdPVE8uSVFfRUJJVC5GWTIwMTguMzEvMTIvMjAyNS4uLlNHRAEAAABvk2oRAgAAAAwtMTEyNy42NTI4ODYBCAAAAAUAAAABMQEAAAALLTIxMDc2ODM2OTYDAAAAAzEzOAIAAAADNDAwBAAAAAEw</t>
  </si>
  <si>
    <t>BwAAAAoxMi8zMS8yMDI1CAAAAAoxMi8zMS8yMDE4CQAAAAEwByKlBpe13gjQVRMll7XeCC1DSVEuSURYOiBHT1RPLklRX0VCSVQuRlkyMDE5LjMxLzEyLzIwMjUuLi5TR0QBAAAAb5NqEQIAAAAMLTIwNDMuNDIxNTU3AQgAAAAFAAAAATEBAAAACy0yMTA3NjgzNjk0AwAAAAMxMzgCAAAAAzQwMAQAAAABMAcAAAAKMTIvMzEvMjAyNQgAAAAKMTIvMzEvMjAxOQkAAAABMAcipQaXtd4I0FUTJZe13ggtQ0lRLklEWDogR09UTy5JUV9FQklULkZZMjAyMC4zMS8xMi8yMDI1Li4uU0dEAQAAAG+TahECAAAACy05NjQuODQ2MTE3AQgAAAAFAAAAATEBAAAACy0yMDkyNzkxODc4AwAAAAMxMzgCAAAAAzQwMAQAAAABMAcAAAAKMTIvMzEvMjAyNQgAAAAKMTIvMzEvMjAyMAkAAAABMAcipQaXtd4I0FUTJZe13ggtQ0lRLklEWDogR09UTy5JUV9FQklULkZZMjAyMS4zMS8xMi8yMDI1Li4uU0dEAQAAAG+TahECAAAACy0yMDkxLjY2ODI1AQgAAAAFAAAAATEBAAAACy0yMDU0NjMzMTQ5AwAAAAMxMzgCAAAAAzQwMAQAAAABMAcAAAAKMTIvMzEvMjAyNQgAAAAKMTIvMzEvMjAyMQkAAAABMAcipQaXtd4I0FUTJZe13ggtQ0lRLklEWDogR09UTy5JUV9FQklULkZZMjAyMi4zMS8xMi8yMDI1Li4uU0dEAQAAAG+TahECAAAADC0yNjE4Ljg0MjA1OQEIAAAABQAAAAExAQAAAAstMjAwNTQzMDIyNAMAAAADMTM4AgAAAAM0MDAE</t>
  </si>
  <si>
    <t>AAAAATAHAAAACjEyLzMxLzIwMjUIAAAACjEyLzMxLzIwMjIJAAAAATAHIqUGl7XeCNBVEyWXtd4ILUNJUS5JRFg6IEdPVE8uSVFfRUJJVC5GWTIwMjMuMzEvMTIvMjAyNS4uLlNHRAEAAABvk2oRAgAAAAstODgwLjIxOTAzOAEIAAAABQAAAAExAQAAAAstMTk1NjE2NDUxMQMAAAADMTM4AgAAAAM0MDAEAAAAATAHAAAACjEyLzMxLzIwMjUIAAAACjEyLzMxLzIwMjMJAAAAATAHIqUGl7XeCNBVEyWXtd4ILUNJUS5JRFg6IEdPVE8uSVFfRUJJVC5GWTIwMjQuMzEvMTIvMjAyNS4uLlNHRAEAAABvk2oRAgAAAAstMTg5Ljk3NjgxNgEIAAAABQAAAAExAQAAAAstMTk1NjE2NDUxMAMAAAADMTM4AgAAAAM0MDAEAAAAATAHAAAACjEyLzMxLzIwMjUIAAAACjEyLzMxLzIwMjQJAAAAATAHIqUGl7XeCNBVEyWXtd4ILUNJUS5JRFg6IEdPVE8uSVFfRUJJVC5GWTIwMjUuMzEvMTIvMjAyNS4uLlNHRAEAAABvk2oRAwAAAAAAByKlBpe13gjQVRMll7XeCCxDSVEuTllTRTogU0UuSVFfRUJJVC5GWTIwMTUuMzEvMTIvMjAyNS4uLlNHRAEAAAD7AmcZAgAAAAotMTE1LjM0NDI4AQgAAAAFAAAAATEBAAAACjE4ODIyOTYzNTMDAAAAAzEzOAIAAAADNDAwBAAAAAEwBwAAAAoxMi8zMS8yMDI1CAAAAAoxMi8zMS8yMDE1CQAAAAEwByKlBpe13gjQVRMll7XeCCxDSVEuTllTRTogU0UuSVFfRUJJVC5GWTIwMTYuMzEvMTIvMjAy</t>
  </si>
  <si>
    <t>NS4uLlNHRAEAAAD7AmcZAgAAAAstMjg4Ljc5NzI5NQEIAAAABQAAAAExAQAAAAoxOTQ4MTYwMTE2AwAAAAMxMzgCAAAAAzQwMAQAAAABMAcAAAAKMTIvMzEvMjAyNQgAAAAKMTIvMzEvMjAxNgkAAAABMAcipQaXtd4I0FUTJZe13ggsQ0lRLk5ZU0U6IFNFLklRX0VCSVQuRlkyMDE3LjMxLzEyLzIwMjUuLi5TR0QBAAAA+wJnGQIAAAALLTY3MC4xNDE0NjkBCAAAAAUAAAABMQEAAAAKMjAyODAwNTg1MwMAAAADMTM4AgAAAAM0MDAEAAAAATAHAAAACjEyLzMxLzIwMjUIAAAACjEyLzMxLzIwMTcJAAAAATAHIqUGl7XeCNBVEyWXtd4ILENJUS5OWVNFOiBTRS5JUV9FQklULkZZMjAxOC4zMS8xMi8yMDI1Li4uU0dEAQAAAPsCZxkCAAAADC0xMzQwLjAxMDE4NQEIAAAABQAAAAExAQAAAAoyMDg5NjI2ODQxAwAAAAMxMzgCAAAAAzQwMAQAAAABMAcAAAAKMTIvMzEvMjAyNQgAAAAKMTIvMzEvMjAxOAkAAAABMAcipQaXtd4I0FUTJZe13ggsQ0lRLk5ZU0U6IFNFLklRX0VCSVQuRlkyMDE5LjMxLzEyLzIwMjUuLi5TR0QBAAAA+wJnGQIAAAAMLTExOTguNjk4MTI4AQgAAAAFAAAAATEBAAAACy0yMTAxOTU5MTY0AwAAAAMxMzgCAAAAAzQwMAQAAAABMAcAAAAKMTIvMzEvMjAyNQgAAAAKMTIvMzEvMjAxOQkAAAABMAcipQaXtd4I0FUTJZe13ggsQ0lRLk5ZU0U6IFNFLklRX0VCSVQuRlkyMDIwLjMxLzEyLzIwMjUu</t>
  </si>
  <si>
    <t>Li5TR0QBAAAA+wJnGQIAAAAMLTE3MjIuNjk1ODg1AQgAAAAFAAAAATEBAAAACy0yMDUzNjMwODQ3AwAAAAMxMzgCAAAAAzQwMAQAAAABMAcAAAAKMTIvMzEvMjAyNQgAAAAKMTIvMzEvMjAyMAkAAAABMAcipQaXtd4I0FUTJZe13ggsQ0lRLk5ZU0U6IFNFLklRX0VCSVQuRlkyMDIxLjMxLzEyLzIwMjUuLi5TR0QBAAAA+wJnGQIAAAAMLTIxMzQuMjQ5ODMxAQgAAAAFAAAAATEBAAAACy0xOTk4ODU2Njk4AwAAAAMxMzgCAAAAAzQwMAQAAAABMAcAAAAKMTIvMzEvMjAyNQgAAAAKMTIvMzEvMjAyMQkAAAABMAcipQaXtd4I0FUTJZe13ggsQ0lRLk5ZU0U6IFNFLklRX0VCSVQuRlkyMDIyLjMxLzEyLzIwMjUuLi5TR0QBAAAA+wJnGQIAAAAMLTE1MTguNjExMTA2AQgAAAAFAAAAATEBAAAACy0xOTUwNzUzNzgwAwAAAAMxMzgCAAAAAzQwMAQAAAABMAcAAAAKMTIvMzEvMjAyNQgAAAAKMTIvMzEvMjAyMgkAAAABMAcipQaXtd4I0FUTJZe13ggsQ0lRLk5ZU0U6IFNFLklRX0VCSVQuRlkyMDIzLjMxLzEyLzIwMjUuLi5TR0QBAAAA+wJnGQIAAAAKNDUyLjI4MTQwMQEIAAAABQAAAAExAQAAAAstMTk1MDc1Mzc3OQMAAAADMTM4AgAAAAM0MDAEAAAAATAHAAAACjEyLzMxLzIwMjUIAAAACjEyLzMxLzIwMjMJAAAAATAHIqUGl7XeCNBVEyWXtd4ILENJUS5OWVNFOiBTRS5JUV9FQklULkZZMjAyNC4zMS8xMi8yMDI1</t>
  </si>
  <si>
    <t>Li4uU0dEAQAAAPsCZxkCAAAACjkwMy42NzE5NDIBCAAAAAUAAAABMQEAAAALLTE5NTA3NTM3NzYDAAAAAzEzOAIAAAADNDAwBAAAAAEwBwAAAAoxMi8zMS8yMDI1CAAAAAoxMi8zMS8yMDI0CQAAAAEwByKlBpe13gjQVRMll7XeCCxDSVEuTllTRTogU0UuSVFfRUJJVC5GWTIwMjUuMzEvMTIvMjAyNS4uLlNHRAEAAAD7AmcZAwAAAAAAByKlBpe13gjQVRMll7XeCC1DSVEuTllTRTpVQkVSLklRX0VCSVQuRlkyMDE1LjMxLzEyLzIwMjUuLi5TR0QBAAAAMEadCAMAAAAAAAcipQaXtd4I0FUTJZe13ggtQ0lRLk5ZU0U6VUJFUi5JUV9FQklULkZZMjAxNi4zMS8xMi8yMDI1Li4uU0dEAQAAADBGnQgCAAAACy00MzY5LjA4MTQ0AQgAAAAFAAAAATEBAAAACjE5NjQ2MTQ5MTQDAAAAAzEzOAIAAAADNDAwBAAAAAEwBwAAAAoxMi8zMS8yMDI1CAAAAAoxMi8zMS8yMDE2CQAAAAEwByKlBpe13gjQVRMll7XeCC1DSVEuTllTRTpVQkVSLklRX0VCSVQuRlkyMDE3LjMxLzEyLzIwMjUuLi5TR0QBAAAAMEadCAIAAAALLTUxNTQuNjg3NjUBCAAAAAUAAAABMQEAAAAKMjAxODg5MjQ1MwMAAAADMTM4AgAAAAM0MDAEAAAAATAHAAAACjEyLzMxLzIwMjUIAAAACjEyLzMxLzIwMTcJAAAAATAHIqUGl7XeCNBVEyWXtd4ILUNJUS5OWVNFOlVCRVIuSVFfRUJJVC5GWTIwMTguMzEvMTIvMjAyNS4uLlNHRAEAAAAwRp0IAgAAAAot</t>
  </si>
  <si>
    <t>Mzg2My42MjQ2AQgAAAAFAAAAATEBAAAACjIwODI1MDExNjkDAAAAAzEzOAIAAAADNDAwBAAAAAEwBwAAAAoxMi8zMS8yMDI1CAAAAAoxMi8zMS8yMDE4CQAAAAEwByKlBpe13gg65hAll7XeCC1DSVEuTllTRTpVQkVSLklRX0VCSVQuRlkyMDE5LjMxLzEyLzIwMjUuLi5TR0QBAAAAMEadCAIAAAAMLTExNTYxLjUzNDA0AQgAAAAFAAAAATEBAAAACy0yMTEwNDU1MjAyAwAAAAMxMzgCAAAAAzQwMAQAAAABMAcAAAAKMTIvMzEvMjAyNQgAAAAKMTIvMzEvMjAxOQkAAAABMAcipQaXtd4IOuYQJZe13ggtQ0lRLk5ZU0U6VUJFUi5JUV9FQklULkZZMjAyMC4zMS8xMi8yMDI1Li4uU0dEAQAAADBGnQgCAAAACy01OTQ5LjI4Njc3AQgAAAAFAAAAATEBAAAACy0yMDYwMTQ3NDA3AwAAAAMxMzgCAAAAAzQwMAQAAAABMAcAAAAKMTIvMzEvMjAyNQgAAAAKMTIvMzEvMjAyMAkAAAABMAcipQaXtd4IOuYQJZe13ggtQ0lRLk5ZU0U6VUJFUi5JUV9FQklULkZZMjAyMS4zMS8xMi8yMDI1Li4uU0dEAQAAADBGnQgCAAAACy01MTY4LjkyMjEyAQgAAAAFAAAAATEBAAAACy0yMDEwMTI1ODU2AwAAAAMxMzgCAAAAAzQwMAQAAAABMAcAAAAKMTIvMzEvMjAyNQgAAAAKMTIvMzEvMjAyMQkAAAABMAcipQaXtd4IOuYQJZe13ggtQ0lRLk5ZU0U6VUJFUi5JUV9FQklULkZZMjAyMi4zMS8xMi8yMDI1Li4uU0dEAQAAADBGnQgCAAAA</t>
  </si>
  <si>
    <t>Cy0yNDU2LjQ1NTUyAQgAAAAFAAAAATEBAAAACy0xOTU5NTU0NjY2AwAAAAMxMzgCAAAAAzQwMAQAAAABMAcAAAAKMTIvMzEvMjAyNQgAAAAKMTIvMzEvMjAyMgkAAAABMAcipQaXtd4IOuYQJZe13ggtQ0lRLk5ZU0U6VUJFUi5JUV9FQklULkZZMjAyMy4zMS8xMi8yMDI1Li4uU0dEAQAAADBGnQgCAAAACTE0NjUuMTMzNAEIAAAABQAAAAExAQAAAAstMTk1OTU1NDY1NgMAAAADMTM4AgAAAAM0MDAEAAAAATAHAAAACjEyLzMxLzIwMjUIAAAACjEyLzMxLzIwMjMJAAAAATAHIqUGl7XeCDrmECWXtd4ILUNJUS5OWVNFOlVCRVIuSVFfRUJJVC5GWTIwMjQuMzEvMTIvMjAyNS4uLlNHRAEAAAAwRp0IAgAAAAozODE5LjkzNTI1AQgAAAAFAAAAATEBAAAACy0xOTU5NTU0NjY4AwAAAAMxMzgCAAAAAzQwMAQAAAABMAcAAAAKMTIvMzEvMjAyNQgAAAAKMTIvMzEvMjAyNAkAAAABMAcipQaXtd4IOuYQJZe13ggtQ0lRLk5ZU0U6VUJFUi5JUV9FQklULkZZMjAyNS4zMS8xMi8yMDI1Li4uU0dEAQAAADBGnQgDAAAAAAAHIqUGl7XeCDrmECWXtd4IMUNJUS5OQVNEQVFHUzpMWUZULklRX0VCSVQuRlkyMDE1LjMxLzEyLzIwMjUuLi5TR0QBAAAAVTGEAwMAAAAAAAcipQaXtd4IOuYQJZe13ggxQ0lRLk5BU0RBUUdTOkxZRlQuSVFfRUJJVC5GWTIwMTYuMzEvMTIvMjAyNS4uLlNHRAEAAABVMYQDAgAAAAwtMTAwMS4wMDUy</t>
  </si>
  <si>
    <t>NjQBCAAAAAUAAAABMQEAAAAKMTk2NDgwMjE4MAMAAAADMTM4AgAAAAM0MDAEAAAAATAHAAAACjEyLzMxLzIwMjUIAAAACjEyLzMxLzIwMTYJAAAAATAHIqUGl7XeCDrmECWXtd4IMUNJUS5OQVNEQVFHUzpMWUZULklRX0VCSVQuRlkyMDE3LjMxLzEyLzIwMjUuLi5TR0QBAAAAVTGEAwIAAAALLTk0Ni41NzAxMTQBCAAAAAUAAAABMQEAAAAKMjAxODMxNDY5MQMAAAADMTM4AgAAAAM0MDAEAAAAATAHAAAACjEyLzMxLzIwMjUIAAAACjEyLzMxLzIwMTcJAAAAATAHIqUGl7XeCDrmECWXtd4IMUNJUS5OQVNEQVFHUzpMWUZULklRX0VCSVQuRlkyMDE4LjMxLzEyLzIwMjUuLi5TR0QBAAAAVTGEAwIAAAAMLTEzMjguNDQyNDcxAQgAAAAFAAAAATEBAAAACjIwODI2ODY4NTQDAAAAAzEzOAIAAAADNDAwBAAAAAEwBwAAAAoxMi8zMS8yMDI1CAAAAAoxMi8zMS8yMDE4CQAAAAEwByKlBpe13gg65hAll7XeCDFDSVEuTkFTREFRR1M6TFlGVC5JUV9FQklULkZZMjAxOS4zMS8xMi8yMDI1Li4uU0dEAQAAAFUxhAMCAAAADC0zNjM0LjgwODU3NQEIAAAABQAAAAExAQAAAAstMjEwOTg2OTM1NwMAAAADMTM4AgAAAAM0MDAEAAAAATAHAAAACjEyLzMxLzIwMjUIAAAACjEyLzMxLzIwMTkJAAAAATAHIqUGl7XeCDrmECWXtd4IMUNJUS5OQVNEQVFHUzpMWUZULklRX0VCSVQuRlkyMDIwLjMxLzEyLzIwMjUuLi5TR0QBAAAA</t>
  </si>
  <si>
    <t>VTGEAwIAAAAMLTIzMjMuOTc1NjY3AQgAAAAFAAAAATEBAAAACy0yMDU5MjUxNTM1AwAAAAMxMzgCAAAAAzQwMAQAAAABMAcAAAAKMTIvMzEvMjAyNQgAAAAKMTIvMzEvMjAyMAkAAAABMAcipQaXtd4IOuYQJZe13ggxQ0lRLk5BU0RBUUdTOkxZRlQuSVFfRUJJVC5GWTIwMjEuMzEvMTIvMjAyNS4uLlNHRAEAAABVMYQDAgAAAAwtMTUzMC40NzY4NTUBCAAAAAUAAAABMQEAAAALLTIwMDk1ODYyNjcDAAAAAzEzOAIAAAADNDAwBAAAAAEwBwAAAAoxMi8zMS8yMDI1CAAAAAoxMi8zMS8yMDIxCQAAAAEwByKlBpe13gg65hAll7XeCDFDSVEuTkFTREFRR1M6TFlGVC5JUV9FQklULkZZMjAyMi4zMS8xMi8yMDI1Li4uU0dEAQAAAFUxhAMCAAAADC0xNzk0Ljk1NTY0OAEIAAAABQAAAAExAQAAAAstMTk1OTQ3MzU0MAMAAAADMTM4AgAAAAM0MDAEAAAAATAHAAAACjEyLzMxLzIwMjUIAAAACjEyLzMxLzIwMjIJAAAAATAHIqUGl7XeCDrmECWXtd4IMUNJUS5OQVNEQVFHUzpMWUZULklRX0VCSVQuRlkyMDIzLjMxLzEyLzIwMjUuLi5TR0QBAAAAVTGEAwIAAAALLTUxMS45NTU4ODgBCAAAAAUAAAABMQEAAAALLTE5NTk0NzM1NDEDAAAAAzEzOAIAAAADNDAwBAAAAAEwBwAAAAoxMi8zMS8yMDI1CAAAAAoxMi8zMS8yMDIzCQAAAAEwByKlBpe13gg65hAll7XeCDFDSVEuTkFTREFRR1M6TFlGVC5JUV9FQklULkZZMjAy</t>
  </si>
  <si>
    <t>NC4zMS8xMi8yMDI1Li4uU0dEAQAAAFUxhAMCAAAACy0xNTEuNDA5NDU5AQgAAAAFAAAAATEBAAAACy0xOTU5NDczNTI5AwAAAAMxMzgCAAAAAzQwMAQAAAABMAcAAAAKMTIvMzEvMjAyNQgAAAAKMTIvMzEvMjAyNAkAAAABMAcipQaXtd4IOuYQJZe13ggxQ0lRLk5BU0RBUUdTOkxZRlQuSVFfRUJJVC5GWTIwMjUuMzEvMTIvMjAyNS4uLlNHRAEAAABVMYQDAwAAAAAAByKlBpe13gg65hAll7XeCDBDSVEuT1RDUEs6RElESS5ZLklRX0VCSVQuRlkyMDE1LjMxLzEyLzIwMjUuLi5TR0QBAAAAyWasYwMAAAAAAAcipQaXtd4IOuYQJZe13ggwQ0lRLk9UQ1BLOkRJREkuWS5JUV9FQklULkZZMjAxNi4zMS8xMi8yMDI1Li4uU0dEAQAAAMlmrGMDAAAAAAAHIqUGl7XeCDrmECWXtd4IMENJUS5PVENQSzpESURJLlkuSVFfRUJJVC5GWTIwMTcuMzEvMTIvMjAyNS4uLlNHRAEAAADJZqxjAwAAAAAAByKlBpe13gg65hAll7XeCDBDSVEuT1RDUEs6RElESS5ZLklRX0VCSVQuRlkyMDE4LjMxLzEyLzIwMjUuLi5TR0QBAAAAyWasYwIAAAAMLTI0NjQuNjQzNjE3AQgAAAAFAAAAATEBAAAACy0yMTQ0MjQ3NzgzAwAAAAMxMzgCAAAAAzQwMAQAAAABMAcAAAAKMTIvMzEvMjAyNQgAAAAKMTIvMzEvMjAxOAkAAAABMAcipQaXtd4IOuYQJZe13ggwQ0lRLk9UQ1BLOkRJREkuWS5JUV9FQklULkZZMjAxOS4zMS8xMi8yMDI1Li4u</t>
  </si>
  <si>
    <t>U0dEAQAAAMlmrGMCAAAADC0xNTQ3LjkwNTYwMwEIAAAABQAAAAExAQAAAAstMjA5OTE3NzQ4NQMAAAADMTM4AgAAAAM0MDAEAAAAATAHAAAACjEyLzMxLzIwMjUIAAAACjEyLzMxLzIwMTkJAAAAATAHIqUGl7XeCDrmECWXtd4IMENJUS5PVENQSzpESURJLlkuSVFfRUJJVC5GWTIwMjAuMzEvMTIvMjAyNS4uLlNHRAEAAADJZqxjAgAAAAstMjc5MS40ODQ4NwEIAAAABQAAAAExAQAAAAstMjA0ODI0NjIzMgMAAAADMTM4AgAAAAM0MDAEAAAAATAHAAAACjEyLzMxLzIwMjUIAAAACjEyLzMxLzIwMjAJAAAAATAHIqUGl7XeCDrmECWXtd4IMENJUS5PVENQSzpESURJLlkuSVFfRUJJVC5GWTIwMjEuMzEvMTIvMjAyNS4uLlNHRAEAAADJZqxjAgAAAAwtOTY4OC41ODIwNjEBCAAAAAUAAAABMQEAAAALLTIwMDE3NDIxMzkDAAAAAzEzOAIAAAADNDAwBAAAAAEwBwAAAAoxMi8zMS8yMDI1CAAAAAoxMi8zMS8yMDIxCQAAAAEwByKlBpe13gg65hAll7XeCDBDSVEuT1RDUEs6RElESS5ZLklRX0VCSVQuRlkyMDIyLjMxLzEyLzIwMjUuLi5TR0QBAAAAyWasYwIAAAALLTM0NDEuMjkxOTYBCAAAAAUAAAABMQEAAAALLTE5NTAzNTE4NjgDAAAAAzEzOAIAAAADNDAwBAAAAAEwBwAAAAoxMi8zMS8yMDI1CAAAAAoxMi8zMS8yMDIyCQAAAAEwByKlBpe13gg65hAll7XeCDBDSVEuT1RDUEs6RElESS5ZLklRX0VCSVQuRlky</t>
  </si>
  <si>
    <t>MDIzLjMxLzEyLzIwMjUuLi5TR0QBAAAAyWasYwIAAAALLTUyOC4zNjYzNDcBCAAAAAUAAAABMQEAAAALLTE5NTAzNTE4NjUDAAAAAzEzOAIAAAADNDAwBAAAAAEwBwAAAAoxMi8zMS8yMDI1CAAAAAoxMi8zMS8yMDIzCQAAAAEwByKlBpe13gg65hAll7XeCDBDSVEuT1RDUEs6RElESS5ZLklRX0VCSVQuRlkyMDI0LjMxLzEyLzIwMjUuLi5TR0QBAAAAyWasYwIAAAAJMzYzLjE4Nzc0AQgAAAAFAAAAATEBAAAACy0xOTUwMzUxODU4AwAAAAMxMzgCAAAAAzQwMAQAAAABMAcAAAAKMTIvMzEvMjAyNQgAAAAKMTIvMzEvMjAyNAkAAAABMAcipQaXtd4IOuYQJZe13ggwQ0lRLk9UQ1BLOkRJREkuWS5JUV9FQklULkZZMjAyNS4zMS8xMi8yMDI1Li4uU0dEAQAAAMlmrGMDAAAAAAAHIqUGl7XeCDrmECWXtd4ILUNJUS5TRUhLOjM2OTAuSVFfRUJJVC5GWTIwMTUuMzEvMTIvMjAyNS4uLlNHRAEAAAAtdc0GAgAAAAstMTg0NS44Nzk3MwEIAAAABQAAAAExAQAAAAoxOTA3MTQwODgyAwAAAAMxMzgCAAAAAzQwMAQAAAABMAcAAAAKMTIvMzEvMjAyNQgAAAAKMTIvMzEvMjAxNQkAAAABMAcipQaXtd4I0FUTJZe13ggtQ0lRLlNFSEs6MzY5MC5JUV9FQklULkZZMjAxNi4zMS8xMi8yMDI1Li4uU0dEAQAAAC11zQYCAAAADC0xMzAzLjU3MjQ1NQEIAAAABQAAAAExAQAAAAoxOTA3MTQwODQwAwAAAAMxMzgCAAAAAzQwMAQA</t>
  </si>
  <si>
    <t>AAABMAcAAAAKMTIvMzEvMjAyNQgAAAAKMTIvMzEvMjAxNgkAAAABMAcipQaXtd4I0FUTJZe13ggtQ0lRLlNFSEs6MzY5MC5JUV9FQklULkZZMjAxNy4zMS8xMi8yMDI1Li4uU0dEAQAAAC11zQYCAAAACy05MTQuNjg1OTk3AQgAAAAFAAAAATEBAAAACjE5NTM4MzUxODQDAAAAAzEzOAIAAAADNDAwBAAAAAEwBwAAAAoxMi8zMS8yMDI1CAAAAAoxMi8zMS8yMDE3CQAAAAEwByKlBpe13gjQVRMll7XeCC1DSVEuU0VISzozNjkwLklRX0VCSVQuRlkyMDE4LjMxLzEyLzIwMjUuLi5TR0QBAAAALXXNBgIAAAAMLTI0MTEuMzU4NTEzAQgAAAAFAAAAATEBAAAACjIwMjg3NDQ5NTQDAAAAAzEzOAIAAAADNDAwBAAAAAEwBwAAAAoxMi8zMS8yMDI1CAAAAAoxMi8zMS8yMDE4CQAAAAEwByKlBpe13gjQVRMll7XeCC1DSVEuU0VISzozNjkwLklRX0VCSVQuRlkyMDE5LjMxLzEyLzIwMjUuLi5TR0QBAAAALXXNBgIAAAAKLTE2LjQ1MzIzMwEIAAAABQAAAAExAQAAAAoyMDkwMDY5NTg4AwAAAAMxMzgCAAAAAzQwMAQAAAABMAcAAAAKMTIvMzEvMjAyNQgAAAAKMTIvMzEvMjAxOQkAAAABMAcipQaXtd4I0FUTJZe13ggtQ0lRLlNFSEs6MzY5MC5JUV9FQklULkZZMjAyMC4zMS8xMi8yMDI1Li4uU0dEAQAAAC11zQYCAAAACy01MDguNzI2MTY1AQgAAAAFAAAAATEBAAAACy0yMTAyODc1NjA3AwAAAAMxMzgCAAAAAzQwMAQA</t>
  </si>
  <si>
    <t>AAABMAcAAAAKMTIvMzEvMjAyNQgAAAAKMTIvMzEvMjAyMAkAAAABMAcipQaXtd4I0FUTJZe13ggtQ0lRLlNFSEs6MzY5MC5JUV9FQklULkZZMjAyMS4zMS8xMi8yMDI1Li4uU0dEAQAAAC11zQYCAAAACy01NTA1Ljk3OTM1AQgAAAAFAAAAATEBAAAACy0yMDUwNDkxODc3AwAAAAMxMzgCAAAAAzQwMAQAAAABMAcAAAAKMTIvMzEvMjAyNQgAAAAKMTIvMzEvMjAyMQkAAAABMAcipQaXtd4I0FUTJZe13ggtQ0lRLlNFSEs6MzY5MC5JUV9FQklULkZZMjAyMi4zMS8xMi8yMDI1Li4uU0dEAQAAAC11zQYCAAAADC0xMjgzLjgxMDQ2NAEIAAAABQAAAAExAQAAAAstMTk5NzkyMjI5NAMAAAADMTM4AgAAAAM0MDAEAAAAATAHAAAACjEyLzMxLzIwMjUIAAAACjEyLzMxLzIwMjIJAAAAATAHIqUGl7XeCNBVEyWXtd4ILUNJUS5TRUhLOjM2OTAuSVFfRUJJVC5GWTIwMjMuMzEvMTIvMjAyNS4uLlNHRAEAAAAtdc0GAgAAAAsxNjc0LjgxOTE4MwEIAAAABQAAAAExAQAAAAstMTk0NzE3MTM2OQMAAAADMTM4AgAAAAM0MDAEAAAAATAHAAAACjEyLzMxLzIwMjUIAAAACjEyLzMxLzIwMjMJAAAAATAHIqUGl7XeCNBVEyWXtd4ILUNJUS5TRUhLOjM2OTAuSVFfRUJJVC5GWTIwMjQuMzEvMTIvMjAyNS4uLlNHRAEAAAAtdc0GAgAAAAs2MTk5LjgxNzI2NAEIAAAABQAAAAExAQAAAAstMTk0NzE3MTQyMAMAAAADMTM4AgAAAAM0</t>
  </si>
  <si>
    <t>MDAEAAAAATAHAAAACjEyLzMxLzIwMjUIAAAACjEyLzMxLzIwMjQJAAAAATAHIqUGl7XeCNBVEyWXtd4ILUNJUS5TRUhLOjM2OTAuSVFfRUJJVC5GWTIwMjUuMzEvMTIvMjAyNS4uLlNHRAEAAAAtdc0GAwAAAAAAByKlBpe13gjQVRMll7XeCC1DSVEuWFRSQTpESEVSLklRX0VCSVQuRlkyMDE1LjMxLzEyLzIwMjUuLi5TR0QBAAAAqrZiCAIAAAALLTI5Mi4yOTUzOTUBCAAAAAUAAAABMQEAAAAKMTg0NzYxODQ0NQMAAAADMTM4AgAAAAM0MDAEAAAAATAHAAAACjEyLzMxLzIwMjUIAAAACjEyLzMxLzIwMTUJAAAAATAHIqUGl7XeCDrmECWXtd4ILUNJUS5YVFJBOkRIRVIuSVFfRUJJVC5GWTIwMTYuMzEvMTIvMjAyNS4uLlNHRAEAAACqtmIIAgAAAAotMjI1Ljk1MzczAQgAAAAFAAAAATEBAAAACjE4ODUwOTgzNzYDAAAAAzEzOAIAAAADNDAwBAAAAAEwBwAAAAoxMi8zMS8yMDI1CAAAAAoxMi8zMS8yMDE2CQAAAAEwByKlBpe13gg65hAll7XeCC1DSVEuWFRSQTpESEVSLklRX0VCSVQuRlkyMDE3LjMxLzEyLzIwMjUuLi5TR0QBAAAAqrZiCAIAAAALLTM3NC4yMzE2NzYBCAAAAAUAAAABMQEAAAAKMTk1NzQ4NzgyNwMAAAADMTM4AgAAAAM0MDAEAAAAATAHAAAACjEyLzMxLzIwMjUIAAAACjEyLzMxLzIwMTcJAAAAATAHIqUGl7XeCDrmECWXtd4ILUNJUS5YVFJBOkRIRVIuSVFfRUJJVC5GWTIwMTguMzEvMTIv</t>
  </si>
  <si>
    <t>MjAyNS4uLlNHRAEAAACqtmIIAgAAAAstMzI5LjkwMjcwOAEIAAAABQAAAAExAQAAAAoyMDMyNDM1OTEyAwAAAAMxMzgCAAAAAzQwMAQAAAABMAcAAAAKMTIvMzEvMjAyNQgAAAAKMTIvMzEvMjAxOAkAAAABMAcipQaXtd4IOuYQJZe13ggtQ0lRLlhUUkE6REhFUi5JUV9FQklULkZZMjAxOS4zMS8xMi8yMDI1Li4uU0dEAQAAAKq2YggCAAAACy05NjUuNTM3MDkyAQgAAAAFAAAAATEBAAAACjIwOTMyMDgxMzUDAAAAAzEzOAIAAAADNDAwBAAAAAEwBwAAAAoxMi8zMS8yMDI1CAAAAAoxMi8zMS8yMDE5CQAAAAEwByKlBpe13gg65hAll7XeCC1DSVEuWFRSQTpESEVSLklRX0VCSVQuRlkyMDIwLjMxLzEyLzIwMjUuLi5TR0QBAAAAqrZiCAIAAAAMLTE0NDcuMzk4NzgyAQgAAAAFAAAAATEBAAAACy0yMTAwMTMzMDg0AwAAAAMxMzgCAAAAAzQwMAQAAAABMAcAAAAKMTIvMzEvMjAyNQgAAAAKMTIvMzEvMjAyMAkAAAABMAcipQaXtd4IOuYQJZe13ggtQ0lRLlhUUkE6REhFUi5JUV9FQklULkZZMjAyMS4zMS8xMi8yMDI1Li4uU0dEAQAAAKq2YggCAAAADC0yNTQyLjg4MjQ0MQEIAAAABQAAAAExAQAAAAstMjA0NzY0NzA5MgMAAAADMTM4AgAAAAM0MDAEAAAAATAHAAAACjEyLzMxLzIwMjUIAAAACjEyLzMxLzIwMjEJAAAAATAHIqUGl7XeCDrmECWXtd4ILUNJUS5YVFJBOkRIRVIuSVFfRUJJVC5GWTIwMjIuMzEv</t>
  </si>
  <si>
    <t>MTIvMjAyNS4uLlNHRAEAAACqtmIIAgAAAAwtMjA1OS4yMjM5MTkBCAAAAAUAAAABMQEAAAALLTE5OTk2NDM5MzIDAAAAAzEzOAIAAAADNDAwBAAAAAEwBwAAAAoxMi8zMS8yMDI1CAAAAAoxMi8zMS8yMDIyCQAAAAEwByKlBpe13gg65hAll7XeCC1DSVEuWFRSQTpESEVSLklRX0VCSVQuRlkyMDIzLjMxLzEyLzIwMjUuLi5TR0QBAAAAqrZiCAIAAAAMLTEwMzIuMDgzMDczAQgAAAAFAAAAATEBAAAACy0xOTQ5Mjg3MDI5AwAAAAMxMzgCAAAAAzQwMAQAAAABMAcAAAAKMTIvMzEvMjAyNQgAAAAKMTIvMzEvMjAyMwkAAAABMAcipQaXtd4IOuYQJZe13ggtQ0lRLlhUUkE6REhFUi5JUV9FQklULkZZMjAyNC4zMS8xMi8yMDI1Li4uU0dEAQAAAKq2YggCAAAACy0zNzMuNzIwMjM1AQgAAAAFAAAAATEBAAAACy0xOTQ5Mjg3MDM3AwAAAAMxMzgCAAAAAzQwMAQAAAABMAcAAAAKMTIvMzEvMjAyNQgAAAAKMTIvMzEvMjAyNAkAAAABMAcipQaXtd4IOuYQJZe13ggtQ0lRLlhUUkE6REhFUi5JUV9FQklULkZZMjAyNS4zMS8xMi8yMDI1Li4uU0dEAQAAAKq2YggDAAAAAAAHIqUGl7XeCDrmECWXtd4IMUNJUS5OQVNEQVFHUzpEQVNILklRX0VCSVQuRlkyMDE1LjMxLzEyLzIwMjUuLi5TR0QBAAAApxyHDgMAAAAAAAcipQaXtd4I0FUTJZe13ggxQ0lRLk5BU0RBUUdTOkRBU0guSVFfRUJJVC5GWTIwMTYuMzEvMTIvMjAy</t>
  </si>
  <si>
    <t>NS4uLlNHRAEAAACnHIcOAwAAAAAAByKlBpe13gjQVRMll7XeCDFDSVEuTkFTREFRR1M6REFTSC5JUV9FQklULkZZMjAxNy4zMS8xMi8yMDI1Li4uU0dEAQAAAKcchw4DAAAAAAAHIqUGl7XeCNBVEyWXtd4IMUNJUS5OQVNEQVFHUzpEQVNILklRX0VCSVQuRlkyMDE4LjMxLzEyLzIwMjUuLi5TR0QBAAAApxyHDgIAAAAJLTI4Ni4wOTM1AQgAAAAFAAAAATEBAAAACjIwODMyOTk3MzEDAAAAAzEzOAIAAAADNDAwBAAAAAEwBwAAAAoxMi8zMS8yMDI1CAAAAAoxMi8zMS8yMDE4CQAAAAEwByKlBpe13gjQVRMll7XeCDFDSVEuTkFTREFRR1M6REFTSC5JUV9FQklULkZZMjAxOS4zMS8xMi8yMDI1Li4uU0dEAQAAAKcchw4CAAAACi04MjEuNzg4ODkBCAAAAAUAAAABMQEAAAALLTIxMTAwNjEzODgDAAAAAzEzOAIAAAADNDAwBAAAAAEwBwAAAAoxMi8zMS8yMDI1CAAAAAoxMi8zMS8yMDE5CQAAAAEwByKlBpe13gjQVRMll7XeCDFDSVEuTkFTREFRR1M6REFTSC5JUV9FQklULkZZMjAyMC4zMS8xMi8yMDI1Li4uU0dEAQAAAKcchw4CAAAACi01NjAuNDMwNDgBCAAAAAUAAAABMQEAAAALLTIwNTkzOTM0MTcDAAAAAzEzOAIAAAADNDAwBAAAAAEwBwAAAAoxMi8zMS8yMDI1CAAAAAoxMi8zMS8yMDIwCQAAAAEwByKlBpe13gjQVRMll7XeCDFDSVEuTkFTREFRR1M6REFTSC5JUV9FQklULkZZMjAyMS4zMS8xMi8yMDI1</t>
  </si>
  <si>
    <t>Li4uU0dEAQAAAKcchw4CAAAACi01OTQuNTQ3MzgBCAAAAAUAAAABMQEAAAALLTIwMDk1MTg0MjMDAAAAAzEzOAIAAAADNDAwBAAAAAEwBwAAAAoxMi8zMS8yMDI1CAAAAAoxMi8zMS8yMDIxCQAAAAEwByKlBpe13gjQVRMll7XeCDFDSVEuTkFTREFRR1M6REFTSC5JUV9FQklULkZZMjAyMi4zMS8xMi8yMDI1Li4uU0dEAQAAAKcchw4CAAAACi0xMjg3LjIyNTYBCAAAAAUAAAABMQEAAAALLTE5NTk1NTQ2NzADAAAAAzEzOAIAAAADNDAwBAAAAAEwBwAAAAoxMi8zMS8yMDI1CAAAAAoxMi8zMS8yMDIyCQAAAAEwByKlBpe13gjQVRMll7XeCDFDSVEuTkFTREFRR1M6REFTSC5JUV9FQklULkZZMjAyMy4zMS8xMi8yMDI1Li4uU0dEAQAAAKcchw4CAAAACS03NTguOTY1NQEIAAAABQAAAAExAQAAAAstMTk1OTU1NDY3MwMAAAADMTM4AgAAAAM0MDAEAAAAATAHAAAACjEyLzMxLzIwMjUIAAAACjEyLzMxLzIwMjMJAAAAATAHIqUGl7XeCNBVEyWXtd4IMUNJUS5OQVNEQVFHUzpEQVNILklRX0VCSVQuRlkyMDI0LjMxLzEyLzIwMjUuLi5TR0QBAAAApxyHDgIAAAAGNzAuOTY3AQgAAAAFAAAAATEBAAAACy0xOTU5NTU0Njc2AwAAAAMxMzgCAAAAAzQwMAQAAAABMAcAAAAKMTIvMzEvMjAyNQgAAAAKMTIvMzEvMjAyNAkAAAABMAcipQaXtd4I0FUTJZe13ggxQ0lRLk5BU0RBUUdTOkRBU0guSVFfRUJJVC5GWTIwMjUu</t>
  </si>
  <si>
    <t>MzEvMTIvMjAyNS4uLlNHRAEAAACnHIcOAwAAAAAAByKlBpe13gjQVRMll7XeCC9DSVEuREZNOlRBTEFCQVQuSVFfRUJJVC5GWTIwMTUuMzEvMTIvMjAyNS4uLlNHRAEAAADZvoJuAwAAAAAAByKlBpe13gg65hAll7XeCC9DSVEuREZNOlRBTEFCQVQuSVFfRUJJVC5GWTIwMTYuMzEvMTIvMjAyNS4uLlNHRAEAAADZvoJuAwAAAAAAByKlBpe13gg65hAll7XeCC9DSVEuREZNOlRBTEFCQVQuSVFfRUJJVC5GWTIwMTcuMzEvMTIvMjAyNS4uLlNHRAEAAADZvoJuAwAAAAAAByKlBpe13gg65hAll7XeCC9DSVEuREZNOlRBTEFCQVQuSVFfRUJJVC5GWTIwMTguMzEvMTIvMjAyNS4uLlNHRAEAAADZvoJuAwAAAAAAByKlBpe13gg65hAll7XeCC9DSVEuREZNOlRBTEFCQVQuSVFfRUJJVC5GWTIwMTkuMzEvMTIvMjAyNS4uLlNHRAEAAADZvoJuAwAAAAAAByKlBpe13gg65hAll7XeCC9DSVEuREZNOlRBTEFCQVQuSVFfRUJJVC5GWTIwMjAuMzEvMTIvMjAyNS4uLlNHRAEAAADZvoJuAwAAAAAAByKlBpe13gg65hAll7XeCC9DSVEuREZNOlRBTEFCQVQuSVFfRUJJVC5GWTIwMjEuMzEvMTIvMjAyNS4uLlNHRAEAAADZvoJuAwAAAAAAByKlBpe13gg65hAll7XeCC9DSVEuREZNOlRBTEFCQVQuSVFfRUJJVC5GWTIwMjIuMzEvMTIvMjAyNS4uLlNHRAEAAADZvoJuAgAAAAoyNzYuOTgzNzM1AQgAAAAFAAAAATEBAAAACy0x</t>
  </si>
  <si>
    <t>OTYyNDA1Mzg2AwAAAAMxMzgCAAAAAzQwMAQAAAABMAcAAAAKMTIvMzEvMjAyNQgAAAAKMTIvMzEvMjAyMgkAAAABMAcipQaXtd4IOuYQJZe13ggvQ0lRLkRGTTpUQUxBQkFULklRX0VCSVQuRlkyMDIzLjMxLzEyLzIwMjUuLi5TR0QBAAAA2b6CbgIAAAAKMzkyLjAxMjc4NQEIAAAABQAAAAExAQAAAAstMTk2MjQwNTM4OQMAAAADMTM4AgAAAAM0MDAEAAAAATAHAAAACjEyLzMxLzIwMjUIAAAACjEyLzMxLzIwMjMJAAAAATAHIqUGl7XeCDrmECWXtd4IL0NJUS5ERk06VEFMQUJBVC5JUV9FQklULkZZMjAyNC4zMS8xMi8yMDI1Li4uU0dEAQAAANm+gm4CAAAACjUzNC44MjI4NzgBCAAAAAUAAAABMQEAAAALLTE5NTQyOTc1NDcDAAAAAzEzOAIAAAADNDAwBAAAAAEwBwAAAAoxMi8zMS8yMDI1CAAAAAoxMi8zMS8yMDI0CQAAAAEwByKlBpe13gg65hAll7XeCC9DSVEuREZNOlRBTEFCQVQuSVFfRUJJVC5GWTIwMjUuMzEvMTIvMjAyNS4uLlNHRAEAAADZvoJuAwAAAAAAByKlBpe13gg65hAll7XeCD5DSVEuTkFTREFRR1M6R1JBQi5JUV9SRVRVUk5fSU5WRVNURURfQ0FQSVRBTC5GWTIwMTUuMzEvMTIvMjAyNQEAAABxmc4jAwAAAAAAByKlBpe13ghvdg4ll7XeCD5DSVEuTkFTREFRR1M6R1JBQi5JUV9SRVRVUk5fSU5WRVNURURfQ0FQSVRBTC5GWTIwMTYuMzEvMTIvMjAyNQEAAABxmc4jAwAAAAAAByKlBpe1</t>
  </si>
  <si>
    <t>3ggNPwwll7XeCD5DSVEuTkFTREFRR1M6R1JBQi5JUV9SRVRVUk5fSU5WRVNURURfQ0FQSVRBTC5GWTIwMTcuMzEvMTIvMjAyNQEAAABxmc4jAwAAAAAAByKlBpe13ggNPwwll7XeCD5DSVEuTkFTREFRR1M6R1JBQi5JUV9SRVRVUk5fSU5WRVNURURfQ0FQSVRBTC5GWTIwMTguMzEvMTIvMjAyNQEAAABxmc4jAwAAAAAAByKlBpe13ggNPwwll7XeCD5DSVEuTkFTREFRR1M6R1JBQi5JUV9SRVRVUk5fSU5WRVNURURfQ0FQSVRBTC5GWTIwMTkuMzEvMTIvMjAyNQEAAABxmc4jAwAAAAAAByKlBpe13ggNPwwll7XeCD5DSVEuTkFTREFRR1M6R1JBQi5JUV9SRVRVUk5fSU5WRVNURURfQ0FQSVRBTC5GWTIwMjAuMzEvMTIvMjAyNQEAAABxmc4jAgAAAAgtNTcuMzEyMwAHIqUGl7XeCA0/DCWXtd4IPkNJUS5OQVNEQVFHUzpHUkFCLklRX1JFVFVSTl9JTlZFU1RFRF9DQVBJVEFMLkZZMjAyMS4zMS8xMi8yMDI1AQAAAHGZziMCAAAACC00Ni4yMzk0AAcipQaXtd4IDT8MJZe13gg+Q0lRLk5BU0RBUUdTOkdSQUIuSVFfUkVUVVJOX0lOVkVTVEVEX0NBUElUQUwuRlkyMDIyLjMxLzEyLzIwMjUBAAAAcZnOIwIAAAAILTE4LjQ3ODIAByKlBpe13ggNPwwll7XeCD5DSVEuTkFTREFRR1M6R1JBQi5JUV9SRVRVUk5fSU5WRVNURURfQ0FQSVRBTC5GWTIwMjMuMzEvMTIvMjAyNQEAAABxmc4jAgAAAActNS42Nzk1AAcipQaX</t>
  </si>
  <si>
    <t>td4IDT8MJZe13gg+Q0lRLk5BU0RBUUdTOkdSQUIuSVFfUkVUVVJOX0lOVkVTVEVEX0NBUElUQUwuRlkyMDI0LjMxLzEyLzIwMjUBAAAAcZnOIwIAAAAHLTEuNTAyNQAHIqUGl7XeCA0/DCWXtd4IPkNJUS5OQVNEQVFHUzpHUkFCLklRX1JFVFVSTl9JTlZFU1RFRF9DQVBJVEFMLkZZMjAyNS4zMS8xMi8yMDI1AQAAAHGZziMDAAAAAAAHIqUGl7XeCA0/DCWXtd4IOkNJUS5JRFg6IEdPVE8uSVFfUkVUVVJOX0lOVkVTVEVEX0NBUElUQUwuRlkyMDE1LjMxLzEyLzIwMjUBAAAAb5NqEQMAAAAAAAcipQaXtd4IDT8MJZe13gg6Q0lRLklEWDogR09UTy5JUV9SRVRVUk5fSU5WRVNURURfQ0FQSVRBTC5GWTIwMTYuMzEvMTIvMjAyNQEAAABvk2oRAwAAAAAAByKlBpe13ggNPwwll7XeCDpDSVEuSURYOiBHT1RPLklRX1JFVFVSTl9JTlZFU1RFRF9DQVBJVEFMLkZZMjAxNy4zMS8xMi8yMDI1AQAAAG+TahEDAAAAAAAHIqUGl7XeCA0/DCWXtd4IOkNJUS5JRFg6IEdPVE8uSVFfUkVUVVJOX0lOVkVTVEVEX0NBUElUQUwuRlkyMDE4LjMxLzEyLzIwMjUBAAAAb5NqEQMAAAAAAAcipQaXtd4IDT8MJZe13gg6Q0lRLklEWDogR09UTy5JUV9SRVRVUk5fSU5WRVNURURfQ0FQSVRBTC5GWTIwMTkuMzEvMTIvMjAyNQEAAABvk2oRAgAAAAktMTQwLjc5MDYAByKlBpe13ggNPwwll7XeCDpDSVEuSURYOiBHT1RPLklRX1JFVFVS</t>
  </si>
  <si>
    <t>Tl9JTlZFU1RFRF9DQVBJVEFMLkZZMjAyMC4zMS8xMi8yMDI1AQAAAG+TahECAAAACC03Mi4xNTM5AAcipQaXtd4IDT8MJZe13gg6Q0lRLklEWDogR09UTy5JUV9SRVRVUk5fSU5WRVNURURfQ0FQSVRBTC5GWTIwMjEuMzEvMTIvMjAyNQEAAABvk2oRAgAAAAgtMjUuOTQ3OQAHIqUGl7XeCA0/DCWXtd4IOkNJUS5JRFg6IEdPVE8uSVFfUkVUVVJOX0lOVkVTVEVEX0NBUElUQUwuRlkyMDIyLjMxLzEyLzIwMjUBAAAAb5NqEQIAAAAILTI5LjY4ODkAByKlBpe13ggNPwwll7XeCDpDSVEuSURYOiBHT1RPLklRX1JFVFVSTl9JTlZFU1RFRF9DQVBJVEFMLkZZMjAyMy4zMS8xMi8yMDI1AQAAAG+TahECAAAACS0xMDkuNDI0MwAHIqUGl7XeCA0/DCWXtd4IOkNJUS5JRFg6IEdPVE8uSVFfUkVUVVJOX0lOVkVTVEVEX0NBUElUQUwuRlkyMDI0LjMxLzEyLzIwMjUBAAAAb5NqEQIAAAAILTEzLjY5NTYAByKlBpe13ggNPwwll7XeCDpDSVEuSURYOiBHT1RPLklRX1JFVFVSTl9JTlZFU1RFRF9DQVBJVEFMLkZZMjAyNS4zMS8xMi8yMDI1AQAAAG+TahEDAAAAAAAHIqUGl7XeCA0/DCWXtd4IOUNJUS5OWVNFOiBTRS5JUV9SRVRVUk5fSU5WRVNURURfQ0FQSVRBTC5GWTIwMTUuMzEvMTIvMjAyNQEAAAD7AmcZAgAAAAktMzA4LjUxMzcAByKlBpe13ggNPwwll7XeCDlDSVEuTllTRTogU0UuSVFfUkVUVVJOX0lOVkVTVEVE</t>
  </si>
  <si>
    <t>X0NBUElUQUwuRlkyMDE2LjMxLzEyLzIwMjUBAAAA+wJnGQIAAAAJLTI2OS4zNTY2AAcipQaXtd4IDT8MJZe13gg5Q0lRLk5ZU0U6IFNFLklRX1JFVFVSTl9JTlZFU1RFRF9DQVBJVEFMLkZZMjAxNy4zMS8xMi8yMDI1AQAAAPsCZxkCAAAACC04Ny4yMDk0AAcipQaXtd4IDT8MJZe13gg5Q0lRLk5ZU0U6IFNFLklRX1JFVFVSTl9JTlZFU1RFRF9DQVBJVEFMLkZZMjAxOC4zMS8xMi8yMDI1AQAAAPsCZxkCAAAACC05NC43ODIxAAcipQaXtd4IDT8MJZe13gg5Q0lRLk5ZU0U6IFNFLklRX1JFVFVSTl9JTlZFU1RFRF9DQVBJVEFMLkZZMjAxOS4zMS8xMi8yMDI1AQAAAPsCZxkCAAAACC04MS40NTAxAAcipQaXtd4IDT8MJZe13gg5Q0lRLk5ZU0U6IFNFLklRX1JFVFVSTl9JTlZFU1RFRF9DQVBJVEFMLkZZMjAyMC4zMS8xMi8yMDI1AQAAAPsCZxkCAAAACC0zOS4wNzk2AAcipQaXtd4IDT8MJZe13gg5Q0lRLk5ZU0U6IFNFLklRX1JFVFVSTl9JTlZFU1RFRF9DQVBJVEFMLkZZMjAyMS4zMS8xMi8yMDI1AQAAAPsCZxkCAAAABS0yMy44AAcipQaXtd4IDT8MJZe13gg5Q0lRLk5ZU0U6IFNFLklRX1JFVFVSTl9JTlZFU1RFRF9DQVBJVEFMLkZZMjAyMi4zMS8xMi8yMDI1AQAAAPsCZxkCAAAACC0xNS4wMTQ2AAcipQaXtd4IDT8MJZe13gg5Q0lRLk5ZU0U6IFNFLklRX1JFVFVSTl9JTlZFU1RFRF9DQVBJVEFMLkZZ</t>
  </si>
  <si>
    <t>MjAyMy4zMS8xMi8yMDI1AQAAAPsCZxkCAAAABjEuNDAzOQAHIqUGl7XeCA0/DCWXtd4IOUNJUS5OWVNFOiBTRS5JUV9SRVRVUk5fSU5WRVNURURfQ0FQSVRBTC5GWTIwMjQuMzEvMTIvMjAyNQEAAAD7AmcZAgAAAAYzLjczOTgAByKlBpe13ggNPwwll7XeCDlDSVEuTllTRTogU0UuSVFfUkVUVVJOX0lOVkVTVEVEX0NBUElUQUwuRlkyMDI1LjMxLzEyLzIwMjUBAAAA+wJnGQMAAAAAAAcipQaXtd4IDT8MJZe13gg6Q0lRLk5ZU0U6VUJFUi5JUV9SRVRVUk5fSU5WRVNURURfQ0FQSVRBTC5GWTIwMTUuMzEvMTIvMjAyNQEAAAAwRp0IAwAAAAAAByKlBpe13gjmxA4ll7XeCDpDSVEuTllTRTpVQkVSLklRX1JFVFVSTl9JTlZFU1RFRF9DQVBJVEFMLkZZMjAxNi4zMS8xMi8yMDI1AQAAADBGnQgDAAAAAAAHIqUGl7XeCObEDiWXtd4IOkNJUS5OWVNFOlVCRVIuSVFfUkVUVVJOX0lOVkVTVEVEX0NBUElUQUwuRlkyMDE3LjMxLzEyLzIwMjUBAAAAMEadCAIAAAAILTQ3LjQ2MzgAByKlBpe13gjmxA4ll7XeCDpDSVEuTllTRTpVQkVSLklRX1JFVFVSTl9JTlZFU1RFRF9DQVBJVEFMLkZZMjAxOC4zMS8xMi8yMDI1AQAAADBGnQgCAAAABjkuMzI4NgAHIqUGl7XeCObEDiWXtd4IOkNJUS5OWVNFOlVCRVIuSVFfUkVUVVJOX0lOVkVTVEVEX0NBUElUQUwuRlkyMDE5LjMxLzEyLzIwMjUBAAAAMEadCAIAAAAILTQ1Ljc1</t>
  </si>
  <si>
    <t>ODIAByKlBpe13gjmxA4ll7XeCDpDSVEuTllTRTpVQkVSLklRX1JFVFVSTl9JTlZFU1RFRF9DQVBJVEFMLkZZMjAyMC4zMS8xMi8yMDI1AQAAADBGnQgCAAAACC0yOC44Mjk0AAcipQaXtd4I5sQOJZe13gg6Q0lRLk5ZU0U6VUJFUi5JUV9SRVRVUk5fSU5WRVNURURfQ0FQSVRBTC5GWTIwMjEuMzEvMTIvMjAyNQEAAAAwRp0IAgAAAActMS45NDY1AAcipQaXtd4I5sQOJZe13gg6Q0lRLk5ZU0U6VUJFUi5JUV9SRVRVUk5fSU5WRVNURURfQ0FQSVRBTC5GWTIwMjIuMzEvMTIvMjAyNQEAAAAwRp0IAgAAAAgtMzguNzU0MwAHIqUGl7XeCObEDiWXtd4IOkNJUS5OWVNFOlVCRVIuSVFfUkVUVVJOX0lOVkVTVEVEX0NBUElUQUwuRlkyMDIzLjMxLzEyLzIwMjUBAAAAMEadCAIAAAAGOC40NjA5AAcipQaXtd4I5sQOJZe13gg6Q0lRLk5ZU0U6VUJFUi5JUV9SRVRVUk5fSU5WRVNURURfQ0FQSVRBTC5GWTIwMjQuMzEvMTIvMjAyNQEAAAAwRp0IAgAAAAczMy44MTM2AAcipQaXtd4I5sQOJZe13gg6Q0lRLk5ZU0U6VUJFUi5JUV9SRVRVUk5fSU5WRVNURURfQ0FQSVRBTC5GWTIwMjUuMzEvMTIvMjAyNQEAAAAwRp0IAwAAAAAAByKlBpe13gjmxA4ll7XeCD5DSVEuTkFTREFRR1M6TFlGVC5JUV9SRVRVUk5fSU5WRVNURURfQ0FQSVRBTC5GWTIwMTUuMzEvMTIvMjAyNQEAAABVMYQDAwAAAAAAByKlBpe13gg65hAll7Xe</t>
  </si>
  <si>
    <t>CD5DSVEuTkFTREFRR1M6TFlGVC5JUV9SRVRVUk5fSU5WRVNURURfQ0FQSVRBTC5GWTIwMTYuMzEvMTIvMjAyNQEAAABVMYQDAwAAAAAAByKlBpe13gg65hAll7XeCD5DSVEuTkFTREFRR1M6TFlGVC5JUV9SRVRVUk5fSU5WRVNURURfQ0FQSVRBTC5GWTIwMTcuMzEvMTIvMjAyNQEAAABVMYQDAgAAAAgtNDIuNDkyMgAHIqUGl7XeCDrmECWXtd4IPkNJUS5OQVNEQVFHUzpMWUZULklRX1JFVFVSTl9JTlZFU1RFRF9DQVBJVEFMLkZZMjAxOC4zMS8xMi8yMDI1AQAAAFUxhAMCAAAACC0zOS43NDk2AAcipQaXtd4IOuYQJZe13gg+Q0lRLk5BU0RBUUdTOkxZRlQuSVFfUkVUVVJOX0lOVkVTVEVEX0NBUElUQUwuRlkyMDE5LjMxLzEyLzIwMjUBAAAAVTGEAwIAAAAILTkyLjc1MjgAByKlBpe13gg65hAll7XeCD5DSVEuTkFTREFRR1M6TFlGVC5JUV9SRVRVUk5fSU5WRVNURURfQ0FQSVRBTC5GWTIwMjAuMzEvMTIvMjAyNQEAAABVMYQDAgAAAAgtNTguMTQ3NQAHIqUGl7XeCObEDiWXtd4IPkNJUS5OQVNEQVFHUzpMWUZULklRX1JFVFVSTl9JTlZFU1RFRF9DQVBJVEFMLkZZMjAyMS4zMS8xMi8yMDI1AQAAAFUxhAMCAAAACC00Mi4xMjI3AAcipQaXtd4I5sQOJZe13gg+Q0lRLk5BU0RBUUdTOkxZRlQuSVFfUkVUVVJOX0lOVkVTVEVEX0NBUElUQUwuRlkyMDIyLjMxLzEyLzIwMjUBAAAAVTGEAwIAAAAILTgyLjc0</t>
  </si>
  <si>
    <t>NzcAByKlBpe13gg65hAll7XeCD5DSVEuTkFTREFRR1M6TFlGVC5JUV9SRVRVUk5fSU5WRVNURURfQ0FQSVRBTC5GWTIwMjMuMzEvMTIvMjAyNQEAAABVMYQDAgAAAAgtMjEuNTcyMwAHIqUGl7XeCObEDiWXtd4IPkNJUS5OQVNEQVFHUzpMWUZULklRX1JFVFVSTl9JTlZFU1RFRF9DQVBJVEFMLkZZMjAyNC4zMS8xMi8yMDI1AQAAAFUxhAMCAAAABjEuMjMzMwAHIqUGl7XeCObEDiWXtd4IPkNJUS5OQVNEQVFHUzpMWUZULklRX1JFVFVSTl9JTlZFU1RFRF9DQVBJVEFMLkZZMjAyNS4zMS8xMi8yMDI1AQAAAFUxhAMDAAAAAAAHIqUGl7XeCObEDiWXtd4IPUNJUS5PVENQSzpESURJLlkuSVFfUkVUVVJOX0lOVkVTVEVEX0NBUElUQUwuRlkyMDE1LjMxLzEyLzIwMjUBAAAAyWasYwMAAAAAAAcipQaXtd4I5sQOJZe13gg9Q0lRLk9UQ1BLOkRJREkuWS5JUV9SRVRVUk5fSU5WRVNURURfQ0FQSVRBTC5GWTIwMTYuMzEvMTIvMjAyNQEAAADJZqxjAwAAAAAAByKlBpe13gjmxA4ll7XeCD1DSVEuT1RDUEs6RElESS5ZLklRX1JFVFVSTl9JTlZFU1RFRF9DQVBJVEFMLkZZMjAxNy4zMS8xMi8yMDI1AQAAAMlmrGMDAAAAAAAHIqUGl7XeCObEDiWXtd4IPUNJUS5PVENQSzpESURJLlkuSVFfUkVUVVJOX0lOVkVTVEVEX0NBUElUQUwuRlkyMDE4LjMxLzEyLzIwMjUBAAAAyWasYwMAAAAAAAcipQaXtd4I5sQOJZe13gg9</t>
  </si>
  <si>
    <t>Q0lRLk9UQ1BLOkRJREkuWS5JUV9SRVRVUk5fSU5WRVNURURfQ0FQSVRBTC5GWTIwMTkuMzEvMTIvMjAyNQEAAADJZqxjAgAAAActNy40Njk2AAcipQaXtd4I5sQOJZe13gg9Q0lRLk9UQ1BLOkRJREkuWS5JUV9SRVRVUk5fSU5WRVNURURfQ0FQSVRBTC5GWTIwMjAuMzEvMTIvMjAyNQEAAADJZqxjAgAAAAYtOC4yMDgAByKlBpe13gjmxA4ll7XeCD1DSVEuT1RDUEs6RElESS5ZLklRX1JFVFVSTl9JTlZFU1RFRF9DQVBJVEFMLkZZMjAyMS4zMS8xMi8yMDI1AQAAAMlmrGMCAAAACC0zNy43NTA3AAcipQaXtd4I5sQOJZe13gg9Q0lRLk9UQ1BLOkRJREkuWS5JUV9SRVRVUk5fSU5WRVNURURfQ0FQSVRBTC5GWTIwMjIuMzEvMTIvMjAyNQEAAADJZqxjAgAAAActOS42MTA4AAcipQaXtd4I5sQOJZe13gg9Q0lRLk9UQ1BLOkRJREkuWS5JUV9SRVRVUk5fSU5WRVNURURfQ0FQSVRBTC5GWTIwMjMuMzEvMTIvMjAyNQEAAADJZqxjAgAAAActNC4zOTcxAAcipQaXtd4I5sQOJZe13gg9Q0lRLk9UQ1BLOkRJREkuWS5JUV9SRVRVUk5fSU5WRVNURURfQ0FQSVRBTC5GWTIwMjQuMzEvMTIvMjAyNQEAAADJZqxjAgAAAAYxLjE0MDYAByKlBpe13gjmxA4ll7XeCD1DSVEuT1RDUEs6RElESS5ZLklRX1JFVFVSTl9JTlZFU1RFRF9DQVBJVEFMLkZZMjAyNS4zMS8xMi8yMDI1AQAAAMlmrGMDAAAAAAAHIqUGl7XeCObEDiWX</t>
  </si>
  <si>
    <t>td4IOkNJUS5TRUhLOjM2OTAuSVFfUkVUVVJOX0lOVkVTVEVEX0NBUElUQUwuRlkyMDE1LjMxLzEyLzIwMjUBAAAALXXNBgMAAAAAAAcipQaXtd4I5sQOJZe13gg6Q0lRLlNFSEs6MzY5MC5JUV9SRVRVUk5fSU5WRVNURURfQ0FQSVRBTC5GWTIwMTYuMzEvMTIvMjAyNQEAAAAtdc0GAgAAAAgtMTYuNDY3OQAHIqUGl7XeCObEDiWXtd4IOkNJUS5TRUhLOjM2OTAuSVFfUkVUVVJOX0lOVkVTVEVEX0NBUElUQUwuRlkyMDE3LjMxLzEyLzIwMjUBAAAALXXNBgIAAAAILTM4LjE0MTUAByKlBpe13gjmxA4ll7XeCDpDSVEuU0VISzozNjkwLklRX1JFVFVSTl9JTlZFU1RFRF9DQVBJVEFMLkZZMjAxOC4zMS8xMi8yMDI1AQAAAC11zQYCAAAACS0xNTQuMTE0NgAHIqUGl7XeCObEDiWXtd4IOkNJUS5TRUhLOjM2OTAuSVFfUkVUVVJOX0lOVkVTVEVEX0NBUElUQUwuRlkyMDE5LjMxLzEyLzIwMjUBAAAALXXNBgIAAAAGMi40MDIzAAcipQaXtd4I5sQOJZe13gg6Q0lRLlNFSEs6MzY5MC5JUV9SRVRVUk5fSU5WRVNURURfQ0FQSVRBTC5GWTIwMjAuMzEvMTIvMjAyNQEAAAAtdc0GAgAAAAY0LjI5NDEAByKlBpe13gjmxA4ll7XeCDpDSVEuU0VISzozNjkwLklRX1JFVFVSTl9JTlZFU1RFRF9DQVBJVEFMLkZZMjAyMS4zMS8xMi8yMDI1AQAAAC11zQYCAAAACC0xNS4zNzYxAAcipQaXtd4I5sQOJZe13gg6Q0lRLlNFSEs6</t>
  </si>
  <si>
    <t>MzY5MC5JUV9SRVRVUk5fSU5WRVNURURfQ0FQSVRBTC5GWTIwMjIuMzEvMTIvMjAyNQEAAAAtdc0GAgAAAActMy42MDE3AAcipQaXtd4I5sQOJZe13gg6Q0lRLlNFSEs6MzY5MC5JUV9SRVRVUk5fSU5WRVNURURfQ0FQSVRBTC5GWTIwMjMuMzEvMTIvMjAyNQEAAAAtdc0GAgAAAAY2LjkzODgAByKlBpe13gjmxA4ll7XeCDpDSVEuU0VISzozNjkwLklRX1JFVFVSTl9JTlZFU1RFRF9DQVBJVEFMLkZZMjAyNC4zMS8xMi8yMDI1AQAAAC11zQYCAAAABzE2LjAzMjEAByKlBpe13gjmxA4ll7XeCDpDSVEuU0VISzozNjkwLklRX1JFVFVSTl9JTlZFU1RFRF9DQVBJVEFMLkZZMjAyNS4zMS8xMi8yMDI1AQAAAC11zQYDAAAAAAAHIqUGl7XeCObEDiWXtd4IOkNJUS5YVFJBOkRIRVIuSVFfUkVUVVJOX0lOVkVTVEVEX0NBUElUQUwuRlkyMDE1LjMxLzEyLzIwMjUBAAAAqrZiCAIAAAAILTQ3LjI2MjMAByKlBpe13gjmxA4ll7XeCDpDSVEuWFRSQTpESEVSLklRX1JFVFVSTl9JTlZFU1RFRF9DQVBJVEFMLkZZMjAxNi4zMS8xMi8yMDI1AQAAAKq2YggCAAAACC0yMS4xMTMyAAcipQaXtd4I5sQOJZe13gg6Q0lRLlhUUkE6REhFUi5JUV9SRVRVUk5fSU5WRVNURURfQ0FQSVRBTC5GWTIwMTcuMzEvMTIvMjAyNQEAAACqtmIIAgAAAAgtMjUuMjQzMgAHIqUGl7XeCObEDiWXtd4IOkNJUS5YVFJBOkRIRVIuSVFfUkVUVVJO</t>
  </si>
  <si>
    <t>X0lOVkVTVEVEX0NBUElUQUwuRlkyMDE4LjMxLzEyLzIwMjUBAAAAqrZiCAIAAAAGLTIuMjg2AAcipQaXtd4I5sQOJZe13gg6Q0lRLlhUUkE6REhFUi5JUV9SRVRVUk5fSU5WRVNURURfQ0FQSVRBTC5GWTIwMTkuMzEvMTIvMjAyNQEAAACqtmIIAgAAAAYxMi44MzMAByKlBpe13gjmxA4ll7XeCDpDSVEuWFRSQTpESEVSLklRX1JFVFVSTl9JTlZFU1RFRF9DQVBJVEFMLkZZMjAyMC4zMS8xMi8yMDI1AQAAAKq2YggCAAAACC00NC44Njg2AAcipQaXtd4I5sQOJZe13gg6Q0lRLlhUUkE6REhFUi5JUV9SRVRVUk5fSU5WRVNURURfQ0FQSVRBTC5GWTIwMjEuMzEvMTIvMjAyNQEAAACqtmIIAgAAAAgtMTUuNzc1MgAHIqUGl7XeCObEDiWXtd4IOkNJUS5YVFJBOkRIRVIuSVFfUkVUVVJOX0lOVkVTVEVEX0NBUElUQUwuRlkyMDIyLjMxLzEyLzIwMjUBAAAAqrZiCAIAAAAILTMwLjk4MjMAByKlBpe13gjmxA4ll7XeCDpDSVEuWFRSQTpESEVSLklRX1JFVFVSTl9JTlZFU1RFRF9DQVBJVEFMLkZZMjAyMy4zMS8xMi8yMDI1AQAAAKq2YggCAAAABy0yNy40MzIAByKlBpe13gjmxA4ll7XeCDpDSVEuWFRSQTpESEVSLklRX1JFVFVSTl9JTlZFU1RFRF9DQVBJVEFMLkZZMjAyNC4zMS8xMi8yMDI1AQAAAKq2YggCAAAACC0xMS4yNjA3AAcipQaXtd4I5sQOJZe13gg6Q0lRLlhUUkE6REhFUi5JUV9SRVRVUk5fSU5WRVNU</t>
  </si>
  <si>
    <t>RURfQ0FQSVRBTC5GWTIwMjUuMzEvMTIvMjAyNQEAAACqtmIIAwAAAAAAByKlBpe13gjmxA4ll7XeCD5DSVEuTkFTREFRR1M6REFTSC5JUV9SRVRVUk5fSU5WRVNURURfQ0FQSVRBTC5GWTIwMTUuMzEvMTIvMjAyNQEAAACnHIcOAwAAAAAAByKlBpe13gjmxA4ll7XeCD5DSVEuTkFTREFRR1M6REFTSC5JUV9SRVRVUk5fSU5WRVNURURfQ0FQSVRBTC5GWTIwMTYuMzEvMTIvMjAyNQEAAACnHIcOAwAAAAAAByKlBpe13gjmxA4ll7XeCD5DSVEuTkFTREFRR1M6REFTSC5JUV9SRVRVUk5fSU5WRVNURURfQ0FQSVRBTC5GWTIwMTcuMzEvMTIvMjAyNQEAAACnHIcOAwAAAAAAByKlBpe13gjmxA4ll7XeCD5DSVEuTkFTREFRR1M6REFTSC5JUV9SRVRVUk5fSU5WRVNURURfQ0FQSVRBTC5GWTIwMTguMzEvMTIvMjAyNQEAAACnHIcOAwAAAAAAByKlBpe13gjmxA4ll7XeCD5DSVEuTkFTREFRR1M6REFTSC5JUV9SRVRVUk5fSU5WRVNURURfQ0FQSVRBTC5GWTIwMTkuMzEvMTIvMjAyNQEAAACnHIcOAgAAAAgtNjkuNjYwNQAHIqUGl7XeCObEDiWXtd4IPkNJUS5OQVNEQVFHUzpEQVNILklRX1JFVFVSTl9JTlZFU1RFRF9DQVBJVEFMLkZZMjAyMC4zMS8xMi8yMDI1AQAAAKcchw4CAAAACC0xMy43OTYxAAcipQaXtd4I5sQOJZe13gg+Q0lRLk5BU0RBUUdTOkRBU0guSVFfUkVUVVJOX0lOVkVTVEVEX0NBUElUQUwuRlky</t>
  </si>
  <si>
    <t>MDIxLjMxLzEyLzIwMjUBAAAApxyHDgIAAAAHLTkuMDE0NwAHIqUGl7XeCObEDiWXtd4IPkNJUS5OQVNEQVFHUzpEQVNILklRX1JFVFVSTl9JTlZFU1RFRF9DQVBJVEFMLkZZMjAyMi4zMS8xMi8yMDI1AQAAAKcchw4CAAAACC0yMi4xMTQyAAcipQaXtd4I5sQOJZe13gg+Q0lRLk5BU0RBUUdTOkRBU0guSVFfUkVUVVJOX0lOVkVTVEVEX0NBUElUQUwuRlkyMDIzLjMxLzEyLzIwMjUBAAAApxyHDgIAAAAHLTcuNjM2NQAHIqUGl7XeCObEDiWXtd4IPkNJUS5OQVNEQVFHUzpEQVNILklRX1JFVFVSTl9JTlZFU1RFRF9DQVBJVEFMLkZZMjAyNC4zMS8xMi8yMDI1AQAAAKcchw4CAAAABjEuNTY4NwAHIqUGl7XeCObEDiWXtd4IPkNJUS5OQVNEQVFHUzpEQVNILklRX1JFVFVSTl9JTlZFU1RFRF9DQVBJVEFMLkZZMjAyNS4zMS8xMi8yMDI1AQAAAKcchw4DAAAAAAAHIqUGl7XeCObEDiWXtd4IPENJUS5ERk06VEFMQUJBVC5JUV9SRVRVUk5fSU5WRVNURURfQ0FQSVRBTC5GWTIwMTUuMzEvMTIvMjAyNQEAAADZvoJuAwAAAAAAByKlBpe13gjmxA4ll7XeCDxDSVEuREZNOlRBTEFCQVQuSVFfUkVUVVJOX0lOVkVTVEVEX0NBUElUQUwuRlkyMDE2LjMxLzEyLzIwMjUBAAAA2b6CbgMAAAAAAAcipQaXtd4Ib3YOJZe13gg8Q0lRLkRGTTpUQUxBQkFULklRX1JFVFVSTl9JTlZFU1RFRF9DQVBJVEFMLkZZMjAxNy4zMS8x</t>
  </si>
  <si>
    <t>Mi8yMDI1AQAAANm+gm4DAAAAAAAHIqUGl7XeCObEDiWXtd4IPENJUS5ERk06VEFMQUJBVC5JUV9SRVRVUk5fSU5WRVNURURfQ0FQSVRBTC5GWTIwMTguMzEvMTIvMjAyNQEAAADZvoJuAwAAAAAAByKlBpe13gjmxA4ll7XeCDxDSVEuREZNOlRBTEFCQVQuSVFfUkVUVVJOX0lOVkVTVEVEX0NBUElUQUwuRlkyMDE5LjMxLzEyLzIwMjUBAAAA2b6CbgMAAAAAAAcipQaXtd4Ib3YOJZe13gg8Q0lRLkRGTTpUQUxBQkFULklRX1JFVFVSTl9JTlZFU1RFRF9DQVBJVEFMLkZZMjAyMC4zMS8xMi8yMDI1AQAAANm+gm4DAAAAAAAHIqUGl7XeCG92DiWXtd4IPENJUS5ERk06VEFMQUJBVC5JUV9SRVRVUk5fSU5WRVNURURfQ0FQSVRBTC5GWTIwMjEuMzEvMTIvMjAyNQEAAADZvoJuAwAAAAAAByKlBpe13ghvdg4ll7XeCDxDSVEuREZNOlRBTEFCQVQuSVFfUkVUVVJOX0lOVkVTVEVEX0NBUElUQUwuRlkyMDIyLjMxLzEyLzIwMjUBAAAA2b6CbgMAAAAAAAcipQaXtd4IDT8MJZe13gg8Q0lRLkRGTTpUQUxBQkFULklRX1JFVFVSTl9JTlZFU1RFRF9DQVBJVEFMLkZZMjAyMy4zMS8xMi8yMDI1AQAAANm+gm4CAAAABTAuOTAyAAcipQaXtd4Ib3YOJZe13gg8Q0lRLkRGTTpUQUxBQkFULklRX1JFVFVSTl9JTlZFU1RFRF9DQVBJVEFMLkZZMjAyNC4zMS8xMi8yMDI1AQAAANm+gm4CAAAABjcxLjgxOAAHIqUGl7XeCG92DiWX</t>
  </si>
  <si>
    <t>td4IPENJUS5ERk06VEFMQUJBVC5JUV9SRVRVUk5fSU5WRVNURURfQ0FQSVRBTC5GWTIwMjUuMzEvMTIvMjAyNQEAAADZvoJuAwAAAAAAByKlBpe13ghvdg4ll7XeCDlDSVEuTkFTREFRR1M6R1JBQi5JUV9EQVlTX0lOVkVOVE9SWV9PVVQuRlkyMDE1LjMxLzEyLzIwMjUBAAAAcZnOIwMAAAAAAAcipQaXtd4IA7kJJZe13gg5Q0lRLk5BU0RBUUdTOkdSQUIuSVFfREFZU19JTlZFTlRPUllfT1VULkZZMjAxNi4zMS8xMi8yMDI1AQAAAHGZziMDAAAAAAAHIqUGl7XeCAO5CSWXtd4IOUNJUS5OQVNEQVFHUzpHUkFCLklRX0RBWVNfSU5WRU5UT1JZX09VVC5GWTIwMTcuMzEvMTIvMjAyNQEAAABxmc4jAwAAAAAAByKlBpe13ggDuQkll7XeCDlDSVEuTkFTREFRR1M6R1JBQi5JUV9EQVlTX0lOVkVOVE9SWV9PVVQuRlkyMDE4LjMxLzEyLzIwMjUBAAAAcZnOIwMAAAAAAAcipQaXtd4IA7kJJZe13gg5Q0lRLk5BU0RBUUdTOkdSQUIuSVFfREFZU19JTlZFTlRPUllfT1VULkZZMjAxOS4zMS8xMi8yMDI1AQAAAHGZziMDAAAAAAAHIqUGl7XeCAO5CSWXtd4IOUNJUS5OQVNEQVFHUzpHUkFCLklRX0RBWVNfSU5WRU5UT1JZX09VVC5GWTIwMjAuMzEvMTIvMjAyNQEAAABxmc4jAgAAAAgxLjUxOTk5OAEIAAAABQAAAAExAQAAAAstMjA0OTgwMjUwMgMAAAADMTYwAgAAAAQ0MDM1BAAAAAEwBwAAAAoxMi8zMS8yMDI1CAAA</t>
  </si>
  <si>
    <t>AAoxMi8zMS8yMDIwCQAAAAEwByKlBpe13ggDuQkll7XeCDlDSVEuTkFTREFRR1M6R1JBQi5JUV9EQVlTX0lOVkVOVE9SWV9PVVQuRlkyMDIxLjMxLzEyLzIwMjUBAAAAcZnOIwIAAAAIMS4xOTM5MTUBCAAAAAUAAAABMQEAAAALLTIwMDQyNTg4ODcDAAAAAzE2MAIAAAAENDAzNQQAAAABMAcAAAAKMTIvMzEvMjAyNQgAAAAKMTIvMzEvMjAyMQkAAAABMAcipQaXtd4IA7kJJZe13gg5Q0lRLk5BU0RBUUdTOkdSQUIuSVFfREFZU19JTlZFTlRPUllfT1VULkZZMjAyMi4zMS8xMi8yMDI1AQAAAHGZziMCAAAACDYuODQxOTI1AQgAAAAFAAAAATEBAAAACy0xOTU1NzcyNzk4AwAAAAMxNjACAAAABDQwMzUEAAAAATAHAAAACjEyLzMxLzIwMjUIAAAACjEyLzMxLzIwMjIJAAAAATAHIqUGl7XeCAO5CSWXtd4IOUNJUS5OQVNEQVFHUzpHUkFCLklRX0RBWVNfSU5WRU5UT1JZX09VVC5GWTIwMjMuMzEvMTIvMjAyNQEAAABxmc4jAgAAAAkxMS40ODc2NDUBCAAAAAUAAAABMQEAAAALLTE5NTU3NzI4MTUDAAAAAzE2MAIAAAAENDAzNQQAAAABMAcAAAAKMTIvMzEvMjAyNQgAAAAKMTIvMzEvMjAyMwkAAAABMAcipQaXtd4IA7kJJZe13gg5Q0lRLk5BU0RBUUdTOkdSQUIuSVFfREFZU19JTlZFTlRPUllfT1VULkZZMjAyNC4zMS8xMi8yMDI1AQAAAHGZziMCAAAACTExLjc3MTI5MgEIAAAABQAAAAExAQAAAAstMTk1NTc3</t>
  </si>
  <si>
    <t>Mjc5OQMAAAADMTYwAgAAAAQ0MDM1BAAAAAEwBwAAAAoxMi8zMS8yMDI1CAAAAAoxMi8zMS8yMDI0CQAAAAEwByKlBpe13ggDuQkll7XeCDlDSVEuTkFTREFRR1M6R1JBQi5JUV9EQVlTX0lOVkVOVE9SWV9PVVQuRlkyMDI1LjMxLzEyLzIwMjUBAAAAcZnOIwMAAAAAAAcipQaXtd4IA7kJJZe13gg1Q0lRLklEWDogR09UTy5JUV9EQVlTX0lOVkVOVE9SWV9PVVQuRlkyMDE1LjMxLzEyLzIwMjUBAAAAb5NqEQMAAAAAAAcipQaXtd4IA7kJJZe13gg1Q0lRLklEWDogR09UTy5JUV9EQVlTX0lOVkVOVE9SWV9PVVQuRlkyMDE2LjMxLzEyLzIwMjUBAAAAb5NqEQMAAAAAAAcipQaXtd4IA7kJJZe13gg1Q0lRLklEWDogR09UTy5JUV9EQVlTX0lOVkVOVE9SWV9PVVQuRlkyMDE3LjMxLzEyLzIwMjUBAAAAb5NqEQMAAAAAAAcipQaXtd4IA7kJJZe13gg1Q0lRLklEWDogR09UTy5JUV9EQVlTX0lOVkVOVE9SWV9PVVQuRlkyMDE4LjMxLzEyLzIwMjUBAAAAb5NqEQMAAAAAAAcipQaXtd4IA7kJJZe13gg1Q0lRLklEWDogR09UTy5JUV9EQVlTX0lOVkVOVE9SWV9PVVQuRlkyMDE5LjMxLzEyLzIwMjUBAAAAb5NqEQIAAAAJMTEuMTExNjk1AQgAAAAFAAAAATEBAAAACy0yMTA3NjgzNjk0AwAAAAI2OQIAAAAENDAzNQQAAAABMAcAAAAKMTIvMzEvMjAyNQgAAAAKMTIvMzEvMjAxOQkAAAABMAcipQaXtd4IA7kJJZe13gg1</t>
  </si>
  <si>
    <t>Q0lRLklEWDogR09UTy5JUV9EQVlTX0lOVkVOVE9SWV9PVVQuRlkyMDIwLjMxLzEyLzIwMjUBAAAAb5NqEQIAAAAIOC41NDY4MzIBCAAAAAUAAAABMQEAAAALLTIwOTI3OTE4NzgDAAAAAjY5AgAAAAQ0MDM1BAAAAAEwBwAAAAoxMi8zMS8yMDI1CAAAAAoxMi8zMS8yMDIwCQAAAAEwByKlBpe13ggDuQkll7XeCDVDSVEuSURYOiBHT1RPLklRX0RBWVNfSU5WRU5UT1JZX09VVC5GWTIwMjEuMzEvMTIvMjAyNQEAAABvk2oRAgAAAAgzLjcwNzMwNQEIAAAABQAAAAExAQAAAAstMjA1NDYzMzE0OQMAAAACNjkCAAAABDQwMzUEAAAAATAHAAAACjEyLzMxLzIwMjUIAAAACjEyLzMxLzIwMjEJAAAAATAHIqUGl7XeCAO5CSWXtd4INUNJUS5JRFg6IEdPVE8uSVFfREFZU19JTlZFTlRPUllfT1VULkZZMjAyMi4zMS8xMi8yMDI1AQAAAG+TahECAAAACDMuNTIxMTU1AQgAAAAFAAAAATEBAAAACy0yMDA1NDMwMjI0AwAAAAI2OQIAAAAENDAzNQQAAAABMAcAAAAKMTIvMzEvMjAyNQgAAAAKMTIvMzEvMjAyMgkAAAABMAcipQaXtd4IA7kJJZe13gg1Q0lRLklEWDogR09UTy5JUV9EQVlTX0lOVkVOVE9SWV9PVVQuRlkyMDIzLjMxLzEyLzIwMjUBAAAAb5NqEQIAAAAINS4xMTE4MjUBCAAAAAUAAAABMQEAAAALLTE5NTYxNjQ1MTEDAAAAAjY5AgAAAAQ0MDM1BAAAAAEwBwAAAAoxMi8zMS8yMDI1CAAAAAoxMi8zMS8yMDIz</t>
  </si>
  <si>
    <t>CQAAAAEwByKlBpe13ggDuQkll7XeCDVDSVEuSURYOiBHT1RPLklRX0RBWVNfSU5WRU5UT1JZX09VVC5GWTIwMjQuMzEvMTIvMjAyNQEAAABvk2oRAgAAAAcyLjQzOTM5AQgAAAAFAAAAATEBAAAACy0xOTU2MTY0NTEwAwAAAAI2OQIAAAAENDAzNQQAAAABMAcAAAAKMTIvMzEvMjAyNQgAAAAKMTIvMzEvMjAyNAkAAAABMAcipQaXtd4IA7kJJZe13gg1Q0lRLklEWDogR09UTy5JUV9EQVlTX0lOVkVOVE9SWV9PVVQuRlkyMDI1LjMxLzEyLzIwMjUBAAAAb5NqEQMAAAAAAAcipQaXtd4IA7kJJZe13gg0Q0lRLk5ZU0U6IFNFLklRX0RBWVNfSU5WRU5UT1JZX09VVC5GWTIwMTUuMzEvMTIvMjAyNQEAAAD7AmcZAgAAAAc1LjQwMjczAQgAAAAFAAAAATEBAAAACjE4ODIyOTYzNTMDAAAAAzE2MAIAAAAENDAzNQQAAAABMAcAAAAKMTIvMzEvMjAyNQgAAAAKMTIvMzEvMjAxNQkAAAABMAcipQaXtd4IDT8MJZe13gg0Q0lRLk5ZU0U6IFNFLklRX0RBWVNfSU5WRU5UT1JZX09VVC5GWTIwMTYuMzEvMTIvMjAyNQEAAAD7AmcZAgAAAAg2LjMxOTcyMgEIAAAABQAAAAExAQAAAAoxOTQ4MTYwMTE2AwAAAAMxNjACAAAABDQwMzUEAAAAATAHAAAACjEyLzMxLzIwMjUIAAAACjEyLzMxLzIwMTYJAAAAATAHIqUGl7XeCA0/DCWXtd4INENJUS5OWVNFOiBTRS5JUV9EQVlTX0lOVkVOVE9SWV9PVVQuRlkyMDE3LjMxLzEyLzIw</t>
  </si>
  <si>
    <t>MjUBAAAA+wJnGQIAAAAHNy42NjkzOAEIAAAABQAAAAExAQAAAAoyMDI4MDA1ODUzAwAAAAMxNjACAAAABDQwMzUEAAAAATAHAAAACjEyLzMxLzIwMjUIAAAACjEyLzMxLzIwMTcJAAAAATAHIqUGl7XeCA0/DCWXtd4INENJUS5OWVNFOiBTRS5JUV9EQVlTX0lOVkVOVE9SWV9PVVQuRlkyMDE4LjMxLzEyLzIwMjUBAAAA+wJnGQIAAAAIMTAuNjY4MjIBCAAAAAUAAAABMQEAAAAKMjA4OTYyNjg0MQMAAAADMTYwAgAAAAQ0MDM1BAAAAAEwBwAAAAoxMi8zMS8yMDI1CAAAAAoxMi8zMS8yMDE4CQAAAAEwByKlBpe13ggNPwwll7XeCDRDSVEuTllTRTogU0UuSVFfREFZU19JTlZFTlRPUllfT1VULkZZMjAxOS4zMS8xMi8yMDI1AQAAAPsCZxkCAAAACDcuNTA5MTQ1AQgAAAAFAAAAATEBAAAACy0yMTAxOTU5MTY0AwAAAAMxNjACAAAABDQwMzUEAAAAATAHAAAACjEyLzMxLzIwMjUIAAAACjEyLzMxLzIwMTkJAAAAATAHIqUGl7XeCA0/DCWXtd4INENJUS5OWVNFOiBTRS5JUV9EQVlTX0lOVkVOVE9SWV9PVVQuRlkyMDIwLjMxLzEyLzIwMjUBAAAA+wJnGQIAAAAINS41MTA4NjIBCAAAAAUAAAABMQEAAAALLTIwNTM2MzA4NDcDAAAAAzE2MAIAAAAENDAzNQQAAAABMAcAAAAKMTIvMzEvMjAyNQgAAAAKMTIvMzEvMjAyMAkAAAABMAcipQaXtd4IDT8MJZe13gg0Q0lRLk5ZU0U6IFNFLklRX0RBWVNfSU5WRU5UT1JZ</t>
  </si>
  <si>
    <t>X09VVC5GWTIwMjEuMzEvMTIvMjAyNQEAAAD7AmcZAgAAAAc1LjQ3MjgxAQgAAAAFAAAAATEBAAAACy0xOTk4ODU2Njk4AwAAAAMxNjACAAAABDQwMzUEAAAAATAHAAAACjEyLzMxLzIwMjUIAAAACjEyLzMxLzIwMjEJAAAAATAHIqUGl7XeCA0/DCWXtd4INENJUS5OWVNFOiBTRS5JUV9EQVlTX0lOVkVOVE9SWV9PVVQuRlkyMDIyLjMxLzEyLzIwMjUBAAAA+wJnGQIAAAAINS43MDY3NzUBCAAAAAUAAAABMQEAAAALLTE5NTA3NTM3ODADAAAAAzE2MAIAAAAENDAzNQQAAAABMAcAAAAKMTIvMzEvMjAyNQgAAAAKMTIvMzEvMjAyMgkAAAABMAcipQaXtd4IDT8MJZe13gg0Q0lRLk5ZU0U6IFNFLklRX0RBWVNfSU5WRU5UT1JZX09VVC5GWTIwMjMuMzEvMTIvMjAyNQEAAAD7AmcZAgAAAAc1LjkzMzQ0AQgAAAAFAAAAATEBAAAACy0xOTUwNzUzNzc5AwAAAAMxNjACAAAABDQwMzUEAAAAATAHAAAACjEyLzMxLzIwMjUIAAAACjEyLzMxLzIwMjMJAAAAATAHIqUGl7XeCA0/DCWXtd4INENJUS5OWVNFOiBTRS5JUV9EQVlTX0lOVkVOVE9SWV9PVVQuRlkyMDI0LjMxLzEyLzIwMjUBAAAA+wJnGQIAAAAHNS4xMTMwMgEIAAAABQAAAAExAQAAAAstMTk1MDc1Mzc3NgMAAAADMTYwAgAAAAQ0MDM1BAAAAAEwBwAAAAoxMi8zMS8yMDI1CAAAAAoxMi8zMS8yMDI0CQAAAAEwByKlBpe13ggNPwwll7XeCDRDSVEuTllTRTog</t>
  </si>
  <si>
    <t>U0UuSVFfREFZU19JTlZFTlRPUllfT1VULkZZMjAyNS4zMS8xMi8yMDI1AQAAAPsCZxkDAAAAAAAHIqUGl7XeCA0/DCWXtd4INUNJUS5OWVNFOlVCRVIuSVFfREFZU19JTlZFTlRPUllfT1VULkZZMjAxNS4zMS8xMi8yMDI1AQAAADBGnQgDAAAAAAAHIqUGl7XeCA0/DCWXtd4INUNJUS5OWVNFOlVCRVIuSVFfREFZU19JTlZFTlRPUllfT1VULkZZMjAxNi4zMS8xMi8yMDI1AQAAADBGnQgDAAAAAAAHIqUGl7XeCA0/DCWXtd4INUNJUS5OWVNFOlVCRVIuSVFfREFZU19JTlZFTlRPUllfT1VULkZZMjAxNy4zMS8xMi8yMDI1AQAAADBGnQgDAAAAAAAHIqUGl7XeCA0/DCWXtd4INUNJUS5OWVNFOlVCRVIuSVFfREFZU19JTlZFTlRPUllfT1VULkZZMjAxOC4zMS8xMi8yMDI1AQAAADBGnQgDAAAAAAAHIqUGl7XeCA0/DCWXtd4INUNJUS5OWVNFOlVCRVIuSVFfREFZU19JTlZFTlRPUllfT1VULkZZMjAxOS4zMS8xMi8yMDI1AQAAADBGnQgDAAAAAAAHIqUGl7XeCA0/DCWXtd4INUNJUS5OWVNFOlVCRVIuSVFfREFZU19JTlZFTlRPUllfT1VULkZZMjAyMC4zMS8xMi8yMDI1AQAAADBGnQgDAAAAAAAHIqUGl7XeCA0/DCWXtd4INUNJUS5OWVNFOlVCRVIuSVFfREFZU19JTlZFTlRPUllfT1VULkZZMjAyMS4zMS8xMi8yMDI1AQAAADBGnQgDAAAAAAAHIqUGl7XeCA0/DCWXtd4INUNJUS5OWVNFOlVCRVIuSVFfREFZ</t>
  </si>
  <si>
    <t>U19JTlZFTlRPUllfT1VULkZZMjAyMi4zMS8xMi8yMDI1AQAAADBGnQgDAAAAAAAHIqUGl7XeCA0/DCWXtd4INUNJUS5OWVNFOlVCRVIuSVFfREFZU19JTlZFTlRPUllfT1VULkZZMjAyMy4zMS8xMi8yMDI1AQAAADBGnQgDAAAAAAAHIqUGl7XeCA0/DCWXtd4INUNJUS5OWVNFOlVCRVIuSVFfREFZU19JTlZFTlRPUllfT1VULkZZMjAyNC4zMS8xMi8yMDI1AQAAADBGnQgDAAAAAAAHIqUGl7XeCA0/DCWXtd4INUNJUS5OWVNFOlVCRVIuSVFfREFZU19JTlZFTlRPUllfT1VULkZZMjAyNS4zMS8xMi8yMDI1AQAAADBGnQgDAAAAAAAHIqUGl7XeCA0/DCWXtd4IOUNJUS5OQVNEQVFHUzpMWUZULklRX0RBWVNfSU5WRU5UT1JZX09VVC5GWTIwMTUuMzEvMTIvMjAyNQEAAABVMYQDAwAAAAAAByKlBpe13ggNPwwll7XeCDlDSVEuTkFTREFRR1M6TFlGVC5JUV9EQVlTX0lOVkVOVE9SWV9PVVQuRlkyMDE2LjMxLzEyLzIwMjUBAAAAVTGEAwMAAAAAAAcipQaXtd4IDT8MJZe13gg5Q0lRLk5BU0RBUUdTOkxZRlQuSVFfREFZU19JTlZFTlRPUllfT1VULkZZMjAxNy4zMS8xMi8yMDI1AQAAAFUxhAMDAAAAAAAHIqUGl7XeCA0/DCWXtd4IOUNJUS5OQVNEQVFHUzpMWUZULklRX0RBWVNfSU5WRU5UT1JZX09VVC5GWTIwMTguMzEvMTIvMjAyNQEAAABVMYQDAwAAAAAAByKlBpe13ggNPwwll7XeCDlDSVEuTkFTREFRR1M6</t>
  </si>
  <si>
    <t>TFlGVC5JUV9EQVlTX0lOVkVOVE9SWV9PVVQuRlkyMDE5LjMxLzEyLzIwMjUBAAAAVTGEAwMAAAAAAAcipQaXtd4IDT8MJZe13gg5Q0lRLk5BU0RBUUdTOkxZRlQuSVFfREFZU19JTlZFTlRPUllfT1VULkZZMjAyMC4zMS8xMi8yMDI1AQAAAFUxhAMDAAAAAAAHIqUGl7XeCA0/DCWXtd4IOUNJUS5OQVNEQVFHUzpMWUZULklRX0RBWVNfSU5WRU5UT1JZX09VVC5GWTIwMjEuMzEvMTIvMjAyNQEAAABVMYQDAwAAAAAAByKlBpe13ggNPwwll7XeCDlDSVEuTkFTREFRR1M6TFlGVC5JUV9EQVlTX0lOVkVOVE9SWV9PVVQuRlkyMDIyLjMxLzEyLzIwMjUBAAAAVTGEAwMAAAAAAAcipQaXtd4IDT8MJZe13gg5Q0lRLk5BU0RBUUdTOkxZRlQuSVFfREFZU19JTlZFTlRPUllfT1VULkZZMjAyMy4zMS8xMi8yMDI1AQAAAFUxhAMDAAAAAAAHIqUGl7XeCA0/DCWXtd4IOUNJUS5OQVNEQVFHUzpMWUZULklRX0RBWVNfSU5WRU5UT1JZX09VVC5GWTIwMjQuMzEvMTIvMjAyNQEAAABVMYQDAwAAAAAAByKlBpe13gj3Awwll7XeCDlDSVEuTkFTREFRR1M6TFlGVC5JUV9EQVlTX0lOVkVOVE9SWV9PVVQuRlkyMDI1LjMxLzEyLzIwMjUBAAAAVTGEAwMAAAAAAAcipQaXtd4IDT8MJZe13gg4Q0lRLk9UQ1BLOkRJREkuWS5JUV9EQVlTX0lOVkVOVE9SWV9PVVQuRlkyMDE1LjMxLzEyLzIwMjUBAAAAyWasYwMAAAAAAAcipQaXtd4I</t>
  </si>
  <si>
    <t>9wMMJZe13gg4Q0lRLk9UQ1BLOkRJREkuWS5JUV9EQVlTX0lOVkVOVE9SWV9PVVQuRlkyMDE2LjMxLzEyLzIwMjUBAAAAyWasYwMAAAAAAAcipQaXtd4I9wMMJZe13gg4Q0lRLk9UQ1BLOkRJREkuWS5JUV9EQVlTX0lOVkVOVE9SWV9PVVQuRlkyMDE3LjMxLzEyLzIwMjUBAAAAyWasYwMAAAAAAAcipQaXtd4I9wMMJZe13gg4Q0lRLk9UQ1BLOkRJREkuWS5JUV9EQVlTX0lOVkVOVE9SWV9PVVQuRlkyMDE4LjMxLzEyLzIwMjUBAAAAyWasYwMAAAAAAAcipQaXtd4IDT8MJZe13gg4Q0lRLk9UQ1BLOkRJREkuWS5JUV9EQVlTX0lOVkVOVE9SWV9PVVQuRlkyMDE5LjMxLzEyLzIwMjUBAAAAyWasYwIAAAAHMC40NTA0MQEIAAAABQAAAAExAQAAAAstMjA5OTE3NzQ4NQMAAAACMzICAAAABDQwMzUEAAAAATAHAAAACjEyLzMxLzIwMjUIAAAACjEyLzMxLzIwMTkJAAAAATAHIqUGl7XeCAO5CSWXtd4IOENJUS5PVENQSzpESURJLlkuSVFfREFZU19JTlZFTlRPUllfT1VULkZZMjAyMC4zMS8xMi8yMDI1AQAAAMlmrGMCAAAACDAuNjQ4NTUyAQgAAAAFAAAAATEBAAAACy0yMDQ4MjQ2MjMyAwAAAAIzMgIAAAAENDAzNQQAAAABMAcAAAAKMTIvMzEvMjAyNQgAAAAKMTIvMzEvMjAyMAkAAAABMAcipQaXtd4IA7kJJZe13gg4Q0lRLk9UQ1BLOkRJREkuWS5JUV9EQVlTX0lOVkVOVE9SWV9PVVQuRlkyMDIxLjMxLzEyLzIw</t>
  </si>
  <si>
    <t>MjUBAAAAyWasYwIAAAAIMC41MDk5MDUBCAAAAAUAAAABMQEAAAALLTIwMDE3NDIxMzkDAAAAAjMyAgAAAAQ0MDM1BAAAAAEwBwAAAAoxMi8zMS8yMDI1CAAAAAoxMi8zMS8yMDIxCQAAAAEwByKlBpe13gj3Awwll7XeCDhDSVEuT1RDUEs6RElESS5ZLklRX0RBWVNfSU5WRU5UT1JZX09VVC5GWTIwMjIuMzEvMTIvMjAyNQEAAADJZqxjAwAAAAAAByKlBpe13ggDuQkll7XeCDhDSVEuT1RDUEs6RElESS5ZLklRX0RBWVNfSU5WRU5UT1JZX09VVC5GWTIwMjMuMzEvMTIvMjAyNQEAAADJZqxjAwAAAAAAByKlBpe13ggDuQkll7XeCDhDSVEuT1RDUEs6RElESS5ZLklRX0RBWVNfSU5WRU5UT1JZX09VVC5GWTIwMjQuMzEvMTIvMjAyNQEAAADJZqxjAwAAAAAAByKlBpe13gj3Awwll7XeCDhDSVEuT1RDUEs6RElESS5ZLklRX0RBWVNfSU5WRU5UT1JZX09VVC5GWTIwMjUuMzEvMTIvMjAyNQEAAADJZqxjAwAAAAAAByKlBpe13ggDuQkll7XeCDVDSVEuU0VISzozNjkwLklRX0RBWVNfSU5WRU5UT1JZX09VVC5GWTIwMTUuMzEvMTIvMjAyNQEAAAAtdc0GAwAAAAAAByKlBpe13ggDuQkll7XeCDVDSVEuU0VISzozNjkwLklRX0RBWVNfSU5WRU5UT1JZX09VVC5GWTIwMTYuMzEvMTIvMjAyNQEAAAAtdc0GAgAAAAgxLjE1Mzk5OAEIAAAABQAAAAExAQAAAAoxOTA3MTQwODQwAwAAAAIzMgIAAAAENDAzNQQAAAABMAcA</t>
  </si>
  <si>
    <t>AAAKMTIvMzEvMjAyNQgAAAAKMTIvMzEvMjAxNgkAAAABMAcipQaXtd4IA7kJJZe13gg1Q0lRLlNFSEs6MzY5MC5JUV9EQVlTX0lOVkVOVE9SWV9PVVQuRlkyMDE3LjMxLzEyLzIwMjUBAAAALXXNBgIAAAAHMS4wNTA0NwEIAAAABQAAAAExAQAAAAoxOTUzODM1MTg0AwAAAAIzMgIAAAAENDAzNQQAAAABMAcAAAAKMTIvMzEvMjAyNQgAAAAKMTIvMzEvMjAxNwkAAAABMAcipQaXtd4IA7kJJZe13gg1Q0lRLlNFSEs6MzY5MC5JUV9EQVlTX0lOVkVOVE9SWV9PVVQuRlkyMDE4LjMxLzEyLzIwMjUBAAAALXXNBgIAAAAHMS43NzkwMQEIAAAABQAAAAExAQAAAAoyMDI4NzQ0OTU0AwAAAAIzMgIAAAAENDAzNQQAAAABMAcAAAAKMTIvMzEvMjAyNQgAAAAKMTIvMzEvMjAxOAkAAAABMAcipQaXtd4IA7kJJZe13gg1Q0lRLlNFSEs6MzY5MC5JUV9EQVlTX0lOVkVOVE9SWV9PVVQuRlkyMDE5LjMxLzEyLzIwMjUBAAAALXXNBgIAAAAIMS44OTAzMzUBCAAAAAUAAAABMQEAAAAKMjA5MDA2OTU4OAMAAAACMzICAAAABDQwMzUEAAAAATAHAAAACjEyLzMxLzIwMjUIAAAACjEyLzMxLzIwMTkJAAAAATAHIqUGl7XeCAO5CSWXtd4INUNJUS5TRUhLOjM2OTAuSVFfREFZU19JTlZFTlRPUllfT1VULkZZMjAyMC4zMS8xMi8yMDI1AQAAAC11zQYCAAAACDMuMDQ1NDg2AQgAAAAFAAAAATEBAAAACy0yMTAyODc1NjA3AwAAAAIz</t>
  </si>
  <si>
    <t>MgIAAAAENDAzNQQAAAABMAcAAAAKMTIvMzEvMjAyNQgAAAAKMTIvMzEvMjAyMAkAAAABMAcipQaXtd4IA7kJJZe13gg1Q0lRLlNFSEs6MzY5MC5JUV9EQVlTX0lOVkVOVE9SWV9PVVQuRlkyMDIxLjMxLzEyLzIwMjUBAAAALXXNBgIAAAAHMi45NjQ1MwEIAAAABQAAAAExAQAAAAstMjA1MDQ5MTg3NwMAAAACMzICAAAABDQwMzUEAAAAATAHAAAACjEyLzMxLzIwMjUIAAAACjEyLzMxLzIwMjEJAAAAATAHIqUGl7XeCAO5CSWXtd4INUNJUS5TRUhLOjM2OTAuSVFfREFZU19JTlZFTlRPUllfT1VULkZZMjAyMi4zMS8xMi8yMDI1AQAAAC11zQYCAAAACDMuNDA3Mjc1AQgAAAAFAAAAATEBAAAACy0xOTk3OTIyMjk0AwAAAAIzMgIAAAAENDAzNQQAAAABMAcAAAAKMTIvMzEvMjAyNQgAAAAKMTIvMzEvMjAyMgkAAAABMAcipQaXtd4IA7kJJZe13gg1Q0lRLlNFSEs6MzY5MC5JUV9EQVlTX0lOVkVOVE9SWV9PVVQuRlkyMDIzLjMxLzEyLzIwMjUBAAAALXXNBgIAAAAIMy44NTQ3NjUBCAAAAAUAAAABMQEAAAALLTE5NDcxNzEzNjkDAAAAAjMyAgAAAAQ0MDM1BAAAAAEwBwAAAAoxMi8zMS8yMDI1CAAAAAoxMi8zMS8yMDIzCQAAAAEwByKlBpe13ggDuQkll7XeCDVDSVEuU0VISzozNjkwLklRX0RBWVNfSU5WRU5UT1JZX09VVC5GWTIwMjQuMzEvMTIvMjAyNQEAAAAtdc0GAgAAAAg0LjI5MzU0NgEIAAAABQAAAAEx</t>
  </si>
  <si>
    <t>AQAAAAstMTk0NzE3MTQyMAMAAAACMzICAAAABDQwMzUEAAAAATAHAAAACjEyLzMxLzIwMjUIAAAACjEyLzMxLzIwMjQJAAAAATAHIqUGl7XeCAO5CSWXtd4INUNJUS5TRUhLOjM2OTAuSVFfREFZU19JTlZFTlRPUllfT1VULkZZMjAyNS4zMS8xMi8yMDI1AQAAAC11zQYDAAAAAAAHIqUGl7XeCAO5CSWXtd4INUNJUS5YVFJBOkRIRVIuSVFfREFZU19JTlZFTlRPUllfT1VULkZZMjAxNS4zMS8xMi8yMDI1AQAAAKq2YggCAAAACDguNjU1OTc1AQgAAAAFAAAAATEBAAAACjE4NDc2MTg0NDUDAAAAAjUwAgAAAAQ0MDM1BAAAAAEwBwAAAAoxMi8zMS8yMDI1CAAAAAoxMi8zMS8yMDE1CQAAAAEwByKlBpe13ggNPwwll7XeCDVDSVEuWFRSQTpESEVSLklRX0RBWVNfSU5WRU5UT1JZX09VVC5GWTIwMTYuMzEvMTIvMjAyNQEAAACqtmIIAgAAAAgyLjc0MjQzOAEIAAAABQAAAAExAQAAAAoxODg1MDk4Mzc2AwAAAAI1MAIAAAAENDAzNQQAAAABMAcAAAAKMTIvMzEvMjAyNQgAAAAKMTIvMzEvMjAxNgkAAAABMAcipQaXtd4IDT8MJZe13gg1Q0lRLlhUUkE6REhFUi5JUV9EQVlTX0lOVkVOVE9SWV9PVVQuRlkyMDE3LjMxLzEyLzIwMjUBAAAAqrZiCAIAAAAHMy4wNDg0OAEIAAAABQAAAAExAQAAAAoxOTU3NDg3ODI3AwAAAAI1MAIAAAAENDAzNQQAAAABMAcAAAAKMTIvMzEvMjAyNQgAAAAKMTIvMzEvMjAxNwkAAAAB</t>
  </si>
  <si>
    <t>MAcipQaXtd4IDT8MJZe13gg1Q0lRLlhUUkE6REhFUi5JUV9EQVlTX0lOVkVOVE9SWV9PVVQuRlkyMDE4LjMxLzEyLzIwMjUBAAAAqrZiCAIAAAAIMy4xNTYxNTUBCAAAAAUAAAABMQEAAAAKMjAzMjQzNTkxMgMAAAACNTACAAAABDQwMzUEAAAAATAHAAAACjEyLzMxLzIwMjUIAAAACjEyLzMxLzIwMTgJAAAAATAHIqUGl7XeCA0/DCWXtd4INUNJUS5YVFJBOkRIRVIuSVFfREFZU19JTlZFTlRPUllfT1VULkZZMjAxOS4zMS8xMi8yMDI1AQAAAKq2YggCAAAABzIuMjY1MTkBCAAAAAUAAAABMQEAAAAKMjA5MzIwODEzNQMAAAACNTACAAAABDQwMzUEAAAAATAHAAAACjEyLzMxLzIwMjUIAAAACjEyLzMxLzIwMTkJAAAAATAHIqUGl7XeCA0/DCWXtd4INUNJUS5YVFJBOkRIRVIuSVFfREFZU19JTlZFTlRPUllfT1VULkZZMjAyMC4zMS8xMi8yMDI1AQAAAKq2YggCAAAACDQuMTE3MTM0AQgAAAAFAAAAATEBAAAACy0yMTAwMTMzMDg0AwAAAAI1MAIAAAAENDAzNQQAAAABMAcAAAAKMTIvMzEvMjAyNQgAAAAKMTIvMzEvMjAyMAkAAAABMAcipQaXtd4IDT8MJZe13gg1Q0lRLlhUUkE6REhFUi5JUV9EQVlTX0lOVkVOVE9SWV9PVVQuRlkyMDIxLjMxLzEyLzIwMjUBAAAAqrZiCAIAAAAINC41ODg0MTUBCAAAAAUAAAABMQEAAAALLTIwNDc2NDcwOTIDAAAAAjUwAgAAAAQ0MDM1BAAAAAEwBwAAAAoxMi8zMS8yMDI1</t>
  </si>
  <si>
    <t>CAAAAAoxMi8zMS8yMDIxCQAAAAEwByKlBpe13ggNPwwll7XeCDVDSVEuWFRSQTpESEVSLklRX0RBWVNfSU5WRU5UT1JZX09VVC5GWTIwMjIuMzEvMTIvMjAyNQEAAACqtmIIAgAAAAc2LjM1MDI3AQgAAAAFAAAAATEBAAAACy0xOTk5NjQzOTMyAwAAAAI1MAIAAAAENDAzNQQAAAABMAcAAAAKMTIvMzEvMjAyNQgAAAAKMTIvMzEvMjAyMgkAAAABMAcipQaXtd4IDT8MJZe13gg1Q0lRLlhUUkE6REhFUi5JUV9EQVlTX0lOVkVOVE9SWV9PVVQuRlkyMDIzLjMxLzEyLzIwMjUBAAAAqrZiCAIAAAAHNy40NTc2OAEIAAAABQAAAAExAQAAAAstMTk0OTI4NzAyOQMAAAACNTACAAAABDQwMzUEAAAAATAHAAAACjEyLzMxLzIwMjUIAAAACjEyLzMxLzIwMjMJAAAAATAHIqUGl7XeCA0/DCWXtd4INUNJUS5YVFJBOkRIRVIuSVFfREFZU19JTlZFTlRPUllfT1VULkZZMjAyNC4zMS8xMi8yMDI1AQAAAKq2YggCAAAABzYuNDkyODQBCAAAAAUAAAABMQEAAAALLTE5NDkyODcwMzcDAAAAAjUwAgAAAAQ0MDM1BAAAAAEwBwAAAAoxMi8zMS8yMDI1CAAAAAoxMi8zMS8yMDI0CQAAAAEwByKlBpe13ggNPwwll7XeCDVDSVEuWFRSQTpESEVSLklRX0RBWVNfSU5WRU5UT1JZX09VVC5GWTIwMjUuMzEvMTIvMjAyNQEAAACqtmIIAwAAAAAAByKlBpe13ggNPwwll7XeCDlDSVEuTkFTREFRR1M6REFTSC5JUV9EQVlTX0lOVkVOVE9S</t>
  </si>
  <si>
    <t>WV9PVVQuRlkyMDE1LjMxLzEyLzIwMjUBAAAApxyHDgMAAAAAAAcipQaXtd4IA7kJJZe13gg5Q0lRLk5BU0RBUUdTOkRBU0guSVFfREFZU19JTlZFTlRPUllfT1VULkZZMjAxNi4zMS8xMi8yMDI1AQAAAKcchw4DAAAAAAAHIqUGl7XeCAO5CSWXtd4IOUNJUS5OQVNEQVFHUzpEQVNILklRX0RBWVNfSU5WRU5UT1JZX09VVC5GWTIwMTcuMzEvMTIvMjAyNQEAAACnHIcOAwAAAAAAByKlBpe13ggDuQkll7XeCDlDSVEuTkFTREFRR1M6REFTSC5JUV9EQVlTX0lOVkVOVE9SWV9PVVQuRlkyMDE4LjMxLzEyLzIwMjUBAAAApxyHDgMAAAAAAAcipQaXtd4IA7kJJZe13gg5Q0lRLk5BU0RBUUdTOkRBU0guSVFfREFZU19JTlZFTlRPUllfT1VULkZZMjAxOS4zMS8xMi8yMDI1AQAAAKcchw4DAAAAAAAHIqUGl7XeCAO5CSWXtd4IOUNJUS5OQVNEQVFHUzpEQVNILklRX0RBWVNfSU5WRU5UT1JZX09VVC5GWTIwMjAuMzEvMTIvMjAyNQEAAACnHIcOAwAAAAAAByKlBpe13ggDuQkll7XeCDlDSVEuTkFTREFRR1M6REFTSC5JUV9EQVlTX0lOVkVOVE9SWV9PVVQuRlkyMDIxLjMxLzEyLzIwMjUBAAAApxyHDgMAAAAAAAcipQaXtd4IA7kJJZe13gg5Q0lRLk5BU0RBUUdTOkRBU0guSVFfREFZU19JTlZFTlRPUllfT1VULkZZMjAyMi4zMS8xMi8yMDI1AQAAAKcchw4DAAAAAAAHIqUGl7XeCAO5CSWXtd4IOUNJUS5OQVNEQVFH</t>
  </si>
  <si>
    <t>UzpEQVNILklRX0RBWVNfSU5WRU5UT1JZX09VVC5GWTIwMjMuMzEvMTIvMjAyNQEAAACnHIcOAwAAAAAAByKlBpe13ggDuQkll7XeCDlDSVEuTkFTREFRR1M6REFTSC5JUV9EQVlTX0lOVkVOVE9SWV9PVVQuRlkyMDI0LjMxLzEyLzIwMjUBAAAApxyHDgMAAAAAAAcipQaXtd4IA7kJJZe13gg5Q0lRLk5BU0RBUUdTOkRBU0guSVFfREFZU19JTlZFTlRPUllfT1VULkZZMjAyNS4zMS8xMi8yMDI1AQAAAKcchw4DAAAAAAAHIqUGl7XeCAO5CSWXtd4IN0NJUS5ERk06VEFMQUJBVC5JUV9EQVlTX0lOVkVOVE9SWV9PVVQuRlkyMDE1LjMxLzEyLzIwMjUBAAAA2b6CbgMAAAAAAAcipQaXtd4IA7kJJZe13gg3Q0lRLkRGTTpUQUxBQkFULklRX0RBWVNfSU5WRU5UT1JZX09VVC5GWTIwMTYuMzEvMTIvMjAyNQEAAADZvoJuAwAAAAAAByKlBpe13ggDuQkll7XeCDdDSVEuREZNOlRBTEFCQVQuSVFfREFZU19JTlZFTlRPUllfT1VULkZZMjAxNy4zMS8xMi8yMDI1AQAAANm+gm4DAAAAAAAHIqUGl7XeCAO5CSWXtd4IN0NJUS5ERk06VEFMQUJBVC5JUV9EQVlTX0lOVkVOVE9SWV9PVVQuRlkyMDE4LjMxLzEyLzIwMjUBAAAA2b6CbgMAAAAAAAcipQaXtd4IA7kJJZe13gg3Q0lRLkRGTTpUQUxBQkFULklRX0RBWVNfSU5WRU5UT1JZX09VVC5GWTIwMTkuMzEvMTIvMjAyNQEAAADZvoJuAwAAAAAAByKlBpe13ggDuQkll7Xe</t>
  </si>
  <si>
    <t>CDdDSVEuREZNOlRBTEFCQVQuSVFfREFZU19JTlZFTlRPUllfT1VULkZZMjAyMC4zMS8xMi8yMDI1AQAAANm+gm4DAAAAAAAHIqUGl7XeCAO5CSWXtd4IN0NJUS5ERk06VEFMQUJBVC5JUV9EQVlTX0lOVkVOVE9SWV9PVVQuRlkyMDIxLjMxLzEyLzIwMjUBAAAA2b6CbgMAAAAAAAcipQaXtd4IA7kJJZe13gg3Q0lRLkRGTTpUQUxBQkFULklRX0RBWVNfSU5WRU5UT1JZX09VVC5GWTIwMjIuMzEvMTIvMjAyNQEAAADZvoJuAwAAAAAAByKlBpe13ggDuQkll7XeCDdDSVEuREZNOlRBTEFCQVQuSVFfREFZU19JTlZFTlRPUllfT1VULkZZMjAyMy4zMS8xMi8yMDI1AQAAANm+gm4CAAAABzQuOTU0NTEBCAAAAAUAAAABMQEAAAALLTE5NjI0MDUzODkDAAAAATECAAAABDQwMzUEAAAAATAHAAAACjEyLzMxLzIwMjUIAAAACjEyLzMxLzIwMjMJAAAAATAHIqUGl7XeCAO5CSWXtd4IN0NJUS5ERk06VEFMQUJBVC5JUV9EQVlTX0lOVkVOVE9SWV9PVVQuRlkyMDI0LjMxLzEyLzIwMjUBAAAA2b6CbgIAAAAINi4yNzcyNjYBCAAAAAUAAAABMQEAAAALLTE5NTQyOTc1NDcDAAAAAzE2MAIAAAAENDAzNQQAAAABMAcAAAAKMTIvMzEvMjAyNQgAAAAKMTIvMzEvMjAyNAkAAAABMAcipQaXtd4IA7kJJZe13gg3Q0lRLkRGTTpUQUxBQkFULklRX0RBWVNfSU5WRU5UT1JZX09VVC5GWTIwMjUuMzEvMTIvMjAyNQEAAADZvoJuAwAA</t>
  </si>
  <si>
    <t>AAAAByKlBpe13ggDuQkll7XeCDVDSVEuTkFTREFRR1M6R1JBQi5JUV9EQVlTX1NBTEVTX09VVC5GWTIwMTUuMzEvMTIvMjAyNQEAAABxmc4jAwAAAAAAByKlBpe13ggOMwcll7XeCDVDSVEuTkFTREFRR1M6R1JBQi5JUV9EQVlTX1NBTEVTX09VVC5GWTIwMTYuMzEvMTIvMjAyNQEAAABxmc4jAwAAAAAAByKlBpe13ggOMwcll7XeCDVDSVEuTkFTREFRR1M6R1JBQi5JUV9EQVlTX1NBTEVTX09VVC5GWTIwMTcuMzEvMTIvMjAyNQEAAABxmc4jAwAAAAAAByKlBpe13ggOMwcll7XeCDVDSVEuTkFTREFRR1M6R1JBQi5JUV9EQVlTX1NBTEVTX09VVC5GWTIwMTguMzEvMTIvMjAyNQEAAABxmc4jAwAAAAAAByKlBpe13ggOMwcll7XeCDVDSVEuTkFTREFRR1M6R1JBQi5JUV9EQVlTX1NBTEVTX09VVC5GWTIwMTkuMzEvMTIvMjAyNQEAAABxmc4jAwAAAAAAByKlBpe13ggOMwcll7XeCDVDSVEuTkFTREFRR1M6R1JBQi5JUV9EQVlTX1NBTEVTX09VVC5GWTIwMjAuMzEvMTIvMjAyNQEAAABxmc4jAgAAAAk1OS42OTkzNTgBCAAAAAUAAAABMQEAAAALLTIwNDk4MDI1MDIDAAAAAzE2MAIAAAAENDA0MgQAAAABMAcAAAAKMTIvMzEvMjAyNQgAAAAKMTIvMzEvMjAyMAkAAAABMAcipQaXtd4IDjMHJZe13gg1Q0lRLk5BU0RBUUdTOkdSQUIuSVFfREFZU19TQUxFU19PVVQuRlkyMDIxLjMxLzEyLzIwMjUBAAAAcZnOIwIA</t>
  </si>
  <si>
    <t>AAAINDguMzk2MDgBCAAAAAUAAAABMQEAAAALLTIwMDQyNTg4ODcDAAAAAzE2MAIAAAAENDA0MgQAAAABMAcAAAAKMTIvMzEvMjAyNQgAAAAKMTIvMzEvMjAyMQkAAAABMAcipQaXtd4IDjMHJZe13gg1Q0lRLk5BU0RBUUdTOkdSQUIuSVFfREFZU19TQUxFU19PVVQuRlkyMDIyLjMxLzEyLzIwMjUBAAAAcZnOIwIAAAAJMjQuODM0MjM1AQgAAAAFAAAAATEBAAAACy0xOTU1NzcyNzk4AwAAAAMxNjACAAAABDQwNDIEAAAAATAHAAAACjEyLzMxLzIwMjUIAAAACjEyLzMxLzIwMjIJAAAAATAHIqUGl7XeCA4zByWXtd4INUNJUS5OQVNEQVFHUzpHUkFCLklRX0RBWVNfU0FMRVNfT1VULkZZMjAyMy4zMS8xMi8yMDI1AQAAAHGZziMCAAAACTE2Ljk0MjIwNQEIAAAABQAAAAExAQAAAAstMTk1NTc3MjgxNQMAAAADMTYwAgAAAAQ0MDQyBAAAAAEwBwAAAAoxMi8zMS8yMDI1CAAAAAoxMi8zMS8yMDIzCQAAAAEwByKlBpe13ggOMwcll7XeCDVDSVEuTkFTREFRR1M6R1JBQi5JUV9EQVlTX1NBTEVTX09VVC5GWTIwMjQuMzEvMTIvMjAyNQEAAABxmc4jAgAAAAkxNi44MTQ3NzIBCAAAAAUAAAABMQEAAAALLTE5NTU3NzI3OTkDAAAAAzE2MAIAAAAENDA0MgQAAAABMAcAAAAKMTIvMzEvMjAyNQgAAAAKMTIvMzEvMjAyNAkAAAABMAcipQaXtd4IDjMHJZe13gg1Q0lRLk5BU0RBUUdTOkdSQUIuSVFfREFZU19TQUxFU19P</t>
  </si>
  <si>
    <t>VVQuRlkyMDI1LjMxLzEyLzIwMjUBAAAAcZnOIwMAAAAAAAcipQaXtd4IDjMHJZe13ggxQ0lRLklEWDogR09UTy5JUV9EQVlTX1NBTEVTX09VVC5GWTIwMTUuMzEvMTIvMjAyNQEAAABvk2oRAwAAAAAAByKlBpe13ggOMwcll7XeCDFDSVEuSURYOiBHT1RPLklRX0RBWVNfU0FMRVNfT1VULkZZMjAxNi4zMS8xMi8yMDI1AQAAAG+TahEDAAAAAAAHIqUGl7XeCA4zByWXtd4IMUNJUS5JRFg6IEdPVE8uSVFfREFZU19TQUxFU19PVVQuRlkyMDE3LjMxLzEyLzIwMjUBAAAAb5NqEQMAAAAAAAcipQaXtd4IDjMHJZe13ggxQ0lRLklEWDogR09UTy5JUV9EQVlTX1NBTEVTX09VVC5GWTIwMTguMzEvMTIvMjAyNQEAAABvk2oRAwAAAAAAByKlBpe13ggOMwcll7XeCDFDSVEuSURYOiBHT1RPLklRX0RBWVNfU0FMRVNfT1VULkZZMjAxOS4zMS8xMi8yMDI1AQAAAG+TahECAAAACjEwOS4wNzE4NTUBCAAAAAUAAAABMQEAAAALLTIxMDc2ODM2OTQDAAAAAjY5AgAAAAQ0MDQyBAAAAAEwBwAAAAoxMi8zMS8yMDI1CAAAAAoxMi8zMS8yMDE5CQAAAAEwByKlBpe13ggOMwcll7XeCDFDSVEuSURYOiBHT1RPLklRX0RBWVNfU0FMRVNfT1VULkZZMjAyMC4zMS8xMi8yMDI1AQAAAG+TahECAAAACTYzLjIyNTQwMgEIAAAABQAAAAExAQAAAAstMjA5Mjc5MTg3OAMAAAACNjkCAAAABDQwNDIEAAAAATAHAAAACjEyLzMxLzIwMjUI</t>
  </si>
  <si>
    <t>AAAACjEyLzMxLzIwMjAJAAAAATAHIqUGl7XeCA4zByWXtd4IMUNJUS5JRFg6IEdPVE8uSVFfREFZU19TQUxFU19PVVQuRlkyMDIxLjMxLzEyLzIwMjUBAAAAb5NqEQIAAAAIMzEuNDQzMjkBCAAAAAUAAAABMQEAAAALLTIwNTQ2MzMxNDkDAAAAAjY5AgAAAAQ0MDQyBAAAAAEwBwAAAAoxMi8zMS8yMDI1CAAAAAoxMi8zMS8yMDIxCQAAAAEwByKlBpe13ggOMwcll7XeCDFDSVEuSURYOiBHT1RPLklRX0RBWVNfU0FMRVNfT1VULkZZMjAyMi4zMS8xMi8yMDI1AQAAAG+TahECAAAACTE4LjIzODY4NQEIAAAABQAAAAExAQAAAAstMjAwNTQzMDIyNAMAAAACNjkCAAAABDQwNDIEAAAAATAHAAAACjEyLzMxLzIwMjUIAAAACjEyLzMxLzIwMjIJAAAAATAHIqUGl7XeCA4zByWXtd4IMUNJUS5JRFg6IEdPVE8uSVFfREFZU19TQUxFU19PVVQuRlkyMDIzLjMxLzEyLzIwMjUBAAAAb5NqEQIAAAAIMjEuMzk5MjIBCAAAAAUAAAABMQEAAAALLTE5NTYxNjQ1MTEDAAAAAjY5AgAAAAQ0MDQyBAAAAAEwBwAAAAoxMi8zMS8yMDI1CAAAAAoxMi8zMS8yMDIzCQAAAAEwByKlBpe13ggOMwcll7XeCDFDSVEuSURYOiBHT1RPLklRX0RBWVNfU0FMRVNfT1VULkZZMjAyNC4zMS8xMi8yMDI1AQAAAG+TahECAAAACTM2LjI0NTcxMgEIAAAABQAAAAExAQAAAAstMTk1NjE2NDUxMAMAAAACNjkCAAAABDQwNDIEAAAAATAHAAAACjEy</t>
  </si>
  <si>
    <t>LzMxLzIwMjUIAAAACjEyLzMxLzIwMjQJAAAAATAHIqUGl7XeCA4zByWXtd4IMUNJUS5JRFg6IEdPVE8uSVFfREFZU19TQUxFU19PVVQuRlkyMDI1LjMxLzEyLzIwMjUBAAAAb5NqEQMAAAAAAAcipQaXtd4IDjMHJZe13ggwQ0lRLk5ZU0U6IFNFLklRX0RBWVNfU0FMRVNfT1VULkZZMjAxNS4zMS8xMi8yMDI1AQAAAPsCZxkCAAAACTQ2LjE1Mzg4NQEIAAAABQAAAAExAQAAAAoxODgyMjk2MzUzAwAAAAMxNjACAAAABDQwNDIEAAAAATAHAAAACjEyLzMxLzIwMjUIAAAACjEyLzMxLzIwMTUJAAAAATAHIqUGl7XeCI25BCWXtd4IMENJUS5OWVNFOiBTRS5JUV9EQVlTX1NBTEVTX09VVC5GWTIwMTYuMzEvMTIvMjAyNQEAAAD7AmcZAgAAAAk0MC43MDE3NjIBCAAAAAUAAAABMQEAAAAKMTk0ODE2MDExNgMAAAADMTYwAgAAAAQ0MDQyBAAAAAEwBwAAAAoxMi8zMS8yMDI1CAAAAAoxMi8zMS8yMDE2CQAAAAEwByKlBpe13giNuQQll7XeCDBDSVEuTllTRTogU0UuSVFfREFZU19TQUxFU19PVVQuRlkyMDE3LjMxLzEyLzIwMjUBAAAA+wJnGQIAAAAJNDMuNjM0NjU1AQgAAAAFAAAAATEBAAAACjIwMjgwMDU4NTMDAAAAAzE2MAIAAAAENDA0MgQAAAABMAcAAAAKMTIvMzEvMjAyNQgAAAAKMTIvMzEvMjAxNwkAAAABMAcipQaXtd4IjbkEJZe13ggwQ0lRLk5ZU0U6IFNFLklRX0RBWVNfU0FMRVNfT1VULkZZMjAxOC4z</t>
  </si>
  <si>
    <t>MS8xMi8yMDI1AQAAAPsCZxkCAAAACDM1LjIyNzYxAQgAAAAFAAAAATEBAAAACjIwODk2MjY4NDEDAAAAAzE2MAIAAAAENDA0MgQAAAABMAcAAAAKMTIvMzEvMjAyNQgAAAAKMTIvMzEvMjAxOAkAAAABMAcipQaXtd4IjbkEJZe13ggwQ0lRLk5ZU0U6IFNFLklRX0RBWVNfU0FMRVNfT1VULkZZMjAxOS4zMS8xMi8yMDI1AQAAAPsCZxkCAAAACTIzLjg5Mzk5NQEIAAAABQAAAAExAQAAAAstMjEwMTk1OTE2NAMAAAADMTYwAgAAAAQ0MDQyBAAAAAEwBwAAAAoxMi8zMS8yMDI1CAAAAAoxMi8zMS8yMDE5CQAAAAEwByKlBpe13giNuQQll7XeCDBDSVEuTllTRTogU0UuSVFfREFZU19TQUxFU19PVVQuRlkyMDIwLjMxLzEyLzIwMjUBAAAA+wJnGQIAAAAJMjMuMDAzNDY2AQgAAAAFAAAAATEBAAAACy0yMDUzNjMwODQ3AwAAAAMxNjACAAAABDQwNDIEAAAAATAHAAAACjEyLzMxLzIwMjUIAAAACjEyLzMxLzIwMjAJAAAAATAHIqUGl7XeCI25BCWXtd4IMENJUS5OWVNFOiBTRS5JUV9EQVlTX1NBTEVTX09VVC5GWTIwMjEuMzEvMTIvMjAyNQEAAAD7AmcZAgAAAAgxMy43NzI5MQEIAAAABQAAAAExAQAAAAstMTk5ODg1NjY5OAMAAAADMTYwAgAAAAQ0MDQyBAAAAAEwBwAAAAoxMi8zMS8yMDI1CAAAAAoxMi8zMS8yMDIxCQAAAAEwByKlBpe13giNuQQll7XeCDBDSVEuTllTRTogU0UuSVFfREFZU19TQUxFU19PVVQu</t>
  </si>
  <si>
    <t>RlkyMDIyLjMxLzEyLzIwMjUBAAAA+wJnGQIAAAAIOS42MzI3MTUBCAAAAAUAAAABMQEAAAALLTE5NTA3NTM3ODADAAAAAzE2MAIAAAAENDA0MgQAAAABMAcAAAAKMTIvMzEvMjAyNQgAAAAKMTIvMzEvMjAyMgkAAAABMAcipQaXtd4IjbkEJZe13ggwQ0lRLk5ZU0U6IFNFLklRX0RBWVNfU0FMRVNfT1VULkZZMjAyMy4zMS8xMi8yMDI1AQAAAPsCZxkCAAAACDcuNDI1MTk1AQgAAAAFAAAAATEBAAAACy0xOTUwNzUzNzc5AwAAAAMxNjACAAAABDQwNDIEAAAAATAHAAAACjEyLzMxLzIwMjUIAAAACjEyLzMxLzIwMjMJAAAAATAHIqUGl7XeCI25BCWXtd4IMENJUS5OWVNFOiBTRS5JUV9EQVlTX1NBTEVTX09VVC5GWTIwMjQuMzEvMTIvMjAyNQEAAAD7AmcZAgAAAAc2LjE5NDU1AQgAAAAFAAAAATEBAAAACy0xOTUwNzUzNzc2AwAAAAMxNjACAAAABDQwNDIEAAAAATAHAAAACjEyLzMxLzIwMjUIAAAACjEyLzMxLzIwMjQJAAAAATAHIqUGl7XeCI25BCWXtd4IMENJUS5OWVNFOiBTRS5JUV9EQVlTX1NBTEVTX09VVC5GWTIwMjUuMzEvMTIvMjAyNQEAAAD7AmcZAwAAAAAAByKlBpe13giNuQQll7XeCDFDSVEuTllTRTpVQkVSLklRX0RBWVNfU0FMRVNfT1VULkZZMjAxNS4zMS8xMi8yMDI1AQAAADBGnQgDAAAAAAAHIqUGl7XeCAO5CSWXtd4IMUNJUS5OWVNFOlVCRVIuSVFfREFZU19TQUxFU19PVVQuRlkyMDE2</t>
  </si>
  <si>
    <t>LjMxLzEyLzIwMjUBAAAAMEadCAMAAAAAAAcipQaXtd4IA7kJJZe13ggxQ0lRLk5ZU0U6VUJFUi5JUV9EQVlTX1NBTEVTX09VVC5GWTIwMTcuMzEvMTIvMjAyNQEAAAAwRp0IAgAAAAgyNS45MDY5NwEIAAAABQAAAAExAQAAAAoyMDE4ODkyNDUzAwAAAAMxNjACAAAABDQwNDIEAAAAATAHAAAACjEyLzMxLzIwMjUIAAAACjEyLzMxLzIwMTcJAAAAATAHIqUGl7XeCAO5CSWXtd4IMUNJUS5OWVNFOlVCRVIuSVFfREFZU19TQUxFU19PVVQuRlkyMDE4LjMxLzEyLzIwMjUBAAAAMEadCAIAAAAJMjkuMDAyNTM1AQgAAAAFAAAAATEBAAAACjIwODI1MDExNjkDAAAAAzE2MAIAAAAENDA0MgQAAAABMAcAAAAKMTIvMzEvMjAyNQgAAAAKMTIvMzEvMjAxOAkAAAABMAcipQaXtd4IA7kJJZe13ggxQ0lRLk5ZU0U6VUJFUi5JUV9EQVlTX1NBTEVTX09VVC5GWTIwMTkuMzEvMTIvMjAyNQEAAAAwRp0IAgAAAAgyOS45NDM4NwEIAAAABQAAAAExAQAAAAstMjExMDQ1NTIwMgMAAAADMTYwAgAAAAQ0MDQyBAAAAAEwBwAAAAoxMi8zMS8yMDI1CAAAAAoxMi8zMS8yMDE5CQAAAAEwByKlBpe13ggDuQkll7XeCDFDSVEuTllTRTpVQkVSLklRX0RBWVNfU0FMRVNfT1VULkZZMjAyMC4zMS8xMi8yMDI1AQAAADBGnQgCAAAACTM3LjU3MjQ2MgEIAAAABQAAAAExAQAAAAstMjA2MDE0NzQwNwMAAAADMTYwAgAAAAQ0MDQyBAAAAAEw</t>
  </si>
  <si>
    <t>BwAAAAoxMi8zMS8yMDI1CAAAAAoxMi8zMS8yMDIwCQAAAAEwByKlBpe13ggDuQkll7XeCDFDSVEuTllTRTpVQkVSLklRX0RBWVNfU0FMRVNfT1VULkZZMjAyMS4zMS8xMi8yMDI1AQAAADBGnQgCAAAACTM2LjcxOTM2NQEIAAAABQAAAAExAQAAAAstMjAxMDEyNTg1NgMAAAADMTYwAgAAAAQ0MDQyBAAAAAEwBwAAAAoxMi8zMS8yMDI1CAAAAAoxMi8zMS8yMDIxCQAAAAEwByKlBpe13ggDuQkll7XeCDFDSVEuTllTRTpVQkVSLklRX0RBWVNfU0FMRVNfT1VULkZZMjAyMi4zMS8xMi8yMDI1AQAAADBGnQgCAAAACTI5Ljg3MzQyNQEIAAAABQAAAAExAQAAAAstMTk1OTU1NDY2NgMAAAADMTYwAgAAAAQ0MDQyBAAAAAEwBwAAAAoxMi8zMS8yMDI1CAAAAAoxMi8zMS8yMDIyCQAAAAEwByKlBpe13ggDuQkll7XeCDFDSVEuTllTRTpVQkVSLklRX0RBWVNfU0FMRVNfT1VULkZZMjAyMy4zMS8xMi8yMDI1AQAAADBGnQgCAAAACDMwLjI2NzI2AQgAAAAFAAAAATEBAAAACy0xOTU5NTU0NjU2AwAAAAMxNjACAAAABDQwNDIEAAAAATAHAAAACjEyLzMxLzIwMjUIAAAACjEyLzMxLzIwMjMJAAAAATAHIqUGl7XeCAO5CSWXtd4IMUNJUS5OWVNFOlVCRVIuSVFfREFZU19TQUxFU19PVVQuRlkyMDI0LjMxLzEyLzIwMjUBAAAAMEadCAIAAAAIMjguMDMzNzcBCAAAAAUAAAABMQEAAAALLTE5NTk1NTQ2NjgDAAAAAzE2MAIA</t>
  </si>
  <si>
    <t>AAAENDA0MgQAAAABMAcAAAAKMTIvMzEvMjAyNQgAAAAKMTIvMzEvMjAyNAkAAAABMAcipQaXtd4IA7kJJZe13ggxQ0lRLk5ZU0U6VUJFUi5JUV9EQVlTX1NBTEVTX09VVC5GWTIwMjUuMzEvMTIvMjAyNQEAAAAwRp0IAwAAAAAAByKlBpe13ggDuQkll7XeCDVDSVEuTkFTREFRR1M6TFlGVC5JUV9EQVlTX1NBTEVTX09VVC5GWTIwMTUuMzEvMTIvMjAyNQEAAABVMYQDAwAAAAAAByKlBpe13gh/kQkll7XeCDVDSVEuTkFTREFRR1M6TFlGVC5JUV9EQVlTX1NBTEVTX09VVC5GWTIwMTYuMzEvMTIvMjAyNQEAAABVMYQDAwAAAAAAByKlBpe13ggOMwcll7XeCDVDSVEuTkFTREFRR1M6TFlGVC5JUV9EQVlTX1NBTEVTX09VVC5GWTIwMTcuMzEvMTIvMjAyNQEAAABVMYQDAwAAAAAAByKlBpe13ggDuQkll7XeCDVDSVEuTkFTREFRR1M6TFlGVC5JUV9EQVlTX1NBTEVTX09VVC5GWTIwMTguMzEvMTIvMjAyNQEAAABVMYQDAwAAAAAAByKlBpe13ggDuQkll7XeCDVDSVEuTkFTREFRR1M6TFlGVC5JUV9EQVlTX1NBTEVTX09VVC5GWTIwMTkuMzEvMTIvMjAyNQEAAABVMYQDAwAAAAAAByKlBpe13ggOMwcll7XeCDVDSVEuTkFTREFRR1M6TFlGVC5JUV9EQVlTX1NBTEVTX09VVC5GWTIwMjAuMzEvMTIvMjAyNQEAAABVMYQDAgAAAAkxNS43MzI4NzYBCAAAAAUAAAABMQEAAAALLTIwNTkyNTE1MzUDAAAAAzE2MAIAAAAE</t>
  </si>
  <si>
    <t>NDA0MgQAAAABMAcAAAAKMTIvMzEvMjAyNQgAAAAKMTIvMzEvMjAyMAkAAAABMAcipQaXtd4If5EJJZe13gg1Q0lRLk5BU0RBUUdTOkxZRlQuSVFfREFZU19TQUxFU19PVVQuRlkyMDIxLjMxLzEyLzIwMjUBAAAAVTGEAwIAAAAJMTUuNzIyMzc1AQgAAAAFAAAAATEBAAAACy0yMDA5NTg2MjY3AwAAAAMxNjACAAAABDQwNDIEAAAAATAHAAAACjEyLzMxLzIwMjUIAAAACjEyLzMxLzIwMjEJAAAAATAHIqUGl7XeCH+RCSWXtd4INUNJUS5OQVNEQVFHUzpMWUZULklRX0RBWVNfU0FMRVNfT1VULkZZMjAyMi4zMS8xMi8yMDI1AQAAAFUxhAMCAAAACDIwLjI0MTQ0AQgAAAAFAAAAATEBAAAACy0xOTU5NDczNTQwAwAAAAMxNjACAAAABDQwNDIEAAAAATAHAAAACjEyLzMxLzIwMjUIAAAACjEyLzMxLzIwMjIJAAAAATAHIqUGl7XeCA4zByWXtd4INUNJUS5OQVNEQVFHUzpMWUZULklRX0RBWVNfU0FMRVNfT1VULkZZMjAyMy4zMS8xMi8yMDI1AQAAAFUxhAMCAAAACTIzLjcyNjA5NQEIAAAABQAAAAExAQAAAAstMTk1OTQ3MzU0MQMAAAADMTYwAgAAAAQ0MDQyBAAAAAEwBwAAAAoxMi8zMS8yMDI1CAAAAAoxMi8zMS8yMDIzCQAAAAEwByKlBpe13ggOMwcll7XeCDVDSVEuTkFTREFRR1M6TFlGVC5JUV9EQVlTX1NBTEVTX09VVC5GWTIwMjQuMzEvMTIvMjAyNQEAAABVMYQDAgAAAAgyMC4yNDE2MwEIAAAABQAAAAEx</t>
  </si>
  <si>
    <t>AQAAAAstMTk1OTQ3MzUyOQMAAAADMTYwAgAAAAQ0MDQyBAAAAAEwBwAAAAoxMi8zMS8yMDI1CAAAAAoxMi8zMS8yMDI0CQAAAAEwByKlBpe13ggOMwcll7XeCDVDSVEuTkFTREFRR1M6TFlGVC5JUV9EQVlTX1NBTEVTX09VVC5GWTIwMjUuMzEvMTIvMjAyNQEAAABVMYQDAwAAAAAAByKlBpe13ggOMwcll7XeCDRDSVEuT1RDUEs6RElESS5ZLklRX0RBWVNfU0FMRVNfT1VULkZZMjAxNS4zMS8xMi8yMDI1AQAAAMlmrGMDAAAAAAAHIqUGl7XeCA4zByWXtd4INENJUS5PVENQSzpESURJLlkuSVFfREFZU19TQUxFU19PVVQuRlkyMDE2LjMxLzEyLzIwMjUBAAAAyWasYwMAAAAAAAcipQaXtd4IDjMHJZe13gg0Q0lRLk9UQ1BLOkRJREkuWS5JUV9EQVlTX1NBTEVTX09VVC5GWTIwMTcuMzEvMTIvMjAyNQEAAADJZqxjAwAAAAAAByKlBpe13ggOMwcll7XeCDRDSVEuT1RDUEs6RElESS5ZLklRX0RBWVNfU0FMRVNfT1VULkZZMjAxOC4zMS8xMi8yMDI1AQAAAMlmrGMDAAAAAAAHIqUGl7XeCA4zByWXtd4INENJUS5PVENQSzpESURJLlkuSVFfREFZU19TQUxFU19PVVQuRlkyMDE5LjMxLzEyLzIwMjUBAAAAyWasYwIAAAAHNS40OTkwOQEIAAAABQAAAAExAQAAAAstMjA5OTE3NzQ4NQMAAAACMzICAAAABDQwNDIEAAAAATAHAAAACjEyLzMxLzIwMjUIAAAACjEyLzMxLzIwMTkJAAAAATAHIqUGl7XeCA4zByWXtd4I</t>
  </si>
  <si>
    <t>NENJUS5PVENQSzpESURJLlkuSVFfREFZU19TQUxFU19PVVQuRlkyMDIwLjMxLzEyLzIwMjUBAAAAyWasYwIAAAAINy4wNTY4NDYBCAAAAAUAAAABMQEAAAALLTIwNDgyNDYyMzIDAAAAAjMyAgAAAAQ0MDQyBAAAAAEwBwAAAAoxMi8zMS8yMDI1CAAAAAoxMi8zMS8yMDIwCQAAAAEwByKlBpe13ggOMwcll7XeCDRDSVEuT1RDUEs6RElESS5ZLklRX0RBWVNfU0FMRVNfT1VULkZZMjAyMS4zMS8xMi8yMDI1AQAAAMlmrGMCAAAABzUuOTAyNzgBCAAAAAUAAAABMQEAAAALLTIwMDE3NDIxMzkDAAAAAjMyAgAAAAQ0MDQyBAAAAAEwBwAAAAoxMi8zMS8yMDI1CAAAAAoxMi8zMS8yMDIxCQAAAAEwByKlBpe13ggOMwcll7XeCDRDSVEuT1RDUEs6RElESS5ZLklRX0RBWVNfU0FMRVNfT1VULkZZMjAyMi4zMS8xMi8yMDI1AQAAAMlmrGMCAAAABzYuODQyMjkBCAAAAAUAAAABMQEAAAALLTE5NTAzNTE4NjgDAAAAAjMyAgAAAAQ0MDQyBAAAAAEwBwAAAAoxMi8zMS8yMDI1CAAAAAoxMi8zMS8yMDIyCQAAAAEwByKlBpe13ggOMwcll7XeCDRDSVEuT1RDUEs6RElESS5ZLklRX0RBWVNfU0FMRVNfT1VULkZZMjAyMy4zMS8xMi8yMDI1AQAAAMlmrGMCAAAACDUuNDI4NjQ1AQgAAAAFAAAAATEBAAAACy0xOTUwMzUxODY1AwAAAAIzMgIAAAAENDA0MgQAAAABMAcAAAAKMTIvMzEvMjAyNQgAAAAKMTIvMzEvMjAyMwkAAAAB</t>
  </si>
  <si>
    <t>MAcipQaXtd4IDjMHJZe13gg0Q0lRLk9UQ1BLOkRJREkuWS5JUV9EQVlTX1NBTEVTX09VVC5GWTIwMjQuMzEvMTIvMjAyNQEAAADJZqxjAgAAAAg2LjEzMDEzNAEIAAAABQAAAAExAQAAAAstMTk1MDM1MTg1OAMAAAACMzICAAAABDQwNDIEAAAAATAHAAAACjEyLzMxLzIwMjUIAAAACjEyLzMxLzIwMjQJAAAAATAHIqUGl7XeCA4zByWXtd4INENJUS5PVENQSzpESURJLlkuSVFfREFZU19TQUxFU19PVVQuRlkyMDI1LjMxLzEyLzIwMjUBAAAAyWasYwMAAAAAAAcipQaXtd4IDjMHJZe13ggxQ0lRLlNFSEs6MzY5MC5JUV9EQVlTX1NBTEVTX09VVC5GWTIwMTUuMzEvMTIvMjAyNQEAAAAtdc0GAwAAAAAAByKlBpe13ggOMwcll7XeCDFDSVEuU0VISzozNjkwLklRX0RBWVNfU0FMRVNfT1VULkZZMjAxNi4zMS8xMi8yMDI1AQAAAC11zQYCAAAACTEzLjk2OTEyMgEIAAAABQAAAAExAQAAAAoxOTA3MTQwODQwAwAAAAIzMgIAAAAENDA0MgQAAAABMAcAAAAKMTIvMzEvMjAyNQgAAAAKMTIvMzEvMjAxNgkAAAABMAcipQaXtd4IDjMHJZe13ggxQ0lRLlNFSEs6MzY5MC5JUV9EQVlTX1NBTEVTX09VVC5GWTIwMTcuMzEvMTIvMjAyNQEAAAAtdc0GAgAAAAc1LjE1OTY0AQgAAAAFAAAAATEBAAAACjE5NTM4MzUxODQDAAAAAjMyAgAAAAQ0MDQyBAAAAAEwBwAAAAoxMi8zMS8yMDI1CAAAAAoxMi8zMS8yMDE3CQAAAAEw</t>
  </si>
  <si>
    <t>ByKlBpe13ggOMwcll7XeCDFDSVEuU0VISzozNjkwLklRX0RBWVNfU0FMRVNfT1VULkZZMjAxOC4zMS8xMi8yMDI1AQAAAC11zQYCAAAACDMuNDYyMDI1AQgAAAAFAAAAATEBAAAACjIwMjg3NDQ5NTQDAAAAAjMyAgAAAAQ0MDQyBAAAAAEwBwAAAAoxMi8zMS8yMDI1CAAAAAoxMi8zMS8yMDE4CQAAAAEwByKlBpe13ggOMwcll7XeCDFDSVEuU0VISzozNjkwLklRX0RBWVNfU0FMRVNfT1VULkZZMjAxOS4zMS8xMi8yMDI1AQAAAC11zQYCAAAACDQuNDk0MjQ1AQgAAAAFAAAAATEBAAAACjIwOTAwNjk1ODgDAAAAAjMyAgAAAAQ0MDQyBAAAAAEwBwAAAAoxMi8zMS8yMDI1CAAAAAoxMi8zMS8yMDE5CQAAAAEwByKlBpe13ggOMwcll7XeCDFDSVEuU0VISzozNjkwLklRX0RBWVNfU0FMRVNfT1VULkZZMjAyMC4zMS8xMi8yMDI1AQAAAC11zQYCAAAACDcuNTM0ODQyAQgAAAAFAAAAATEBAAAACy0yMTAyODc1NjA3AwAAAAIzMgIAAAAENDA0MgQAAAABMAcAAAAKMTIvMzEvMjAyNQgAAAAKMTIvMzEvMjAyMAkAAAABMAcipQaXtd4IDjMHJZe13ggxQ0lRLlNFSEs6MzY5MC5JUV9EQVlTX1NBTEVTX09VVC5GWTIwMjEuMzEvMTIvMjAyNQEAAAAtdc0GAgAAAAc2LjQwNjQ4AQgAAAAFAAAAATEBAAAACy0yMDUwNDkxODc3AwAAAAIzMgIAAAAENDA0MgQAAAABMAcAAAAKMTIvMzEvMjAyNQgAAAAKMTIvMzEvMjAyMQkA</t>
  </si>
  <si>
    <t>AAABMAcipQaXtd4IDjMHJZe13ggxQ0lRLlNFSEs6MzY5MC5JUV9EQVlTX1NBTEVTX09VVC5GWTIwMjIuMzEvMTIvMjAyNQEAAAAtdc0GAgAAAAc1LjcwNTY4AQgAAAAFAAAAATEBAAAACy0xOTk3OTIyMjk0AwAAAAIzMgIAAAAENDA0MgQAAAABMAcAAAAKMTIvMzEvMjAyNQgAAAAKMTIvMzEvMjAyMgkAAAABMAcipQaXtd4IDjMHJZe13ggxQ0lRLlNFSEs6MzY5MC5JUV9EQVlTX1NBTEVTX09VVC5GWTIwMjMuMzEvMTIvMjAyNQEAAAAtdc0GAgAAAAc1LjY0ODAxAQgAAAAFAAAAATEBAAAACy0xOTQ3MTcxMzY5AwAAAAIzMgIAAAAENDA0MgQAAAABMAcAAAAKMTIvMzEvMjAyNQgAAAAKMTIvMzEvMjAyMwkAAAABMAcipQaXtd4IDjMHJZe13ggxQ0lRLlNFSEs6MzY5MC5JUV9EQVlTX1NBTEVTX09VVC5GWTIwMjQuMzEvMTIvMjAyNQEAAAAtdc0GAgAAAAg1LjU2MTczNgEIAAAABQAAAAExAQAAAAstMTk0NzE3MTQyMAMAAAACMzICAAAABDQwNDIEAAAAATAHAAAACjEyLzMxLzIwMjUIAAAACjEyLzMxLzIwMjQJAAAAATAHIqUGl7XeCA4zByWXtd4IMUNJUS5TRUhLOjM2OTAuSVFfREFZU19TQUxFU19PVVQuRlkyMDI1LjMxLzEyLzIwMjUBAAAALXXNBgMAAAAAAAcipQaXtd4IDjMHJZe13ggxQ0lRLlhUUkE6REhFUi5JUV9EQVlTX1NBTEVTX09VVC5GWTIwMTUuMzEvMTIvMjAyNQEAAACqtmIIAgAAAAkzNi44</t>
  </si>
  <si>
    <t>NTI5NTUBCAAAAAUAAAABMQEAAAAKMTg0NzYxODQ0NQMAAAACNTACAAAABDQwNDIEAAAAATAHAAAACjEyLzMxLzIwMjUIAAAACjEyLzMxLzIwMTUJAAAAATAHIqUGl7XeCA4zByWXtd4IMUNJUS5YVFJBOkRIRVIuSVFfREFZU19TQUxFU19PVVQuRlkyMDE2LjMxLzEyLzIwMjUBAAAAqrZiCAIAAAAJMzkuMTI5NDI2AQgAAAAFAAAAATEBAAAACjE4ODUwOTgzNzYDAAAAAjUwAgAAAAQ0MDQyBAAAAAEwBwAAAAoxMi8zMS8yMDI1CAAAAAoxMi8zMS8yMDE2CQAAAAEwByKlBpe13ggOMwcll7XeCDFDSVEuWFRSQTpESEVSLklRX0RBWVNfU0FMRVNfT1VULkZZMjAxNy4zMS8xMi8yMDI1AQAAAKq2YggCAAAACTQ1LjQ1MzgxNQEIAAAABQAAAAExAQAAAAoxOTU3NDg3ODI3AwAAAAI1MAIAAAAENDA0MgQAAAABMAcAAAAKMTIvMzEvMjAyNQgAAAAKMTIvMzEvMjAxNwkAAAABMAcipQaXtd4IDjMHJZe13ggxQ0lRLlhUUkE6REhFUi5JUV9EQVlTX1NBTEVTX09VVC5GWTIwMTguMzEvMTIvMjAyNQEAAACqtmIIAgAAAAczNC4yNDQzAQgAAAAFAAAAATEBAAAACjIwMzI0MzU5MTIDAAAAAjUwAgAAAAQ0MDQyBAAAAAEwBwAAAAoxMi8zMS8yMDI1CAAAAAoxMi8zMS8yMDE4CQAAAAEwByKlBpe13ggOMwcll7XeCDFDSVEuWFRSQTpESEVSLklRX0RBWVNfU0FMRVNfT1VULkZZMjAxOS4zMS8xMi8yMDI1AQAAAKq2YggCAAAA</t>
  </si>
  <si>
    <t>CTIxLjM4MjA2NQEIAAAABQAAAAExAQAAAAoyMDkzMjA4MTM1AwAAAAI1MAIAAAAENDA0MgQAAAABMAcAAAAKMTIvMzEvMjAyNQgAAAAKMTIvMzEvMjAxOQkAAAABMAcipQaXtd4IDjMHJZe13ggxQ0lRLlhUUkE6REhFUi5JUV9EQVlTX1NBTEVTX09VVC5GWTIwMjAuMzEvMTIvMjAyNQEAAACqtmIIAgAAAAkxNC40Mjg4MTgBCAAAAAUAAAABMQEAAAALLTIxMDAxMzMwODQDAAAAAjUwAgAAAAQ0MDQyBAAAAAEwBwAAAAoxMi8zMS8yMDI1CAAAAAoxMi8zMS8yMDIwCQAAAAEwByKlBpe13ggOMwcll7XeCDFDSVEuWFRSQTpESEVSLklRX0RBWVNfU0FMRVNfT1VULkZZMjAyMS4zMS8xMi8yMDI1AQAAAKq2YggCAAAACTE0LjIyNDQxNQEIAAAABQAAAAExAQAAAAstMjA0NzY0NzA5MgMAAAACNTACAAAABDQwNDIEAAAAATAHAAAACjEyLzMxLzIwMjUIAAAACjEyLzMxLzIwMjEJAAAAATAHIqUGl7XeCA4zByWXtd4IMUNJUS5YVFJBOkRIRVIuSVFfREFZU19TQUxFU19PVVQuRlkyMDIyLjMxLzEyLzIwMjUBAAAAqrZiCAIAAAAIMTguNjQ5MzEBCAAAAAUAAAABMQEAAAALLTE5OTk2NDM5MzIDAAAAAjUwAgAAAAQ0MDQyBAAAAAEwBwAAAAoxMi8zMS8yMDI1CAAAAAoxMi8zMS8yMDIyCQAAAAEwByKlBpe13ggOMwcll7XeCDFDSVEuWFRSQTpESEVSLklRX0RBWVNfU0FMRVNfT1VULkZZMjAyMy4zMS8xMi8yMDI1AQAA</t>
  </si>
  <si>
    <t>AKq2YggCAAAACDIwLjg4OTY4AQgAAAAFAAAAATEBAAAACy0xOTQ5Mjg3MDI5AwAAAAI1MAIAAAAENDA0MgQAAAABMAcAAAAKMTIvMzEvMjAyNQgAAAAKMTIvMzEvMjAyMwkAAAABMAcipQaXtd4IDjMHJZe13ggxQ0lRLlhUUkE6REhFUi5JUV9EQVlTX1NBTEVTX09VVC5GWTIwMjQuMzEvMTIvMjAyNQEAAACqtmIIAgAAAAkxNi45MjY0MDIBCAAAAAUAAAABMQEAAAALLTE5NDkyODcwMzcDAAAAAjUwAgAAAAQ0MDQyBAAAAAEwBwAAAAoxMi8zMS8yMDI1CAAAAAoxMi8zMS8yMDI0CQAAAAEwByKlBpe13ggOMwcll7XeCDFDSVEuWFRSQTpESEVSLklRX0RBWVNfU0FMRVNfT1VULkZZMjAyNS4zMS8xMi8yMDI1AQAAAKq2YggDAAAAAAAHIqUGl7XeCA4zByWXtd4INUNJUS5OQVNEQVFHUzpEQVNILklRX0RBWVNfU0FMRVNfT1VULkZZMjAxNS4zMS8xMi8yMDI1AQAAAKcchw4DAAAAAAAHIqUGl7XeCA4zByWXtd4INUNJUS5OQVNEQVFHUzpEQVNILklRX0RBWVNfU0FMRVNfT1VULkZZMjAxNi4zMS8xMi8yMDI1AQAAAKcchw4DAAAAAAAHIqUGl7XeCA4zByWXtd4INUNJUS5OQVNEQVFHUzpEQVNILklRX0RBWVNfU0FMRVNfT1VULkZZMjAxNy4zMS8xMi8yMDI1AQAAAKcchw4DAAAAAAAHIqUGl7XeCA4zByWXtd4INUNJUS5OQVNEQVFHUzpEQVNILklRX0RBWVNfU0FMRVNfT1VULkZZMjAxOC4zMS8xMi8yMDI1AQAA</t>
  </si>
  <si>
    <t>AKcchw4DAAAAAAAHIqUGl7XeCA4zByWXtd4INUNJUS5OQVNEQVFHUzpEQVNILklRX0RBWVNfU0FMRVNfT1VULkZZMjAxOS4zMS8xMi8yMDI1AQAAAKcchw4CAAAACDE1Ljg3ODIzAQgAAAAFAAAAATEBAAAACy0yMTEwMDYxMzg4AwAAAAMxNjACAAAABDQwNDIEAAAAATAHAAAACjEyLzMxLzIwMjUIAAAACjEyLzMxLzIwMTkJAAAAATAHIqUGl7XeCA4zByWXtd4INUNJUS5OQVNEQVFHUzpEQVNILklRX0RBWVNfU0FMRVNfT1VULkZZMjAyMC4zMS8xMi8yMDI1AQAAAKcchw4CAAAACTIyLjEyOTgyNAEIAAAABQAAAAExAQAAAAstMjA1OTM5MzQxNwMAAAADMTYwAgAAAAQ0MDQyBAAAAAEwBwAAAAoxMi8zMS8yMDI1CAAAAAoxMi8zMS8yMDIwCQAAAAEwByKlBpe13ggOMwcll7XeCDVDSVEuTkFTREFRR1M6REFTSC5JUV9EQVlTX1NBTEVTX09VVC5GWTIwMjEuMzEvMTIvMjAyNQEAAACnHIcOAgAAAAgyMy44OTUwOQEIAAAABQAAAAExAQAAAAstMjAwOTUxODQyMwMAAAADMTYwAgAAAAQ0MDQyBAAAAAEwBwAAAAoxMi8zMS8yMDI1CAAAAAoxMi8zMS8yMDIxCQAAAAEwByKlBpe13ggOMwcll7XeCDVDSVEuTkFTREFRR1M6REFTSC5JUV9EQVlTX1NBTEVTX09VVC5GWTIwMjIuMzEvMTIvMjAyNQEAAACnHIcOAgAAAAgyMC43NjQxMgEIAAAABQAAAAExAQAAAAstMTk1OTU1NDY3MAMAAAADMTYwAgAAAAQ0MDQyBAAA</t>
  </si>
  <si>
    <t>AAEwBwAAAAoxMi8zMS8yMDI1CAAAAAoxMi8zMS8yMDIyCQAAAAEwByKlBpe13ggOMwcll7XeCDVDSVEuTkFTREFRR1M6REFTSC5JUV9EQVlTX1NBTEVTX09VVC5GWTIwMjMuMzEvMTIvMjAyNQEAAACnHIcOAgAAAAgxOS43MTg3NgEIAAAABQAAAAExAQAAAAstMTk1OTU1NDY3MwMAAAADMTYwAgAAAAQ0MDQyBAAAAAEwBwAAAAoxMi8zMS8yMDI1CAAAAAoxMi8zMS8yMDIzCQAAAAEwByKlBpe13ggOMwcll7XeCDVDSVEuTkFTREFRR1M6REFTSC5JUV9EQVlTX1NBTEVTX09VVC5GWTIwMjQuMzEvMTIvMjAyNQEAAACnHIcOAgAAAAgyMS41OTAzNAEIAAAABQAAAAExAQAAAAstMTk1OTU1NDY3NgMAAAADMTYwAgAAAAQ0MDQyBAAAAAEwBwAAAAoxMi8zMS8yMDI1CAAAAAoxMi8zMS8yMDI0CQAAAAEwByKlBpe13ggOMwcll7XeCDVDSVEuTkFTREFRR1M6REFTSC5JUV9EQVlTX1NBTEVTX09VVC5GWTIwMjUuMzEvMTIvMjAyNQEAAACnHIcOAwAAAAAAByKlBpe13ggOMwcll7XeCDNDSVEuREZNOlRBTEFCQVQuSVFfREFZU19TQUxFU19PVVQuRlkyMDE1LjMxLzEyLzIwMjUBAAAA2b6CbgMAAAAAAAcipQaXtd4IDjMHJZe13ggzQ0lRLkRGTTpUQUxBQkFULklRX0RBWVNfU0FMRVNfT1VULkZZMjAxNi4zMS8xMi8yMDI1AQAAANm+gm4DAAAAAAAHIqUGl7XeCA4zByWXtd4IM0NJUS5ERk06VEFMQUJBVC5JUV9EQVlT</t>
  </si>
  <si>
    <t>X1NBTEVTX09VVC5GWTIwMTcuMzEvMTIvMjAyNQEAAADZvoJuAwAAAAAAByKlBpe13ggOMwcll7XeCDNDSVEuREZNOlRBTEFCQVQuSVFfREFZU19TQUxFU19PVVQuRlkyMDE4LjMxLzEyLzIwMjUBAAAA2b6CbgMAAAAAAAcipQaXtd4IDjMHJZe13ggzQ0lRLkRGTTpUQUxBQkFULklRX0RBWVNfU0FMRVNfT1VULkZZMjAxOS4zMS8xMi8yMDI1AQAAANm+gm4DAAAAAAAHIqUGl7XeCA4zByWXtd4IM0NJUS5ERk06VEFMQUJBVC5JUV9EQVlTX1NBTEVTX09VVC5GWTIwMjAuMzEvMTIvMjAyNQEAAADZvoJuAwAAAAAAByKlBpe13ggOMwcll7XeCDNDSVEuREZNOlRBTEFCQVQuSVFfREFZU19TQUxFU19PVVQuRlkyMDIxLjMxLzEyLzIwMjUBAAAA2b6CbgMAAAAAAAcipQaXtd4IRR8HJZe13ggzQ0lRLkRGTTpUQUxBQkFULklRX0RBWVNfU0FMRVNfT1VULkZZMjAyMi4zMS8xMi8yMDI1AQAAANm+gm4DAAAAAAAHIqUGl7XeCEUfByWXtd4IM0NJUS5ERk06VEFMQUJBVC5JUV9EQVlTX1NBTEVTX09VVC5GWTIwMjMuMzEvMTIvMjAyNQEAAADZvoJuAgAAAAkyMy45OTMyNzUBCAAAAAUAAAABMQEAAAALLTE5NjI0MDUzODkDAAAAATECAAAABDQwNDIEAAAAATAHAAAACjEyLzMxLzIwMjUIAAAACjEyLzMxLzIwMjMJAAAAATAHIqUGl7XeCA4zByWXtd4IM0NJUS5ERk06VEFMQUJBVC5JUV9EQVlTX1NBTEVTX09VVC5GWTIw</t>
  </si>
  <si>
    <t>MjQuMzEvMTIvMjAyNQEAAADZvoJuAgAAAAkyMC42NTM3NDYBCAAAAAUAAAABMQEAAAALLTE5NTQyOTc1NDcDAAAAAzE2MAIAAAAENDA0MgQAAAABMAcAAAAKMTIvMzEvMjAyNQgAAAAKMTIvMzEvMjAyNAkAAAABMAcipQaXtd4IjbkEJZe13ggzQ0lRLkRGTTpUQUxBQkFULklRX0RBWVNfU0FMRVNfT1VULkZZMjAyNS4zMS8xMi8yMDI1AQAAANm+gm4DAAAAAAAHIqUGl7XeCEUfByWXtd4IN0NJUS5OQVNEQVFHUzpHUkFCLklRX0RBWVNfUEFZQUJMRV9PVVQuRlkyMDE1LjMxLzEyLzIwMjUBAAAAcZnOIwMAAAAAAAcipQaXtd4IklICJZe13gg3Q0lRLk5BU0RBUUdTOkdSQUIuSVFfREFZU19QQVlBQkxFX09VVC5GWTIwMTYuMzEvMTIvMjAyNQEAAABxmc4jAwAAAAAAByKlBpe13giSUgIll7XeCDdDSVEuTkFTREFRR1M6R1JBQi5JUV9EQVlTX1BBWUFCTEVfT1VULkZZMjAxNy4zMS8xMi8yMDI1AQAAAHGZziMDAAAAAAAHIqUGl7XeCJJSAiWXtd4IN0NJUS5OQVNEQVFHUzpHUkFCLklRX0RBWVNfUEFZQUJMRV9PVVQuRlkyMDE4LjMxLzEyLzIwMjUBAAAAcZnOIwMAAAAAAAcipQaXtd4IklICJZe13gg3Q0lRLk5BU0RBUUdTOkdSQUIuSVFfREFZU19QQVlBQkxFX09VVC5GWTIwMTkuMzEvMTIvMjAyNQEAAABxmc4jAwAAAAAAByKlBpe13giSUgIll7XeCDdDSVEuTkFTREFRR1M6R1JBQi5JUV9EQVlTX1BBWUFC</t>
  </si>
  <si>
    <t>TEVfT1VULkZZMjAyMC4zMS8xMi8yMDI1AQAAAHGZziMCAAAACDM5LjYwODUyAQgAAAAFAAAAATEBAAAACy0yMDQ5ODAyNTAyAwAAAAMxNjACAAAABDQxODMEAAAAATAHAAAACjEyLzMxLzIwMjUIAAAACjEyLzMxLzIwMjAJAAAAATAHIqUGl7XeCJJSAiWXtd4IN0NJUS5OQVNEQVFHUzpHUkFCLklRX0RBWVNfUEFZQUJMRV9PVVQuRlkyMDIxLjMxLzEyLzIwMjUBAAAAcZnOIwIAAAAJNDcuMDMwNjE1AQgAAAAFAAAAATEBAAAACy0yMDA0MjU4ODg3AwAAAAMxNjACAAAABDQxODMEAAAAATAHAAAACjEyLzMxLzIwMjUIAAAACjEyLzMxLzIwMjEJAAAAATAHIqUGl7XeCJJSAiWXtd4IN0NJUS5OQVNEQVFHUzpHUkFCLklRX0RBWVNfUEFZQUJMRV9PVVQuRlkyMDIyLjMxLzEyLzIwMjUBAAAAcZnOIwIAAAAINDUuNDAxNjIBCAAAAAUAAAABMQEAAAALLTE5NTU3NzI3OTgDAAAAAzE2MAIAAAAENDE4MwQAAAABMAcAAAAKMTIvMzEvMjAyNQgAAAAKMTIvMzEvMjAyMgkAAAABMAcipQaXtd4IklICJZe13gg3Q0lRLk5BU0RBUUdTOkdSQUIuSVFfREFZU19QQVlBQkxFX09VVC5GWTIwMjMuMzEvMTIvMjAyNQEAAABxmc4jAgAAAAk0NC4yNjM5MTUBCAAAAAUAAAABMQEAAAALLTE5NTU3NzI4MTUDAAAAAzE2MAIAAAAENDE4MwQAAAABMAcAAAAKMTIvMzEvMjAyNQgAAAAKMTIvMzEvMjAyMwkAAAABMAcipQaXtd4IklIC</t>
  </si>
  <si>
    <t>JZe13gg3Q0lRLk5BU0RBUUdTOkdSQUIuSVFfREFZU19QQVlBQkxFX09VVC5GWTIwMjQuMzEvMTIvMjAyNQEAAABxmc4jAgAAAAk0Mi41ODA4MDYBCAAAAAUAAAABMQEAAAALLTE5NTU3NzI3OTkDAAAAAzE2MAIAAAAENDE4MwQAAAABMAcAAAAKMTIvMzEvMjAyNQgAAAAKMTIvMzEvMjAyNAkAAAABMAcipQaXtd4IklICJZe13gg3Q0lRLk5BU0RBUUdTOkdSQUIuSVFfREFZU19QQVlBQkxFX09VVC5GWTIwMjUuMzEvMTIvMjAyNQEAAABxmc4jAwAAAAAAByKlBpe13giSUgIll7XeCDNDSVEuSURYOiBHT1RPLklRX0RBWVNfUEFZQUJMRV9PVVQuRlkyMDE1LjMxLzEyLzIwMjUBAAAAb5NqEQMAAAAAAAcipQaXtd4IjbkEJZe13ggzQ0lRLklEWDogR09UTy5JUV9EQVlTX1BBWUFCTEVfT1VULkZZMjAxNi4zMS8xMi8yMDI1AQAAAG+TahEDAAAAAAAHIqUGl7XeCI25BCWXtd4IM0NJUS5JRFg6IEdPVE8uSVFfREFZU19QQVlBQkxFX09VVC5GWTIwMTcuMzEvMTIvMjAyNQEAAABvk2oRAwAAAAAAByKlBpe13giNuQQll7XeCDNDSVEuSURYOiBHT1RPLklRX0RBWVNfUEFZQUJMRV9PVVQuRlkyMDE4LjMxLzEyLzIwMjUBAAAAb5NqEQMAAAAAAAcipQaXtd4IjbkEJZe13ggzQ0lRLklEWDogR09UTy5JUV9EQVlTX1BBWUFCTEVfT1VULkZZMjAxOS4zMS8xMi8yMDI1AQAAAG+TahECAAAABzc4LjcyMzIBCAAAAAUAAAAB</t>
  </si>
  <si>
    <t>MQEAAAALLTIxMDc2ODM2OTQDAAAAAjY5AgAAAAQ0MTgzBAAAAAEwBwAAAAoxMi8zMS8yMDI1CAAAAAoxMi8zMS8yMDE5CQAAAAEwByKlBpe13giNuQQll7XeCDNDSVEuSURYOiBHT1RPLklRX0RBWVNfUEFZQUJMRV9PVVQuRlkyMDIwLjMxLzEyLzIwMjUBAAAAb5NqEQIAAAAKMTAwLjkwMjkwNgEIAAAABQAAAAExAQAAAAstMjA5Mjc5MTg3OAMAAAACNjkCAAAABDQxODMEAAAAATAHAAAACjEyLzMxLzIwMjUIAAAACjEyLzMxLzIwMjAJAAAAATAHIqUGl7XeCI25BCWXtd4IM0NJUS5JRFg6IEdPVE8uSVFfREFZU19QQVlBQkxFX09VVC5GWTIwMjEuMzEvMTIvMjAyNQEAAABvk2oRAgAAAAk3My4wMDMyODUBCAAAAAUAAAABMQEAAAALLTIwNTQ2MzMxNDkDAAAAAjY5AgAAAAQ0MTgzBAAAAAEwBwAAAAoxMi8zMS8yMDI1CAAAAAoxMi8zMS8yMDIxCQAAAAEwByKlBpe13giNuQQll7XeCDNDSVEuSURYOiBHT1RPLklRX0RBWVNfUEFZQUJMRV9PVVQuRlkyMDIyLjMxLzEyLzIwMjUBAAAAb5NqEQIAAAAJNjkuNDYwNTk1AQgAAAAFAAAAATEBAAAACy0yMDA1NDMwMjI0AwAAAAI2OQIAAAAENDE4MwQAAAABMAcAAAAKMTIvMzEvMjAyNQgAAAAKMTIvMzEvMjAyMgkAAAABMAcipQaXtd4IjbkEJZe13ggzQ0lRLklEWDogR09UTy5JUV9EQVlTX1BBWUFCTEVfT1VULkZZMjAyMy4zMS8xMi8yMDI1AQAAAG+TahECAAAA</t>
  </si>
  <si>
    <t>CTkyLjIxMjUwNQEIAAAABQAAAAExAQAAAAstMTk1NjE2NDUxMQMAAAACNjkCAAAABDQxODMEAAAAATAHAAAACjEyLzMxLzIwMjUIAAAACjEyLzMxLzIwMjMJAAAAATAHIqUGl7XeCI25BCWXtd4IM0NJUS5JRFg6IEdPVE8uSVFfREFZU19QQVlBQkxFX09VVC5GWTIwMjQuMzEvMTIvMjAyNQEAAABvk2oRAgAAAAk1OS40ODM3ODQBCAAAAAUAAAABMQEAAAALLTE5NTYxNjQ1MTADAAAAAjY5AgAAAAQ0MTgzBAAAAAEwBwAAAAoxMi8zMS8yMDI1CAAAAAoxMi8zMS8yMDI0CQAAAAEwByKlBpe13giNuQQll7XeCDNDSVEuSURYOiBHT1RPLklRX0RBWVNfUEFZQUJMRV9PVVQuRlkyMDI1LjMxLzEyLzIwMjUBAAAAb5NqEQMAAAAAAAcipQaXtd4IjbkEJZe13ggyQ0lRLk5ZU0U6IFNFLklRX0RBWVNfUEFZQUJMRV9PVVQuRlkyMDE1LjMxLzEyLzIwMjUBAAAA+wJnGQIAAAAIMTMuODk2MjgBCAAAAAUAAAABMQEAAAAKMTg4MjI5NjM1MwMAAAADMTYwAgAAAAQ0MTgzBAAAAAEwBwAAAAoxMi8zMS8yMDI1CAAAAAoxMi8zMS8yMDE1CQAAAAEwByKlBpe13giNuQQll7XeCDJDSVEuTllTRTogU0UuSVFfREFZU19QQVlBQkxFX09VVC5GWTIwMTYuMzEvMTIvMjAyNQEAAAD7AmcZAgAAAAkxMS43NTcwMTgBCAAAAAUAAAABMQEAAAAKMTk0ODE2MDExNgMAAAADMTYwAgAAAAQ0MTgzBAAAAAEwBwAAAAoxMi8zMS8yMDI1CAAA</t>
  </si>
  <si>
    <t>AAoxMi8zMS8yMDE2CQAAAAEwByKlBpe13giNuQQll7XeCDJDSVEuTllTRTogU0UuSVFfREFZU19QQVlBQkxFX09VVC5GWTIwMTcuMzEvMTIvMjAyNQEAAAD7AmcZAgAAAAg4LjA0ODYxNQEIAAAABQAAAAExAQAAAAoyMDI4MDA1ODUzAwAAAAMxNjACAAAABDQxODMEAAAAATAHAAAACjEyLzMxLzIwMjUIAAAACjEyLzMxLzIwMTcJAAAAATAHIqUGl7XeCI25BCWXtd4IMkNJUS5OWVNFOiBTRS5JUV9EQVlTX1BBWUFCTEVfT1VULkZZMjAxOC4zMS8xMi8yMDI1AQAAAPsCZxkCAAAABzkuOTUwNjMBCAAAAAUAAAABMQEAAAAKMjA4OTYyNjg0MQMAAAADMTYwAgAAAAQ0MTgzBAAAAAEwBwAAAAoxMi8zMS8yMDI1CAAAAAoxMi8zMS8yMDE4CQAAAAEwByKlBpe13giNuQQll7XeCDJDSVEuTllTRTogU0UuSVFfREFZU19QQVlBQkxFX09VVC5GWTIwMTkuMzEvMTIvMjAyNQEAAAD7AmcZAgAAAAkxMi40NjUxMTUBCAAAAAUAAAABMQEAAAALLTIxMDE5NTkxNjQDAAAAAzE2MAIAAAAENDE4MwQAAAABMAcAAAAKMTIvMzEvMjAyNQgAAAAKMTIvMzEvMjAxOQkAAAABMAcipQaXtd4IjbkEJZe13ggyQ0lRLk5ZU0U6IFNFLklRX0RBWVNfUEFZQUJMRV9PVVQuRlkyMDIwLjMxLzEyLzIwMjUBAAAA+wJnGQIAAAAJMTEuNDA3ODU0AQgAAAAFAAAAATEBAAAACy0yMDUzNjMwODQ3AwAAAAMxNjACAAAABDQxODMEAAAAATAHAAAA</t>
  </si>
  <si>
    <t>CjEyLzMxLzIwMjUIAAAACjEyLzMxLzIwMjAJAAAAATAHIqUGl7XeCJJSAiWXtd4IMkNJUS5OWVNFOiBTRS5JUV9EQVlTX1BBWUFCTEVfT1VULkZZMjAyMS4zMS8xMi8yMDI1AQAAAPsCZxkCAAAACTEwLjAwNzkzNQEIAAAABQAAAAExAQAAAAstMTk5ODg1NjY5OAMAAAADMTYwAgAAAAQ0MTgzBAAAAAEwBwAAAAoxMi8zMS8yMDI1CAAAAAoxMi8zMS8yMDIxCQAAAAEwByKlBpe13giSUgIll7XeCDJDSVEuTllTRTogU0UuSVFfREFZU19QQVlBQkxFX09VVC5GWTIwMjIuMzEvMTIvMjAyNQEAAAD7AmcZAgAAAAkxMS44NzYwMDUBCAAAAAUAAAABMQEAAAALLTE5NTA3NTM3ODADAAAAAzE2MAIAAAAENDE4MwQAAAABMAcAAAAKMTIvMzEvMjAyNQgAAAAKMTIvMzEvMjAyMgkAAAABMAcipQaXtd4IklICJZe13ggyQ0lRLk5ZU0U6IFNFLklRX0RBWVNfUEFZQUJMRV9PVVQuRlkyMDIzLjMxLzEyLzIwMjUBAAAA+wJnGQIAAAAJMTYuNzM5OTk1AQgAAAAFAAAAATEBAAAACy0xOTUwNzUzNzc5AwAAAAMxNjACAAAABDQxODMEAAAAATAHAAAACjEyLzMxLzIwMjUIAAAACjEyLzMxLzIwMjMJAAAAATAHIqUGl7XeCJJSAiWXtd4IMkNJUS5OWVNFOiBTRS5JUV9EQVlTX1BBWUFCTEVfT1VULkZZMjAyNC4zMS8xMi8yMDI1AQAAAPsCZxkCAAAACTE5LjIwMDcyNgEIAAAABQAAAAExAQAAAAstMTk1MDc1Mzc3NgMAAAADMTYw</t>
  </si>
  <si>
    <t>AgAAAAQ0MTgzBAAAAAEwBwAAAAoxMi8zMS8yMDI1CAAAAAoxMi8zMS8yMDI0CQAAAAEwByKlBpe13giSUgIll7XeCDJDSVEuTllTRTogU0UuSVFfREFZU19QQVlBQkxFX09VVC5GWTIwMjUuMzEvMTIvMjAyNQEAAAD7AmcZAwAAAAAAByKlBpe13giSUgIll7XeCDNDSVEuTllTRTpVQkVSLklRX0RBWVNfUEFZQUJMRV9PVVQuRlkyMDE1LjMxLzEyLzIwMjUBAAAAMEadCAMAAAAAAAcipQaXtd4IjbkEJZe13ggzQ0lRLk5ZU0U6VUJFUi5JUV9EQVlTX1BBWUFCTEVfT1VULkZZMjAxNi4zMS8xMi8yMDI1AQAAADBGnQgDAAAAAAAHIqUGl7XeCI25BCWXtd4IM0NJUS5OWVNFOlVCRVIuSVFfREFZU19QQVlBQkxFX09VVC5GWTIwMTcuMzEvMTIvMjAyNQEAAAAwRp0IAgAAAAgxNi4zMTY5NgEIAAAABQAAAAExAQAAAAoyMDE4ODkyNDUzAwAAAAMxNjACAAAABDQxODMEAAAAATAHAAAACjEyLzMxLzIwMjUIAAAACjEyLzMxLzIwMTcJAAAAATAHIqUGl7XeCI25BCWXtd4IM0NJUS5OWVNFOlVCRVIuSVFfREFZU19QQVlBQkxFX09VVC5GWTIwMTguMzEvMTIvMjAyNQEAAAAwRp0IAgAAAAYxMC41MTIBCAAAAAUAAAABMQEAAAAKMjA4MjUwMTE2OQMAAAADMTYwAgAAAAQ0MTgzBAAAAAEwBwAAAAoxMi8zMS8yMDI1CAAAAAoxMi8zMS8yMDE4CQAAAAEwByKlBpe13giNuQQll7XeCDNDSVEuTllTRTpVQkVSLklRX0RBWVNf</t>
  </si>
  <si>
    <t>UEFZQUJMRV9PVVQuRlkyMDE5LjMxLzEyLzIwMjUBAAAAMEadCAIAAAAHOS4yMDg5NQEIAAAABQAAAAExAQAAAAstMjExMDQ1NTIwMgMAAAADMTYwAgAAAAQ0MTgzBAAAAAEwBwAAAAoxMi8zMS8yMDI1CAAAAAoxMi8zMS8yMDE5CQAAAAEwByKlBpe13giNuQQll7XeCDNDSVEuTllTRTpVQkVSLklRX0RBWVNfUEFZQUJMRV9PVVQuRlkyMDIwLjMxLzEyLzIwMjUBAAAAMEadCAIAAAAJMTMuNjQxOTE4AQgAAAAFAAAAATEBAAAACy0yMDYwMTQ3NDA3AwAAAAMxNjACAAAABDQxODMEAAAAATAHAAAACjEyLzMxLzIwMjUIAAAACjEyLzMxLzIwMjAJAAAAATAHIqUGl7XeCI25BCWXtd4IM0NJUS5OWVNFOlVCRVIuSVFfREFZU19QQVlBQkxFX09VVC5GWTIwMjEuMzEvMTIvMjAyNQEAAAAwRp0IAgAAAAgxNy43OTgxMwEIAAAABQAAAAExAQAAAAstMjAxMDEyNTg1NgMAAAADMTYwAgAAAAQ0MTgzBAAAAAEwBwAAAAoxMi8zMS8yMDI1CAAAAAoxMi8zMS8yMDIxCQAAAAEwByKlBpe13giNuQQll7XeCDNDSVEuTllTRTpVQkVSLklRX0RBWVNfUEFZQUJMRV9PVVQuRlkyMDIyLjMxLzEyLzIwMjUBAAAAMEadCAIAAAAJMTMuMTMwMTQ1AQgAAAAFAAAAATEBAAAACy0xOTU5NTU0NjY2AwAAAAMxNjACAAAABDQxODMEAAAAATAHAAAACjEyLzMxLzIwMjUIAAAACjEyLzMxLzIwMjIJAAAAATAHIqUGl7XeCI25BCWXtd4IM0NJ</t>
  </si>
  <si>
    <t>US5OWVNFOlVCRVIuSVFfREFZU19QQVlBQkxFX09VVC5GWTIwMjMuMzEvMTIvMjAyNQEAAAAwRp0IAgAAAAkxMS4wMTY3OTUBCAAAAAUAAAABMQEAAAALLTE5NTk1NTQ2NTYDAAAAAzE2MAIAAAAENDE4MwQAAAABMAcAAAAKMTIvMzEvMjAyNQgAAAAKMTIvMzEvMjAyMwkAAAABMAcipQaXtd4IjbkEJZe13ggzQ0lRLk5ZU0U6VUJFUi5JUV9EQVlTX1BBWUFCTEVfT1VULkZZMjAyNC4zMS8xMi8yMDI1AQAAADBGnQgCAAAACTEwLjI2MzczOAEIAAAABQAAAAExAQAAAAstMTk1OTU1NDY2OAMAAAADMTYwAgAAAAQ0MTgzBAAAAAEwBwAAAAoxMi8zMS8yMDI1CAAAAAoxMi8zMS8yMDI0CQAAAAEwByKlBpe13giNuQQll7XeCDNDSVEuTllTRTpVQkVSLklRX0RBWVNfUEFZQUJMRV9PVVQuRlkyMDI1LjMxLzEyLzIwMjUBAAAAMEadCAMAAAAAAAcipQaXtd4IjbkEJZe13gg3Q0lRLk5BU0RBUUdTOkxZRlQuSVFfREFZU19QQVlBQkxFX09VVC5GWTIwMTUuMzEvMTIvMjAyNQEAAABVMYQDAwAAAAAAByKlBpe13giNuQQll7XeCDdDSVEuTkFTREFRR1M6TFlGVC5JUV9EQVlTX1BBWUFCTEVfT1VULkZZMjAxNi4zMS8xMi8yMDI1AQAAAFUxhAMDAAAAAAAHIqUGl7XeCI25BCWXtd4IN0NJUS5OQVNEQVFHUzpMWUZULklRX0RBWVNfUEFZQUJMRV9PVVQuRlkyMDE3LjMxLzEyLzIwMjUBAAAAVTGEAwIAAAAJMjQuNDc2NTM1</t>
  </si>
  <si>
    <t>AQgAAAAFAAAAATEBAAAACjIwMTgzMTQ2OTEDAAAAAzE2MAIAAAAENDE4MwQAAAABMAcAAAAKMTIvMzEvMjAyNQgAAAAKMTIvMzEvMjAxNwkAAAABMAcipQaXtd4IjbkEJZe13gg3Q0lRLk5BU0RBUUdTOkxZRlQuSVFfREFZU19QQVlBQkxFX09VVC5GWTIwMTguMzEvMTIvMjAyNQEAAABVMYQDAgAAAAgxMS40NDcxMwEIAAAABQAAAAExAQAAAAoyMDgyNjg2ODU0AwAAAAMxNjACAAAABDQxODMEAAAAATAHAAAACjEyLzMxLzIwMjUIAAAACjEyLzMxLzIwMTgJAAAAATAHIqUGl7XeCI25BCWXtd4IN0NJUS5OQVNEQVFHUzpMWUZULklRX0RBWVNfUEFZQUJMRV9PVVQuRlkyMDE5LjMxLzEyLzIwMjUBAAAAVTGEAwIAAAAHNC42MjE2MwEIAAAABQAAAAExAQAAAAstMjEwOTg2OTM1NwMAAAADMTYwAgAAAAQ0MTgzBAAAAAEwBwAAAAoxMi8zMS8yMDI1CAAAAAoxMi8zMS8yMDE5CQAAAAEwByKlBpe13giNuQQll7XeCDdDSVEuTkFTREFRR1M6TFlGVC5JUV9EQVlTX1BBWUFCTEVfT1VULkZZMjAyMC4zMS8xMi8yMDI1AQAAAFUxhAMCAAAACTEyLjI4MzMyNgEIAAAABQAAAAExAQAAAAstMjA1OTI1MTUzNQMAAAADMTYwAgAAAAQ0MTgzBAAAAAEwBwAAAAoxMi8zMS8yMDI1CAAAAAoxMi8zMS8yMDIwCQAAAAEwByKlBpe13giNuQQll7XeCDdDSVEuTkFTREFRR1M6TFlGVC5JUV9EQVlTX1BBWUFCTEVfT1VULkZZMjAy</t>
  </si>
  <si>
    <t>MS4zMS8xMi8yMDI1AQAAAFUxhAMCAAAACTE4LjUyNzAzNQEIAAAABQAAAAExAQAAAAstMjAwOTU4NjI2NwMAAAADMTYwAgAAAAQ0MTgzBAAAAAEwBwAAAAoxMi8zMS8yMDI1CAAAAAoxMi8zMS8yMDIxCQAAAAEwByKlBpe13giNuQQll7XeCDdDSVEuTkFTREFRR1M6TFlGVC5JUV9EQVlTX1BBWUFCTEVfT1VULkZZMjAyMi4zMS8xMi8yMDI1AQAAAFUxhAMCAAAACDE1LjE0OTY5AQgAAAAFAAAAATEBAAAACy0xOTU5NDczNTQwAwAAAAMxNjACAAAABDQxODMEAAAAATAHAAAACjEyLzMxLzIwMjUIAAAACjEyLzMxLzIwMjIJAAAAATAHIqUGl7XeCI25BCWXtd4IN0NJUS5OQVNEQVFHUzpMWUZULklRX0RBWVNfUEFZQUJMRV9PVVQuRlkyMDIzLjMxLzEyLzIwMjUBAAAAVTGEAwIAAAAJMTEuMTYzNTI1AQgAAAAFAAAAATEBAAAACy0xOTU5NDczNTQxAwAAAAMxNjACAAAABDQxODMEAAAAATAHAAAACjEyLzMxLzIwMjUIAAAACjEyLzMxLzIwMjMJAAAAATAHIqUGl7XeCI25BCWXtd4IN0NJUS5OQVNEQVFHUzpMWUZULklRX0RBWVNfUEFZQUJMRV9PVVQuRlkyMDI0LjMxLzEyLzIwMjUBAAAAVTGEAwIAAAAIOC4zMDM4MDgBCAAAAAUAAAABMQEAAAALLTE5NTk0NzM1MjkDAAAAAzE2MAIAAAAENDE4MwQAAAABMAcAAAAKMTIvMzEvMjAyNQgAAAAKMTIvMzEvMjAyNAkAAAABMAcipQaXtd4IjbkEJZe13gg3Q0lRLk5B</t>
  </si>
  <si>
    <t>U0RBUUdTOkxZRlQuSVFfREFZU19QQVlBQkxFX09VVC5GWTIwMjUuMzEvMTIvMjAyNQEAAABVMYQDAwAAAAAAByKlBpe13giNuQQll7XeCDZDSVEuT1RDUEs6RElESS5ZLklRX0RBWVNfUEFZQUJMRV9PVVQuRlkyMDE1LjMxLzEyLzIwMjUBAAAAyWasYwMAAAAAAAcipQaXtd4IjbkEJZe13gg2Q0lRLk9UQ1BLOkRJREkuWS5JUV9EQVlTX1BBWUFCTEVfT1VULkZZMjAxNi4zMS8xMi8yMDI1AQAAAMlmrGMDAAAAAAAHIqUGl7XeCI25BCWXtd4INkNJUS5PVENQSzpESURJLlkuSVFfREFZU19QQVlBQkxFX09VVC5GWTIwMTcuMzEvMTIvMjAyNQEAAADJZqxjAwAAAAAAByKlBpe13giNuQQll7XeCDZDSVEuT1RDUEs6RElESS5ZLklRX0RBWVNfUEFZQUJMRV9PVVQuRlkyMDE4LjMxLzEyLzIwMjUBAAAAyWasYwMAAAAAAAcipQaXtd4IjbkEJZe13gg2Q0lRLk9UQ1BLOkRJREkuWS5JUV9EQVlTX1BBWUFCTEVfT1VULkZZMjAxOS4zMS8xMi8yMDI1AQAAAMlmrGMCAAAACDIuMjk0MDI1AQgAAAAFAAAAATEBAAAACy0yMDk5MTc3NDg1AwAAAAIzMgIAAAAENDE4MwQAAAABMAcAAAAKMTIvMzEvMjAyNQgAAAAKMTIvMzEvMjAxOQkAAAABMAcipQaXtd4IjbkEJZe13gg2Q0lRLk9UQ1BLOkRJREkuWS5JUV9EQVlTX1BBWUFCTEVfT1VULkZZMjAyMC4zMS8xMi8yMDI1AQAAAMlmrGMCAAAABzUuMzgyMDMBCAAAAAUAAAAB</t>
  </si>
  <si>
    <t>MQEAAAALLTIwNDgyNDYyMzIDAAAAAjMyAgAAAAQ0MTgzBAAAAAEwBwAAAAoxMi8zMS8yMDI1CAAAAAoxMi8zMS8yMDIwCQAAAAEwByKlBpe13giNuQQll7XeCDZDSVEuT1RDUEs6RElESS5ZLklRX0RBWVNfUEFZQUJMRV9PVVQuRlkyMDIxLjMxLzEyLzIwMjUBAAAAyWasYwIAAAAHNC4yNjYxMgEIAAAABQAAAAExAQAAAAstMjAwMTc0MjEzOQMAAAACMzICAAAABDQxODMEAAAAATAHAAAACjEyLzMxLzIwMjUIAAAACjEyLzMxLzIwMjEJAAAAATAHIqUGl7XeCI25BCWXtd4INkNJUS5PVENQSzpESURJLlkuSVFfREFZU19QQVlBQkxFX09VVC5GWTIwMjIuMzEvMTIvMjAyNQEAAADJZqxjAwAAAAAAByKlBpe13giNuQQll7XeCDZDSVEuT1RDUEs6RElESS5ZLklRX0RBWVNfUEFZQUJMRV9PVVQuRlkyMDIzLjMxLzEyLzIwMjUBAAAAyWasYwIAAAAIMC40MDY5NzUBCAAAAAUAAAABMQEAAAALLTE5NTAzNTE4NjUDAAAAAjMyAgAAAAQ0MTgzBAAAAAEwBwAAAAoxMi8zMS8yMDI1CAAAAAoxMi8zMS8yMDIzCQAAAAEwByKlBpe13giNuQQll7XeCDZDSVEuT1RDUEs6RElESS5ZLklRX0RBWVNfUEFZQUJMRV9PVVQuRlkyMDI0LjMxLzEyLzIwMjUBAAAAyWasYwIAAAAIMC4xOTI4ODIBCAAAAAUAAAABMQEAAAALLTE5NTAzNTE4NTgDAAAAAjMyAgAAAAQ0MTgzBAAAAAEwBwAAAAoxMi8zMS8yMDI1CAAAAAoxMi8zMS8y</t>
  </si>
  <si>
    <t>MDI0CQAAAAEwByKlBpe13giNuQQll7XeCDZDSVEuT1RDUEs6RElESS5ZLklRX0RBWVNfUEFZQUJMRV9PVVQuRlkyMDI1LjMxLzEyLzIwMjUBAAAAyWasYwMAAAAAAAcipQaXtd4IjbkEJZe13ggzQ0lRLlNFSEs6MzY5MC5JUV9EQVlTX1BBWUFCTEVfT1VULkZZMjAxNS4zMS8xMi8yMDI1AQAAAC11zQYDAAAAAAAHIqUGl7XeCI25BCWXtd4IM0NJUS5TRUhLOjM2OTAuSVFfREFZU19QQVlBQkxFX09VVC5GWTIwMTYuMzEvMTIvMjAyNQEAAAAtdc0GAgAAAAk1MC4yNzUyMjQBCAAAAAUAAAABMQEAAAAKMTkwNzE0MDg0MAMAAAACMzICAAAABDQxODMEAAAAATAHAAAACjEyLzMxLzIwMjUIAAAACjEyLzMxLzIwMTYJAAAAATAHIqUGl7XeCI25BCWXtd4IM0NJUS5TRUhLOjM2OTAuSVFfREFZU19QQVlBQkxFX09VVC5GWTIwMTcuMzEvMTIvMjAyNQEAAAAtdc0GAgAAAAkzNC45NDI1NDUBCAAAAAUAAAABMQEAAAAKMTk1MzgzNTE4NAMAAAACMzICAAAABDQxODMEAAAAATAHAAAACjEyLzMxLzIwMjUIAAAACjEyLzMxLzIwMTcJAAAAATAHIqUGl7XeCI25BCWXtd4IM0NJUS5TRUhLOjM2OTAuSVFfREFZU19QQVlBQkxFX09VVC5GWTIwMTguMzEvMTIvMjAyNQEAAAAtdc0GAgAAAAkzMC41MTgwMTUBCAAAAAUAAAABMQEAAAAKMjAyODc0NDk1NAMAAAACMzICAAAABDQxODMEAAAAATAHAAAACjEyLzMxLzIwMjUIAAAA</t>
  </si>
  <si>
    <t>CjEyLzMxLzIwMTgJAAAAATAHIqUGl7XeCI25BCWXtd4IM0NJUS5TRUhLOjM2OTAuSVFfREFZU19QQVlBQkxFX09VVC5GWTIwMTkuMzEvMTIvMjAyNQEAAAAtdc0GAgAAAAczNi4wNzY2AQgAAAAFAAAAATEBAAAACjIwOTAwNjk1ODgDAAAAAjMyAgAAAAQ0MTgzBAAAAAEwBwAAAAoxMi8zMS8yMDI1CAAAAAoxMi8zMS8yMDE5CQAAAAEwByKlBpe13giNuQQll7XeCDNDSVEuU0VISzozNjkwLklRX0RBWVNfUEFZQUJMRV9PVVQuRlkyMDIwLjMxLzEyLzIwMjUBAAAALXXNBgIAAAAINDMuNzIwNTMBCAAAAAUAAAABMQEAAAALLTIxMDI4NzU2MDcDAAAAAjMyAgAAAAQ0MTgzBAAAAAEwBwAAAAoxMi8zMS8yMDI1CAAAAAoxMi8zMS8yMDIwCQAAAAEwByKlBpe13giNuQQll7XeCDNDSVEuU0VISzozNjkwLklRX0RBWVNfUEFZQUJMRV9PVVQuRlkyMDIxLjMxLzEyLzIwMjUBAAAALXXNBgIAAAAIMzcuMTE2MTIBCAAAAAUAAAABMQEAAAALLTIwNTA0OTE4NzcDAAAAAjMyAgAAAAQ0MTgzBAAAAAEwBwAAAAoxMi8zMS8yMDI1CAAAAAoxMi8zMS8yMDIxCQAAAAEwByKlBpe13giNuQQll7XeCDNDSVEuU0VISzozNjkwLklRX0RBWVNfUEFZQUJMRV9PVVQuRlkyMDIyLjMxLzEyLzIwMjUBAAAALXXNBgIAAAAIMzguMDYxNDcBCAAAAAUAAAABMQEAAAALLTE5OTc5MjIyOTQDAAAAAjMyAgAAAAQ0MTgzBAAAAAEwBwAAAAox</t>
  </si>
  <si>
    <t>Mi8zMS8yMDI1CAAAAAoxMi8zMS8yMDIyCQAAAAEwByKlBpe13giNuQQll7XeCDNDSVEuU0VISzozNjkwLklRX0RBWVNfUEFZQUJMRV9PVVQuRlkyMDIzLjMxLzEyLzIwMjUBAAAALXXNBgIAAAAHNDEuNjUzOAEIAAAABQAAAAExAQAAAAstMTk0NzE3MTM2OQMAAAACMzICAAAABDQxODMEAAAAATAHAAAACjEyLzMxLzIwMjUIAAAACjEyLzMxLzIwMjMJAAAAATAHIqUGl7XeCI25BCWXtd4IM0NJUS5TRUhLOjM2OTAuSVFfREFZU19QQVlBQkxFX09VVC5GWTIwMjQuMzEvMTIvMjAyNQEAAAAtdc0GAgAAAAk0My42Nzk5MDQBCAAAAAUAAAABMQEAAAALLTE5NDcxNzE0MjADAAAAAjMyAgAAAAQ0MTgzBAAAAAEwBwAAAAoxMi8zMS8yMDI1CAAAAAoxMi8zMS8yMDI0CQAAAAEwByKlBpe13giNuQQll7XeCDdDSVEuVVNELklRX0ZVTExfQ1VSVkVfQU5OVUFMLkFMTENPUlAuQUFBLjEwWS4zMS8xMi8yMDI1AQAAAAAAAAACAAAAETAuMDQ2NzMxODQ3ODEyMTE1AAcipQaXtd4IFFV7FJe13gg2Q0lRLlVTRC5JUV9GVUxMX0NVUlZFX0FOTlVBTC5BTExDT1JQLkFBLjEwWS4zMS8xMi8yMDI1AQAAAAAAAAACAAAAEjAuMDUwMTI3MDA5NTQzNTc0NAAHIqUGl7XeCBRVexSXtd4INUNJUS5VU0QuSVFfRlVMTF9DVVJWRV9BTk5VQUwuQUxMQ09SUC5BLjEwWS4zMS8xMi8yMDI1AQAAAAAAAAACAAAAEjAuMDUxOTQ0Nzc2MzQ3</t>
  </si>
  <si>
    <t>MDQzMwAHIqUGl7XeCBRVexSXtd4IN0NJUS5VU0QuSVFfRlVMTF9DVVJWRV9BTk5VQUwuQUxMQ09SUC5CQkIuMTBZLjMxLzEyLzIwMjUBAAAAAAAAAAIAAAASMC4wNTQ0NTI2ODM2NzE5ODIzAAcipQaXtd4IFFV7FJe13gg2Q0lRLlVTRC5JUV9GVUxMX0NVUlZFX0FOTlVBTC5BTExDT1JQLkJCLjEwWS4zMS8xMi8yMDI1AQAAAAAAAAACAAAAEjAuMDYzODEwNTkzNTc1NzI4MwAHIqUGl7XeCBRVexSXtd4INUNJUS5VU0QuSVFfRlVMTF9DVVJWRV9BTk5VQUwuQUxMQ09SUC5CLjEwWS4zMS8xMi8yMDI1AQAAAAAAAAACAAAAEjAuMDc2MTk0MTcwMTA5OTk4NgAHIqUGl7XeCBRVexSXtd4INkNJUS5VU0QuSVFfRlVMTF9DVVJWRV9BTk5VQUwuQUxMQ09SUC5JRy4xMFkuMzEvMTIvMjAyNQEAAAAAAAAAAgAAABIwLjA1MzE4OTU2OTYyNjAyNzIAByKlBpe13ggUVXsUl7XeCC1DSVEuREZNOlRBTEFCQVQuSVFfREFZU19TQUxFU19PVVQuLjMxLzEyLzIwMjUBAAAA2b6CbgIAAAAJMTcuOTMyODE1AQgAAAAFAAAAATEBAAAACy0xOTA2Njk5NTM0AwAAAAMxNjACAAAABDQwNDIEAAAAATAHAAAACjEyLzMxLzIwMjUIAAAACjEyLzMxLzIwMjUJAAAAATDMEI4Wl7XeCMwQjhaXtd4IKkNJUS5OWVNFOiBTRS5JUV9EQVlTX1NBTEVTX09VVC4uMzEvMTIvMjAyNQEAAAD7AmcZAgAAAAc1LjQ0NzI2AQgAAAAFAAAAATEBAAAA</t>
  </si>
  <si>
    <t>Cy0xODk2MjIzMjg0AwAAAAMxNjACAAAABDQwNDIEAAAAATAHAAAACjEyLzMxLzIwMjUIAAAACjEyLzMxLzIwMjUJAAAAATCFZNQVl7XeCIVk1BWXtd4IMENJUS5PVENQSzpESURJLlkuSVFfREFZU19QQVlBQkxFX09VVC4uMzEvMTIvMjAyNQEAAADJZqxjAgAAAAcwLjE0MTYyAQgAAAAFAAAAATEBAAAACy0xODk3MTYyNTMyAwAAAAIzMgIAAAAENDE4MwQAAAABMAcAAAAKMTIvMzEvMjAyNQgAAAAKMTIvMzEvMjAyNQkAAAABMIVk1BWXtd4IhWTUFZe13ggtQ0lRLk5ZU0U6VUJFUi5JUV9EQVlTX1BBWUFCTEVfT1VULi4zMS8xMi8yMDI1AQAAADBGnQgCAAAACTEwLjY3Mjk2NQEIAAAABQAAAAExAQAAAAstMTkwNjY5MTc2MQMAAAADMTYwAgAAAAQ0MTgzBAAAAAEwBwAAAAoxMi8zMS8yMDI1CAAAAAoxMi8zMS8yMDI1CQAAAAEwhWTUFZe13giFZNQVl7XeCDFDSVEuTkFTREFRR1M6TFlGVC5JUV9EQVlTX1BBWUFCTEVfT1VULi4zMS8xMi8yMDI1AQAAAFUxhAMCAAAACDkuNTM0MTY1AQgAAAAFAAAAATEBAAAACy0xOTA3MjE5OTg0AwAAAAMxNjACAAAABDQxODMEAAAAATAHAAAACjEyLzMxLzIwMjUIAAAACjEyLzMxLzIwMjUJAAAAATCFZNQVl7XeCIVk1BWXtd4ILUNJUS5TRUhLOjM2OTAuSVFfREFZU19QQVlBQkxFX09VVC4uMzEvMTIvMjAyNQEAAAAtdc0GAgAAAAk0NS4xMzk5MTUBCAAAAAUAAAABMQEA</t>
  </si>
  <si>
    <t>AAALLTE4OTQ2ODI2MzkDAAAAAjMyAgAAAAQ0MTgzBAAAAAEwBwAAAAoxMi8zMS8yMDI1CAAAAAoxMi8zMS8yMDI1CQAAAAEwhWTUFZe13giFZNQVl7XeCC1DSVEuWFRSQTpESEVSLklRX0RBWVNfUEFZQUJMRV9PVVQuLjMxLzEyLzIwMjUBAAAAqrZiCAIAAAAJMTUuODk5NzY1AQgAAAAFAAAAATEBAAAACy0xOTAwMTIxMzg1AwAAAAI1MAIAAAAENDE4MwQAAAABMAcAAAAKMTIvMzEvMjAyNQgAAAAKMTIvMzEvMjAyNQkAAAABMIVk1BWXtd4IhWTUFZe13ggtQ0lRLklEWDogR09UTy5JUV9EQVlTX1BBWUFCTEVfT1VULi4zMS8xMi8yMDI1AQAAAG+TahECAAAACDU4LjQyMTE3AQgAAAAFAAAAATEBAAAACy0xOTAyMTQ2NzE1AwAAAAI2OQIAAAAENDE4MwQAAAABMAcAAAAKMTIvMzEvMjAyNQgAAAAKMTIvMzEvMjAyNQkAAAABMIVk1BWXtd4IhWTUFZe13ggsQ0lRLk5ZU0U6IFNFLklRX0RBWVNfUEFZQUJMRV9PVVQuLjMxLzEyLzIwMjUBAAAA+wJnGQIAAAAJMTkuMjI0MTg1AQgAAAAFAAAAATEBAAAACy0xODk2MjIzMjg0AwAAAAMxNjACAAAABDQxODMEAAAAATAHAAAACjEyLzMxLzIwMjUIAAAACjEyLzMxLzIwMjUJAAAAATCFZNQVl7XeCIVk1BWXtd4IMUNJUS5OQVNEQVFHUzpEQVNILklRX0RBWVNfUEFZQUJMRV9PVVQuLjMxLzEyLzIwMjUBAAAApxyHDgIAAAAIMTkuODI5NzIBCAAAAAUAAAABMQEAAAAL</t>
  </si>
  <si>
    <t>LTE5MDU5Nzg2NDYDAAAAAzE2MAIAAAAENDE4MwQAAAABMAcAAAAKMTIvMzEvMjAyNQgAAAAKMTIvMzEvMjAyNQkAAAABMIVk1BWXtd4IhWTUFZe13ggvQ0lRLkRGTTpUQUxBQkFULklRX0RBWVNfUEFZQUJMRV9PVVQuLjMxLzEyLzIwMjUBAAAA2b6CbgIAAAAJNzYuMTA2NTE1AQgAAAAFAAAAATEBAAAACy0xOTA2Njk5NTM0AwAAAAMxNjACAAAABDQxODMEAAAAATAHAAAACjEyLzMxLzIwMjUIAAAACjEyLzMxLzIwMjUJAAAAATCFZNQVl7XeCIVk1BWXtd4IMUNJUS5OQVNEQVFHUzpHUkFCLklRX0RBWVNfUEFZQUJMRV9PVVQuLjMxLzEyLzIwMjUBAAAAcZnOIwIAAAAJNDEuMjYzNjE1AQgAAAAFAAAAATEBAAAACy0xOTAzMDc4OTI5AwAAAAMxNjACAAAABDQxODMEAAAAATAHAAAACjEyLzMxLzIwMjUIAAAACjEyLzMxLzIwMjUJAAAAATCFZNQVl7XeCIVk1BWXtd4IEkNJUS5ERk06VEFMQUJBVC4uLgUAAAABAAAACAAAABYoSW52YWxpZCBGb3JtdWxhIE5hbWUpa3eNFpe13ghrd40Wl7XeCBRDSVEuTkFTREFRR1M6REFTSC4uLgUAAAABAAAACAAAABYoSW52YWxpZCBGb3JtdWxhIE5hbWUpa3eNFpe13ghrd40Wl7XeCBBDSVEuWFRSQTpESEVSLi4uBQAAAAEAAAAIAAAAFihJbnZhbGlkIEZvcm11bGEgTmFtZSlrd40Wl7XeCGt3jRaXtd4IEENJUS5TRUhLOjM2OTAuLi4FAAAAAQAAAAgAAAAWKEludmFsaWQg</t>
  </si>
  <si>
    <t>Rm9ybXVsYSBOYW1lKWt3jRaXtd4Ia3eNFpe13ggTQ0lRLk9UQ1BLOkRJREkuWS4uLgUAAAABAAAACAAAABYoSW52YWxpZCBGb3JtdWxhIE5hbWUpa3eNFpe13ghrd40Wl7XeCBRDSVEuTkFTREFRR1M6TFlGVC4uLgUAAAABAAAACAAAABYoSW52YWxpZCBGb3JtdWxhIE5hbWUpa3eNFpe13ghrd40Wl7XeCBBDSVEuTllTRTpVQkVSLi4uBQAAAAEAAAAIAAAAFihJbnZhbGlkIEZvcm11bGEgTmFtZSlrd40Wl7XeCGt3jRaXtd4ID0NJUS5OWVNFOiBTRS4uLgUAAAABAAAACAAAABYoSW52YWxpZCBGb3JtdWxhIE5hbWUpa3eNFpe13ghrd40Wl7XeCBBDSVEuSURYOiBHT1RPLi4uBQAAAAEAAAAIAAAAFihJbnZhbGlkIEZvcm11bGEgTmFtZSlrd40Wl7XeCGt3jRaXtd4IFENJUS5OQVNEQVFHUzpHUkFCLi4uBQAAAAEAAAAIAAAAFihJbnZhbGlkIEZvcm11bGEgTmFtZSlrd40Wl7XeCGt3jRaXtd4ILUNJUS4oSU5WQUxJRCBJREVOVElGSUVSKS5JUV9UUl9JTVBMSUVEX0VWX1JFVgUAAAAAAAAACAAAABgoSW52YWxpZCBUcmFuc2FjdGlvbiBJZClrd40Wl7XeCBYxJCWXtd4ILkNJUS4oSU5WQUxJRCBJREVOVElGSUVSKS5JUV9UUl9JTVBMSUVEX0VWX0VCSVQFAAAAAAAAAAgAAAAYKEludmFsaWQgVHJhbnNhY3Rpb24gSWQpa3eNFpe13ggWMSQll7XeCClDSVEuKElOVkFMSUQgSURFTlRJRklFUikuSVFfVFJfVEFS</t>
  </si>
  <si>
    <t>R0VUTkFNRQUAAAAAAAAACAAAABgoSW52YWxpZCBUcmFuc2FjdGlvbiBJZClrd40Wl7XeCJrJISWXtd4IKENJUS4oSU5WQUxJRCBJREVOVElGSUVSKS5JUV9UUl9CVVlFUk5BTUUFAAAAAAAAAAgAAAAYKEludmFsaWQgVHJhbnNhY3Rpb24gSWQpa3eNFpe13giaySEll7XeCCdDSVEuKElOVkFMSUQgSURFTlRJRklFUikuSVFfVFJfQU5OX0RBVEUFAAAAAAAAAAgAAAAYKEludmFsaWQgVHJhbnNhY3Rpb24gSWQpa3eNFpe13giaySEll7XeCChDSVEuKElOVkFMSUQgSURFTlRJRklFUikuSVFfVFJfVEFSR0VUX0lEBQAAAAAAAAAIAAAAGChJbnZhbGlkIFRyYW5zYWN0aW9uIElkKWt3jRaXtd4ISls2J5e13ggpQ0lRLihJTlZBTElEIElERU5USUZJRVIpLklRX1RSX1RPVEFMVkFMVUUFAAAAAAAAAAgAAAAYKEludmFsaWQgVHJhbnNhY3Rpb24gSWQpa3eNFpe13giaySEll7XeCCVDSVEuKElOVkFMSUQgSURFTlRJRklFUikuSVFfVFJfU1RBVFVTBQAAAAAAAAAIAAAAGChJbnZhbGlkIFRyYW5zYWN0aW9uIElkKWt3jRaXtd4ImskhJZe13ggnQ0lRLihJTlZBTElEIElERU5USUZJRVIpLklRX1RSX0NVUlJFTkNZBQAAAAAAAAAIAAAAGChJbnZhbGlkIFRyYW5zYWN0aW9uIElkKWt3jRaXtd4ImskhJZe13ggwQ0lRLihJTlZBTElEIElERU5USUZJRVIpLklRX1RSX0lNUExJRURfRVZfRUJJVERBBQAAAAAAAAAIAAAA</t>
  </si>
  <si>
    <t>GChJbnZhbGlkIFRyYW5zYWN0aW9uIElkKWt3jRaXtd4ImskhJZe13ggeQ0lRLklRMTM2NTg1ODMyLklRX1JBVEVfTEVWRUwuAQAAAGgiJAgCAAAABzIuMTI1MDEAa3eNFpe13ghrd40Wl7XeCB1DSVEuSVE1MDAyNzU3Mi5JUV9SQVRFX0xFVkVMLgEAAAA0XPsCAgAAAAcyLjkxNTg2AGt3jRaXtd4Ia3eNFpe13ggdQ0lRLklRNTAwMjc1NzYuSVFfUkFURV9MRVZFTC4BAAAAOFz7AgIAAAAHMC41MDM5NwBrd40Wl7XeCGt3jRaXtd4IG0NJUS4lVENNU1kxMC5JUV9SQVRFX0xFVkVMLgEAAAAdHygCAgAAAAQ0LjYxAGt3jRaXtd4Ia3eNFpe13ggdQ0lRLklRNTAwMjc1MzcuSVFfUkFURV9MRVZFTC4BAAAAEVz7AgIAAAAHMy41Nzc0NwBrd40Wl7XeCGt3jRaXtd4IHkNJUS5JUTEzNjU4NTg3Ni5JUV9SQVRFX0xFVkVMLgEAAACUIiQIAgAAAAYyLjk3NTYAa3eNFpe13ghrd40Wl7XeCB1DSVEuSVE1MDAyNzUzNC5JUV9SQVRFX0xFVkVMLgEAAAAOXPsCAgAAAAczLjM4OTY3AGt3jRaXtd4Ia3eNFpe13ggdQ0lRLklRNTAwMjc1NjEuSVFfUkFURV9MRVZFTC4BAAAAKVz7AgIAAAAHMy4yNjc5NABrd40Wl7XeCGt3jRaXtd4IHUNJUS5JUTUwMDI3NTI3LklRX1JBVEVfTEVWRUwuAQAAAAdc+wICAAAABjUuMDc0OABrd40Wl7XeCGt3jRaXtd4IHkNJUS5ERk06VEFMQUJBVC5JUV9NQVJLRVRDQVAuLgEAAADZvoJuAgAA</t>
  </si>
  <si>
    <t>AAwyMDE2Ny42MTYzODEBBgAAAAUAAAABMQEAAAALLTE4ODk3Njg4NDQDAAAAATECAAAABjEwMDA1NAQAAAABMAcAAAAJNS8xOC8yMDI2a3eNFpe13ghrd40Wl7XeCCBDSVEuTkFTREFRR1M6REFTSC5JUV9NQVJLRVRDQVAuLgEAAACnHIcOAgAAAAw3MDg3OC4zNjQ1MDgBBgAAAAUAAAABMQEAAAALLTE4OTA5ODMwOTIDAAAAAzE2MAIAAAAGMTAwMDU0BAAAAAEwBwAAAAk1LzE4LzIwMjZrd40Wl7XeCGt3jRaXtd4IHENJUS5YVFJBOkRIRVIuSVFfTUFSS0VUQ0FQLi4BAAAAqrZiCAIAAAALOTI4OS43ODc4MDkBBgAAAAUAAAABMQEAAAALLTE5MDAxMjEzOTEDAAAAAjUwAgAAAAYxMDAwNTQEAAAAATAHAAAACTUvMTgvMjAyNmt3jRaXtd4Ia3eNFpe13ggcQ0lRLlNFSEs6MzY5MC5JUV9NQVJLRVRDQVAuLgEAAAAtdc0GAgAAAA01MDcyMjYuNzM5ODM4AQYAAAAFAAAAATEBAAAACy0xODk0NjgyNjQ2AwAAAAI2NAIAAAAGMTAwMDU0BAAAAAEwBwAAAAk1LzE4LzIwMjZrd40Wl7XeCGt3jRaXtd4IH0NJUS5PVENQSzpESURJLlkuSVFfTUFSS0VUQ0FQLi4BAAAAyWasYwIAAAAMMTYxMzYuMDA2NjIyAQYAAAAFAAAAATEBAAAACy0xODk3MTYyNTM0AwAAAAMxNjACAAAABjEwMDA1NAQAAAABMAcAAAAJNS8xOC8yMDI2a3eNFpe13ghrd40Wl7XeCCBDSVEuTkFTREFRR1M6TFlGVC5JUV9NQVJLRVRDQVAuLgEAAABV</t>
  </si>
  <si>
    <t>MYQDAgAAAAs1MDc2LjM1NTQ1MwEGAAAABQAAAAExAQAAAAstMTg5MDM3MDQ0MQMAAAADMTYwAgAAAAYxMDAwNTQEAAAAATAHAAAACTUvMTgvMjAyNmt3jRaXtd4Ia3eNFpe13ggcQ0lRLk5ZU0U6VUJFUi5JUV9NQVJLRVRDQVAuLgEAAAAwRp0IAgAAAA0xNTI4MzIuNzczODk2AQYAAAAFAAAAATEBAAAACy0xODkxMDI2MzU2AwAAAAMxNjACAAAABjEwMDA1NAQAAAABMAcAAAAJNS8xOC8yMDI2a3eNFpe13ghrd40Wl7XeCBtDSVEuTllTRTogU0UuSVFfTUFSS0VUQ0FQLi4BAAAA+wJnGQIAAAAMNTQwNzYuMjU4NDQ3AQYAAAAFAAAAATEBAAAACy0xODkwMDU5NTcxAwAAAAMxNjACAAAABjEwMDA1NAQAAAABMAcAAAAJNS8xOC8yMDI2a3eNFpe13ghrd40Wl7XeCBxDSVEuSURYOiBHT1RPLklRX01BUktFVENBUC4uAQAAAG+TahECAAAADjUzMDE4MTIyLjIwNjE1AQYAAAAFAAAAATEBAAAACy0xODkzNzk2Mjk2AwAAAAI2OQIAAAAGMTAwMDU0BAAAAAEwBwAAAAk1LzE4LzIwMjZrd40Wl7XeCGt3jRaXtd4IIENJUS5OQVNEQVFHUzpHUkFCLklRX01BUktFVENBUC4uAQAAAHGZziMCAAAABzE0NDc4LjYBBgAAAAUAAAABMQEAAAALLTE4OTE3MzUwMjgDAAAAAzE2MAIAAAAGMTAwMDU0BAAAAAEwBwAAAAk1LzE4LzIwMjZrd40Wl7XeCGt3jRaXtd4IJUNJUS5ERk06VEFMQUJBVC5JUV9DVVNUT01fQkVUQS4tNVku</t>
  </si>
  <si>
    <t>LlcBAAAA2b6CbgIAAAARMC4yNjcwNjAyNzc1MTQ4NTkAa3eNFpe13ghrd40Wl7XeCCdDSVEuTkFTREFRR1M6REFTSC5JUV9DVVNUT01fQkVUQS4tNVkuLlcBAAAApxyHDgIAAAAQMS44NTgwMjg2MTQzNDA3MwBrd40Wl7XeCGt3jRaXtd4II0NJUS5YVFJBOkRIRVIuSVFfQ1VTVE9NX0JFVEEuLTVZLi5XAQAAAKq2YggCAAAAEDEuNzM0NjEwOTc1ODQ1NzkAa3eNFpe13ghrd40Wl7XeCCNDSVEuU0VISzozNjkwLklRX0NVU1RPTV9CRVRBLi01WS4uVwEAAAAtdc0GAgAAABEwLjg1NDQ0MDAxNTkwNjM3MgBrd40Wl7XeCGt3jRaXtd4IJkNJUS5PVENQSzpESURJLlkuSVFfQ1VTVE9NX0JFVEEuLTVZLi5XAQAAAMlmrGMCAAAAEDEuNDA1MzE1ODAwMjE5NDEAa3eNFpe13ghrd40Wl7XeCCdDSVEuTkFTREFRR1M6TFlGVC5JUV9DVVNUT01fQkVUQS4tNVkuLlcBAAAAVTGEAwIAAAAQMS42NTU1NzQ3NjM1MTk0NQBrd40Wl7XeCGt3jRaXtd4II0NJUS5OWVNFOlVCRVIuSVFfQ1VTVE9NX0JFVEEuLTVZLi5XAQAAADBGnQgCAAAADzEuMzAyNzcxMDUyODQxNQBrd40Wl7XeCGt3jRaXtd4IIkNJUS5OWVNFOiBTRS5JUV9DVVNUT01fQkVUQS4tNVkuLlcBAAAA+wJnGQIAAAAQMS43MzAzNTMxNDU1MTYxMQBrd40Wl7XeCGt3jRaXtd4II0NJUS5JRFg6IEdPVE8uSVFfQ1VTVE9NX0JFVEEuLTVZLi5XAQAAAG+TahECAAAA</t>
  </si>
  <si>
    <t>ETAuODEyMDM5MzI5NTE0NDg5AGt3jRaXtd4Ia3eNFpe13ggnQ0lRLk5BU0RBUUdTOkdSQUIuSVFfQ1VTVE9NX0JFVEEuLTVZLi5XAQAAAHGZziMCAAAAEDEuMjQwNzg3NzI1MDM0NzgAa3eNFpe13ghrd40Wl7XeCCNDSVEuREZNOlRBTEFCQVQuSVFfUEVSSU9EREFURS4xMDAwLgEAAADZvoJuBQAAAAozMS8xMi8yMDI1AGt3jRaXtd4Ia3eNFpe13ggoQ0lRLkRGTTpUQUxBQkFULklRX0VGRkVDVF9UQVhfUkFURS4xMDAwLgEAAADZvoJuAgAAAAYxMS45NzcBCAAAAAUAAAABMQEAAAALLTE5MDY3MDA5ODQDAAAAAzE2MAIAAAAENDM3NgQAAAABMAcAAAAJNS8xOC8yMDI2CAAAAAoxMi8zMS8yMDI1CQAAAAEwa3eNFpe13ghrd40Wl7XeCCRDSVEuREZNOlRBTEFCQVQuSVFfRUJJVF9NQVJHSU4uMTAwMC4BAAAA2b6CbgIAAAAHMTQuNDE5NgEIAAAABQAAAAExAQAAAAstMTkwNjcwMDk4NAMAAAADMTYwAgAAAAQ0MDUzBAAAAAEwBwAAAAk1LzE4LzIwMjYIAAAACjEyLzMxLzIwMjUJAAAAATBrd40Wl7XeCGt3jRaXtd4IKENJUS5ERk06VEFMQUJBVC5JUV9UT1RBTF9ERUJULjUwMC4uTEZSLi4BAAAA2b6CbgIAAAAKMTY3LjQzMjk0OQEIAAAABQAAAAExAQAAAAstMTg4OTc2ODg0NAMAAAADMTYwAgAAAAQ0MTczBAAAAAEwBwAAAAk1LzE4LzIwMjYIAAAACTMvMzEvMjAyNgkAAAABMGt3jRaXtd4Ia3eNFpe13ggl</t>
  </si>
  <si>
    <t>Q0lRLk5BU0RBUUdTOkRBU0guSVFfUEVSSU9EREFURS4xMDAwLgEAAACnHIcOBQAAAAozMS8xMi8yMDI1AGt3jRaXtd4Ia3eNFpe13ggqQ0lRLk5BU0RBUUdTOkRBU0guSVFfVE9UQUxfREVCVC41MDAuLkxGUi4uAQAAAKcchw4CAAAABDMyODcBCAAAAAUAAAABMQEAAAALLTE4OTA5ODMwOTIDAAAAAzE2MAIAAAAENDE3MwQAAAABMAcAAAAJNS8xOC8yMDI2CAAAAAkzLzMxLzIwMjYJAAAAATBrd40Wl7XeCGt3jRaXtd4IKkNJUS5OQVNEQVFHUzpEQVNILklRX0VGRkVDVF9UQVhfUkFURS4xMDAwLgEAAACnHIcOAgAAAAYwLjc0NTQBCAAAAAUAAAABMQEAAAALLTE5MDU5NzkxNzgDAAAAAzE2MAIAAAAENDM3NgQAAAABMAcAAAAJNS8xOC8yMDI2CAAAAAoxMi8zMS8yMDI1CQAAAAEwa3eNFpe13ghrd40Wl7XeCCZDSVEuTkFTREFRR1M6REFTSC5JUV9FQklUX01BUkdJTi4xMDAwLgEAAACnHIcOAgAAAAU2LjEzMQEIAAAABQAAAAExAQAAAAstMTkwNTk3OTE3OAMAAAADMTYwAgAAAAQ0MDUzBAAAAAEwBwAAAAk1LzE4LzIwMjYIAAAACjEyLzMxLzIwMjUJAAAAATBrd40Wl7XeCGt3jRaXtd4IIUNJUS5YVFJBOkRIRVIuSVFfUEVSSU9EREFURS4xMDAwLgEAAACqtmIIBQAAAAozMS8xMi8yMDI1AGt3jRaXtd4Ia3eNFpe13ggmQ0lRLlhUUkE6REhFUi5JUV9FRkZFQ1RfVEFYX1JBVEUuMTAwMC4BAAAAqrZiCAMA</t>
  </si>
  <si>
    <t>AAACTk0BCAAAAAUAAAABMQEAAAALLTE5MDAxMjIzNDcDAAAAAjUwAgAAAAQ0Mzc2BAAAAAEwBwAAAAk1LzE4LzIwMjYIAAAACjEyLzMxLzIwMjUJAAAAATBrd40Wl7XeCGt3jRaXtd4IIkNJUS5YVFJBOkRIRVIuSVFfRUJJVF9NQVJHSU4uMTAwMC4BAAAAqrZiCAIAAAAGMC42NjY0AQgAAAAFAAAAATEBAAAACy0xOTAwMTIyMzQ3AwAAAAI1MAIAAAAENDA1MwQAAAABMAcAAAAJNS8xOC8yMDI2CAAAAAoxMi8zMS8yMDI1CQAAAAEwa3eNFpe13ghrd40Wl7XeCCZDSVEuWFRSQTpESEVSLklRX1RPVEFMX0RFQlQuNTAwLi5MRlIuLgEAAACqtmIIAgAAAAY0NjI1LjUBCAAAAAUAAAABMQEAAAALLTE5MDAxMjEzOTEDAAAAAjUwAgAAAAQ0MTczBAAAAAEwBwAAAAk1LzE4LzIwMjYIAAAACjEyLzMxLzIwMjUJAAAAATBrd40Wl7XeCGt3jRaXtd4IIUNJUS5TRUhLOjM2OTAuSVFfUEVSSU9EREFURS4xMDAwLgEAAAAtdc0GBQAAAAozMS8xMi8yMDI1AGt3jRaXtd4Ia3eNFpe13ggmQ0lRLlNFSEs6MzY5MC5JUV9UT1RBTF9ERUJULjUwMC4uTEZSLi4BAAAALXXNBgIAAAAJODY2MTkuMTA2AQgAAAAFAAAAATEBAAAACy0xODk0NjgyNjQ2AwAAAAIzMgIAAAAENDE3MwQAAAABMAcAAAAJNS8xOC8yMDI2CAAAAAoxMi8zMS8yMDI1CQAAAAEwa3eNFpe13ghrd40Wl7XeCCZDSVEuU0VISzozNjkwLklRX0VGRkVDVF9UQVhf</t>
  </si>
  <si>
    <t>UkFURS4xMDAwLgEAAAAtdc0GAwAAAAJOTQEIAAAABQAAAAExAQAAAAstMTg5NDc5MjUyNgMAAAACMzICAAAABDQzNzYEAAAAATAHAAAACTUvMTgvMjAyNggAAAAKMTIvMzEvMjAyNQkAAAABMGt3jRaXtd4Ia3eNFpe13ggiQ0lRLlNFSEs6MzY5MC5JUV9FQklUX01BUkdJTi4xMDAwLgEAAAAtdc0GAgAAAActOC41MDY0AQgAAAAFAAAAATEBAAAACy0xODk0NzkyNTI2AwAAAAIzMgIAAAAENDA1MwQAAAABMAcAAAAJNS8xOC8yMDI2CAAAAAoxMi8zMS8yMDI1CQAAAAEwa3eNFpe13ghrd40Wl7XeCCRDSVEuT1RDUEs6RElESS5ZLklRX1BFUklPRERBVEUuMTAwMC4BAAAAyWasYwUAAAAKMzEvMTIvMjAyNQBrd40Wl7XeCGt3jRaXtd4IKUNJUS5PVENQSzpESURJLlkuSVFfRUZGRUNUX1RBWF9SQVRFLjEwMDAuAQAAAMlmrGMDAAAAAk5NAQgAAAAFAAAAATEBAAAACy0xODk3MTYzMjQ1AwAAAAIzMgIAAAAENDM3NgQAAAABMAcAAAAJNS8xOC8yMDI2CAAAAAoxMi8zMS8yMDI1CQAAAAEwa3eNFpe13ghrd40Wl7XeCCVDSVEuT1RDUEs6RElESS5ZLklRX0VCSVRfTUFSR0lOLjEwMDAuAQAAAMlmrGMCAAAABy0xLjYwMDkBCAAAAAUAAAABMQEAAAALLTE4OTcxNjMyNDUDAAAAAjMyAgAAAAQ0MDUzBAAAAAEwBwAAAAk1LzE4LzIwMjYIAAAACjEyLzMxLzIwMjUJAAAAATBrd40Wl7XeCGt3jRaXtd4IKUNJUS5PVENQ</t>
  </si>
  <si>
    <t>SzpESURJLlkuSVFfVE9UQUxfREVCVC41MDAuLkxGUi4uAQAAAMlmrGMCAAAACTEzNzY0Ljg5NgEIAAAABQAAAAExAQAAAAstMTg5NzE2MjUzNAMAAAACMzICAAAABDQxNzMEAAAAATAHAAAACTUvMTgvMjAyNggAAAAKMTIvMzEvMjAyNQkAAAABMGt3jRaXtd4Ia3eNFpe13gglQ0lRLk5BU0RBUUdTOkxZRlQuSVFfUEVSSU9EREFURS4xMDAwLgEAAABVMYQDBQAAAAozMS8xMi8yMDI1AGt3jRaXtd4Ia3eNFpe13ggqQ0lRLk5BU0RBUUdTOkxZRlQuSVFfVE9UQUxfREVCVC41MDAuLkxGUi4uAQAAAFUxhAMCAAAABzEyODkuNTQBCAAAAAUAAAABMQEAAAALLTE4OTAzNzA0NDEDAAAAAzE2MAIAAAAENDE3MwQAAAABMAcAAAAJNS8xOC8yMDI2CAAAAAkzLzMxLzIwMjYJAAAAATBrd40Wl7XeCGt3jRaXtd4IKkNJUS5OQVNEQVFHUzpMWUZULklRX0VGRkVDVF9UQVhfUkFURS4xMDAwLgEAAABVMYQDAwAAAAJOTQEIAAAABQAAAAExAQAAAAstMTkwNzIyNzUzOAMAAAADMTYwAgAAAAQ0Mzc2BAAAAAEwBwAAAAk1LzE4LzIwMjYIAAAACjEyLzMxLzIwMjUJAAAAATBrd40Wl7XeCGt3jRaXtd4IJkNJUS5OQVNEQVFHUzpMWUZULklRX0VCSVRfTUFSR0lOLjEwMDAuAQAAAFUxhAMCAAAABy0yLjY2NzMBCAAAAAUAAAABMQEAAAALLTE5MDcyMjc1MzgDAAAAAzE2MAIAAAAENDA1MwQAAAABMAcAAAAJNS8xOC8yMDI2CAAA</t>
  </si>
  <si>
    <t>AAoxMi8zMS8yMDI1CQAAAAEwa3eNFpe13ghrd40Wl7XeCCFDSVEuTllTRTpVQkVSLklRX1BFUklPRERBVEUuMTAwMC4BAAAAMEadCAUAAAAKMzEvMTIvMjAyNQBrd40Wl7XeCGt3jRaXtd4IJkNJUS5OWVNFOlVCRVIuSVFfRUZGRUNUX1RBWF9SQVRFLjEwMDAuAQAAADBGnQgDAAAAAk5NAQgAAAAFAAAAATEBAAAACy0xOTA2NjkzNDIxAwAAAAMxNjACAAAABDQzNzYEAAAAATAHAAAACTUvMTgvMjAyNggAAAAKMTIvMzEvMjAyNQkAAAABMGt3jRaXtd4Ia3eNFpe13ggiQ0lRLk5ZU0U6VUJFUi5JUV9FQklUX01BUkdJTi4xMDAwLgEAAAAwRp0IAgAAAAcxMC42OTg0AQgAAAAFAAAAATEBAAAACy0xOTA2NjkzNDIxAwAAAAMxNjACAAAABDQwNTMEAAAAATAHAAAACTUvMTgvMjAyNggAAAAKMTIvMzEvMjAyNQkAAAABMGt3jRaXtd4Ia3eNFpe13ggmQ0lRLk5ZU0U6VUJFUi5JUV9UT1RBTF9ERUJULjUwMC4uTEZSLi4BAAAAMEadCAIAAAAFMTI0MTkBCAAAAAUAAAABMQEAAAALLTE4OTEwMjYzNTYDAAAAAzE2MAIAAAAENDE3MwQAAAABMAcAAAAJNS8xOC8yMDI2CAAAAAkzLzMxLzIwMjYJAAAAATBrd40Wl7XeCGt3jRaXtd4IIENJUS5OWVNFOiBTRS5JUV9QRVJJT0REQVRFLjEwMDAuAQAAAPsCZxkFAAAACjMxLzEyLzIwMjUAa3eNFpe13ghrd40Wl7XeCCVDSVEuTllTRTogU0UuSVFfVE9UQUxfREVCVC41MDAu</t>
  </si>
  <si>
    <t>LkxGUi4uAQAAAPsCZxkCAAAACDMzNzUuODQ3AQgAAAAFAAAAATEBAAAACy0xODk2MjIzMjg2AwAAAAMxNjACAAAABDQxNzMEAAAAATAHAAAACTUvMTgvMjAyNggAAAAKMTIvMzEvMjAyNQkAAAABMGt3jRaXtd4Ia3eNFpe13gglQ0lRLk5ZU0U6IFNFLklRX0VGRkVDVF9UQVhfUkFURS4xMDAwLgEAAAD7AmcZAgAAAAcyOC43ODM3AQgAAAAFAAAAATEBAAAACy0xODk2MjIzOTAzAwAAAAMxNjACAAAABDQzNzYEAAAAATAHAAAACTUvMTgvMjAyNggAAAAKMTIvMzEvMjAyNQkAAAABMGt3jRaXtd4Ia3eNFpe13gghQ0lRLk5ZU0U6IFNFLklRX0VCSVRfTUFSR0lOLjEwMDAuAQAAAPsCZxkCAAAABjguNjU0OQEIAAAABQAAAAExAQAAAAstMTg5NjIyMzkwMwMAAAADMTYwAgAAAAQ0MDUzBAAAAAEwBwAAAAk1LzE4LzIwMjYIAAAACjEyLzMxLzIwMjUJAAAAATBrd40Wl7XeCGt3jRaXtd4IJkNJUS5JRFg6IEdPVE8uSVFfVE9UQUxfREVCVC41MDAuLkxGUi4uAQAAAG+TahECAAAABzc5OTkzMTEBCAAAAAUAAAABMQEAAAALLTE4OTM3OTYyOTYDAAAAAjY5AgAAAAQ0MTczBAAAAAEwBwAAAAk1LzE4LzIwMjYIAAAACTMvMzEvMjAyNgkAAAABMGt3jRaXtd4Ia3eNFpe13ggmQ0lRLklEWDogR09UTy5JUV9FRkZFQ1RfVEFYX1JBVEUuMTAwMC4BAAAAb5NqEQMAAAACTk0BCAAAAAUAAAABMQEAAAALLTE5MDIxNDY3MzgD</t>
  </si>
  <si>
    <t>AAAAAjY5AgAAAAQ0Mzc2BAAAAAEwBwAAAAk1LzE4LzIwMjYIAAAACjEyLzMxLzIwMjUJAAAAATBrd40Wl7XeCGt3jRaXtd4IIkNJUS5JRFg6IEdPVE8uSVFfRUJJVF9NQVJHSU4uMTAwMC4BAAAAb5NqEQIAAAAHLTIuMDY0NAEIAAAABQAAAAExAQAAAAstMTkwMjE0NjczOAMAAAACNjkCAAAABDQwNTMEAAAAATAHAAAACTUvMTgvMjAyNggAAAAKMTIvMzEvMjAyNQkAAAABMGt3jRaXtd4Ia3eNFpe13gglQ0lRLk5BU0RBUUdTOkdSQUIuSVFfUEVSSU9EREFURS4xMDAwLgEAAABxmc4jBQAAAAozMS8xMi8yMDI1AGt3jRaXtd4Ia3eNFpe13ggqQ0lRLk5BU0RBUUdTOkdSQUIuSVFfRUZGRUNUX1RBWF9SQVRFLjEwMDAuAQAAAHGZziMCAAAABzI1LjY1MDUBCAAAAAUAAAABMQEAAAALLTE5MDMwNzk3MzcDAAAAAzE2MAIAAAAENDM3NgQAAAABMAcAAAAJNS8xOC8yMDI2CAAAAAoxMi8zMS8yMDI1CQAAAAEwa3eNFpe13ghrd40Wl7XeCCZDSVEuTkFTREFRR1M6R1JBQi5JUV9FQklUX01BUkdJTi4xMDAwLgEAAABxmc4jAgAAAAYyLjM3MzgBCAAAAAUAAAABMQEAAAALLTE5MDMwNzk3MzcDAAAAAzE2MAIAAAAENDA1MwQAAAABMAcAAAAJNS8xOC8yMDI2CAAAAAoxMi8zMS8yMDI1CQAAAAEwa3eNFpe13ghrd40Wl7XeCCpDSVEuTkFTREFRR1M6R1JBQi5JUV9UT1RBTF9ERUJULjUwMC4uTEZSLi4BAAAAcZnOIwIA</t>
  </si>
  <si>
    <t>AAAEMTU5MwEIAAAABQAAAAExAQAAAAstMTkwMzA3ODkzMQMAAAADMTYwAgAAAAQ0MTczBAAAAAEwBwAAAAk1LzE4LzIwMjYIAAAACjEyLzMxLzIwMjUJAAAAATBrd40Wl7XeCGt3jRaXtd4IMENJUS5OQVNEQVFHUzpHUkFCLklRX1RPVEFMX1JFVi4uMzEvMTIvMjAyNS4uLlNHRAEAAABxmc4jAgAAAAk0MzM0LjU5NTEBCAAAAAUAAAABMQEAAAALLTE5MDMwNzg5MjkDAAAAAzEzOAIAAAACMjgEAAAAATAHAAAACjEyLzMxLzIwMjUIAAAACjEyLzMxLzIwMjUJAAAAATBrd40Wl7XeCGt3jRaXtd4ILENJUS5JRFg6IEdPVE8uSVFfVE9UQUxfUkVWLi4zMS8xMi8yMDI1Li4uU0dEAQAAAG+TahECAAAACzE0MTAuODIxMzMxAQgAAAAFAAAAATEBAAAACy0xOTAyMTQ2NzE1AwAAAAMxMzgCAAAAAjI4BAAAAAEwBwAAAAoxMi8zMS8yMDI1CAAAAAoxMi8zMS8yMDI1CQAAAAEwa3eNFpe13ghrd40Wl7XeCCxDSVEuTllTRTpVQkVSLklRX1RPVEFMX1JFVi4uMzEvMTIvMjAyNS4uLlNHRAEAAAAwRp0IAgAAAAs2NjkwNS44MjU5MQEIAAAABQAAAAExAQAAAAstMTkwNjY5MTc2MQMAAAADMTM4AgAAAAIyOAQAAAABMAcAAAAKMTIvMzEvMjAyNQgAAAAKMTIvMzEvMjAyNQkAAAABMGt3jRaXtd4Ia3eNFpe13ggrQ0lRLk5ZU0U6IFNFLklRX1RPVEFMX1JFVi4uMzEvMTIvMjAyNS4uLlNHRAEAAAD7AmcZAgAAAAwyOTUwNC4x</t>
  </si>
  <si>
    <t>NDY5ODIBCAAAAAUAAAABMQEAAAALLTE4OTYyMjMyODQDAAAAAzEzOAIAAAACMjgEAAAAATAHAAAACjEyLzMxLzIwMjUIAAAACjEyLzMxLzIwMjUJAAAAATBywo0Wl7XeCHLCjRaXtd4ILENJUS5TRUhLOjM2OTAuSVFfVE9UQUxfUkVWLi4zMS8xMi8yMDI1Li4uU0dEAQAAAC11zQYCAAAADDY3MDk0LjY5Mjc5MwEIAAAABQAAAAExAQAAAAstMTg5NDY4MjYzOQMAAAADMTM4AgAAAAIyOAQAAAABMAcAAAAKMTIvMzEvMjAyNQgAAAAKMTIvMzEvMjAyNQkAAAABMHLCjRaXtd4IcsKNFpe13gguQ0lRLkRGTTpUQUxBQkFULklRX1RPVEFMX1JFVi4uMzEvMTIvMjAyNS4uLlNHRAEAAADZvoJuAgAAAAo0NDg3LjUyMjgyAQgAAAAFAAAAATEBAAAACy0xOTA2Njk5NTM0AwAAAAMxMzgCAAAAAjI4BAAAAAEwBwAAAAoxMi8zMS8yMDI1CAAAAAoxMi8zMS8yMDI1CQAAAAEwcsKNFpe13ghywo0Wl7XeCDBDSVEuTkFTREFRR1M6TFlGVC5JUV9UT1RBTF9SRVYuLjMxLzEyLzIwMjUuLi5TR0QBAAAAVTGEAwIAAAALODEyNC4xNjQzODYBCAAAAAUAAAABMQEAAAALLTE5MDcyMTk5ODQDAAAAAzEzOAIAAAACMjgEAAAAATAHAAAACjEyLzMxLzIwMjUIAAAACjEyLzMxLzIwMjUJAAAAATBywo0Wl7XeCHLCjRaXtd4ILENJUS5YVFJBOkRIRVIuSVFfVE9UQUxfUkVWLi4zMS8xMi8yMDI1Li4uU0dEAQAAAKq2YggCAAAADDIxMjMy</t>
  </si>
  <si>
    <t>LjY4Njc1NAEIAAAABQAAAAExAQAAAAstMTkwMDEyMTM4NQMAAAADMTM4AgAAAAIyOAQAAAABMAcAAAAKMTIvMzEvMjAyNQgAAAAKMTIvMzEvMjAyNQkAAAABMHLCjRaXtd4IcsKNFpe13ggwQ0lRLk5BU0RBUUdTOkRBU0guSVFfVE9UQUxfUkVWLi4zMS8xMi8yMDI1Li4uU0dEAQAAAKcchw4CAAAACzE3NjQzLjIxNjkxAQgAAAAFAAAAATEBAAAACy0xOTA1OTc4NjQ2AwAAAAMxMzgCAAAAAjI4BAAAAAEwBwAAAAoxMi8zMS8yMDI1CAAAAAoxMi8zMS8yMDI1CQAAAAEwcsKNFpe13ghywo0Wl7XeCC9DSVEuT1RDUEs6RElESS5ZLklRX1RPVEFMX1JFVi4uMzEvMTIvMjAyNS4uLlNHRAEAAADJZqxjAgAAAAw0MTY4OS4wOTE4MDkBCAAAAAUAAAABMQEAAAALLTE4OTcxNjI1MzIDAAAAAzEzOAIAAAACMjgEAAAAATAHAAAACjEyLzMxLzIwMjUIAAAACjEyLzMxLzIwMjUJAAAAATBywo0Wl7XeCHLCjRaXtd4IKUNJUS5OQVNEQVFHUzpMWUZULklRX0dQLi4zMS8xMi8yMDI1Li4uU0dEAQAAAFUxhAMCAAAACzI3NTIuODg3MTk5AQgAAAAFAAAAATEBAAAACy0xOTA3MjE5OTg0AwAAAAMxMzgCAAAAAjEwBAAAAAEwBwAAAAoxMi8zMS8yMDI1CAAAAAoxMi8zMS8yMDI1CQAAAAEwcsKNFpe13ghywo0Wl7XeCChDSVEuT1RDUEs6RElESS5ZLklRX0dQLi4zMS8xMi8yMDI1Li4uU0dEAQAAAMlmrGMCAAAACzY0NTEuODI0</t>
  </si>
  <si>
    <t>MTE5AQgAAAAFAAAAATEBAAAACy0xODk3MTYyNTMyAwAAAAMxMzgCAAAAAjEwBAAAAAEwBwAAAAoxMi8zMS8yMDI1CAAAAAoxMi8zMS8yMDI1CQAAAAEwcsKNFpe13ghywo0Wl7XeCCVDSVEuU0VISzozNjkwLklRX0dQLi4zMS8xMi8yMDI1Li4uU0dEAQAAAC11zQYCAAAACzIwNDEzLjg0ODkxAQgAAAAFAAAAATEBAAAACy0xODk0NjgyNjM5AwAAAAMxMzgCAAAAAjEwBAAAAAEwBwAAAAoxMi8zMS8yMDI1CAAAAAoxMi8zMS8yMDI1CQAAAAEwcsKNFpe13ghywo0Wl7XeCCVDSVEuWFRSQTpESEVSLklRX0dQLi4zMS8xMi8yMDI1Li4uU0dEAQAAAKq2YggCAAAACzUxODQuNjM4MDM0AQgAAAAFAAAAATEBAAAACy0xOTAwMTIxMzg1AwAAAAMxMzgCAAAAAjEwBAAAAAEwBwAAAAoxMi8zMS8yMDI1CAAAAAoxMi8zMS8yMDI1CQAAAAEwcsKNFpe13ghywo0Wl7XeCClDSVEuTkFTREFRR1M6REFTSC5JUV9HUC4uMzEvMTIvMjAyNS4uLlNHRAEAAACnHIcOAgAAAAo5MTQzLjgwOTA3AQgAAAAFAAAAATEBAAAACy0xOTA1OTc4NjQ2AwAAAAMxMzgCAAAAAjEwBAAAAAEwBwAAAAoxMi8zMS8yMDI1CAAAAAoxMi8zMS8yMDI1CQAAAAEwcsKNFpe13ghywo0Wl7XeCCdDSVEuREZNOlRBTEFCQVQuSVFfR1AuLjMxLzEyLzIwMjUuLi5TR0QBAAAA2b6CbgIAAAALMTM2Ny42NTU1NzMBCAAAAAUAAAABMQEAAAALLTE5MDY2OTk1</t>
  </si>
  <si>
    <t>MzQDAAAAAzEzOAIAAAACMTAEAAAAATAHAAAACjEyLzMxLzIwMjUIAAAACjEyLzMxLzIwMjUJAAAAATBywo0Wl7XeCHLCjRaXtd4IKUNJUS5OQVNEQVFHUzpHUkFCLklRX0dQLi4zMS8xMi8yMDI1Li4uU0dEAQAAAHGZziMCAAAACjE3MTkuNjg5NTEBCAAAAAUAAAABMQEAAAALLTE5MDMwNzg5MjkDAAAAAzEzOAIAAAACMTAEAAAAATAHAAAACjEyLzMxLzIwMjUIAAAACjEyLzMxLzIwMjUJAAAAATBywo0Wl7XeCHLCjRaXtd4IJUNJUS5JRFg6IEdPVE8uSVFfR1AuLjMxLzEyLzIwMjUuLi5TR0QBAAAAb5NqEQIAAAAKODE0LjM2ODk2NwEIAAAABQAAAAExAQAAAAstMTkwMjE0NjcxNQMAAAADMTM4AgAAAAIxMAQAAAABMAcAAAAKMTIvMzEvMjAyNQgAAAAKMTIvMzEvMjAyNQkAAAABMHLCjRaXtd4IcsKNFpe13ggkQ0lRLk5ZU0U6IFNFLklRX0dQLi4zMS8xMi8yMDI1Li4uU0dEAQAAAPsCZxkCAAAADDEzMTc1LjgwMTg0MgEIAAAABQAAAAExAQAAAAstMTg5NjIyMzI4NAMAAAADMTM4AgAAAAIxMAQAAAABMAcAAAAKMTIvMzEvMjAyNQgAAAAKMTIvMzEvMjAyNQkAAAABMHLCjRaXtd4IcsKNFpe13gglQ0lRLk5ZU0U6VUJFUi5JUV9HUC4uMzEvMTIvMjAyNS4uLlNHRAEAAAAwRp0IAgAAAAsyNTc1Ni43NTU3NQEIAAAABQAAAAExAQAAAAstMTkwNjY5MTc2MQMAAAADMTM4AgAAAAIxMAQAAAABMAcAAAAKMTIv</t>
  </si>
  <si>
    <t>MzEvMjAyNQgAAAAKMTIvMzEvMjAyNQkAAAABMHLCjRaXtd4IcsKNFpe13ggpQ0lRLlNFSEs6MzY5MC5JUV9FQklUREEuLjMxLzEyLzIwMjUuLi5TR0QBAAAALXXNBgIAAAAMLTQ0MjIuMTM3OTU1AQgAAAAFAAAAATEBAAAACy0xODk0NjgyNjM5AwAAAAMxMzgCAAAABDQwNTEEAAAAATAHAAAACjEyLzMxLzIwMjUIAAAACjEyLzMxLzIwMjUJAAAAATBywo0Wl7XeCHLCjRaXtd4IKUNJUS5YVFJBOkRIRVIuSVFfRUJJVERBLi4zMS8xMi8yMDI1Li4uU0dEAQAAAKq2YggCAAAACjQ2MC40NTczNTIBCAAAAAUAAAABMQEAAAALLTE5MDAxMjEzODUDAAAAAzEzOAIAAAAENDA1MQQAAAABMAcAAAAKMTIvMzEvMjAyNQgAAAAKMTIvMzEvMjAyNQkAAAABMHLCjRaXtd4IcsKNFpe13ggtQ0lRLk5BU0RBUUdTOkRBU0guSVFfRUJJVERBLi4zMS8xMi8yMDI1Li4uU0dEAQAAAKcchw4CAAAACjE1NjYuNjI4MTQBCAAAAAUAAAABMQEAAAALLTE5MDU5Nzg2NDYDAAAAAzEzOAIAAAAENDA1MQQAAAABMAcAAAAKMTIvMzEvMjAyNQgAAAAKMTIvMzEvMjAyNQkAAAABMHLCjRaXtd4IcsKNFpe13ggrQ0lRLkRGTTpUQUxBQkFULklRX0VCSVREQS4uMzEvMTIvMjAyNS4uLlNHRAEAAADZvoJuAgAAAAo3MTAuMTYxMDk3AQgAAAAFAAAAATEBAAAACy0xOTA2Njk5NTM0AwAAAAMxMzgCAAAABDQwNTEEAAAAATAHAAAACjEyLzMxLzIw</t>
  </si>
  <si>
    <t>MjUIAAAACjEyLzMxLzIwMjUJAAAAATBywo0Wl7XeCHLCjRaXtd4IKENJUS5OWVNFOiBTRS5JUV9FQklUREEuLjMxLzEyLzIwMjUuLi5TR0QBAAAA+wJnGQIAAAALMzAzMi4yNTc2NDIBCAAAAAUAAAABMQEAAAALLTE4OTYyMjMyODQDAAAAAzEzOAIAAAAENDA1MQQAAAABMAcAAAAKMTIvMzEvMjAyNQgAAAAKMTIvMzEvMjAyNQkAAAABMHLCjRaXtd4IcsKNFpe13ggsQ0lRLk9UQ1BLOkRJREkuWS5JUV9FQklUREEuLjMxLzEyLzIwMjUuLi5TR0QBAAAAyWasYwIAAAALLTI1MC42NDk4OTYBCAAAAAUAAAABMQEAAAALLTE4OTcxNjI1MzIDAAAAAzEzOAIAAAAENDA1MQQAAAABMAcAAAAKMTIvMzEvMjAyNQgAAAAKMTIvMzEvMjAyNQkAAAABMHLCjRaXtd4IcsKNFpe13ggtQ0lRLk5BU0RBUUdTOkdSQUIuSVFfRUJJVERBLi4zMS8xMi8yMDI1Li4uU0dEAQAAAHGZziMCAAAACTMzMC41NjExMQEIAAAABQAAAAExAQAAAAstMTkwMzA3ODkyOQMAAAADMTM4AgAAAAQ0MDUxBAAAAAEwBwAAAAoxMi8zMS8yMDI1CAAAAAoxMi8zMS8yMDI1CQAAAAEwcsKNFpe13ghywo0Wl7XeCClDSVEuSURYOiBHT1RPLklRX0VCSVREQS4uMzEvMTIvMjAyNS4uLlNHRAEAAABvk2oRAgAAAAktOS40MzY3ODEBCAAAAAUAAAABMQEAAAALLTE5MDIxNDY3MTUDAAAAAzEzOAIAAAAENDA1MQQAAAABMAcAAAAKMTIvMzEvMjAyNQgAAAAK</t>
  </si>
  <si>
    <t>MTIvMzEvMjAyNQkAAAABMHLCjRaXtd4IcsKNFpe13ggpQ0lRLk5ZU0U6VUJFUi5JUV9FQklUREEuLjMxLzEyLzIwMjUuLi5TR0QBAAAAMEadCAIAAAAKODExOC42ODM3NgEIAAAABQAAAAExAQAAAAstMTkwNjY5MTc2MQMAAAADMTM4AgAAAAQ0MDUxBAAAAAEwBwAAAAoxMi8zMS8yMDI1CAAAAAoxMi8zMS8yMDI1CQAAAAEwcsKNFpe13ghywo0Wl7XeCC1DSVEuTkFTREFRR1M6TFlGVC5JUV9FQklUREEuLjMxLzEyLzIwMjUuLi5TR0QBAAAAVTGEAwIAAAAKLTQyLjc2MzI4OQEIAAAABQAAAAExAQAAAAstMTkwNzIxOTk4NAMAAAADMTM4AgAAAAQ0MDUxBAAAAAEwBwAAAAoxMi8zMS8yMDI1CAAAAAoxMi8zMS8yMDI1CQAAAAEwcsKNFpe13ghywo0Wl7XeCCdDSVEuU0VISzozNjkwLklRX0VCSVQuLjMxLzEyLzIwMjUuLi5TR0QBAAAALXXNBgIAAAAMLTU3MDcuMzc4NDE4AQgAAAAFAAAAATEBAAAACy0xODk0NjgyNjM5AwAAAAMxMzgCAAAAAzQwMAQAAAABMAcAAAAKMTIvMzEvMjAyNQgAAAAKMTIvMzEvMjAyNQkAAAABMHLCjRaXtd4IcsKNFpe13ggrQ0lRLk5BU0RBUUdTOkRBU0guSVFfRUJJVC4uMzEvMTIvMjAyNS4uLlNHRAEAAACnHIcOAgAAAAoxMDgxLjcxOTQzAQgAAAAFAAAAATEBAAAACy0xOTA1OTc4NjQ2AwAAAAMxMzgCAAAAAzQwMAQAAAABMAcAAAAKMTIvMzEvMjAyNQgAAAAKMTIvMzEvMjAy</t>
  </si>
  <si>
    <t>NQkAAAABMHLCjRaXtd4IcsKNFpe13ggnQ0lRLklEWDogR09UTy5JUV9FQklULi4zMS8xMi8yMDI1Li4uU0dEAQAAAG+TahECAAAACi0yOS4xMjU5MzYBCAAAAAUAAAABMQEAAAALLTE5MDIxNDY3MTUDAAAAAzEzOAIAAAADNDAwBAAAAAEwBwAAAAoxMi8zMS8yMDI1CAAAAAoxMi8zMS8yMDI1CQAAAAEwcsKNFpe13ghywo0Wl7XeCCZDSVEuTllTRTogU0UuSVFfRUJJVC4uMzEvMTIvMjAyNS4uLlNHRAEAAAD7AmcZAgAAAAsyNTUzLjU2MDEzNgEIAAAABQAAAAExAQAAAAstMTg5NjIyMzI4NAMAAAADMTM4AgAAAAM0MDAEAAAAATAHAAAACjEyLzMxLzIwMjUIAAAACjEyLzMxLzIwMjUJAAAAATBywo0Wl7XeCHLCjRaXtd4IJ0NJUS5OWVNFOlVCRVIuSVFfRUJJVC4uMzEvMTIvMjAyNS4uLlNHRAEAAAAwRp0IAgAAAAo3MTU3Ljg2OTk1AQgAAAAFAAAAATEBAAAACy0xOTA2NjkxNzYxAwAAAAMxMzgCAAAAAzQwMAQAAAABMAcAAAAKMTIvMzEvMjAyNQgAAAAKMTIvMzEvMjAyNQkAAAABMHLCjRaXtd4IcsKNFpe13ggnQ0lRLlhUUkE6REhFUi5JUV9FQklULi4zMS8xMi8yMDI1Li4uU0dEAQAAAKq2YggCAAAACjE0MS41MDQ5MzIBCAAAAAUAAAABMQEAAAALLTE5MDAxMjEzODUDAAAAAzEzOAIAAAADNDAwBAAAAAEwBwAAAAoxMi8zMS8yMDI1CAAAAAoxMi8zMS8yMDI1CQAAAAEwcsKNFpe13ghywo0Wl7XeCClD</t>
  </si>
  <si>
    <t>SVEuREZNOlRBTEFCQVQuSVFfRUJJVC4uMzEvMTIvMjAyNS4uLlNHRAEAAADZvoJuAgAAAAk2NDcuMDgzODgBCAAAAAUAAAABMQEAAAALLTE5MDY2OTk1MzQDAAAAAzEzOAIAAAADNDAwBAAAAAEwBwAAAAoxMi8zMS8yMDI1CAAAAAoxMi8zMS8yMDI1CQAAAAEwcsKNFpe13ghywo0Wl7XeCCtDSVEuTkFTREFRR1M6TFlGVC5JUV9FQklULi4zMS8xMi8yMDI1Li4uU0dEAQAAAFUxhAMCAAAACy0yMTYuNjk2MzEzAQgAAAAFAAAAATEBAAAACy0xOTA3MjE5OTg0AwAAAAMxMzgCAAAAAzQwMAQAAAABMAcAAAAKMTIvMzEvMjAyNQgAAAAKMTIvMzEvMjAyNQkAAAABMHLCjRaXtd4IcsKNFpe13ggrQ0lRLk5BU0RBUUdTOkdSQUIuSVFfRUJJVC4uMzEvMTIvMjAyNS4uLlNHRAEAAABxmc4jAgAAAAgxMDIuODk4NAEIAAAABQAAAAExAQAAAAstMTkwMzA3ODkyOQMAAAADMTM4AgAAAAM0MDAEAAAAATAHAAAACjEyLzMxLzIwMjUIAAAACjEyLzMxLzIwMjUJAAAAATBywo0Wl7XeCHLCjRaXtd4IKkNJUS5PVENQSzpESURJLlkuSVFfRUJJVC4uMzEvMTIvMjAyNS4uLlNHRAEAAADJZqxjAgAAAAstNjY3LjQzNzc3MwEIAAAABQAAAAExAQAAAAstMTg5NzE2MjUzMgMAAAADMTM4AgAAAAM0MDAEAAAAATAHAAAACjEyLzMxLzIwMjUIAAAACjEyLzMxLzIwMjUJAAAAATDMEI4Wl7XeCMwQjhaXtd4IOENJUS5OQVNEQVFHUzpM</t>
  </si>
  <si>
    <t>WUZULklRX1JFVFVSTl9JTlZFU1RFRF9DQVBJVEFMLi4zMS8xMi8yMDI1AQAAAFUxhAMCAAAABzg1Ljk4OTUAzBCOFpe13gjMEI4Wl7XeCDdDSVEuT1RDUEs6RElESS5ZLklRX1JFVFVSTl9JTlZFU1RFRF9DQVBJVEFMLi4zMS8xMi8yMDI1AQAAAMlmrGMCAAAABjAuODg4OQDMEI4Wl7XeCMwQjhaXtd4INENJUS5YVFJBOkRIRVIuSVFfUkVUVVJOX0lOVkVTVEVEX0NBUElUQUwuLjMxLzEyLzIwMjUBAAAAqrZiCAIAAAAILTEwLjU4MDMAzBCOFpe13gjMEI4Wl7XeCDhDSVEuTkFTREFRR1M6REFTSC5JUV9SRVRVUk5fSU5WRVNURURfQ0FQSVRBTC4uMzEvMTIvMjAyNQEAAACnHIcOAgAAAAY4LjYyNDYAzBCOFpe13gjMEI4Wl7XeCDRDSVEuTllTRTpVQkVSLklRX1JFVFVSTl9JTlZFU1RFRF9DQVBJVEFMLi4zMS8xMi8yMDI1AQAAADBGnQgCAAAABzI3LjA2MTYAzBCOFpe13gjMEI4Wl7XeCDRDSVEuU0VISzozNjkwLklRX1JFVFVSTl9JTlZFU1RFRF9DQVBJVEFMLi4zMS8xMi8yMDI1AQAAAC11zQYCAAAABi05LjkwMgDMEI4Wl7XeCMwQjhaXtd4INkNJUS5ERk06VEFMQUJBVC5JUV9SRVRVUk5fSU5WRVNURURfQ0FQSVRBTC4uMzEvMTIvMjAyNQEAAADZvoJuAgAAAAYyOS41ODUAzBCOFpe13gjMEI4Wl7XeCDhDSVEuTkFTREFRR1M6R1JBQi5JUV9SRVRVUk5fSU5WRVNURURfQ0FQSVRBTC4uMzEvMTIvMjAy</t>
  </si>
  <si>
    <t>NQEAAABxmc4jAgAAAAYzLjU1NzkAzBCOFpe13gjMEI4Wl7XeCDRDSVEuSURYOiBHT1RPLklRX1JFVFVSTl9JTlZFU1RFRF9DQVBJVEFMLi4zMS8xMi8yMDI1AQAAAG+TahECAAAABy0zLjMwODMAzBCOFpe13gjMEI4Wl7XeCDNDSVEuTllTRTogU0UuSVFfUkVUVVJOX0lOVkVTVEVEX0NBUElUQUwuLjMxLzEyLzIwMjUBAAAA+wJnGQIAAAAGMTEuMDI2AMwQjhaXtd4IzBCOFpe13ggvQ0lRLk5ZU0U6VUJFUi5JUV9EQVlTX0lOVkVOVE9SWV9PVVQuLjMxLzEyLzIwMjUBAAAAMEadCAMAAAAAAMwQjhaXtd4IzBCOFpe13gguQ0lRLk5ZU0U6IFNFLklRX0RBWVNfSU5WRU5UT1JZX09VVC4uMzEvMTIvMjAyNQEAAAD7AmcZAgAAAAc1LjI1ODkyAQgAAAAFAAAAATEBAAAACy0xODk2MjIzMjg0AwAAAAMxNjACAAAABDQwMzUEAAAAATAHAAAACjEyLzMxLzIwMjUIAAAACjEyLzMxLzIwMjUJAAAAATDMEI4Wl7XeCMwQjhaXtd4IL0NJUS5YVFJBOkRIRVIuSVFfREFZU19JTlZFTlRPUllfT1VULi4zMS8xMi8yMDI1AQAAAKq2YggCAAAACDYuMjcxNzk1AQgAAAAFAAAAATEBAAAACy0xOTAwMTIxMzg1AwAAAAI1MAIAAAAENDAzNQQAAAABMAcAAAAKMTIvMzEvMjAyNQgAAAAKMTIvMzEvMjAyNQkAAAABMMwQjhaXtd4IzBCOFpe13ggzQ0lRLk5BU0RBUUdTOkxZRlQuSVFfREFZU19JTlZFTlRPUllfT1VULi4zMS8xMi8y</t>
  </si>
  <si>
    <t>MDI1AQAAAFUxhAMDAAAAAADMEI4Wl7XeCMwQjhaXtd4IMkNJUS5PVENQSzpESURJLlkuSVFfREFZU19JTlZFTlRPUllfT1VULi4zMS8xMi8yMDI1AQAAAMlmrGMDAAAAAADMEI4Wl7XeCMwQjhaXtd4IL0NJUS5TRUhLOjM2OTAuSVFfREFZU19JTlZFTlRPUllfT1VULi4zMS8xMi8yMDI1AQAAAC11zQYCAAAACDUuODU3ODg1AQgAAAAFAAAAATEBAAAACy0xODk0NjgyNjM5AwAAAAIzMgIAAAAENDAzNQQAAAABMAcAAAAKMTIvMzEvMjAyNQgAAAAKMTIvMzEvMjAyNQkAAAABMMwQjhaXtd4IzBCOFpe13ggxQ0lRLkRGTTpUQUxBQkFULklRX0RBWVNfSU5WRU5UT1JZX09VVC4uMzEvMTIvMjAyNQEAAADZvoJuAgAAAAg4LjkxMjkzNQEIAAAABQAAAAExAQAAAAstMTkwNjY5OTUzNAMAAAADMTYwAgAAAAQ0MDM1BAAAAAEwBwAAAAoxMi8zMS8yMDI1CAAAAAoxMi8zMS8yMDI1CQAAAAEwzBCOFpe13gjMEI4Wl7XeCDNDSVEuTkFTREFRR1M6R1JBQi5JUV9EQVlTX0lOVkVOVE9SWV9PVVQuLjMxLzEyLzIwMjUBAAAAcZnOIwIAAAAJMTMuMTA2MDU1AQgAAAAFAAAAATEBAAAACy0xOTAzMDc4OTI5AwAAAAMxNjACAAAABDQwMzUEAAAAATAHAAAACjEyLzMxLzIwMjUIAAAACjEyLzMxLzIwMjUJAAAAATDMEI4Wl7XeCMwQjhaXtd4IL0NJUS5JRFg6IEdPVE8uSVFfREFZU19JTlZFTlRPUllfT1VULi4zMS8xMi8yMDI1</t>
  </si>
  <si>
    <t>AQAAAG+TahECAAAACDQuMzUzMzU1AQgAAAAFAAAAATEBAAAACy0xOTAyMTQ2NzE1AwAAAAI2OQIAAAAENDAzNQQAAAABMAcAAAAKMTIvMzEvMjAyNQgAAAAKMTIvMzEvMjAyNQkAAAABMMwQjhaXtd4IzBCOFpe13ggzQ0lRLk5BU0RBUUdTOkRBU0guSVFfREFZU19JTlZFTlRPUllfT1VULi4zMS8xMi8yMDI1AQAAAKcchw4DAAAAAADMEI4Wl7XeCMwQjhaXtd4IK0NJUS5OWVNFOlVCRVIuSVFfREFZU19TQUxFU19PVVQuLjMxLzEyLzIwMjUBAAAAMEadCAIAAAAJMjUuMTIwMzk1AQgAAAAFAAAAATEBAAAACy0xOTA2NjkxNzYxAwAAAAMxNjACAAAABDQwNDIEAAAAATAHAAAACjEyLzMxLzIwMjUIAAAACjEyLzMxLzIwMjUJAAAAATDMEI4Wl7XeCMwQjhaXtd4IL0NJUS5OQVNEQVFHUzpMWUZULklRX0RBWVNfU0FMRVNfT1VULi4zMS8xMi8yMDI1AQAAAFUxhAMCAAAACDIwLjc2NzA0AQgAAAAFAAAAATEBAAAACy0xOTA3MjE5OTg0AwAAAAMxNjACAAAABDQwNDIEAAAAATAHAAAACjEyLzMxLzIwMjUIAAAACjEyLzMxLzIwMjUJAAAAATDMEI4Wl7XeCMwQjhaXtd4ILkNJUS5PVENQSzpESURJLlkuSVFfREFZU19TQUxFU19PVVQuLjMxLzEyLzIwMjUBAAAAyWasYwIAAAAHNi41NTM5NAEIAAAABQAAAAExAQAAAAstMTg5NzE2MjUzMgMAAAACMzICAAAABDQwNDIEAAAAATAHAAAACjEyLzMxLzIwMjUIAAAACjEy</t>
  </si>
  <si>
    <t>LzMxLzIwMjUJAAAAATDMEI4Wl7XeCMwQjhaXtd4IK0NJUS5TRUhLOjM2OTAuSVFfREFZU19TQUxFU19PVVQuLjMxLzEyLzIwMjUBAAAALXXNBgIAAAAHNS41NzA2MwEIAAAABQAAAAExAQAAAAstMTg5NDY4MjYzOQMAAAACMzICAAAABDQwNDIEAAAAATAHAAAACjEyLzMxLzIwMjUIAAAACjEyLzMxLzIwMjUJAAAAATDMEI4Wl7XeCMwQjhaXtd4IK0NJUS5YVFJBOkRIRVIuSVFfREFZU19TQUxFU19PVVQuLjMxLzEyLzIwMjUBAAAAqrZiCAIAAAAJMTIuNTk4NzA1AQgAAAAFAAAAATEBAAAACy0xOTAwMTIxMzg1AwAAAAI1MAIAAAAENDA0MgQAAAABMAcAAAAKMTIvMzEvMjAyNQgAAAAKMTIvMzEvMjAyNQkAAAABMMwQjhaXtd4IzBCOFpe13ggvQ0lRLk5BU0RBUUdTOkdSQUIuSVFfREFZU19TQUxFU19PVVQuLjMxLzEyLzIwMjUBAAAAcZnOIwIAAAAIMTQuODM3OTgBCAAAAAUAAAABMQEAAAALLTE5MDMwNzg5MjkDAAAAAzE2MAIAAAAENDA0MgQAAAABMAcAAAAKMTIvMzEvMjAyNQgAAAAKMTIvMzEvMjAyNQkAAAABMMwQjhaXtd4IzBCOFpe13ggrQ0lRLklEWDogR09UTy5JUV9EQVlTX1NBTEVTX09VVC4uMzEvMTIvMjAyNQEAAABvk2oRAgAAAAk1Mi45ODg4NzUBCAAAAAUAAAABMQEAAAALLTE5MDIxNDY3MTUDAAAAAjY5AgAAAAQ0MDQyBAAAAAEwBwAAAAoxMi8zMS8yMDI1CAAAAAoxMi8zMS8yMDI1CQAA</t>
  </si>
  <si>
    <t>AAEwzBCOFpe13gjMEI4Wl7XeCC9DSVEuTkFTREFRR1M6REFTSC5JUV9EQVlTX1NBTEVTX09VVC4uMzEvMTIvMjAyNQEAAACnHIcOAgAAAAgyNC40ODA1NQEIAAAABQAAAAExAQAAAAstMTkwNTk3ODY0NgMAAAADMTYwAgAAAAQ0MDQyBAAAAAEwBwAAAAoxMi8zMS8yMDI1CAAAAAoxMi8zMS8yMDI1CQAAAAEwzBCOFpe13gjMEI4Wl7XeCCxDSVEuKElOVkFMSUQgVFJBTlNBQ1RJT04gSUQpLklRX0NPVU5UUllfTkFNRQUAAAAAAAAACAAAABQoSW52YWxpZCBJZGVudGlmaWVyKaZgwiaXtd4ISls2J5e13gg0Q0lRLk5BU0RBUUdTOkdSQUIuSVFfVEVWX1RPVEFMX1JFVi5JUV9MVE0uMzEvMTIvMjAyNQEAAABxmc4jAgAAABA0Ljc5MDMxMjg4NzIzNjY4AQcAAAAFAAAAATEBAAAACy0xOTE4Njg3MDYxAwAAAAEwAgAAAAYxMDAwNjEEAAAAATAHAAAACjEyLzMxLzIwMjUIAAAACjEyLzMxLzIwMjXt150zl7XeCP9G5zOXtd4IMENJUS5JRFg6IEdPVE8uSVFfVEVWX1RPVEFMX1JFVi5JUV9MVE0uMzEvMTIvMjAyNQEAAABvk2oRAgAAABAyLjg5OTQwNzY2Mzc2MDUzAQcAAAAFAAAAATEBAAAACy0xOTE5ODAwMDY2AwAAAAEwAgAAAAYxMDAwNjEEAAAAATAHAAAACjEyLzMwLzIwMjUIAAAACjEyLzMwLzIwMjXt150zl7XeCP9G5zOXtd4IL0NJUS5OWVNFOiBTRS5JUV9URVZfVE9UQUxfUkVWLklRX0xUTS4zMS8xMi8y</t>
  </si>
  <si>
    <t>MDI1AQAAAPsCZxkCAAAAEDMuMzI2MjIxMDM0ODUyOTYBBwAAAAUAAAABMQEAAAALLTE5MTczMjAyNDEDAAAAATACAAAABjEwMDA2MQQAAAABMAcAAAAKMTIvMzEvMjAyNQgAAAAKMTIvMzEvMjAyNe3XnTOXtd4I/0bnM5e13ggwQ0lRLk5ZU0U6VUJFUi5JUV9URVZfVE9UQUxfUkVWLklRX0xUTS4zMS8xMi8yMDI1AQAAADBGnQgCAAAAEDMuNDEyOTcxNTg3MDA4ODcBBwAAAAUAAAABMQEAAAALLTE5MTg0OTkwNjIDAAAAATACAAAABjEwMDA2MQQAAAABMAcAAAAKMTIvMzEvMjAyNQgAAAAKMTIvMzEvMjAyNe3XnTOXtd4I/0bnM5e13gg0Q0lRLk5BU0RBUUdTOkxZRlQuSVFfVEVWX1RPVEFMX1JFVi5JUV9MVE0uMzEvMTIvMjAyNQEAAABVMYQDAgAAAA8xLjEyNTU5NTE2MjEzMzEBBwAAAAUAAAABMQEAAAALLTE5MTgxMTg0MjkDAAAAATACAAAABjEwMDA2MQQAAAABMAcAAAAKMTIvMzEvMjAyNQgAAAAKMTIvMzEvMjAyNe3XnTOXtd4I/0bnM5e13ggzQ0lRLk9UQ1BLOkRJREkuWS5JUV9URVZfVE9UQUxfUkVWLklRX0xUTS4zMS8xMi8yMDI1AQAAAMlmrGMCAAAAETAuNjI0NTM3NTQ3MTA5NzgxAQcAAAAFAAAAATEBAAAACy0xOTE0MTA3MTE1AwAAAAEwAgAAAAYxMDAwNjEEAAAAATAHAAAACjEyLzMxLzIwMjUIAAAACjEyLzMxLzIwMjXt150zl7XeCP9G5zOXtd4IMENJUS5TRUhLOjM2OTAuSVFfVEVWX1RP</t>
  </si>
  <si>
    <t>VEFMX1JFVi5JUV9MVE0uMzEvMTIvMjAyNQEAAAAtdc0GAgAAABAxLjM0NDU5NDQwNjE2Mjc4AQcAAAAFAAAAATEBAAAACy0xOTEzNjM1NzYwAwAAAAEwAgAAAAYxMDAwNjEEAAAAATAHAAAACjEyLzMxLzIwMjUIAAAACjEyLzMxLzIwMjXt150zl7XeCP9G5zOXtd4IMENJUS5YVFJBOkRIRVIuSVFfVEVWX1RPVEFMX1JFVi5JUV9MVE0uMzEvMTIvMjAyNQEAAACqtmIIAgAAABEwLjY1MjQ0NTY3NjA3ODc2NQEHAAAABQAAAAExAQAAAAstMTkyNzIzNDg0NgMAAAABMAIAAAAGMTAwMDYxBAAAAAEwBwAAAAoxMi8zMC8yMDI1CAAAAAoxMi8zMC8yMDI17dedM5e13gj/Ruczl7XeCDRDSVEuTkFTREFRR1M6REFTSC5JUV9URVZfVE9UQUxfUkVWLklRX0xUTS4zMS8xMi8yMDI1AQAAAKcchw4CAAAAEDcuNTgxMzY0ODI2NTIzMTUBBwAAAAUAAAABMQEAAAALLTE5MTc5MzM0NzADAAAAATACAAAABjEwMDA2MQQAAAABMAcAAAAKMTIvMzEvMjAyNQgAAAAKMTIvMzEvMjAyNe3XnTOXtd4I/0bnM5e13ggyQ0lRLkRGTTpUQUxBQkFULklRX1RFVl9UT1RBTF9SRVYuSVFfTFRNLjMxLzEyLzIwMjUBAAAA2b6CbgIAAAAQMS40NDc0MTYyNTY0ODMwMQEHAAAABQAAAAExAQAAAAstMTkxNzY4ODc3MQMAAAABMAIAAAAGMTAwMDYxBAAAAAEwBwAAAAoxMi8zMS8yMDI1CAAAAAoxMi8zMS8yMDI17dedM5e13gj/Ruczl7XeCA==</t>
  </si>
  <si>
    <t>Weighted Average Cost of Capital</t>
  </si>
  <si>
    <t>Equity:</t>
  </si>
  <si>
    <t>Remark</t>
  </si>
  <si>
    <t>Applied 10 year Singapore government bond yield as risk-free rate</t>
  </si>
  <si>
    <t>Equity Risk Premium (ERP)</t>
  </si>
  <si>
    <r>
      <t>Implied ERP computed by Prof Damodaran</t>
    </r>
    <r>
      <rPr>
        <i/>
        <sz val="8"/>
        <color rgb="FF787878"/>
        <rFont val="Arial"/>
        <family val="2"/>
      </rPr>
      <t xml:space="preserve"> [refer to file ERP by month]</t>
    </r>
  </si>
  <si>
    <t>Country Risk</t>
  </si>
  <si>
    <t>Country risk premium computed by Damodaran [select for specific country]</t>
  </si>
  <si>
    <t>Size premium computed by Duff &amp; Phelps</t>
  </si>
  <si>
    <t>Specific Risk Premium</t>
  </si>
  <si>
    <t>refer to O1 tab</t>
  </si>
  <si>
    <t>Debt:</t>
  </si>
  <si>
    <t>Borrowing Rates</t>
  </si>
  <si>
    <t>Based on the current borrowing rate of the company or market rate</t>
  </si>
  <si>
    <t>*note: United States Corporate Tax</t>
  </si>
  <si>
    <t>Cost of Debt</t>
  </si>
  <si>
    <t>Capital Structure:</t>
  </si>
  <si>
    <t>D/E ratio</t>
  </si>
  <si>
    <t>State if this is based on median D/E ratio of comparable companies or a long term target capital structure specific to the company</t>
  </si>
  <si>
    <t>Source: CIQ &amp; FVA's computation</t>
  </si>
  <si>
    <t>Income Approach - DCF</t>
  </si>
  <si>
    <t>DCF Model</t>
  </si>
  <si>
    <t>Current case</t>
  </si>
  <si>
    <t>Control?</t>
  </si>
  <si>
    <t>Select between controlling and non-controlling</t>
  </si>
  <si>
    <t>TV method</t>
  </si>
  <si>
    <t>Gordon</t>
  </si>
  <si>
    <t>TV growth</t>
  </si>
  <si>
    <t>Enter TV growth</t>
  </si>
  <si>
    <t>Offset</t>
  </si>
  <si>
    <t>TLCF</t>
  </si>
  <si>
    <t>N</t>
  </si>
  <si>
    <t>Select Y if tax loss carryforward is allowed.</t>
  </si>
  <si>
    <t>1st period CF</t>
  </si>
  <si>
    <t>Row index</t>
  </si>
  <si>
    <t>Less: Tax</t>
  </si>
  <si>
    <t>TLCF balance</t>
  </si>
  <si>
    <t>EBIDA</t>
  </si>
  <si>
    <t>Capex</t>
  </si>
  <si>
    <t>Changes in NWC</t>
  </si>
  <si>
    <t>FCFF</t>
  </si>
  <si>
    <t>Years from VD (mid point)</t>
  </si>
  <si>
    <t>PV factor</t>
  </si>
  <si>
    <t>PV of FCFF</t>
  </si>
  <si>
    <t>TV (Gordon growth)</t>
  </si>
  <si>
    <t>Sum of PV of FCFF</t>
  </si>
  <si>
    <t>PV of TV</t>
  </si>
  <si>
    <t>Enterprise Value</t>
  </si>
  <si>
    <t>Equity Value (100%)</t>
  </si>
  <si>
    <t>% shareholding</t>
  </si>
  <si>
    <t>DLOC</t>
  </si>
  <si>
    <t>DLOM</t>
  </si>
  <si>
    <t>Source: Management &amp; FVA</t>
  </si>
  <si>
    <t>Sensitivity Analysis</t>
  </si>
  <si>
    <t>FY25 Revenue</t>
  </si>
  <si>
    <t>From tab C4 - Market Approach</t>
  </si>
  <si>
    <t>Implied EV/Revenue ratio</t>
  </si>
  <si>
    <t>EV or Equity?</t>
  </si>
  <si>
    <t>Discount rate</t>
  </si>
  <si>
    <t>Source: FVA</t>
  </si>
  <si>
    <t>Market Approach - Trading Multiples</t>
  </si>
  <si>
    <t>Peer group Analysis</t>
  </si>
  <si>
    <t>EBIT margin
(%)</t>
  </si>
  <si>
    <t>3 years Sales CAGR (%)</t>
  </si>
  <si>
    <t>Selected  multiple</t>
  </si>
  <si>
    <t>3rd quartile</t>
  </si>
  <si>
    <t>1st quartile</t>
  </si>
  <si>
    <t>Normalisation of EBITDA</t>
  </si>
  <si>
    <t>TTM EBITDA</t>
  </si>
  <si>
    <t>Adjustment 1</t>
  </si>
  <si>
    <t>Key in the adjustments needed</t>
  </si>
  <si>
    <t>Adjustment 2</t>
  </si>
  <si>
    <t>Adjustment 3</t>
  </si>
  <si>
    <t>Adjustment 4</t>
  </si>
  <si>
    <t>Normalised EBITDA</t>
  </si>
  <si>
    <t>Valuation via Market Approach</t>
  </si>
  <si>
    <t>Select</t>
  </si>
  <si>
    <t>Low</t>
  </si>
  <si>
    <t>Base</t>
  </si>
  <si>
    <t>High</t>
  </si>
  <si>
    <t>EV/EBITDA multiple</t>
  </si>
  <si>
    <t>Control premium</t>
  </si>
  <si>
    <t>Apply control premium if valuing controlling stake</t>
  </si>
  <si>
    <t>Always apply DLOM for Market Approach to account for differences in Marketability between Comps and Subject</t>
  </si>
  <si>
    <t>Source: Management &amp; FVA's computations</t>
  </si>
  <si>
    <t>Market Approach - Recent Transactions</t>
  </si>
  <si>
    <t>Transaction ID</t>
  </si>
  <si>
    <t>Comparable transactions</t>
  </si>
  <si>
    <t>Announce Date</t>
  </si>
  <si>
    <t>Target Name</t>
  </si>
  <si>
    <t>Acquirer Name</t>
  </si>
  <si>
    <t>Target Country</t>
  </si>
  <si>
    <t>Announced Total Value (mil.)</t>
  </si>
  <si>
    <t>Deal Status</t>
  </si>
  <si>
    <t>Target Currency</t>
  </si>
  <si>
    <t>(Invalid Identifier)</t>
  </si>
  <si>
    <t>(Invalid Transaction Id)</t>
  </si>
  <si>
    <t>Cross check of EV/EBITDA multiple</t>
  </si>
  <si>
    <t>Raw multiples - CoCos</t>
  </si>
  <si>
    <t>Adjusted multiples - CoCos</t>
  </si>
  <si>
    <t>Raw multiples - CoTrans</t>
  </si>
  <si>
    <t>Target Company KPI's</t>
  </si>
  <si>
    <t>Historical Revenue</t>
  </si>
  <si>
    <t>Forecast Revenue</t>
  </si>
  <si>
    <t>YoY Growth %</t>
  </si>
  <si>
    <t>Historical Gross Profit</t>
  </si>
  <si>
    <t>Forecast Gross Profit</t>
  </si>
  <si>
    <t>Gross Margin</t>
  </si>
  <si>
    <t>Historical EBITDA</t>
  </si>
  <si>
    <t>Forecast EBITDA</t>
  </si>
  <si>
    <t>EBITDA Margin</t>
  </si>
  <si>
    <t>Historical NWC</t>
  </si>
  <si>
    <t>Forecast NWC</t>
  </si>
  <si>
    <t>NWC / Sales</t>
  </si>
  <si>
    <t>Historical Capex</t>
  </si>
  <si>
    <t>Forecast Capex</t>
  </si>
  <si>
    <t>Capex / Sales</t>
  </si>
  <si>
    <t>Comparable Companies Analysis</t>
  </si>
  <si>
    <t>Size Analysis</t>
  </si>
  <si>
    <t>Profitability Analysis</t>
  </si>
  <si>
    <t>Growth Analysis</t>
  </si>
  <si>
    <t>Valuation Analysis</t>
  </si>
  <si>
    <t xml:space="preserve">Rank </t>
  </si>
  <si>
    <t>3-Year Sales CAGR</t>
  </si>
  <si>
    <t>Data name</t>
  </si>
  <si>
    <t>Data source</t>
  </si>
  <si>
    <t>Kroll</t>
  </si>
  <si>
    <t>Latest update</t>
  </si>
  <si>
    <t>Cost of Capital Navigator</t>
  </si>
  <si>
    <t xml:space="preserve">Long term returns in excess of theorectical equity return premium </t>
  </si>
  <si>
    <t>Small Capitalization Premium</t>
  </si>
  <si>
    <t>Decile</t>
  </si>
  <si>
    <t>Market Capitalization of Smallest Company</t>
  </si>
  <si>
    <t>Market Capitalization of Largest Company</t>
  </si>
  <si>
    <t>Beta-Adjusted Size Premium (Return in Excess of CAPM)</t>
  </si>
  <si>
    <t>(in US$ 'm)</t>
  </si>
  <si>
    <t>(%)</t>
  </si>
  <si>
    <t>Mid-Cap, 3-5</t>
  </si>
  <si>
    <t>premium</t>
  </si>
  <si>
    <t>Low-Cap, 6-8</t>
  </si>
  <si>
    <t>Micro-Cap, 9-10</t>
  </si>
  <si>
    <t>10z</t>
  </si>
  <si>
    <t>10y</t>
  </si>
  <si>
    <t>Breakdown of CRSP Deciles 1-10</t>
  </si>
  <si>
    <t>10x</t>
  </si>
  <si>
    <t>1 - Largest</t>
  </si>
  <si>
    <t>10w</t>
  </si>
  <si>
    <t>10 - Smallest</t>
  </si>
  <si>
    <t>Breakdown of CRSP 10th Decile</t>
  </si>
  <si>
    <t>10a</t>
  </si>
  <si>
    <t>10b</t>
  </si>
  <si>
    <t>RESTRICTED STOCK STUDIES</t>
  </si>
  <si>
    <t>Study</t>
  </si>
  <si>
    <t>Period of Study</t>
  </si>
  <si>
    <t>Discount for Lack of Marketability</t>
  </si>
  <si>
    <t>Columbia Financial Advisors Inc.</t>
  </si>
  <si>
    <t>1997-1998</t>
  </si>
  <si>
    <t>Management Planning, Inc</t>
  </si>
  <si>
    <t>2000-2007</t>
  </si>
  <si>
    <t>LiquiStat</t>
  </si>
  <si>
    <t>2005-2006</t>
  </si>
  <si>
    <t>FMV Opinions, Inc.</t>
  </si>
  <si>
    <t>2002-2006</t>
  </si>
  <si>
    <t>1997-2005</t>
  </si>
  <si>
    <t>Trugman Valuation Associates, Inc.</t>
  </si>
  <si>
    <t>2007-2008</t>
  </si>
  <si>
    <t>Source: Various restricted stock studies</t>
  </si>
  <si>
    <t>CONTROL PREMIUM</t>
  </si>
  <si>
    <t xml:space="preserve">Source: Mergerstat Premiums and Discounts, 2023 </t>
  </si>
  <si>
    <t>Numéro du bridge</t>
  </si>
  <si>
    <t>Données de base</t>
  </si>
  <si>
    <t>Total courant</t>
  </si>
  <si>
    <t>Résultats intermédiaires</t>
  </si>
  <si>
    <t>Données support</t>
  </si>
  <si>
    <t>Données positives au dessus</t>
  </si>
  <si>
    <t>Données positives au dessous</t>
  </si>
  <si>
    <t>Données négatives au dessus</t>
  </si>
  <si>
    <t>Données négatives au dessous</t>
  </si>
  <si>
    <t>Position des labels</t>
  </si>
  <si>
    <t>Texte des labels</t>
  </si>
  <si>
    <t>ymin pour le bridge courant</t>
  </si>
  <si>
    <t>Numéro du bridge courant</t>
  </si>
  <si>
    <t>Numéro de la ligne courante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</si>
</sst>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2">
    <numFmt numFmtId="8" formatCode="&quot;$&quot;#,##0.00_);[Red]\(&quot;$&quot;#,##0.00\)"/>
    <numFmt numFmtId="41" formatCode="_(* #,##0_);_(* \(#,##0\);_(* &quot;-&quot;_);_(@_)"/>
    <numFmt numFmtId="44" formatCode="_(&quot;$&quot;* #,##0.00_);_(&quot;$&quot;* \(#,##0.00\);_(&quot;$&quot;* &quot;-&quot;??_);_(@_)"/>
    <numFmt numFmtId="43" formatCode="_(* #,##0.00_);_(* \(#,##0.00\);_(* &quot;-&quot;??_);_(@_)"/>
    <numFmt numFmtId="164" formatCode="_-* #,##0.00_-;\-* #,##0.00_-;_-* &quot;-&quot;??_-;_-@_-"/>
    <numFmt numFmtId="165" formatCode="#,##0.0_);\(#,##0.0\);&quot;- &quot;_._0_)"/>
    <numFmt numFmtId="166" formatCode="_(* #,##0_);_(* \(#,##0\);_(* &quot;-&quot;??_);_(@_)"/>
    <numFmt numFmtId="167" formatCode="0.0\x"/>
    <numFmt numFmtId="168" formatCode="&quot;Fail&quot;;&quot;Fail&quot;;&quot;Ok&quot;"/>
    <numFmt numFmtId="169" formatCode="_(* #,##0.000_);_(* \(#,##0.000\);_(* &quot;-&quot;??_);_(@_)"/>
    <numFmt numFmtId="170" formatCode="0.0"/>
    <numFmt numFmtId="171" formatCode="0.0%"/>
    <numFmt numFmtId="172" formatCode="&quot;Case&quot;\ 0"/>
    <numFmt numFmtId="173" formatCode="_(* #,##0.00\x_);_(* \(#,##0.00\x\);_(* &quot;-&quot;??_);_(@_)"/>
    <numFmt numFmtId="174" formatCode="0.0\ &quot;years&quot;"/>
    <numFmt numFmtId="175" formatCode="_-* #,##0_-;\-* #,##0_-;_-* &quot;-&quot;??_-;_-@_-"/>
    <numFmt numFmtId="176" formatCode="dddd"/>
    <numFmt numFmtId="177" formatCode="&quot;Scenario&quot;\ 0"/>
    <numFmt numFmtId="178" formatCode="_(* #,##0.0_);_(* \(#,##0.0\);_(* &quot;-&quot;??_);_(@_)"/>
    <numFmt numFmtId="179" formatCode="dd\-mmm\-yyyy"/>
    <numFmt numFmtId="180" formatCode="#,##0.0;\(#,##0.0\);\-;@"/>
    <numFmt numFmtId="181" formatCode="0.0\x;\(0.0\x\);\-;@"/>
    <numFmt numFmtId="182" formatCode="_-[$€-2]* #,##0.00_-;\-[$€-2]* #,##0.00_-;_-[$€-2]* &quot;-&quot;??_-"/>
    <numFmt numFmtId="183" formatCode="0.0\ &quot;x&quot;"/>
    <numFmt numFmtId="184" formatCode="_ * #,##0.00_ ;_ * \-#,##0.00_ ;_ * &quot;-&quot;??_ ;_ @_ "/>
    <numFmt numFmtId="185" formatCode="[$-409]d/mmm/yy;@"/>
    <numFmt numFmtId="186" formatCode="_(* #,##0,,_);_(* \(#,##0,,\);_(* &quot;-&quot;??_);_(@_)"/>
    <numFmt numFmtId="187" formatCode="0000&quot;E&quot;"/>
    <numFmt numFmtId="188" formatCode="_(* #,##0_);_(* \(#,##0\);_(* &quot;—&quot;??_);_(@_)"/>
    <numFmt numFmtId="189" formatCode="_(* #,##0_);_(* \(#,##0\);_(* &quot;—&quot;_);_(@_)"/>
    <numFmt numFmtId="190" formatCode="_(* #,##0_);_(* \(#,##0\);_(* \-??_);_(@_)"/>
    <numFmt numFmtId="191" formatCode="#,##0.0"/>
  </numFmts>
  <fonts count="165">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rgb="FF3F3F76"/>
      <name val="Arial"/>
      <family val="2"/>
    </font>
    <font>
      <b/>
      <sz val="8"/>
      <color rgb="FF3F3F3F"/>
      <name val="Arial"/>
      <family val="2"/>
    </font>
    <font>
      <sz val="8"/>
      <color rgb="FFFA7D00"/>
      <name val="Arial"/>
      <family val="2"/>
    </font>
    <font>
      <sz val="10"/>
      <color theme="3"/>
      <name val="Arial"/>
      <family val="2"/>
    </font>
    <font>
      <sz val="10"/>
      <name val="Arial"/>
      <family val="2"/>
    </font>
    <font>
      <sz val="11"/>
      <color rgb="FFFF0000"/>
      <name val="Arial"/>
      <family val="2"/>
    </font>
    <font>
      <sz val="11"/>
      <color theme="1"/>
      <name val="Arial"/>
      <family val="2"/>
    </font>
    <font>
      <sz val="11"/>
      <color rgb="FF586577"/>
      <name val="Arial"/>
      <family val="2"/>
    </font>
    <font>
      <sz val="8"/>
      <name val="Arial"/>
      <family val="2"/>
    </font>
    <font>
      <i/>
      <sz val="8"/>
      <color rgb="FFC00000"/>
      <name val="Arial"/>
      <family val="2"/>
    </font>
    <font>
      <b/>
      <sz val="15"/>
      <color rgb="FFC00000"/>
      <name val="Arial"/>
      <family val="2"/>
    </font>
    <font>
      <b/>
      <u/>
      <sz val="8"/>
      <color theme="1"/>
      <name val="Arial"/>
      <family val="2"/>
    </font>
    <font>
      <i/>
      <sz val="8"/>
      <color theme="0" tint="-0.34998626667073579"/>
      <name val="Arial"/>
      <family val="2"/>
    </font>
    <font>
      <sz val="8"/>
      <color theme="9" tint="-0.499984740745262"/>
      <name val="Arial"/>
      <family val="2"/>
    </font>
    <font>
      <sz val="8"/>
      <color rgb="FFFF0000"/>
      <name val="Arial"/>
      <family val="2"/>
    </font>
    <font>
      <b/>
      <sz val="8"/>
      <color theme="1"/>
      <name val="Arial"/>
      <family val="2"/>
    </font>
    <font>
      <b/>
      <sz val="8"/>
      <color rgb="FFFFFFFF"/>
      <name val="Arial"/>
      <family val="2"/>
    </font>
    <font>
      <sz val="8"/>
      <color rgb="FF000000"/>
      <name val="Arial"/>
      <family val="2"/>
    </font>
    <font>
      <b/>
      <sz val="8"/>
      <color rgb="FF000000"/>
      <name val="Arial"/>
      <family val="2"/>
    </font>
    <font>
      <i/>
      <sz val="8"/>
      <color rgb="FFFF0000"/>
      <name val="Arial"/>
      <family val="2"/>
    </font>
    <font>
      <b/>
      <sz val="8"/>
      <color rgb="FF6F508D"/>
      <name val="Arial"/>
      <family val="2"/>
    </font>
    <font>
      <i/>
      <sz val="7"/>
      <color rgb="FFAA9C8F"/>
      <name val="Arial"/>
      <family val="2"/>
    </font>
    <font>
      <u/>
      <sz val="8"/>
      <color theme="1"/>
      <name val="Arial"/>
      <family val="2"/>
    </font>
    <font>
      <i/>
      <sz val="8"/>
      <color rgb="FF000000"/>
      <name val="Arial"/>
      <family val="2"/>
    </font>
    <font>
      <i/>
      <sz val="8"/>
      <color theme="1"/>
      <name val="Arial"/>
      <family val="2"/>
    </font>
    <font>
      <sz val="8"/>
      <color theme="1" tint="0.34998626667073579"/>
      <name val="Arial"/>
      <family val="2"/>
    </font>
    <font>
      <i/>
      <sz val="8"/>
      <name val="Arial"/>
      <family val="2"/>
    </font>
    <font>
      <sz val="9"/>
      <color theme="1"/>
      <name val="Arial Narrow"/>
      <family val="2"/>
    </font>
    <font>
      <sz val="9"/>
      <color rgb="FF3F3F76"/>
      <name val="Arial Narrow"/>
      <family val="2"/>
    </font>
    <font>
      <b/>
      <sz val="8"/>
      <name val="Arial"/>
      <family val="2"/>
    </font>
    <font>
      <b/>
      <sz val="13"/>
      <color theme="3"/>
      <name val="Calibri"/>
      <family val="2"/>
      <scheme val="minor"/>
    </font>
    <font>
      <sz val="9"/>
      <color theme="1"/>
      <name val="Arial"/>
      <family val="2"/>
    </font>
    <font>
      <sz val="8"/>
      <color theme="0"/>
      <name val="Arial"/>
      <family val="2"/>
    </font>
    <font>
      <u/>
      <sz val="9"/>
      <color theme="10"/>
      <name val="Arial"/>
      <family val="2"/>
    </font>
    <font>
      <b/>
      <sz val="10"/>
      <color theme="1"/>
      <name val="Arial"/>
      <family val="2"/>
    </font>
    <font>
      <sz val="9"/>
      <name val="Geneva"/>
      <family val="2"/>
    </font>
    <font>
      <b/>
      <sz val="8"/>
      <color theme="0"/>
      <name val="Arial"/>
      <family val="2"/>
    </font>
    <font>
      <b/>
      <sz val="14"/>
      <color rgb="FFED1C24"/>
      <name val="Arial"/>
      <family val="2"/>
    </font>
    <font>
      <sz val="10"/>
      <color theme="0"/>
      <name val="Arial"/>
      <family val="2"/>
    </font>
    <font>
      <sz val="18"/>
      <color rgb="FF58595B"/>
      <name val="Arial"/>
      <family val="2"/>
    </font>
    <font>
      <b/>
      <u/>
      <sz val="8"/>
      <color rgb="FF000000"/>
      <name val="Arial"/>
      <family val="2"/>
    </font>
    <font>
      <b/>
      <sz val="8"/>
      <color rgb="FFC00000"/>
      <name val="Arial"/>
      <family val="2"/>
    </font>
    <font>
      <b/>
      <i/>
      <sz val="8"/>
      <color rgb="FF6F508D"/>
      <name val="Arial"/>
      <family val="2"/>
    </font>
    <font>
      <sz val="9"/>
      <color indexed="81"/>
      <name val="Tahoma"/>
      <family val="2"/>
    </font>
    <font>
      <b/>
      <sz val="9"/>
      <color indexed="81"/>
      <name val="Tahoma"/>
      <family val="2"/>
    </font>
    <font>
      <sz val="8"/>
      <color rgb="FFC00000"/>
      <name val="Arial"/>
      <family val="2"/>
    </font>
    <font>
      <b/>
      <i/>
      <sz val="8"/>
      <color theme="1"/>
      <name val="Arial"/>
      <family val="2"/>
    </font>
    <font>
      <sz val="12"/>
      <color rgb="FF3F3F76"/>
      <name val="Arial"/>
      <family val="2"/>
    </font>
    <font>
      <sz val="22"/>
      <color rgb="FF002060"/>
      <name val="Arial"/>
      <family val="2"/>
    </font>
    <font>
      <sz val="7"/>
      <color rgb="FF6F508D"/>
      <name val="Arial"/>
      <family val="2"/>
    </font>
    <font>
      <sz val="8"/>
      <color theme="0" tint="-0.34998626667073579"/>
      <name val="Arial"/>
      <family val="2"/>
    </font>
    <font>
      <i/>
      <sz val="8"/>
      <color theme="1" tint="0.499984740745262"/>
      <name val="Arial"/>
      <family val="2"/>
    </font>
    <font>
      <sz val="8"/>
      <color theme="1" tint="0.499984740745262"/>
      <name val="Arial"/>
      <family val="2"/>
    </font>
    <font>
      <b/>
      <sz val="10"/>
      <name val="Geneva"/>
      <family val="2"/>
    </font>
    <font>
      <b/>
      <sz val="8"/>
      <color rgb="FF787878"/>
      <name val="Arial"/>
      <family val="2"/>
    </font>
    <font>
      <sz val="8"/>
      <color rgb="FF787878"/>
      <name val="Arial"/>
      <family val="2"/>
    </font>
    <font>
      <i/>
      <sz val="8"/>
      <color rgb="FF787878"/>
      <name val="Arial"/>
      <family val="2"/>
    </font>
    <font>
      <b/>
      <sz val="8"/>
      <color rgb="FF0071CE"/>
      <name val="Arial"/>
      <family val="2"/>
    </font>
    <font>
      <i/>
      <sz val="7"/>
      <color rgb="FF081F8F"/>
      <name val="Arial"/>
      <family val="2"/>
    </font>
    <font>
      <b/>
      <u/>
      <sz val="8"/>
      <name val="Arial"/>
      <family val="2"/>
    </font>
    <font>
      <b/>
      <i/>
      <u/>
      <sz val="8"/>
      <name val="Arial"/>
      <family val="2"/>
    </font>
    <font>
      <sz val="8"/>
      <color rgb="FF008000"/>
      <name val="Arial"/>
      <family val="2"/>
    </font>
    <font>
      <sz val="8"/>
      <color theme="0" tint="-4.9989318521683403E-2"/>
      <name val="Arial"/>
      <family val="2"/>
    </font>
    <font>
      <sz val="8"/>
      <color theme="0" tint="-0.14999847407452621"/>
      <name val="Arial"/>
      <family val="2"/>
    </font>
    <font>
      <i/>
      <sz val="8"/>
      <color theme="0" tint="-0.14999847407452621"/>
      <name val="Arial"/>
      <family val="2"/>
    </font>
    <font>
      <sz val="12"/>
      <color theme="1"/>
      <name val="Calibri"/>
      <family val="2"/>
      <charset val="136"/>
      <scheme val="minor"/>
    </font>
    <font>
      <b/>
      <sz val="15"/>
      <color theme="3"/>
      <name val="Arial"/>
      <family val="2"/>
    </font>
    <font>
      <b/>
      <sz val="8"/>
      <color theme="3"/>
      <name val="Arial"/>
      <family val="2"/>
    </font>
    <font>
      <i/>
      <sz val="7"/>
      <color theme="3"/>
      <name val="Arial"/>
      <family val="2"/>
    </font>
    <font>
      <sz val="8"/>
      <color theme="3"/>
      <name val="Arial"/>
      <family val="2"/>
    </font>
    <font>
      <b/>
      <sz val="9"/>
      <color theme="1"/>
      <name val="Calibri"/>
      <family val="2"/>
      <scheme val="minor"/>
    </font>
    <font>
      <sz val="9"/>
      <color theme="1"/>
      <name val="Calibri"/>
      <family val="2"/>
      <scheme val="minor"/>
    </font>
    <font>
      <sz val="6"/>
      <color theme="1" tint="0.499984740745262"/>
      <name val="Arial"/>
      <family val="2"/>
    </font>
    <font>
      <sz val="6"/>
      <color theme="1"/>
      <name val="Arial"/>
      <family val="2"/>
    </font>
    <font>
      <b/>
      <sz val="9"/>
      <color rgb="FFFFFFFF"/>
      <name val="Calibri"/>
      <family val="2"/>
      <scheme val="minor"/>
    </font>
    <font>
      <i/>
      <sz val="9"/>
      <color theme="1"/>
      <name val="Calibri"/>
      <family val="2"/>
      <scheme val="minor"/>
    </font>
    <font>
      <b/>
      <sz val="9"/>
      <color theme="0"/>
      <name val="Calibri"/>
      <family val="2"/>
      <scheme val="minor"/>
    </font>
    <font>
      <b/>
      <sz val="9"/>
      <color rgb="FFC00000"/>
      <name val="Calibri"/>
      <family val="2"/>
      <scheme val="minor"/>
    </font>
    <font>
      <i/>
      <sz val="8"/>
      <color theme="3"/>
      <name val="Arial"/>
      <family val="2"/>
    </font>
    <font>
      <i/>
      <sz val="9"/>
      <color rgb="FFC00000"/>
      <name val="Calibri"/>
      <family val="2"/>
      <scheme val="minor"/>
    </font>
    <font>
      <b/>
      <i/>
      <sz val="9"/>
      <color rgb="FFC00000"/>
      <name val="Calibri"/>
      <family val="2"/>
      <scheme val="minor"/>
    </font>
    <font>
      <sz val="12"/>
      <name val="宋体"/>
      <family val="3"/>
      <charset val="134"/>
    </font>
    <font>
      <sz val="9"/>
      <name val="Geneva"/>
      <family val="2"/>
      <charset val="1"/>
    </font>
    <font>
      <u/>
      <sz val="9"/>
      <color indexed="12"/>
      <name val="Geneva"/>
      <family val="2"/>
      <charset val="1"/>
    </font>
    <font>
      <b/>
      <sz val="11"/>
      <color indexed="9"/>
      <name val="Calibri"/>
      <family val="2"/>
    </font>
    <font>
      <b/>
      <u val="singleAccounting"/>
      <sz val="8"/>
      <color indexed="8"/>
      <name val="Arial"/>
      <family val="2"/>
    </font>
    <font>
      <sz val="8"/>
      <color indexed="8"/>
      <name val="Arial"/>
      <family val="2"/>
    </font>
    <font>
      <sz val="11"/>
      <color indexed="8"/>
      <name val="Calibri"/>
      <family val="2"/>
    </font>
    <font>
      <sz val="8"/>
      <color rgb="FF002776"/>
      <name val="Arial"/>
      <family val="2"/>
    </font>
    <font>
      <sz val="8"/>
      <name val="Times New Roman"/>
      <family val="1"/>
    </font>
    <font>
      <sz val="10"/>
      <name val="Times New Roman"/>
      <family val="1"/>
    </font>
    <font>
      <sz val="11"/>
      <name val="Times New Roman"/>
      <family val="1"/>
    </font>
    <font>
      <sz val="10"/>
      <name val="Verdana"/>
      <family val="2"/>
    </font>
    <font>
      <sz val="11"/>
      <color theme="1"/>
      <name val="MORN Intrinsic"/>
      <family val="2"/>
    </font>
    <font>
      <b/>
      <sz val="11"/>
      <color theme="1"/>
      <name val="MORN Intrinsic"/>
      <family val="2"/>
    </font>
    <font>
      <b/>
      <sz val="11"/>
      <color theme="0"/>
      <name val="MORN Intrinsic"/>
      <family val="2"/>
    </font>
    <font>
      <sz val="11"/>
      <name val="MORN Intrinsic"/>
      <family val="2"/>
    </font>
    <font>
      <b/>
      <sz val="9"/>
      <color theme="1"/>
      <name val="MORN Intrinsic"/>
      <family val="2"/>
    </font>
    <font>
      <sz val="10"/>
      <color theme="1"/>
      <name val="MORN Intrinsic"/>
      <family val="2"/>
    </font>
    <font>
      <b/>
      <sz val="10"/>
      <color theme="0" tint="-0.499984740745262"/>
      <name val="MORN Intrinsic"/>
      <family val="2"/>
    </font>
    <font>
      <sz val="10"/>
      <color theme="0" tint="-0.499984740745262"/>
      <name val="MORN Intrinsic"/>
      <family val="2"/>
    </font>
    <font>
      <b/>
      <sz val="10"/>
      <color theme="1"/>
      <name val="MORN Intrinsic"/>
      <family val="2"/>
    </font>
    <font>
      <i/>
      <sz val="10"/>
      <color theme="0" tint="-0.499984740745262"/>
      <name val="MORN Intrinsic"/>
      <family val="2"/>
    </font>
    <font>
      <sz val="12"/>
      <color theme="1"/>
      <name val="MORN Intrinsic"/>
      <family val="2"/>
    </font>
    <font>
      <b/>
      <sz val="10"/>
      <color rgb="FFFF0000"/>
      <name val="MORN Intrinsic"/>
      <family val="2"/>
    </font>
    <font>
      <i/>
      <sz val="10"/>
      <color theme="1"/>
      <name val="MORN Intrinsic"/>
      <family val="2"/>
    </font>
    <font>
      <sz val="11"/>
      <color theme="0"/>
      <name val="MORN Intrinsic"/>
      <family val="2"/>
    </font>
    <font>
      <sz val="11"/>
      <color theme="0" tint="-4.9989318521683403E-2"/>
      <name val="MORN Intrinsic"/>
      <family val="2"/>
    </font>
    <font>
      <b/>
      <sz val="18"/>
      <color rgb="FF1F3864"/>
      <name val="Arial"/>
      <family val="2"/>
      <charset val="1"/>
    </font>
    <font>
      <sz val="8"/>
      <color rgb="FF000000"/>
      <name val="Arial"/>
      <family val="2"/>
      <charset val="1"/>
    </font>
    <font>
      <i/>
      <sz val="11"/>
      <color rgb="FF595959"/>
      <name val="Arial"/>
      <family val="2"/>
      <charset val="1"/>
    </font>
    <font>
      <b/>
      <sz val="12"/>
      <color rgb="FF006100"/>
      <name val="Arial"/>
      <family val="2"/>
      <charset val="1"/>
    </font>
    <font>
      <sz val="10"/>
      <color rgb="FF006100"/>
      <name val="Arial"/>
      <family val="2"/>
      <charset val="1"/>
    </font>
    <font>
      <b/>
      <sz val="12"/>
      <color rgb="FF1F3864"/>
      <name val="Arial"/>
      <family val="2"/>
      <charset val="1"/>
    </font>
    <font>
      <b/>
      <sz val="10"/>
      <color rgb="FFFFFFFF"/>
      <name val="Arial"/>
      <family val="2"/>
      <charset val="1"/>
    </font>
    <font>
      <sz val="10"/>
      <name val="Arial"/>
      <family val="2"/>
      <charset val="1"/>
    </font>
    <font>
      <b/>
      <sz val="11"/>
      <color rgb="FF006100"/>
      <name val="Arial"/>
      <family val="2"/>
      <charset val="1"/>
    </font>
    <font>
      <b/>
      <sz val="10"/>
      <color rgb="FF006100"/>
      <name val="Arial"/>
      <family val="2"/>
      <charset val="1"/>
    </font>
    <font>
      <b/>
      <sz val="10"/>
      <color rgb="FF1F3864"/>
      <name val="Arial"/>
      <family val="2"/>
      <charset val="1"/>
    </font>
    <font>
      <sz val="9"/>
      <color rgb="FF595959"/>
      <name val="Arial"/>
      <family val="2"/>
      <charset val="1"/>
    </font>
    <font>
      <u/>
      <sz val="8"/>
      <color theme="10"/>
      <name val="Arial"/>
      <family val="2"/>
    </font>
    <font>
      <sz val="11"/>
      <color rgb="FF000000"/>
      <name val="Calibri"/>
      <family val="2"/>
      <charset val="1"/>
    </font>
    <font>
      <b/>
      <i/>
      <sz val="14"/>
      <color rgb="FF000000"/>
      <name val="Open Sans"/>
      <family val="2"/>
      <charset val="1"/>
    </font>
    <font>
      <sz val="8"/>
      <color rgb="FF000000"/>
      <name val="Open Sans"/>
      <family val="2"/>
      <charset val="1"/>
    </font>
    <font>
      <b/>
      <sz val="16"/>
      <color rgb="FF000000"/>
      <name val="Open Sans"/>
      <family val="2"/>
      <charset val="1"/>
    </font>
    <font>
      <b/>
      <sz val="10"/>
      <color rgb="FF000000"/>
      <name val="Open Sans"/>
      <family val="2"/>
      <charset val="1"/>
    </font>
    <font>
      <b/>
      <sz val="8"/>
      <color rgb="FF000000"/>
      <name val="Open Sans"/>
      <family val="2"/>
      <charset val="1"/>
    </font>
    <font>
      <sz val="8"/>
      <color rgb="FFFF0000"/>
      <name val="Open Sans"/>
      <family val="2"/>
      <charset val="1"/>
    </font>
    <font>
      <b/>
      <sz val="8"/>
      <color rgb="FFFF0000"/>
      <name val="Open Sans"/>
      <family val="2"/>
      <charset val="1"/>
    </font>
    <font>
      <b/>
      <sz val="11"/>
      <color rgb="FF000000"/>
      <name val="Calibri"/>
      <family val="2"/>
      <charset val="1"/>
    </font>
    <font>
      <sz val="8"/>
      <color rgb="FF808080"/>
      <name val="Arial"/>
      <family val="2"/>
      <charset val="1"/>
    </font>
    <font>
      <sz val="22"/>
      <color rgb="FF002060"/>
      <name val="Arial"/>
      <family val="2"/>
      <charset val="1"/>
    </font>
    <font>
      <b/>
      <u/>
      <sz val="8"/>
      <color rgb="FF000000"/>
      <name val="Arial"/>
      <family val="2"/>
      <charset val="1"/>
    </font>
    <font>
      <i/>
      <sz val="8"/>
      <name val="Arial"/>
      <family val="2"/>
      <charset val="1"/>
    </font>
    <font>
      <sz val="8"/>
      <color rgb="FF375623"/>
      <name val="Arial"/>
      <family val="2"/>
      <charset val="1"/>
    </font>
    <font>
      <sz val="8"/>
      <name val="Arial"/>
      <family val="2"/>
      <charset val="1"/>
    </font>
    <font>
      <i/>
      <sz val="8"/>
      <color rgb="FF808080"/>
      <name val="Arial"/>
      <family val="2"/>
      <charset val="1"/>
    </font>
    <font>
      <sz val="8"/>
      <color rgb="FF006100"/>
      <name val="Arial"/>
      <family val="2"/>
      <charset val="1"/>
    </font>
    <font>
      <i/>
      <sz val="8"/>
      <color rgb="FF000000"/>
      <name val="Arial"/>
      <family val="2"/>
      <charset val="1"/>
    </font>
    <font>
      <b/>
      <sz val="8"/>
      <color rgb="FFFFFFFF"/>
      <name val="Arial"/>
      <family val="2"/>
      <charset val="1"/>
    </font>
    <font>
      <b/>
      <sz val="8"/>
      <name val="Arial"/>
      <family val="2"/>
      <charset val="1"/>
    </font>
    <font>
      <sz val="10"/>
      <color rgb="FF0000FF"/>
      <name val="Arial"/>
      <family val="2"/>
      <charset val="1"/>
    </font>
    <font>
      <i/>
      <sz val="8"/>
      <color rgb="FFC00000"/>
      <name val="Arial"/>
      <family val="2"/>
      <charset val="1"/>
    </font>
    <font>
      <b/>
      <sz val="8"/>
      <color rgb="FF44546A"/>
      <name val="Arial"/>
      <family val="2"/>
      <charset val="1"/>
    </font>
    <font>
      <sz val="8"/>
      <color rgb="FF787878"/>
      <name val="Arial"/>
      <family val="2"/>
      <charset val="1"/>
    </font>
    <font>
      <b/>
      <sz val="8"/>
      <color rgb="FF0071CE"/>
      <name val="Arial"/>
      <family val="2"/>
      <charset val="1"/>
    </font>
    <font>
      <i/>
      <sz val="8"/>
      <color rgb="FF44546A"/>
      <name val="Arial"/>
      <family val="2"/>
      <charset val="1"/>
    </font>
    <font>
      <b/>
      <u/>
      <sz val="8"/>
      <name val="Arial"/>
      <family val="2"/>
      <charset val="1"/>
    </font>
    <font>
      <i/>
      <sz val="8"/>
      <color rgb="FF081F8F"/>
      <name val="Arial"/>
      <family val="2"/>
      <charset val="1"/>
    </font>
    <font>
      <sz val="6"/>
      <color rgb="FF808080"/>
      <name val="Arial"/>
      <family val="2"/>
      <charset val="1"/>
    </font>
    <font>
      <i/>
      <sz val="6"/>
      <color rgb="FF000000"/>
      <name val="Arial"/>
      <family val="2"/>
      <charset val="1"/>
    </font>
    <font>
      <b/>
      <sz val="8"/>
      <color rgb="FF000000"/>
      <name val="Arial"/>
      <family val="2"/>
      <charset val="1"/>
    </font>
    <font>
      <b/>
      <i/>
      <sz val="8"/>
      <color rgb="FF000000"/>
      <name val="Arial"/>
      <family val="2"/>
      <charset val="1"/>
    </font>
    <font>
      <sz val="6"/>
      <color rgb="FF000000"/>
      <name val="Arial"/>
      <family val="2"/>
      <charset val="1"/>
    </font>
    <font>
      <i/>
      <sz val="8"/>
      <color rgb="FFFF0000"/>
      <name val="Arial"/>
      <family val="2"/>
      <charset val="1"/>
    </font>
    <font>
      <sz val="8"/>
      <color rgb="FFFF0000"/>
      <name val="Arial"/>
      <family val="2"/>
      <charset val="1"/>
    </font>
    <font>
      <sz val="8"/>
      <color rgb="FFFFFFFF"/>
      <name val="Arial"/>
      <family val="2"/>
      <charset val="1"/>
    </font>
    <font>
      <sz val="8"/>
      <color rgb="FF3F3F76"/>
      <name val="Arial"/>
      <family val="2"/>
      <charset val="1"/>
    </font>
    <font>
      <sz val="10"/>
      <color rgb="FF000000"/>
      <name val="Arial"/>
      <charset val="1"/>
    </font>
    <font>
      <sz val="10"/>
      <color rgb="FF0000FF"/>
      <name val="Arial"/>
      <charset val="1"/>
    </font>
    <font>
      <sz val="8"/>
      <color rgb="FF000000"/>
      <name val="Arial"/>
      <charset val="1"/>
    </font>
  </fonts>
  <fills count="40">
    <fill>
      <patternFill patternType="none"/>
    </fill>
    <fill>
      <patternFill patternType="gray125"/>
    </fill>
    <fill>
      <patternFill patternType="solid">
        <fgColor rgb="FFFFCC99"/>
      </patternFill>
    </fill>
    <fill>
      <patternFill patternType="solid">
        <fgColor rgb="FFF2F2F2"/>
      </patternFill>
    </fill>
    <fill>
      <patternFill patternType="solid">
        <fgColor rgb="FFFFC00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7"/>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6F508D"/>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24994659260841701"/>
        <bgColor indexed="64"/>
      </patternFill>
    </fill>
    <fill>
      <patternFill patternType="solid">
        <fgColor rgb="FF990000"/>
        <bgColor indexed="64"/>
      </patternFill>
    </fill>
    <fill>
      <patternFill patternType="solid">
        <fgColor rgb="FF0071CE"/>
        <bgColor indexed="64"/>
      </patternFill>
    </fill>
    <fill>
      <patternFill patternType="solid">
        <fgColor rgb="FF0A1F8F"/>
        <bgColor indexed="64"/>
      </patternFill>
    </fill>
    <fill>
      <patternFill patternType="solid">
        <fgColor theme="6" tint="0.79998168889431442"/>
        <bgColor theme="6" tint="0.79998168889431442"/>
      </patternFill>
    </fill>
    <fill>
      <patternFill patternType="solid">
        <fgColor theme="3"/>
        <bgColor indexed="64"/>
      </patternFill>
    </fill>
    <fill>
      <patternFill patternType="solid">
        <fgColor indexed="9"/>
        <bgColor indexed="64"/>
      </patternFill>
    </fill>
    <fill>
      <patternFill patternType="solid">
        <fgColor indexed="26"/>
        <bgColor indexed="64"/>
      </patternFill>
    </fill>
    <fill>
      <patternFill patternType="solid">
        <fgColor rgb="FF4F81BD"/>
        <bgColor indexed="64"/>
      </patternFill>
    </fill>
    <fill>
      <patternFill patternType="solid">
        <fgColor indexed="60"/>
        <bgColor indexed="64"/>
      </patternFill>
    </fill>
    <fill>
      <patternFill patternType="solid">
        <fgColor rgb="FF002060"/>
        <bgColor indexed="64"/>
      </patternFill>
    </fill>
    <fill>
      <patternFill patternType="solid">
        <fgColor rgb="FFFFFFCC"/>
      </patternFill>
    </fill>
    <fill>
      <patternFill patternType="solid">
        <fgColor rgb="FFE2EFDA"/>
        <bgColor indexed="64"/>
      </patternFill>
    </fill>
    <fill>
      <patternFill patternType="solid">
        <fgColor rgb="FFD9E2F3"/>
        <bgColor indexed="64"/>
      </patternFill>
    </fill>
    <fill>
      <patternFill patternType="solid">
        <fgColor rgb="FF1F3864"/>
        <bgColor indexed="64"/>
      </patternFill>
    </fill>
    <fill>
      <patternFill patternType="solid">
        <fgColor rgb="FFD8D8D8"/>
        <bgColor indexed="64"/>
      </patternFill>
    </fill>
    <fill>
      <patternFill patternType="solid">
        <fgColor rgb="FFF8F5EF"/>
        <bgColor indexed="64"/>
      </patternFill>
    </fill>
    <fill>
      <patternFill patternType="solid">
        <fgColor rgb="FFF2F2F2"/>
        <bgColor indexed="64"/>
      </patternFill>
    </fill>
    <fill>
      <patternFill patternType="solid">
        <fgColor rgb="FFFFFFFF"/>
        <bgColor indexed="64"/>
      </patternFill>
    </fill>
    <fill>
      <patternFill patternType="solid">
        <fgColor rgb="FFC6EFCE"/>
        <bgColor indexed="64"/>
      </patternFill>
    </fill>
    <fill>
      <patternFill patternType="solid">
        <fgColor rgb="FF44546A"/>
        <bgColor indexed="64"/>
      </patternFill>
    </fill>
    <fill>
      <patternFill patternType="solid">
        <fgColor rgb="FFDDEBF7"/>
        <bgColor indexed="64"/>
      </patternFill>
    </fill>
    <fill>
      <patternFill patternType="solid">
        <fgColor rgb="FFFFF2CC"/>
        <bgColor indexed="64"/>
      </patternFill>
    </fill>
    <fill>
      <patternFill patternType="solid">
        <fgColor rgb="FFFFFFCC"/>
        <bgColor rgb="FFFFF2CC"/>
      </patternFill>
    </fill>
  </fills>
  <borders count="6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top style="thin">
        <color rgb="FF6F508D"/>
      </top>
      <bottom style="thin">
        <color rgb="FFAA9C8F"/>
      </bottom>
      <diagonal/>
    </border>
    <border>
      <left/>
      <right/>
      <top style="thin">
        <color rgb="FFAA9C8F"/>
      </top>
      <bottom style="medium">
        <color rgb="FFAA9C8F"/>
      </bottom>
      <diagonal/>
    </border>
    <border>
      <left/>
      <right/>
      <top/>
      <bottom style="medium">
        <color rgb="FFAA9C8F"/>
      </bottom>
      <diagonal/>
    </border>
    <border>
      <left/>
      <right/>
      <top/>
      <bottom style="thin">
        <color rgb="FF6F508D"/>
      </bottom>
      <diagonal/>
    </border>
    <border>
      <left/>
      <right/>
      <top/>
      <bottom style="medium">
        <color indexed="64"/>
      </bottom>
      <diagonal/>
    </border>
    <border>
      <left/>
      <right/>
      <top/>
      <bottom style="thick">
        <color theme="4" tint="0.499984740745262"/>
      </bottom>
      <diagonal/>
    </border>
    <border>
      <left/>
      <right/>
      <top/>
      <bottom style="thin">
        <color rgb="FFAA9C8F"/>
      </bottom>
      <diagonal/>
    </border>
    <border>
      <left/>
      <right/>
      <top/>
      <bottom style="thin">
        <color indexed="64"/>
      </bottom>
      <diagonal/>
    </border>
    <border>
      <left/>
      <right/>
      <top/>
      <bottom style="medium">
        <color rgb="FF58595B"/>
      </bottom>
      <diagonal/>
    </border>
    <border>
      <left style="thin">
        <color rgb="FF7F7F7F"/>
      </left>
      <right style="thin">
        <color rgb="FF7F7F7F"/>
      </right>
      <top/>
      <bottom style="thin">
        <color rgb="FF7F7F7F"/>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top/>
      <bottom style="medium">
        <color theme="0" tint="-0.499984740745262"/>
      </bottom>
      <diagonal/>
    </border>
    <border>
      <left/>
      <right/>
      <top/>
      <bottom style="medium">
        <color theme="1" tint="0.499984740745262"/>
      </bottom>
      <diagonal/>
    </border>
    <border>
      <left/>
      <right style="thin">
        <color indexed="64"/>
      </right>
      <top/>
      <bottom style="medium">
        <color theme="1" tint="0.499984740745262"/>
      </bottom>
      <diagonal/>
    </border>
    <border>
      <left/>
      <right/>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6F508D"/>
      </top>
      <bottom style="thin">
        <color rgb="FF081F8F"/>
      </bottom>
      <diagonal/>
    </border>
    <border>
      <left/>
      <right/>
      <top style="thin">
        <color rgb="FF081F8F"/>
      </top>
      <bottom style="medium">
        <color rgb="FF081F8F"/>
      </bottom>
      <diagonal/>
    </border>
    <border>
      <left/>
      <right style="thin">
        <color theme="6" tint="0.39997558519241921"/>
      </right>
      <top/>
      <bottom style="thin">
        <color theme="6" tint="0.39997558519241921"/>
      </bottom>
      <diagonal/>
    </border>
    <border>
      <left/>
      <right/>
      <top/>
      <bottom style="thin">
        <color rgb="FF081F8F"/>
      </bottom>
      <diagonal/>
    </border>
    <border>
      <left/>
      <right/>
      <top/>
      <bottom style="medium">
        <color rgb="FF081F8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right/>
      <top style="thin">
        <color theme="6"/>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bottom style="hair">
        <color theme="1"/>
      </bottom>
      <diagonal/>
    </border>
    <border>
      <left/>
      <right/>
      <top style="hair">
        <color indexed="64"/>
      </top>
      <bottom/>
      <diagonal/>
    </border>
    <border>
      <left/>
      <right/>
      <top style="hair">
        <color theme="1"/>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375623"/>
      </left>
      <right style="thin">
        <color rgb="FF375623"/>
      </right>
      <top style="thin">
        <color rgb="FF375623"/>
      </top>
      <bottom style="thin">
        <color rgb="FF375623"/>
      </bottom>
      <diagonal/>
    </border>
    <border>
      <left/>
      <right/>
      <top style="thin">
        <color rgb="FF44546A"/>
      </top>
      <bottom style="medium">
        <color rgb="FF44546A"/>
      </bottom>
      <diagonal/>
    </border>
    <border>
      <left/>
      <right/>
      <top style="thin">
        <color rgb="FF0071CE"/>
      </top>
      <bottom style="medium">
        <color rgb="FF0071CE"/>
      </bottom>
      <diagonal/>
    </border>
    <border>
      <left/>
      <right/>
      <top style="thin">
        <color rgb="FF44546A"/>
      </top>
      <bottom/>
      <diagonal/>
    </border>
    <border>
      <left/>
      <right/>
      <top style="thin">
        <color rgb="FF000000"/>
      </top>
      <bottom style="thin">
        <color rgb="FF000000"/>
      </bottom>
      <diagonal/>
    </border>
    <border>
      <left/>
      <right/>
      <top/>
      <bottom style="medium">
        <color rgb="FF44546A"/>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s>
  <cellStyleXfs count="73">
    <xf numFmtId="0" fontId="0" fillId="0" borderId="0"/>
    <xf numFmtId="9" fontId="3" fillId="0" borderId="0" applyFont="0" applyFill="0" applyBorder="0" applyAlignment="0" applyProtection="0"/>
    <xf numFmtId="0" fontId="52" fillId="0" borderId="0" applyNumberFormat="0" applyFill="0" applyBorder="0" applyAlignment="0" applyProtection="0"/>
    <xf numFmtId="0" fontId="14" fillId="0" borderId="0" applyNumberFormat="0" applyFill="0" applyAlignment="0" applyProtection="0"/>
    <xf numFmtId="0" fontId="4" fillId="5" borderId="1" applyNumberFormat="0" applyAlignment="0" applyProtection="0"/>
    <xf numFmtId="0" fontId="5" fillId="3" borderId="2" applyNumberFormat="0" applyAlignment="0" applyProtection="0"/>
    <xf numFmtId="0" fontId="6" fillId="6" borderId="0" applyNumberFormat="0" applyAlignment="0" applyProtection="0"/>
    <xf numFmtId="0" fontId="30" fillId="0" borderId="0" applyNumberFormat="0" applyFill="0" applyBorder="0" applyProtection="0">
      <alignment horizontal="left" indent="2"/>
    </xf>
    <xf numFmtId="0" fontId="16" fillId="0" borderId="0" applyNumberFormat="0"/>
    <xf numFmtId="0" fontId="7" fillId="5" borderId="3" applyNumberFormat="0" applyAlignment="0">
      <alignment horizontal="right"/>
      <protection locked="0"/>
    </xf>
    <xf numFmtId="0" fontId="12" fillId="0" borderId="4" applyNumberFormat="0" applyAlignment="0"/>
    <xf numFmtId="0" fontId="17" fillId="6" borderId="5" applyNumberFormat="0" applyAlignment="0"/>
    <xf numFmtId="0" fontId="12" fillId="7" borderId="0">
      <alignment horizontal="center"/>
    </xf>
    <xf numFmtId="15" fontId="3" fillId="0" borderId="0" applyFont="0" applyFill="0" applyBorder="0" applyAlignment="0" applyProtection="0"/>
    <xf numFmtId="0" fontId="18" fillId="0" borderId="0" applyNumberFormat="0" applyFill="0" applyBorder="0" applyAlignment="0" applyProtection="0"/>
    <xf numFmtId="167" fontId="3" fillId="0" borderId="0"/>
    <xf numFmtId="168" fontId="29" fillId="0" borderId="0">
      <alignment horizontal="center"/>
    </xf>
    <xf numFmtId="0" fontId="31" fillId="0" borderId="0"/>
    <xf numFmtId="0" fontId="32" fillId="2" borderId="1" applyNumberFormat="0" applyAlignment="0" applyProtection="0"/>
    <xf numFmtId="9" fontId="31" fillId="0" borderId="0" applyFont="0" applyFill="0" applyBorder="0" applyAlignment="0" applyProtection="0"/>
    <xf numFmtId="0" fontId="34" fillId="0" borderId="11" applyNumberFormat="0" applyFill="0" applyAlignment="0" applyProtection="0"/>
    <xf numFmtId="0" fontId="35" fillId="0" borderId="0"/>
    <xf numFmtId="0" fontId="37" fillId="0" borderId="0" applyNumberFormat="0" applyFill="0" applyBorder="0" applyAlignment="0" applyProtection="0"/>
    <xf numFmtId="9" fontId="35" fillId="0" borderId="0" applyFont="0" applyFill="0" applyBorder="0" applyAlignment="0" applyProtection="0"/>
    <xf numFmtId="0" fontId="39" fillId="0" borderId="0"/>
    <xf numFmtId="0" fontId="8" fillId="0" borderId="0"/>
    <xf numFmtId="43" fontId="2" fillId="0" borderId="0" applyFont="0" applyFill="0" applyBorder="0" applyAlignment="0" applyProtection="0"/>
    <xf numFmtId="0" fontId="41" fillId="0" borderId="0" applyNumberFormat="0" applyProtection="0"/>
    <xf numFmtId="43" fontId="3" fillId="0" borderId="0" applyFont="0" applyFill="0" applyBorder="0" applyAlignment="0" applyProtection="0"/>
    <xf numFmtId="0" fontId="42" fillId="16" borderId="0" applyNumberFormat="0">
      <alignment horizontal="centerContinuous" vertical="center" wrapText="1"/>
    </xf>
    <xf numFmtId="0" fontId="43" fillId="0" borderId="14" applyNumberFormat="0" applyAlignment="0"/>
    <xf numFmtId="173" fontId="8" fillId="0" borderId="0" applyFont="0" applyFill="0" applyBorder="0" applyAlignment="0" applyProtection="0"/>
    <xf numFmtId="0" fontId="57" fillId="0" borderId="0"/>
    <xf numFmtId="9" fontId="39" fillId="0" borderId="0" applyFont="0" applyFill="0" applyBorder="0" applyAlignment="0" applyProtection="0"/>
    <xf numFmtId="182" fontId="69" fillId="0" borderId="0">
      <alignment vertical="center"/>
    </xf>
    <xf numFmtId="164" fontId="1" fillId="0" borderId="0" applyFont="0" applyFill="0" applyBorder="0" applyAlignment="0" applyProtection="0"/>
    <xf numFmtId="164" fontId="3" fillId="0" borderId="0" applyFont="0" applyFill="0" applyBorder="0" applyAlignment="0" applyProtection="0"/>
    <xf numFmtId="0" fontId="1" fillId="0" borderId="0"/>
    <xf numFmtId="184" fontId="1" fillId="0" borderId="0" applyFont="0" applyFill="0" applyBorder="0" applyAlignment="0" applyProtection="0"/>
    <xf numFmtId="9" fontId="1" fillId="0" borderId="0" applyFont="0" applyFill="0" applyBorder="0" applyAlignment="0" applyProtection="0"/>
    <xf numFmtId="0" fontId="85" fillId="0" borderId="0"/>
    <xf numFmtId="0" fontId="86" fillId="0" borderId="0"/>
    <xf numFmtId="0" fontId="88" fillId="24" borderId="0"/>
    <xf numFmtId="164" fontId="8" fillId="0" borderId="0" applyFont="0" applyFill="0" applyBorder="0" applyAlignment="0" applyProtection="0"/>
    <xf numFmtId="44" fontId="86" fillId="0" borderId="0" applyFont="0" applyFill="0" applyBorder="0" applyAlignment="0" applyProtection="0"/>
    <xf numFmtId="0" fontId="87" fillId="0" borderId="0" applyNumberFormat="0" applyFill="0" applyBorder="0" applyAlignment="0" applyProtection="0">
      <alignment vertical="top"/>
      <protection locked="0"/>
    </xf>
    <xf numFmtId="0" fontId="8" fillId="0" borderId="0"/>
    <xf numFmtId="0" fontId="8" fillId="0" borderId="0"/>
    <xf numFmtId="9" fontId="86" fillId="0" borderId="0" applyFont="0" applyFill="0" applyBorder="0" applyAlignment="0" applyProtection="0"/>
    <xf numFmtId="0" fontId="89" fillId="25" borderId="0" applyAlignment="0"/>
    <xf numFmtId="0" fontId="90" fillId="0" borderId="0" applyAlignment="0"/>
    <xf numFmtId="0" fontId="91" fillId="0" borderId="0" applyFill="0" applyProtection="0"/>
    <xf numFmtId="0" fontId="1" fillId="0" borderId="0"/>
    <xf numFmtId="185" fontId="92" fillId="0" borderId="0" applyFill="0" applyBorder="0"/>
    <xf numFmtId="0" fontId="1" fillId="0" borderId="0"/>
    <xf numFmtId="164" fontId="1" fillId="0" borderId="0" applyFont="0" applyFill="0" applyBorder="0" applyAlignment="0" applyProtection="0"/>
    <xf numFmtId="9" fontId="1" fillId="0" borderId="0" applyFont="0" applyFill="0" applyBorder="0" applyAlignment="0" applyProtection="0"/>
    <xf numFmtId="44" fontId="93" fillId="0" borderId="0" applyFont="0" applyFill="0" applyBorder="0" applyAlignment="0" applyProtection="0"/>
    <xf numFmtId="164" fontId="1" fillId="0" borderId="0" applyFont="0" applyFill="0" applyBorder="0" applyAlignment="0" applyProtection="0"/>
    <xf numFmtId="9" fontId="94" fillId="0" borderId="0" applyFont="0" applyFill="0" applyBorder="0" applyAlignment="0" applyProtection="0"/>
    <xf numFmtId="0" fontId="1" fillId="0" borderId="0"/>
    <xf numFmtId="0" fontId="8" fillId="0" borderId="0"/>
    <xf numFmtId="164" fontId="95" fillId="0" borderId="0" applyFont="0" applyFill="0" applyBorder="0" applyAlignment="0" applyProtection="0"/>
    <xf numFmtId="0" fontId="8" fillId="0" borderId="0"/>
    <xf numFmtId="9" fontId="8" fillId="0" borderId="0" applyFont="0" applyFill="0" applyBorder="0" applyAlignment="0" applyProtection="0"/>
    <xf numFmtId="0" fontId="1" fillId="0" borderId="0"/>
    <xf numFmtId="0" fontId="96" fillId="0" borderId="0"/>
    <xf numFmtId="9" fontId="96" fillId="0" borderId="0" applyFont="0" applyFill="0" applyBorder="0" applyAlignment="0" applyProtection="0"/>
    <xf numFmtId="0" fontId="3" fillId="27" borderId="38" applyNumberFormat="0" applyFont="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24" fillId="0" borderId="0" applyNumberFormat="0" applyFill="0" applyBorder="0" applyAlignment="0" applyProtection="0"/>
  </cellStyleXfs>
  <cellXfs count="938">
    <xf numFmtId="0" fontId="0" fillId="0" borderId="0" xfId="0"/>
    <xf numFmtId="9" fontId="4" fillId="5" borderId="1" xfId="4" applyNumberFormat="1" applyAlignment="1" applyProtection="1">
      <alignment horizontal="center"/>
      <protection locked="0"/>
    </xf>
    <xf numFmtId="0" fontId="52" fillId="0" borderId="0" xfId="2" applyFill="1" applyBorder="1"/>
    <xf numFmtId="0" fontId="9" fillId="0" borderId="0" xfId="0" applyFont="1"/>
    <xf numFmtId="0" fontId="10" fillId="0" borderId="0" xfId="0" applyFont="1"/>
    <xf numFmtId="15" fontId="11" fillId="0" borderId="0" xfId="0" applyNumberFormat="1" applyFont="1"/>
    <xf numFmtId="0" fontId="11" fillId="0" borderId="0" xfId="0" applyFont="1"/>
    <xf numFmtId="0" fontId="3" fillId="0" borderId="0" xfId="0" applyFont="1"/>
    <xf numFmtId="0" fontId="12" fillId="0" borderId="0" xfId="0" applyFont="1" applyAlignment="1">
      <alignment horizontal="center"/>
    </xf>
    <xf numFmtId="0" fontId="13" fillId="0" borderId="0" xfId="0" applyFont="1"/>
    <xf numFmtId="0" fontId="4" fillId="5" borderId="1" xfId="4" applyAlignment="1">
      <alignment horizontal="center"/>
    </xf>
    <xf numFmtId="0" fontId="12" fillId="7" borderId="0" xfId="12">
      <alignment horizontal="center"/>
    </xf>
    <xf numFmtId="0" fontId="5" fillId="3" borderId="2" xfId="5" applyAlignment="1">
      <alignment horizontal="center"/>
    </xf>
    <xf numFmtId="0" fontId="12" fillId="0" borderId="0" xfId="0" applyFont="1"/>
    <xf numFmtId="15" fontId="30" fillId="0" borderId="0" xfId="7" applyNumberFormat="1" applyFill="1" applyBorder="1">
      <alignment horizontal="left" indent="2"/>
    </xf>
    <xf numFmtId="0" fontId="4" fillId="5" borderId="1" xfId="4" applyAlignment="1">
      <alignment horizontal="right"/>
    </xf>
    <xf numFmtId="0" fontId="14" fillId="0" borderId="0" xfId="3" applyFill="1"/>
    <xf numFmtId="0" fontId="14" fillId="0" borderId="0" xfId="3"/>
    <xf numFmtId="0" fontId="52" fillId="0" borderId="0" xfId="2"/>
    <xf numFmtId="0" fontId="15" fillId="0" borderId="0" xfId="0" applyFont="1"/>
    <xf numFmtId="0" fontId="15" fillId="0" borderId="0" xfId="0" applyFont="1" applyProtection="1">
      <protection hidden="1"/>
    </xf>
    <xf numFmtId="0" fontId="16" fillId="0" borderId="0" xfId="8"/>
    <xf numFmtId="0" fontId="17" fillId="6" borderId="5" xfId="11" applyAlignment="1">
      <alignment horizontal="center"/>
    </xf>
    <xf numFmtId="0" fontId="30" fillId="0" borderId="0" xfId="7" applyProtection="1">
      <alignment horizontal="left" indent="2"/>
      <protection locked="0"/>
    </xf>
    <xf numFmtId="0" fontId="30" fillId="0" borderId="0" xfId="7" applyFill="1" applyProtection="1">
      <alignment horizontal="left" indent="2"/>
      <protection locked="0"/>
    </xf>
    <xf numFmtId="0" fontId="15" fillId="0" borderId="0" xfId="0" applyFont="1" applyAlignment="1">
      <alignment horizontal="center"/>
    </xf>
    <xf numFmtId="0" fontId="30" fillId="0" borderId="0" xfId="7" applyFill="1" applyBorder="1" applyProtection="1">
      <alignment horizontal="left" indent="2"/>
      <protection locked="0"/>
    </xf>
    <xf numFmtId="1" fontId="0" fillId="0" borderId="0" xfId="0" applyNumberFormat="1"/>
    <xf numFmtId="1" fontId="17" fillId="6" borderId="5" xfId="11" applyNumberFormat="1"/>
    <xf numFmtId="0" fontId="20" fillId="10" borderId="0" xfId="0" applyFont="1" applyFill="1" applyAlignment="1">
      <alignment horizontal="left" vertical="center"/>
    </xf>
    <xf numFmtId="0" fontId="30" fillId="0" borderId="0" xfId="7">
      <alignment horizontal="left" indent="2"/>
    </xf>
    <xf numFmtId="0" fontId="23" fillId="0" borderId="0" xfId="7" applyFont="1">
      <alignment horizontal="left" indent="2"/>
    </xf>
    <xf numFmtId="0" fontId="0" fillId="6" borderId="0" xfId="0" applyFill="1"/>
    <xf numFmtId="0" fontId="21" fillId="6" borderId="0" xfId="0" applyFont="1" applyFill="1" applyAlignment="1">
      <alignment horizontal="left" vertical="center" indent="2"/>
    </xf>
    <xf numFmtId="9" fontId="0" fillId="0" borderId="0" xfId="1" applyFont="1"/>
    <xf numFmtId="165" fontId="0" fillId="6" borderId="8" xfId="0" applyNumberFormat="1" applyFill="1" applyBorder="1" applyAlignment="1">
      <alignment horizontal="left" vertical="top" indent="2"/>
    </xf>
    <xf numFmtId="9" fontId="0" fillId="6" borderId="0" xfId="1" applyFont="1" applyFill="1"/>
    <xf numFmtId="0" fontId="18" fillId="0" borderId="0" xfId="14"/>
    <xf numFmtId="0" fontId="20" fillId="10" borderId="9" xfId="0" applyFont="1" applyFill="1" applyBorder="1" applyAlignment="1">
      <alignment horizontal="left" vertical="center"/>
    </xf>
    <xf numFmtId="15" fontId="17" fillId="6" borderId="5" xfId="13" applyFont="1" applyFill="1" applyBorder="1"/>
    <xf numFmtId="0" fontId="17" fillId="6" borderId="5" xfId="11" applyAlignment="1">
      <alignment horizontal="right"/>
    </xf>
    <xf numFmtId="0" fontId="20" fillId="10" borderId="0" xfId="17" applyFont="1" applyFill="1" applyAlignment="1">
      <alignment horizontal="left" vertical="center"/>
    </xf>
    <xf numFmtId="0" fontId="12" fillId="0" borderId="0" xfId="18" applyFont="1" applyFill="1" applyBorder="1" applyAlignment="1">
      <alignment horizontal="center" vertical="center" wrapText="1"/>
    </xf>
    <xf numFmtId="0" fontId="3" fillId="0" borderId="0" xfId="17" applyFont="1" applyAlignment="1">
      <alignment horizontal="left"/>
    </xf>
    <xf numFmtId="0" fontId="3" fillId="0" borderId="0" xfId="17" applyFont="1"/>
    <xf numFmtId="0" fontId="33" fillId="0" borderId="0" xfId="17" applyFont="1" applyAlignment="1">
      <alignment horizontal="left"/>
    </xf>
    <xf numFmtId="0" fontId="22" fillId="6" borderId="0" xfId="0" applyFont="1" applyFill="1" applyAlignment="1">
      <alignment horizontal="right" vertical="center"/>
    </xf>
    <xf numFmtId="0" fontId="12" fillId="0" borderId="0" xfId="18" applyFont="1" applyFill="1" applyBorder="1" applyAlignment="1">
      <alignment vertical="center" wrapText="1"/>
    </xf>
    <xf numFmtId="0" fontId="12" fillId="0" borderId="0" xfId="18" applyFont="1" applyFill="1" applyBorder="1" applyAlignment="1">
      <alignment horizontal="justify" vertical="top" wrapText="1"/>
    </xf>
    <xf numFmtId="38" fontId="12" fillId="0" borderId="0" xfId="0" applyNumberFormat="1" applyFont="1" applyAlignment="1">
      <alignment vertical="center" wrapText="1"/>
    </xf>
    <xf numFmtId="2" fontId="12" fillId="0" borderId="0" xfId="17" applyNumberFormat="1" applyFont="1" applyAlignment="1">
      <alignment horizontal="center" vertical="center" wrapText="1"/>
    </xf>
    <xf numFmtId="2" fontId="12" fillId="0" borderId="0" xfId="0" applyNumberFormat="1" applyFont="1" applyAlignment="1">
      <alignment vertical="center" wrapText="1"/>
    </xf>
    <xf numFmtId="9" fontId="12" fillId="0" borderId="0" xfId="19" applyFont="1" applyBorder="1" applyAlignment="1">
      <alignment horizontal="center" vertical="center" wrapText="1"/>
    </xf>
    <xf numFmtId="38" fontId="12" fillId="0" borderId="0" xfId="0" applyNumberFormat="1" applyFont="1" applyAlignment="1">
      <alignment vertical="center"/>
    </xf>
    <xf numFmtId="2" fontId="12" fillId="0" borderId="0" xfId="0" applyNumberFormat="1" applyFont="1" applyAlignment="1">
      <alignment horizontal="center" vertical="center"/>
    </xf>
    <xf numFmtId="0" fontId="0" fillId="6" borderId="0" xfId="0" applyFill="1" applyAlignment="1">
      <alignment horizontal="left" indent="1"/>
    </xf>
    <xf numFmtId="0" fontId="22" fillId="4" borderId="0" xfId="0" applyFont="1" applyFill="1" applyAlignment="1">
      <alignment horizontal="right" vertical="center" wrapText="1"/>
    </xf>
    <xf numFmtId="0" fontId="30" fillId="0" borderId="0" xfId="7" applyFill="1">
      <alignment horizontal="left" indent="2"/>
    </xf>
    <xf numFmtId="0" fontId="0" fillId="0" borderId="0" xfId="0" applyAlignment="1">
      <alignment horizontal="center"/>
    </xf>
    <xf numFmtId="0" fontId="3" fillId="0" borderId="0" xfId="21" applyFont="1"/>
    <xf numFmtId="0" fontId="35" fillId="0" borderId="0" xfId="21"/>
    <xf numFmtId="0" fontId="3" fillId="0" borderId="0" xfId="21" applyFont="1" applyAlignment="1">
      <alignment horizontal="center"/>
    </xf>
    <xf numFmtId="0" fontId="20" fillId="10" borderId="0" xfId="0" applyFont="1" applyFill="1" applyAlignment="1">
      <alignment horizontal="left" vertical="top"/>
    </xf>
    <xf numFmtId="0" fontId="0" fillId="0" borderId="0" xfId="0" applyAlignment="1">
      <alignment horizontal="left" vertical="top"/>
    </xf>
    <xf numFmtId="10" fontId="3" fillId="0" borderId="0" xfId="21" applyNumberFormat="1" applyFont="1" applyAlignment="1">
      <alignment horizontal="center"/>
    </xf>
    <xf numFmtId="0" fontId="20" fillId="10" borderId="9" xfId="0" applyFont="1" applyFill="1" applyBorder="1" applyAlignment="1">
      <alignment horizontal="left" vertical="top"/>
    </xf>
    <xf numFmtId="17" fontId="38" fillId="0" borderId="0" xfId="0" applyNumberFormat="1" applyFont="1" applyAlignment="1">
      <alignment horizontal="left" vertical="top"/>
    </xf>
    <xf numFmtId="0" fontId="0" fillId="0" borderId="0" xfId="0" applyAlignment="1">
      <alignment horizontal="center" vertical="center"/>
    </xf>
    <xf numFmtId="0" fontId="0" fillId="0" borderId="0" xfId="0" applyAlignment="1">
      <alignment horizontal="left"/>
    </xf>
    <xf numFmtId="0" fontId="36" fillId="12" borderId="0" xfId="21" applyFont="1" applyFill="1" applyAlignment="1">
      <alignment horizontal="left" vertical="center" wrapText="1"/>
    </xf>
    <xf numFmtId="0" fontId="40" fillId="12" borderId="0" xfId="21" applyFont="1" applyFill="1" applyAlignment="1">
      <alignment vertical="center" wrapText="1"/>
    </xf>
    <xf numFmtId="0" fontId="3" fillId="0" borderId="0" xfId="21" applyFont="1" applyAlignment="1">
      <alignment vertical="center"/>
    </xf>
    <xf numFmtId="0" fontId="3" fillId="0" borderId="0" xfId="21" applyFont="1" applyAlignment="1">
      <alignment horizontal="left"/>
    </xf>
    <xf numFmtId="169" fontId="3" fillId="0" borderId="0" xfId="26" applyNumberFormat="1" applyFont="1"/>
    <xf numFmtId="10" fontId="3" fillId="0" borderId="0" xfId="26" applyNumberFormat="1" applyFont="1" applyAlignment="1">
      <alignment horizontal="center"/>
    </xf>
    <xf numFmtId="43" fontId="3" fillId="0" borderId="0" xfId="21" applyNumberFormat="1" applyFont="1"/>
    <xf numFmtId="0" fontId="28" fillId="0" borderId="0" xfId="21" applyFont="1" applyAlignment="1">
      <alignment vertical="center"/>
    </xf>
    <xf numFmtId="0" fontId="20" fillId="10" borderId="9" xfId="0" applyFont="1" applyFill="1" applyBorder="1" applyAlignment="1">
      <alignment horizontal="left" vertical="center" wrapText="1"/>
    </xf>
    <xf numFmtId="0" fontId="20" fillId="10" borderId="9" xfId="21" applyFont="1" applyFill="1" applyBorder="1" applyAlignment="1">
      <alignment horizontal="left" vertical="center" wrapText="1"/>
    </xf>
    <xf numFmtId="0" fontId="20" fillId="10" borderId="0" xfId="21" applyFont="1" applyFill="1" applyAlignment="1">
      <alignment horizontal="left" vertical="center"/>
    </xf>
    <xf numFmtId="0" fontId="0" fillId="11" borderId="0" xfId="0" applyFill="1"/>
    <xf numFmtId="171" fontId="35" fillId="0" borderId="0" xfId="21" applyNumberFormat="1"/>
    <xf numFmtId="0" fontId="36" fillId="16" borderId="0" xfId="29" applyFont="1" applyProtection="1">
      <alignment horizontal="centerContinuous" vertical="center" wrapText="1"/>
      <protection hidden="1"/>
    </xf>
    <xf numFmtId="172" fontId="36" fillId="16" borderId="0" xfId="29" applyNumberFormat="1" applyFont="1" applyProtection="1">
      <alignment horizontal="centerContinuous" vertical="center" wrapText="1"/>
      <protection hidden="1"/>
    </xf>
    <xf numFmtId="0" fontId="19" fillId="0" borderId="0" xfId="0" applyFont="1" applyProtection="1">
      <protection hidden="1"/>
    </xf>
    <xf numFmtId="166" fontId="0" fillId="0" borderId="0" xfId="28" applyNumberFormat="1" applyFont="1"/>
    <xf numFmtId="0" fontId="22" fillId="0" borderId="0" xfId="0" applyFont="1" applyAlignment="1">
      <alignment horizontal="right" vertical="center"/>
    </xf>
    <xf numFmtId="0" fontId="20" fillId="10" borderId="0" xfId="0" applyFont="1" applyFill="1" applyAlignment="1">
      <alignment horizontal="right" vertical="center"/>
    </xf>
    <xf numFmtId="166" fontId="0" fillId="6" borderId="0" xfId="28" applyNumberFormat="1" applyFont="1" applyFill="1"/>
    <xf numFmtId="166" fontId="0" fillId="0" borderId="0" xfId="0" applyNumberFormat="1"/>
    <xf numFmtId="0" fontId="20" fillId="10" borderId="0" xfId="3" applyFont="1" applyFill="1" applyAlignment="1">
      <alignment horizontal="left" vertical="center"/>
    </xf>
    <xf numFmtId="0" fontId="14" fillId="0" borderId="0" xfId="3" applyAlignment="1">
      <alignment horizontal="center"/>
    </xf>
    <xf numFmtId="0" fontId="20" fillId="10" borderId="0" xfId="17" applyFont="1" applyFill="1" applyAlignment="1">
      <alignment horizontal="left" vertical="center" wrapText="1"/>
    </xf>
    <xf numFmtId="0" fontId="20" fillId="10" borderId="9" xfId="20" applyFont="1" applyFill="1" applyBorder="1" applyAlignment="1">
      <alignment horizontal="left" vertical="center"/>
    </xf>
    <xf numFmtId="166" fontId="0" fillId="6" borderId="0" xfId="0" applyNumberFormat="1" applyFill="1"/>
    <xf numFmtId="174" fontId="4" fillId="5" borderId="1" xfId="4" applyNumberFormat="1" applyAlignment="1">
      <alignment horizontal="center"/>
    </xf>
    <xf numFmtId="0" fontId="0" fillId="0" borderId="0" xfId="0" applyAlignment="1">
      <alignment horizontal="left" indent="1"/>
    </xf>
    <xf numFmtId="166" fontId="0" fillId="0" borderId="0" xfId="28" applyNumberFormat="1" applyFont="1" applyFill="1"/>
    <xf numFmtId="9" fontId="0" fillId="0" borderId="0" xfId="1" applyFont="1" applyFill="1"/>
    <xf numFmtId="0" fontId="0" fillId="0" borderId="0" xfId="0" applyAlignment="1">
      <alignment horizontal="right"/>
    </xf>
    <xf numFmtId="0" fontId="22" fillId="0" borderId="12" xfId="0" applyFont="1" applyBorder="1" applyAlignment="1">
      <alignment horizontal="right" vertical="center"/>
    </xf>
    <xf numFmtId="0" fontId="24" fillId="0" borderId="7" xfId="0" applyFont="1" applyBorder="1" applyAlignment="1">
      <alignment horizontal="right" vertical="center"/>
    </xf>
    <xf numFmtId="0" fontId="22" fillId="0" borderId="6" xfId="0" applyFont="1" applyBorder="1" applyAlignment="1">
      <alignment horizontal="left" vertical="center"/>
    </xf>
    <xf numFmtId="0" fontId="22" fillId="0" borderId="6" xfId="0" applyFont="1" applyBorder="1" applyAlignment="1">
      <alignment horizontal="right" vertical="center"/>
    </xf>
    <xf numFmtId="9" fontId="0" fillId="0" borderId="0" xfId="1" applyFont="1" applyFill="1" applyBorder="1"/>
    <xf numFmtId="165" fontId="27" fillId="0" borderId="0" xfId="0" applyNumberFormat="1" applyFont="1" applyAlignment="1">
      <alignment horizontal="left" vertical="center" indent="3"/>
    </xf>
    <xf numFmtId="0" fontId="24" fillId="0" borderId="0" xfId="17" applyFont="1" applyAlignment="1">
      <alignment horizontal="left" vertical="center" indent="1"/>
    </xf>
    <xf numFmtId="0" fontId="24" fillId="0" borderId="7" xfId="17" applyFont="1" applyBorder="1" applyAlignment="1">
      <alignment horizontal="left" vertical="center"/>
    </xf>
    <xf numFmtId="10" fontId="24" fillId="0" borderId="7" xfId="17" applyNumberFormat="1" applyFont="1" applyBorder="1" applyAlignment="1">
      <alignment horizontal="right" vertical="center"/>
    </xf>
    <xf numFmtId="0" fontId="22" fillId="4" borderId="12" xfId="0" applyFont="1" applyFill="1" applyBorder="1" applyAlignment="1">
      <alignment horizontal="right" vertical="center"/>
    </xf>
    <xf numFmtId="0" fontId="16" fillId="0" borderId="0" xfId="8" applyAlignment="1">
      <alignment horizontal="center"/>
    </xf>
    <xf numFmtId="0" fontId="22" fillId="0" borderId="0" xfId="0" applyFont="1" applyAlignment="1">
      <alignment horizontal="right" vertical="center" wrapText="1"/>
    </xf>
    <xf numFmtId="166" fontId="24" fillId="0" borderId="7" xfId="28" applyNumberFormat="1" applyFont="1" applyFill="1" applyBorder="1" applyAlignment="1">
      <alignment horizontal="right" vertical="center"/>
    </xf>
    <xf numFmtId="165" fontId="25" fillId="0" borderId="0" xfId="0" applyNumberFormat="1" applyFont="1" applyAlignment="1">
      <alignment horizontal="left"/>
    </xf>
    <xf numFmtId="0" fontId="26" fillId="0" borderId="0" xfId="0" applyFont="1"/>
    <xf numFmtId="0" fontId="3" fillId="0" borderId="0" xfId="0" applyFont="1" applyAlignment="1">
      <alignment horizontal="left" indent="1"/>
    </xf>
    <xf numFmtId="9" fontId="0" fillId="0" borderId="0" xfId="1" applyFont="1" applyFill="1" applyAlignment="1">
      <alignment horizontal="right"/>
    </xf>
    <xf numFmtId="9" fontId="12" fillId="0" borderId="8" xfId="0" applyNumberFormat="1" applyFont="1" applyBorder="1" applyAlignment="1">
      <alignment horizontal="right" vertical="top"/>
    </xf>
    <xf numFmtId="165" fontId="21" fillId="0" borderId="0" xfId="0" applyNumberFormat="1" applyFont="1" applyAlignment="1">
      <alignment horizontal="left" vertical="center" indent="2"/>
    </xf>
    <xf numFmtId="165" fontId="24" fillId="0" borderId="7" xfId="0" applyNumberFormat="1" applyFont="1" applyBorder="1" applyAlignment="1">
      <alignment horizontal="left" vertical="center"/>
    </xf>
    <xf numFmtId="165" fontId="44" fillId="0" borderId="0" xfId="0" applyNumberFormat="1" applyFont="1" applyAlignment="1">
      <alignment horizontal="left" vertical="center" indent="1"/>
    </xf>
    <xf numFmtId="0" fontId="22" fillId="14" borderId="12" xfId="0" applyFont="1" applyFill="1" applyBorder="1" applyAlignment="1">
      <alignment horizontal="right" vertical="center"/>
    </xf>
    <xf numFmtId="0" fontId="22" fillId="11" borderId="6" xfId="0" applyFont="1" applyFill="1" applyBorder="1" applyAlignment="1">
      <alignment horizontal="right" vertical="center"/>
    </xf>
    <xf numFmtId="0" fontId="0" fillId="11" borderId="0" xfId="0" applyFill="1" applyAlignment="1">
      <alignment horizontal="right"/>
    </xf>
    <xf numFmtId="0" fontId="24" fillId="11" borderId="7" xfId="0" applyFont="1" applyFill="1" applyBorder="1" applyAlignment="1">
      <alignment horizontal="right" vertical="center"/>
    </xf>
    <xf numFmtId="0" fontId="15" fillId="11" borderId="0" xfId="0" applyFont="1" applyFill="1" applyAlignment="1">
      <alignment horizontal="right"/>
    </xf>
    <xf numFmtId="166" fontId="0" fillId="11" borderId="0" xfId="28" applyNumberFormat="1" applyFont="1" applyFill="1" applyAlignment="1">
      <alignment horizontal="right"/>
    </xf>
    <xf numFmtId="166" fontId="0" fillId="11" borderId="0" xfId="28" applyNumberFormat="1" applyFont="1" applyFill="1"/>
    <xf numFmtId="0" fontId="12" fillId="0" borderId="17" xfId="18" applyFont="1" applyFill="1" applyBorder="1" applyAlignment="1">
      <alignment horizontal="justify" vertical="top" wrapText="1"/>
    </xf>
    <xf numFmtId="38" fontId="0" fillId="0" borderId="17" xfId="0" applyNumberFormat="1" applyBorder="1" applyAlignment="1">
      <alignment vertical="center" wrapText="1"/>
    </xf>
    <xf numFmtId="9" fontId="0" fillId="0" borderId="17" xfId="1" applyFont="1" applyFill="1" applyBorder="1" applyAlignment="1">
      <alignment vertical="center" wrapText="1"/>
    </xf>
    <xf numFmtId="2" fontId="12" fillId="0" borderId="17" xfId="17" applyNumberFormat="1" applyFont="1" applyBorder="1" applyAlignment="1">
      <alignment horizontal="center" vertical="center" wrapText="1"/>
    </xf>
    <xf numFmtId="171" fontId="24" fillId="0" borderId="0" xfId="1" applyNumberFormat="1" applyFont="1" applyFill="1" applyAlignment="1">
      <alignment horizontal="right" vertical="center"/>
    </xf>
    <xf numFmtId="171" fontId="3" fillId="0" borderId="0" xfId="21" applyNumberFormat="1" applyFont="1"/>
    <xf numFmtId="171" fontId="24" fillId="0" borderId="0" xfId="17" applyNumberFormat="1" applyFont="1" applyAlignment="1">
      <alignment horizontal="right" vertical="center"/>
    </xf>
    <xf numFmtId="0" fontId="33" fillId="0" borderId="16" xfId="18" applyFont="1" applyFill="1" applyBorder="1" applyAlignment="1">
      <alignment vertical="center" wrapText="1"/>
    </xf>
    <xf numFmtId="166" fontId="0" fillId="0" borderId="19" xfId="28" applyNumberFormat="1" applyFont="1" applyBorder="1"/>
    <xf numFmtId="9" fontId="4" fillId="5" borderId="1" xfId="4" applyNumberFormat="1" applyAlignment="1">
      <alignment horizontal="center"/>
    </xf>
    <xf numFmtId="0" fontId="4" fillId="5" borderId="1" xfId="4" applyNumberFormat="1" applyAlignment="1">
      <alignment horizontal="center"/>
    </xf>
    <xf numFmtId="15" fontId="4" fillId="5" borderId="1" xfId="4" applyNumberFormat="1" applyAlignment="1">
      <alignment horizontal="center"/>
    </xf>
    <xf numFmtId="0" fontId="22" fillId="0" borderId="12" xfId="0" applyFont="1" applyBorder="1" applyAlignment="1">
      <alignment horizontal="left" vertical="center"/>
    </xf>
    <xf numFmtId="0" fontId="0" fillId="0" borderId="20" xfId="0" applyBorder="1" applyAlignment="1">
      <alignment horizontal="left" indent="1"/>
    </xf>
    <xf numFmtId="0" fontId="15" fillId="0" borderId="0" xfId="0" applyFont="1" applyAlignment="1">
      <alignment horizontal="left"/>
    </xf>
    <xf numFmtId="0" fontId="49" fillId="0" borderId="0" xfId="0" applyFont="1"/>
    <xf numFmtId="0" fontId="51" fillId="5" borderId="1" xfId="4" applyFont="1" applyAlignment="1">
      <alignment horizontal="right"/>
    </xf>
    <xf numFmtId="0" fontId="23" fillId="0" borderId="0" xfId="14" applyFont="1"/>
    <xf numFmtId="0" fontId="3" fillId="0" borderId="0" xfId="17" applyFont="1" applyAlignment="1">
      <alignment horizontal="right" indent="2"/>
    </xf>
    <xf numFmtId="0" fontId="19" fillId="0" borderId="0" xfId="0" applyFont="1" applyAlignment="1">
      <alignment horizontal="right" indent="2"/>
    </xf>
    <xf numFmtId="166" fontId="19" fillId="0" borderId="0" xfId="28" applyNumberFormat="1" applyFont="1"/>
    <xf numFmtId="9" fontId="19" fillId="0" borderId="0" xfId="1" applyFont="1"/>
    <xf numFmtId="1" fontId="30" fillId="0" borderId="0" xfId="7" applyNumberFormat="1" applyFill="1">
      <alignment horizontal="left" indent="2"/>
    </xf>
    <xf numFmtId="1" fontId="30" fillId="0" borderId="0" xfId="7" applyNumberFormat="1" applyFill="1" applyAlignment="1">
      <alignment horizontal="left" vertical="center" indent="2"/>
    </xf>
    <xf numFmtId="0" fontId="12" fillId="6" borderId="0" xfId="21" applyFont="1" applyFill="1" applyAlignment="1">
      <alignment horizontal="left" indent="1"/>
    </xf>
    <xf numFmtId="0" fontId="0" fillId="0" borderId="19" xfId="0" applyBorder="1"/>
    <xf numFmtId="0" fontId="20" fillId="10" borderId="9" xfId="21" applyFont="1" applyFill="1" applyBorder="1" applyAlignment="1">
      <alignment horizontal="left" vertical="center"/>
    </xf>
    <xf numFmtId="167" fontId="12" fillId="0" borderId="0" xfId="15" applyFont="1"/>
    <xf numFmtId="0" fontId="22" fillId="4" borderId="12" xfId="0" applyFont="1" applyFill="1" applyBorder="1" applyAlignment="1">
      <alignment horizontal="center" vertical="center"/>
    </xf>
    <xf numFmtId="2" fontId="0" fillId="0" borderId="0" xfId="0" applyNumberFormat="1"/>
    <xf numFmtId="2" fontId="19" fillId="0" borderId="0" xfId="0" applyNumberFormat="1" applyFont="1"/>
    <xf numFmtId="176" fontId="28" fillId="0" borderId="0" xfId="0" applyNumberFormat="1" applyFont="1"/>
    <xf numFmtId="0" fontId="27" fillId="0" borderId="12" xfId="0" applyFont="1" applyBorder="1" applyAlignment="1">
      <alignment horizontal="left" vertical="center"/>
    </xf>
    <xf numFmtId="15" fontId="0" fillId="9" borderId="0" xfId="13" applyFont="1" applyFill="1" applyProtection="1">
      <protection locked="0" hidden="1"/>
    </xf>
    <xf numFmtId="15" fontId="0" fillId="8" borderId="0" xfId="13" applyFont="1" applyFill="1" applyProtection="1">
      <protection locked="0" hidden="1"/>
    </xf>
    <xf numFmtId="15" fontId="0" fillId="9" borderId="0" xfId="0" applyNumberFormat="1" applyFill="1" applyProtection="1">
      <protection locked="0" hidden="1"/>
    </xf>
    <xf numFmtId="15" fontId="17" fillId="9" borderId="5" xfId="11" applyNumberFormat="1" applyFill="1" applyProtection="1">
      <protection locked="0" hidden="1"/>
    </xf>
    <xf numFmtId="15" fontId="17" fillId="8" borderId="5" xfId="11" applyNumberFormat="1" applyFill="1" applyProtection="1">
      <protection locked="0" hidden="1"/>
    </xf>
    <xf numFmtId="0" fontId="0" fillId="9" borderId="0" xfId="0" applyFill="1" applyProtection="1">
      <protection locked="0" hidden="1"/>
    </xf>
    <xf numFmtId="0" fontId="0" fillId="8" borderId="0" xfId="0" applyFill="1" applyProtection="1">
      <protection locked="0" hidden="1"/>
    </xf>
    <xf numFmtId="0" fontId="0" fillId="9" borderId="0" xfId="0" applyFill="1" applyAlignment="1" applyProtection="1">
      <alignment horizontal="right"/>
      <protection locked="0" hidden="1"/>
    </xf>
    <xf numFmtId="0" fontId="0" fillId="8" borderId="0" xfId="0" applyFill="1" applyAlignment="1" applyProtection="1">
      <alignment horizontal="right"/>
      <protection locked="0" hidden="1"/>
    </xf>
    <xf numFmtId="0" fontId="20" fillId="10" borderId="0" xfId="0" applyFont="1" applyFill="1" applyAlignment="1" applyProtection="1">
      <alignment horizontal="left" vertical="center"/>
      <protection hidden="1"/>
    </xf>
    <xf numFmtId="0" fontId="22" fillId="0" borderId="6" xfId="0" applyFont="1" applyBorder="1" applyAlignment="1" applyProtection="1">
      <alignment horizontal="left" vertical="center"/>
      <protection hidden="1"/>
    </xf>
    <xf numFmtId="0" fontId="22" fillId="0" borderId="6" xfId="0" applyFont="1" applyBorder="1" applyAlignment="1" applyProtection="1">
      <alignment horizontal="right" vertical="center"/>
      <protection hidden="1"/>
    </xf>
    <xf numFmtId="165" fontId="24" fillId="0" borderId="7" xfId="0" applyNumberFormat="1" applyFont="1" applyBorder="1" applyAlignment="1" applyProtection="1">
      <alignment horizontal="left" vertical="center"/>
      <protection hidden="1"/>
    </xf>
    <xf numFmtId="165" fontId="24" fillId="0" borderId="7" xfId="0" applyNumberFormat="1" applyFont="1" applyBorder="1" applyAlignment="1" applyProtection="1">
      <alignment horizontal="right" vertical="center"/>
      <protection hidden="1"/>
    </xf>
    <xf numFmtId="0" fontId="25" fillId="0" borderId="0" xfId="0" applyFont="1" applyAlignment="1" applyProtection="1">
      <alignment horizontal="left"/>
      <protection hidden="1"/>
    </xf>
    <xf numFmtId="0" fontId="0" fillId="0" borderId="0" xfId="0" applyProtection="1">
      <protection hidden="1"/>
    </xf>
    <xf numFmtId="0" fontId="21" fillId="0" borderId="0" xfId="0" applyFont="1" applyAlignment="1" applyProtection="1">
      <alignment horizontal="left" vertical="center" indent="2"/>
      <protection hidden="1"/>
    </xf>
    <xf numFmtId="0" fontId="21" fillId="0" borderId="0" xfId="0" applyFont="1" applyAlignment="1" applyProtection="1">
      <alignment horizontal="right" vertical="center"/>
      <protection hidden="1"/>
    </xf>
    <xf numFmtId="165" fontId="0" fillId="0" borderId="8" xfId="0" applyNumberFormat="1" applyBorder="1" applyAlignment="1" applyProtection="1">
      <alignment horizontal="left" vertical="center" indent="2"/>
      <protection hidden="1"/>
    </xf>
    <xf numFmtId="0" fontId="0" fillId="0" borderId="8" xfId="0" applyBorder="1" applyAlignment="1" applyProtection="1">
      <alignment horizontal="right" vertical="center"/>
      <protection hidden="1"/>
    </xf>
    <xf numFmtId="0" fontId="4" fillId="5" borderId="1" xfId="4" applyAlignment="1" applyProtection="1">
      <alignment horizontal="right"/>
      <protection locked="0"/>
    </xf>
    <xf numFmtId="0" fontId="0" fillId="0" borderId="0" xfId="0" applyProtection="1">
      <protection locked="0"/>
    </xf>
    <xf numFmtId="0" fontId="0" fillId="0" borderId="0" xfId="0" applyAlignment="1" applyProtection="1">
      <alignment horizontal="center"/>
      <protection locked="0"/>
    </xf>
    <xf numFmtId="0" fontId="20" fillId="10" borderId="9" xfId="0" applyFont="1" applyFill="1" applyBorder="1" applyAlignment="1" applyProtection="1">
      <alignment horizontal="left" vertical="center"/>
      <protection locked="0"/>
    </xf>
    <xf numFmtId="0" fontId="0" fillId="0" borderId="0" xfId="0" applyAlignment="1" applyProtection="1">
      <alignment horizontal="left"/>
      <protection locked="0"/>
    </xf>
    <xf numFmtId="167" fontId="3" fillId="0" borderId="0" xfId="15" applyAlignment="1" applyProtection="1">
      <alignment horizontal="right"/>
      <protection locked="0"/>
    </xf>
    <xf numFmtId="167" fontId="12" fillId="0" borderId="0" xfId="15" applyFont="1" applyAlignment="1">
      <alignment vertical="center"/>
    </xf>
    <xf numFmtId="0" fontId="23" fillId="0" borderId="0" xfId="0" applyFont="1" applyAlignment="1">
      <alignment horizontal="left" indent="1"/>
    </xf>
    <xf numFmtId="9" fontId="22" fillId="0" borderId="12" xfId="1" applyFont="1" applyFill="1" applyBorder="1" applyAlignment="1">
      <alignment horizontal="right" vertical="center"/>
    </xf>
    <xf numFmtId="0" fontId="52" fillId="0" borderId="0" xfId="2" applyProtection="1">
      <protection locked="0"/>
    </xf>
    <xf numFmtId="0" fontId="14" fillId="0" borderId="0" xfId="3" applyProtection="1">
      <protection locked="0"/>
    </xf>
    <xf numFmtId="0" fontId="16" fillId="0" borderId="0" xfId="8" applyAlignment="1" applyProtection="1">
      <alignment horizontal="center"/>
      <protection locked="0"/>
    </xf>
    <xf numFmtId="0" fontId="22" fillId="0" borderId="12" xfId="0" applyFont="1" applyBorder="1" applyAlignment="1" applyProtection="1">
      <alignment horizontal="left" vertical="center"/>
      <protection locked="0"/>
    </xf>
    <xf numFmtId="0" fontId="21" fillId="0" borderId="0" xfId="0" applyFont="1" applyAlignment="1" applyProtection="1">
      <alignment horizontal="left" vertical="center" indent="2"/>
      <protection locked="0"/>
    </xf>
    <xf numFmtId="0" fontId="54" fillId="0" borderId="0" xfId="8" applyFont="1" applyAlignment="1" applyProtection="1">
      <alignment horizontal="center"/>
      <protection locked="0"/>
    </xf>
    <xf numFmtId="0" fontId="24" fillId="0" borderId="0" xfId="0" applyFont="1" applyAlignment="1" applyProtection="1">
      <alignment horizontal="left" vertical="center" indent="1"/>
      <protection locked="0"/>
    </xf>
    <xf numFmtId="166" fontId="24" fillId="0" borderId="0" xfId="0" applyNumberFormat="1" applyFont="1" applyAlignment="1" applyProtection="1">
      <alignment horizontal="right" vertical="center"/>
      <protection locked="0"/>
    </xf>
    <xf numFmtId="166" fontId="0" fillId="0" borderId="0" xfId="0" applyNumberFormat="1" applyProtection="1">
      <protection locked="0"/>
    </xf>
    <xf numFmtId="0" fontId="50" fillId="0" borderId="0" xfId="8" applyFont="1" applyAlignment="1" applyProtection="1">
      <alignment horizontal="center"/>
      <protection locked="0"/>
    </xf>
    <xf numFmtId="0" fontId="24" fillId="0" borderId="7" xfId="0" applyFont="1" applyBorder="1" applyAlignment="1" applyProtection="1">
      <alignment horizontal="left" vertical="center"/>
      <protection locked="0"/>
    </xf>
    <xf numFmtId="166" fontId="24" fillId="0" borderId="7" xfId="0" applyNumberFormat="1" applyFont="1" applyBorder="1" applyAlignment="1" applyProtection="1">
      <alignment horizontal="right" vertical="center"/>
      <protection locked="0"/>
    </xf>
    <xf numFmtId="0" fontId="25" fillId="0" borderId="0" xfId="0" applyFont="1" applyAlignment="1" applyProtection="1">
      <alignment horizontal="left"/>
      <protection locked="0"/>
    </xf>
    <xf numFmtId="43" fontId="0" fillId="0" borderId="0" xfId="28" applyFont="1" applyProtection="1">
      <protection locked="0"/>
    </xf>
    <xf numFmtId="0" fontId="22" fillId="0" borderId="12" xfId="0" applyFont="1" applyBorder="1" applyAlignment="1" applyProtection="1">
      <alignment horizontal="left" vertical="top" wrapText="1"/>
      <protection locked="0"/>
    </xf>
    <xf numFmtId="0" fontId="45" fillId="0" borderId="0" xfId="0" applyFont="1" applyAlignment="1" applyProtection="1">
      <alignment horizontal="left" vertical="center" indent="2"/>
      <protection locked="0"/>
    </xf>
    <xf numFmtId="166" fontId="45" fillId="0" borderId="0" xfId="28" applyNumberFormat="1" applyFont="1" applyBorder="1" applyAlignment="1" applyProtection="1">
      <alignment horizontal="left" vertical="center" indent="2"/>
      <protection locked="0"/>
    </xf>
    <xf numFmtId="9" fontId="45" fillId="0" borderId="0" xfId="1" applyFont="1" applyBorder="1" applyAlignment="1" applyProtection="1">
      <alignment horizontal="left" vertical="center" indent="2"/>
      <protection locked="0"/>
    </xf>
    <xf numFmtId="9" fontId="45" fillId="0" borderId="0" xfId="1" applyFont="1" applyBorder="1" applyAlignment="1" applyProtection="1">
      <alignment horizontal="center" vertical="center"/>
      <protection locked="0"/>
    </xf>
    <xf numFmtId="166" fontId="21" fillId="0" borderId="0" xfId="28" applyNumberFormat="1" applyFont="1" applyAlignment="1" applyProtection="1">
      <alignment horizontal="left" vertical="center" indent="2"/>
      <protection locked="0"/>
    </xf>
    <xf numFmtId="9" fontId="21" fillId="0" borderId="0" xfId="1" applyFont="1" applyAlignment="1" applyProtection="1">
      <alignment horizontal="left" vertical="center" indent="2"/>
      <protection locked="0"/>
    </xf>
    <xf numFmtId="9" fontId="21" fillId="0" borderId="0" xfId="1" applyFont="1" applyAlignment="1" applyProtection="1">
      <alignment horizontal="center" vertical="center"/>
      <protection locked="0"/>
    </xf>
    <xf numFmtId="166" fontId="21" fillId="0" borderId="0" xfId="28" applyNumberFormat="1" applyFont="1" applyBorder="1" applyAlignment="1" applyProtection="1">
      <alignment horizontal="left" vertical="center" indent="2"/>
      <protection locked="0"/>
    </xf>
    <xf numFmtId="9" fontId="21" fillId="0" borderId="0" xfId="1" applyFont="1" applyBorder="1" applyAlignment="1" applyProtection="1">
      <alignment horizontal="left" vertical="center" indent="2"/>
      <protection locked="0"/>
    </xf>
    <xf numFmtId="9" fontId="21" fillId="0" borderId="0" xfId="1" applyFont="1" applyBorder="1" applyAlignment="1" applyProtection="1">
      <alignment horizontal="center" vertical="center"/>
      <protection locked="0"/>
    </xf>
    <xf numFmtId="0" fontId="21" fillId="0" borderId="19" xfId="0" applyFont="1" applyBorder="1" applyAlignment="1" applyProtection="1">
      <alignment horizontal="left" vertical="center" indent="2"/>
      <protection locked="0"/>
    </xf>
    <xf numFmtId="0" fontId="21" fillId="0" borderId="18" xfId="0" applyFont="1" applyBorder="1" applyAlignment="1" applyProtection="1">
      <alignment horizontal="left" vertical="center" indent="2"/>
      <protection locked="0"/>
    </xf>
    <xf numFmtId="166" fontId="21" fillId="0" borderId="18" xfId="28" applyNumberFormat="1" applyFont="1" applyBorder="1" applyAlignment="1" applyProtection="1">
      <alignment horizontal="left" vertical="center" indent="2"/>
      <protection locked="0"/>
    </xf>
    <xf numFmtId="9" fontId="21" fillId="0" borderId="18" xfId="1" applyFont="1" applyBorder="1" applyAlignment="1" applyProtection="1">
      <alignment horizontal="left" vertical="center" indent="2"/>
      <protection locked="0"/>
    </xf>
    <xf numFmtId="9" fontId="21" fillId="0" borderId="18" xfId="1" applyFont="1" applyBorder="1" applyAlignment="1" applyProtection="1">
      <alignment horizontal="center" vertical="center"/>
      <protection locked="0"/>
    </xf>
    <xf numFmtId="0" fontId="22" fillId="0" borderId="12" xfId="0" applyFont="1" applyBorder="1" applyAlignment="1" applyProtection="1">
      <alignment horizontal="right" vertical="center" wrapText="1"/>
      <protection locked="0"/>
    </xf>
    <xf numFmtId="0" fontId="22" fillId="0" borderId="12" xfId="21" applyFont="1" applyBorder="1" applyAlignment="1" applyProtection="1">
      <alignment horizontal="right" vertical="center" wrapText="1"/>
      <protection locked="0"/>
    </xf>
    <xf numFmtId="9" fontId="0" fillId="0" borderId="0" xfId="0" applyNumberFormat="1" applyAlignment="1" applyProtection="1">
      <alignment horizontal="right"/>
      <protection locked="0"/>
    </xf>
    <xf numFmtId="171" fontId="0" fillId="0" borderId="0" xfId="0" applyNumberFormat="1" applyAlignment="1" applyProtection="1">
      <alignment horizontal="right"/>
      <protection locked="0"/>
    </xf>
    <xf numFmtId="10" fontId="0" fillId="0" borderId="0" xfId="0" applyNumberFormat="1" applyAlignment="1" applyProtection="1">
      <alignment horizontal="right"/>
      <protection locked="0"/>
    </xf>
    <xf numFmtId="0" fontId="22" fillId="0" borderId="6" xfId="0" applyFont="1" applyBorder="1" applyAlignment="1" applyProtection="1">
      <alignment horizontal="left" vertical="center"/>
      <protection locked="0"/>
    </xf>
    <xf numFmtId="166" fontId="0" fillId="0" borderId="0" xfId="28" applyNumberFormat="1" applyFont="1" applyProtection="1">
      <protection locked="0"/>
    </xf>
    <xf numFmtId="0" fontId="20" fillId="10" borderId="0" xfId="21" applyFont="1" applyFill="1" applyAlignment="1" applyProtection="1">
      <alignment horizontal="left" vertical="center"/>
      <protection locked="0"/>
    </xf>
    <xf numFmtId="0" fontId="22" fillId="0" borderId="6" xfId="21" applyFont="1" applyBorder="1" applyAlignment="1" applyProtection="1">
      <alignment horizontal="left" vertical="center"/>
      <protection locked="0"/>
    </xf>
    <xf numFmtId="0" fontId="22" fillId="0" borderId="6" xfId="21" applyFont="1" applyBorder="1" applyAlignment="1" applyProtection="1">
      <alignment horizontal="right" vertical="center"/>
      <protection locked="0"/>
    </xf>
    <xf numFmtId="0" fontId="30" fillId="0" borderId="0" xfId="7" applyAlignment="1" applyProtection="1">
      <alignment horizontal="center"/>
      <protection locked="0"/>
    </xf>
    <xf numFmtId="165" fontId="21" fillId="0" borderId="0" xfId="21" applyNumberFormat="1" applyFont="1" applyAlignment="1" applyProtection="1">
      <alignment horizontal="left" vertical="center" indent="2"/>
      <protection locked="0"/>
    </xf>
    <xf numFmtId="0" fontId="0" fillId="0" borderId="0" xfId="0" applyAlignment="1" applyProtection="1">
      <alignment horizontal="left" indent="2"/>
      <protection locked="0"/>
    </xf>
    <xf numFmtId="166" fontId="0" fillId="0" borderId="0" xfId="28" applyNumberFormat="1" applyFont="1" applyFill="1" applyAlignment="1" applyProtection="1">
      <alignment horizontal="center"/>
      <protection locked="0"/>
    </xf>
    <xf numFmtId="0" fontId="27" fillId="0" borderId="0" xfId="0" applyFont="1" applyAlignment="1" applyProtection="1">
      <alignment horizontal="left" vertical="center" indent="2"/>
      <protection locked="0"/>
    </xf>
    <xf numFmtId="9" fontId="28" fillId="0" borderId="0" xfId="0" applyNumberFormat="1" applyFont="1" applyProtection="1">
      <protection locked="0"/>
    </xf>
    <xf numFmtId="175" fontId="24" fillId="0" borderId="7" xfId="0" applyNumberFormat="1" applyFont="1" applyBorder="1" applyAlignment="1" applyProtection="1">
      <alignment horizontal="right" vertical="center"/>
      <protection locked="0"/>
    </xf>
    <xf numFmtId="0" fontId="22" fillId="0" borderId="12" xfId="0" applyFont="1" applyBorder="1" applyAlignment="1" applyProtection="1">
      <alignment horizontal="right" vertical="center" wrapText="1"/>
      <protection hidden="1"/>
    </xf>
    <xf numFmtId="9" fontId="21" fillId="0" borderId="0" xfId="23" applyFont="1" applyFill="1" applyAlignment="1" applyProtection="1">
      <alignment horizontal="right" vertical="center"/>
      <protection hidden="1"/>
    </xf>
    <xf numFmtId="9" fontId="21" fillId="0" borderId="0" xfId="23" applyFont="1" applyFill="1" applyBorder="1" applyAlignment="1" applyProtection="1">
      <alignment horizontal="right" vertical="center"/>
      <protection hidden="1"/>
    </xf>
    <xf numFmtId="171" fontId="24" fillId="0" borderId="7" xfId="17" applyNumberFormat="1" applyFont="1" applyBorder="1" applyAlignment="1">
      <alignment horizontal="right" vertical="center"/>
    </xf>
    <xf numFmtId="0" fontId="56" fillId="0" borderId="0" xfId="0" applyFont="1"/>
    <xf numFmtId="167" fontId="0" fillId="0" borderId="0" xfId="0" applyNumberFormat="1"/>
    <xf numFmtId="0" fontId="20" fillId="10" borderId="0" xfId="0" applyFont="1" applyFill="1" applyAlignment="1" applyProtection="1">
      <alignment horizontal="left" vertical="center"/>
      <protection locked="0"/>
    </xf>
    <xf numFmtId="0" fontId="22" fillId="0" borderId="6" xfId="0" applyFont="1" applyBorder="1" applyAlignment="1" applyProtection="1">
      <alignment horizontal="right" vertical="center"/>
      <protection locked="0"/>
    </xf>
    <xf numFmtId="172" fontId="20" fillId="10" borderId="9" xfId="29" applyNumberFormat="1" applyFont="1" applyFill="1" applyBorder="1" applyAlignment="1" applyProtection="1">
      <alignment horizontal="left" vertical="center" wrapText="1"/>
      <protection locked="0"/>
    </xf>
    <xf numFmtId="0" fontId="22" fillId="0" borderId="12" xfId="0" applyFont="1" applyBorder="1" applyAlignment="1" applyProtection="1">
      <alignment horizontal="right" vertical="center"/>
      <protection locked="0"/>
    </xf>
    <xf numFmtId="0" fontId="0" fillId="0" borderId="0" xfId="0" applyAlignment="1" applyProtection="1">
      <alignment horizontal="left" indent="1"/>
      <protection locked="0"/>
    </xf>
    <xf numFmtId="0" fontId="24" fillId="0" borderId="0" xfId="0" applyFont="1" applyAlignment="1" applyProtection="1">
      <alignment horizontal="right" vertical="center"/>
      <protection locked="0"/>
    </xf>
    <xf numFmtId="0" fontId="24" fillId="0" borderId="7" xfId="0" applyFont="1" applyBorder="1" applyAlignment="1" applyProtection="1">
      <alignment horizontal="right" vertical="center"/>
      <protection locked="0"/>
    </xf>
    <xf numFmtId="0" fontId="53" fillId="0" borderId="0" xfId="0" applyFont="1" applyAlignment="1" applyProtection="1">
      <alignment horizontal="left" vertical="center"/>
      <protection locked="0"/>
    </xf>
    <xf numFmtId="0" fontId="53" fillId="0" borderId="0" xfId="0" applyFont="1" applyAlignment="1" applyProtection="1">
      <alignment horizontal="right" vertical="center"/>
      <protection locked="0"/>
    </xf>
    <xf numFmtId="9" fontId="53" fillId="0" borderId="0" xfId="1" applyFont="1" applyFill="1" applyBorder="1" applyAlignment="1" applyProtection="1">
      <alignment horizontal="right" vertical="center"/>
      <protection locked="0"/>
    </xf>
    <xf numFmtId="165" fontId="24" fillId="0" borderId="0" xfId="0" applyNumberFormat="1" applyFont="1" applyAlignment="1" applyProtection="1">
      <alignment horizontal="left" vertical="center" indent="1"/>
      <protection locked="0"/>
    </xf>
    <xf numFmtId="15" fontId="0" fillId="0" borderId="19" xfId="0" applyNumberFormat="1" applyBorder="1" applyAlignment="1">
      <alignment horizontal="left" indent="1"/>
    </xf>
    <xf numFmtId="0" fontId="0" fillId="0" borderId="19" xfId="0" applyBorder="1" applyAlignment="1">
      <alignment horizontal="center"/>
    </xf>
    <xf numFmtId="167" fontId="0" fillId="0" borderId="19" xfId="0" applyNumberFormat="1" applyBorder="1"/>
    <xf numFmtId="167" fontId="12" fillId="0" borderId="19" xfId="15" applyFont="1" applyBorder="1" applyAlignment="1">
      <alignment vertical="center"/>
    </xf>
    <xf numFmtId="38" fontId="12" fillId="0" borderId="19" xfId="0" applyNumberFormat="1" applyFont="1" applyBorder="1" applyAlignment="1">
      <alignment vertical="center"/>
    </xf>
    <xf numFmtId="2" fontId="12" fillId="0" borderId="19" xfId="0" applyNumberFormat="1" applyFont="1" applyBorder="1" applyAlignment="1">
      <alignment horizontal="center" vertical="center"/>
    </xf>
    <xf numFmtId="0" fontId="25" fillId="0" borderId="0" xfId="0" applyFont="1" applyAlignment="1">
      <alignment horizontal="left"/>
    </xf>
    <xf numFmtId="0" fontId="22" fillId="0" borderId="6" xfId="0" applyFont="1" applyBorder="1" applyAlignment="1">
      <alignment horizontal="center" vertical="center"/>
    </xf>
    <xf numFmtId="0" fontId="12" fillId="0" borderId="17" xfId="18" applyFont="1" applyFill="1" applyBorder="1" applyAlignment="1">
      <alignment horizontal="center" vertical="center" wrapText="1"/>
    </xf>
    <xf numFmtId="9" fontId="46" fillId="0" borderId="0" xfId="0" applyNumberFormat="1" applyFont="1" applyAlignment="1" applyProtection="1">
      <alignment horizontal="right" vertical="center"/>
      <protection locked="0"/>
    </xf>
    <xf numFmtId="0" fontId="16" fillId="0" borderId="0" xfId="8" applyAlignment="1" applyProtection="1">
      <alignment horizontal="center"/>
      <protection locked="0" hidden="1"/>
    </xf>
    <xf numFmtId="0" fontId="20" fillId="10" borderId="9" xfId="0" applyFont="1" applyFill="1" applyBorder="1" applyAlignment="1" applyProtection="1">
      <alignment horizontal="left" vertical="center"/>
      <protection locked="0" hidden="1"/>
    </xf>
    <xf numFmtId="0" fontId="22" fillId="0" borderId="12" xfId="0" applyFont="1" applyBorder="1" applyAlignment="1" applyProtection="1">
      <alignment horizontal="right" vertical="center"/>
      <protection locked="0" hidden="1"/>
    </xf>
    <xf numFmtId="166" fontId="24" fillId="0" borderId="0" xfId="0" applyNumberFormat="1" applyFont="1" applyAlignment="1" applyProtection="1">
      <alignment horizontal="right" vertical="center"/>
      <protection locked="0" hidden="1"/>
    </xf>
    <xf numFmtId="0" fontId="20" fillId="10" borderId="9" xfId="29" applyFont="1" applyFill="1" applyBorder="1" applyAlignment="1" applyProtection="1">
      <alignment horizontal="center" vertical="center" wrapText="1"/>
      <protection locked="0"/>
    </xf>
    <xf numFmtId="177" fontId="20" fillId="10" borderId="9" xfId="29" applyNumberFormat="1" applyFont="1" applyFill="1" applyBorder="1" applyAlignment="1" applyProtection="1">
      <alignment horizontal="center" vertical="center" wrapText="1"/>
      <protection locked="0"/>
    </xf>
    <xf numFmtId="172" fontId="0" fillId="0" borderId="0" xfId="0" applyNumberFormat="1" applyProtection="1">
      <protection locked="0"/>
    </xf>
    <xf numFmtId="177" fontId="0" fillId="0" borderId="0" xfId="0" applyNumberFormat="1" applyAlignment="1" applyProtection="1">
      <alignment horizontal="left" indent="1"/>
      <protection locked="0"/>
    </xf>
    <xf numFmtId="41" fontId="0" fillId="0" borderId="0" xfId="28" applyNumberFormat="1" applyFont="1" applyAlignment="1" applyProtection="1">
      <alignment horizontal="right"/>
      <protection locked="0"/>
    </xf>
    <xf numFmtId="171" fontId="0" fillId="0" borderId="0" xfId="1" applyNumberFormat="1" applyFont="1" applyFill="1" applyAlignment="1" applyProtection="1">
      <alignment horizontal="right"/>
      <protection locked="0"/>
    </xf>
    <xf numFmtId="9" fontId="21" fillId="0" borderId="0" xfId="23" applyFont="1" applyFill="1" applyAlignment="1" applyProtection="1">
      <alignment horizontal="right" vertical="center"/>
      <protection locked="0"/>
    </xf>
    <xf numFmtId="171" fontId="0" fillId="0" borderId="0" xfId="1" applyNumberFormat="1" applyFont="1" applyFill="1" applyBorder="1" applyAlignment="1" applyProtection="1">
      <alignment horizontal="right"/>
      <protection locked="0"/>
    </xf>
    <xf numFmtId="9" fontId="21" fillId="0" borderId="0" xfId="23" applyFont="1" applyFill="1" applyBorder="1" applyAlignment="1" applyProtection="1">
      <alignment horizontal="right" vertical="center"/>
      <protection locked="0"/>
    </xf>
    <xf numFmtId="166" fontId="0" fillId="0" borderId="0" xfId="28" applyNumberFormat="1" applyFont="1" applyFill="1" applyAlignment="1" applyProtection="1">
      <alignment horizontal="right"/>
      <protection locked="0"/>
    </xf>
    <xf numFmtId="166" fontId="0" fillId="0" borderId="0" xfId="28" applyNumberFormat="1" applyFont="1" applyFill="1" applyBorder="1" applyAlignment="1" applyProtection="1">
      <alignment horizontal="right"/>
      <protection locked="0"/>
    </xf>
    <xf numFmtId="0" fontId="3" fillId="0" borderId="0" xfId="21" applyFont="1" applyAlignment="1">
      <alignment horizontal="left" indent="1"/>
    </xf>
    <xf numFmtId="0" fontId="22" fillId="0" borderId="12" xfId="21" applyFont="1" applyBorder="1" applyAlignment="1">
      <alignment horizontal="left" vertical="center" wrapText="1"/>
    </xf>
    <xf numFmtId="0" fontId="22" fillId="0" borderId="12" xfId="21" applyFont="1" applyBorder="1" applyAlignment="1">
      <alignment horizontal="right" vertical="center" wrapText="1"/>
    </xf>
    <xf numFmtId="9" fontId="22" fillId="0" borderId="12" xfId="21" applyNumberFormat="1" applyFont="1" applyBorder="1" applyAlignment="1">
      <alignment horizontal="right" vertical="center" wrapText="1"/>
    </xf>
    <xf numFmtId="0" fontId="3" fillId="0" borderId="0" xfId="21" applyFont="1" applyAlignment="1">
      <alignment horizontal="left" indent="2"/>
    </xf>
    <xf numFmtId="178" fontId="0" fillId="0" borderId="0" xfId="28" applyNumberFormat="1" applyFont="1"/>
    <xf numFmtId="178" fontId="0" fillId="9" borderId="0" xfId="28" applyNumberFormat="1" applyFont="1" applyFill="1" applyProtection="1">
      <protection locked="0" hidden="1"/>
    </xf>
    <xf numFmtId="178" fontId="0" fillId="8" borderId="0" xfId="28" applyNumberFormat="1" applyFont="1" applyFill="1" applyProtection="1">
      <protection locked="0" hidden="1"/>
    </xf>
    <xf numFmtId="10" fontId="3" fillId="0" borderId="0" xfId="1" applyNumberFormat="1" applyFont="1"/>
    <xf numFmtId="0" fontId="3" fillId="10" borderId="0" xfId="21" applyFont="1" applyFill="1"/>
    <xf numFmtId="0" fontId="3" fillId="17" borderId="0" xfId="21" applyFont="1" applyFill="1"/>
    <xf numFmtId="0" fontId="12" fillId="0" borderId="0" xfId="18" applyFont="1" applyFill="1" applyBorder="1" applyAlignment="1">
      <alignment vertical="center"/>
    </xf>
    <xf numFmtId="0" fontId="12" fillId="0" borderId="0" xfId="18" applyFont="1" applyFill="1" applyBorder="1" applyAlignment="1">
      <alignment horizontal="center" vertical="center"/>
    </xf>
    <xf numFmtId="0" fontId="12" fillId="0" borderId="0" xfId="18" applyFont="1" applyFill="1" applyBorder="1" applyAlignment="1">
      <alignment horizontal="justify" vertical="center"/>
    </xf>
    <xf numFmtId="166" fontId="12" fillId="0" borderId="0" xfId="28" applyNumberFormat="1" applyFont="1" applyFill="1" applyBorder="1" applyAlignment="1">
      <alignment vertical="center"/>
    </xf>
    <xf numFmtId="9" fontId="12" fillId="0" borderId="0" xfId="1" applyFont="1" applyFill="1" applyBorder="1" applyAlignment="1">
      <alignment vertical="center"/>
    </xf>
    <xf numFmtId="9" fontId="12" fillId="0" borderId="0" xfId="19" applyFont="1" applyFill="1" applyBorder="1" applyAlignment="1">
      <alignment horizontal="right" vertical="center"/>
    </xf>
    <xf numFmtId="2" fontId="12" fillId="0" borderId="0" xfId="17" applyNumberFormat="1" applyFont="1" applyAlignment="1">
      <alignment horizontal="right" vertical="center"/>
    </xf>
    <xf numFmtId="2" fontId="12" fillId="0" borderId="0" xfId="0" applyNumberFormat="1" applyFont="1" applyAlignment="1">
      <alignment vertical="center"/>
    </xf>
    <xf numFmtId="9" fontId="12" fillId="0" borderId="0" xfId="19" applyFont="1" applyBorder="1" applyAlignment="1">
      <alignment horizontal="center" vertical="center"/>
    </xf>
    <xf numFmtId="2" fontId="12" fillId="0" borderId="0" xfId="17" applyNumberFormat="1" applyFont="1" applyAlignment="1">
      <alignment horizontal="center" vertical="center"/>
    </xf>
    <xf numFmtId="0" fontId="12" fillId="0" borderId="19" xfId="18" applyFont="1" applyFill="1" applyBorder="1" applyAlignment="1">
      <alignment vertical="center"/>
    </xf>
    <xf numFmtId="0" fontId="12" fillId="0" borderId="19" xfId="18" applyFont="1" applyFill="1" applyBorder="1" applyAlignment="1">
      <alignment horizontal="center" vertical="center"/>
    </xf>
    <xf numFmtId="0" fontId="12" fillId="0" borderId="19" xfId="18" applyFont="1" applyFill="1" applyBorder="1" applyAlignment="1">
      <alignment horizontal="justify" vertical="center"/>
    </xf>
    <xf numFmtId="166" fontId="12" fillId="0" borderId="19" xfId="28" applyNumberFormat="1" applyFont="1" applyFill="1" applyBorder="1" applyAlignment="1">
      <alignment vertical="center"/>
    </xf>
    <xf numFmtId="9" fontId="12" fillId="0" borderId="19" xfId="1" applyFont="1" applyFill="1" applyBorder="1" applyAlignment="1">
      <alignment vertical="center"/>
    </xf>
    <xf numFmtId="9" fontId="12" fillId="0" borderId="19" xfId="19" applyFont="1" applyFill="1" applyBorder="1" applyAlignment="1">
      <alignment horizontal="right" vertical="center"/>
    </xf>
    <xf numFmtId="2" fontId="12" fillId="0" borderId="19" xfId="17" applyNumberFormat="1" applyFont="1" applyBorder="1" applyAlignment="1">
      <alignment horizontal="right" vertical="center"/>
    </xf>
    <xf numFmtId="2" fontId="12" fillId="0" borderId="19" xfId="0" applyNumberFormat="1" applyFont="1" applyBorder="1" applyAlignment="1">
      <alignment vertical="center"/>
    </xf>
    <xf numFmtId="9" fontId="12" fillId="0" borderId="19" xfId="19" applyFont="1" applyBorder="1" applyAlignment="1">
      <alignment horizontal="center" vertical="center"/>
    </xf>
    <xf numFmtId="2" fontId="12" fillId="0" borderId="19" xfId="17" applyNumberFormat="1" applyFont="1" applyBorder="1" applyAlignment="1">
      <alignment horizontal="center" vertical="center"/>
    </xf>
    <xf numFmtId="179" fontId="0" fillId="0" borderId="0" xfId="0" applyNumberFormat="1" applyAlignment="1">
      <alignment horizontal="right" vertical="center" wrapText="1"/>
    </xf>
    <xf numFmtId="179" fontId="0" fillId="0" borderId="0" xfId="28" applyNumberFormat="1" applyFont="1" applyAlignment="1">
      <alignment horizontal="right" vertical="center"/>
    </xf>
    <xf numFmtId="2" fontId="0" fillId="0" borderId="0" xfId="28" applyNumberFormat="1" applyFont="1" applyAlignment="1">
      <alignment horizontal="right" vertical="center"/>
    </xf>
    <xf numFmtId="0" fontId="20" fillId="18" borderId="0" xfId="0" applyFont="1" applyFill="1" applyAlignment="1">
      <alignment horizontal="left" vertical="center"/>
    </xf>
    <xf numFmtId="0" fontId="58" fillId="0" borderId="26" xfId="0" applyFont="1" applyBorder="1" applyAlignment="1">
      <alignment horizontal="left" vertical="center"/>
    </xf>
    <xf numFmtId="0" fontId="58" fillId="0" borderId="26" xfId="0" applyFont="1" applyBorder="1" applyAlignment="1">
      <alignment horizontal="right" vertical="center"/>
    </xf>
    <xf numFmtId="9" fontId="0" fillId="11" borderId="0" xfId="1" applyFont="1" applyFill="1" applyBorder="1" applyAlignment="1">
      <alignment horizontal="right"/>
    </xf>
    <xf numFmtId="0" fontId="58" fillId="11" borderId="26" xfId="0" applyFont="1" applyFill="1" applyBorder="1" applyAlignment="1">
      <alignment horizontal="right" vertical="center"/>
    </xf>
    <xf numFmtId="0" fontId="59" fillId="0" borderId="0" xfId="0" applyFont="1" applyAlignment="1">
      <alignment horizontal="right" vertical="center"/>
    </xf>
    <xf numFmtId="166" fontId="59" fillId="0" borderId="0" xfId="28" applyNumberFormat="1" applyFont="1" applyFill="1" applyAlignment="1">
      <alignment horizontal="right" vertical="center"/>
    </xf>
    <xf numFmtId="165" fontId="59" fillId="0" borderId="0" xfId="0" applyNumberFormat="1" applyFont="1" applyAlignment="1">
      <alignment horizontal="left" vertical="center" indent="2"/>
    </xf>
    <xf numFmtId="165" fontId="61" fillId="0" borderId="27" xfId="0" applyNumberFormat="1" applyFont="1" applyBorder="1" applyAlignment="1">
      <alignment horizontal="left" vertical="center"/>
    </xf>
    <xf numFmtId="0" fontId="61" fillId="0" borderId="27" xfId="0" applyFont="1" applyBorder="1" applyAlignment="1">
      <alignment horizontal="right" vertical="center"/>
    </xf>
    <xf numFmtId="166" fontId="61" fillId="0" borderId="27" xfId="28" applyNumberFormat="1" applyFont="1" applyFill="1" applyBorder="1" applyAlignment="1">
      <alignment horizontal="right" vertical="center"/>
    </xf>
    <xf numFmtId="0" fontId="61" fillId="11" borderId="27" xfId="0" applyFont="1" applyFill="1" applyBorder="1" applyAlignment="1">
      <alignment horizontal="right" vertical="center"/>
    </xf>
    <xf numFmtId="9" fontId="59" fillId="11" borderId="27" xfId="1" applyFont="1" applyFill="1" applyBorder="1" applyAlignment="1">
      <alignment horizontal="right" vertical="center" indent="2"/>
    </xf>
    <xf numFmtId="165" fontId="59" fillId="0" borderId="8" xfId="0" applyNumberFormat="1" applyFont="1" applyBorder="1" applyAlignment="1">
      <alignment horizontal="left" vertical="center" indent="1"/>
    </xf>
    <xf numFmtId="9" fontId="59" fillId="0" borderId="8" xfId="0" applyNumberFormat="1" applyFont="1" applyBorder="1" applyAlignment="1">
      <alignment horizontal="left" vertical="top" indent="2"/>
    </xf>
    <xf numFmtId="166" fontId="59" fillId="11" borderId="0" xfId="28" applyNumberFormat="1" applyFont="1" applyFill="1" applyAlignment="1">
      <alignment horizontal="right" vertical="center"/>
    </xf>
    <xf numFmtId="2" fontId="0" fillId="0" borderId="17" xfId="0" applyNumberFormat="1" applyBorder="1" applyAlignment="1">
      <alignment vertical="center" wrapText="1"/>
    </xf>
    <xf numFmtId="9" fontId="12" fillId="0" borderId="17" xfId="19" applyFont="1" applyFill="1" applyBorder="1" applyAlignment="1">
      <alignment horizontal="center" vertical="center" wrapText="1"/>
    </xf>
    <xf numFmtId="38" fontId="0" fillId="0" borderId="17" xfId="0" applyNumberFormat="1" applyBorder="1" applyAlignment="1">
      <alignment vertical="center"/>
    </xf>
    <xf numFmtId="2" fontId="0" fillId="0" borderId="17" xfId="0" applyNumberFormat="1" applyBorder="1" applyAlignment="1">
      <alignment horizontal="center" vertical="center"/>
    </xf>
    <xf numFmtId="2" fontId="12" fillId="0" borderId="28" xfId="17" applyNumberFormat="1" applyFont="1" applyBorder="1" applyAlignment="1">
      <alignment horizontal="center" vertical="center" wrapText="1"/>
    </xf>
    <xf numFmtId="10" fontId="59" fillId="0" borderId="19" xfId="19" applyNumberFormat="1" applyFont="1" applyFill="1" applyBorder="1" applyAlignment="1">
      <alignment horizontal="right"/>
    </xf>
    <xf numFmtId="0" fontId="59" fillId="0" borderId="0" xfId="21" applyFont="1" applyAlignment="1">
      <alignment horizontal="right" vertical="center"/>
    </xf>
    <xf numFmtId="0" fontId="59" fillId="0" borderId="0" xfId="21" applyFont="1" applyAlignment="1">
      <alignment horizontal="left" vertical="center" indent="2"/>
    </xf>
    <xf numFmtId="9" fontId="59" fillId="0" borderId="19" xfId="1" applyFont="1" applyFill="1" applyBorder="1" applyAlignment="1">
      <alignment horizontal="right"/>
    </xf>
    <xf numFmtId="0" fontId="61" fillId="0" borderId="30" xfId="0" applyFont="1" applyBorder="1" applyAlignment="1">
      <alignment horizontal="left" vertical="center"/>
    </xf>
    <xf numFmtId="0" fontId="61" fillId="0" borderId="30" xfId="0" applyFont="1" applyBorder="1" applyAlignment="1">
      <alignment horizontal="right" vertical="center"/>
    </xf>
    <xf numFmtId="10" fontId="61" fillId="0" borderId="27" xfId="17" applyNumberFormat="1" applyFont="1" applyBorder="1" applyAlignment="1">
      <alignment horizontal="right" vertical="center"/>
    </xf>
    <xf numFmtId="41" fontId="61" fillId="0" borderId="30" xfId="28" applyNumberFormat="1" applyFont="1" applyFill="1" applyBorder="1" applyAlignment="1">
      <alignment horizontal="right" vertical="center"/>
    </xf>
    <xf numFmtId="171" fontId="61" fillId="14" borderId="30" xfId="1" applyNumberFormat="1" applyFont="1" applyFill="1" applyBorder="1" applyAlignment="1">
      <alignment horizontal="right" vertical="center"/>
    </xf>
    <xf numFmtId="0" fontId="62" fillId="0" borderId="0" xfId="0" applyFont="1" applyAlignment="1">
      <alignment horizontal="left"/>
    </xf>
    <xf numFmtId="0" fontId="58" fillId="0" borderId="0" xfId="21" applyFont="1" applyAlignment="1">
      <alignment horizontal="center" vertical="center" wrapText="1"/>
    </xf>
    <xf numFmtId="0" fontId="58" fillId="0" borderId="0" xfId="21" applyFont="1" applyAlignment="1">
      <alignment horizontal="center" vertical="center"/>
    </xf>
    <xf numFmtId="0" fontId="59" fillId="0" borderId="0" xfId="21" applyFont="1"/>
    <xf numFmtId="166" fontId="59" fillId="0" borderId="0" xfId="26" applyNumberFormat="1" applyFont="1"/>
    <xf numFmtId="169" fontId="59" fillId="0" borderId="0" xfId="26" applyNumberFormat="1" applyFont="1"/>
    <xf numFmtId="10" fontId="59" fillId="0" borderId="0" xfId="26" applyNumberFormat="1" applyFont="1" applyAlignment="1">
      <alignment horizontal="center"/>
    </xf>
    <xf numFmtId="0" fontId="59" fillId="0" borderId="13" xfId="21" applyFont="1" applyBorder="1"/>
    <xf numFmtId="166" fontId="59" fillId="0" borderId="13" xfId="26" applyNumberFormat="1" applyFont="1" applyBorder="1"/>
    <xf numFmtId="169" fontId="59" fillId="0" borderId="13" xfId="26" applyNumberFormat="1" applyFont="1" applyBorder="1"/>
    <xf numFmtId="10" fontId="59" fillId="0" borderId="13" xfId="26" applyNumberFormat="1" applyFont="1" applyBorder="1" applyAlignment="1">
      <alignment horizontal="center"/>
    </xf>
    <xf numFmtId="43" fontId="59" fillId="0" borderId="0" xfId="26" applyFont="1" applyAlignment="1">
      <alignment horizontal="center"/>
    </xf>
    <xf numFmtId="43" fontId="59" fillId="0" borderId="13" xfId="26" applyFont="1" applyBorder="1" applyAlignment="1">
      <alignment horizontal="center"/>
    </xf>
    <xf numFmtId="0" fontId="59" fillId="0" borderId="0" xfId="21" applyFont="1" applyAlignment="1">
      <alignment horizontal="left"/>
    </xf>
    <xf numFmtId="166" fontId="59" fillId="0" borderId="0" xfId="26" applyNumberFormat="1" applyFont="1" applyAlignment="1">
      <alignment horizontal="left"/>
    </xf>
    <xf numFmtId="0" fontId="59" fillId="0" borderId="13" xfId="21" applyFont="1" applyBorder="1" applyAlignment="1">
      <alignment horizontal="left"/>
    </xf>
    <xf numFmtId="166" fontId="59" fillId="0" borderId="13" xfId="26" applyNumberFormat="1" applyFont="1" applyBorder="1" applyAlignment="1">
      <alignment horizontal="left"/>
    </xf>
    <xf numFmtId="10" fontId="59" fillId="13" borderId="13" xfId="26" applyNumberFormat="1" applyFont="1" applyFill="1" applyBorder="1" applyAlignment="1">
      <alignment horizontal="center"/>
    </xf>
    <xf numFmtId="0" fontId="59" fillId="0" borderId="10" xfId="21" applyFont="1" applyBorder="1"/>
    <xf numFmtId="169" fontId="59" fillId="0" borderId="0" xfId="26" applyNumberFormat="1" applyFont="1" applyBorder="1"/>
    <xf numFmtId="10" fontId="59" fillId="0" borderId="0" xfId="26" applyNumberFormat="1" applyFont="1" applyBorder="1" applyAlignment="1">
      <alignment horizontal="center"/>
    </xf>
    <xf numFmtId="0" fontId="59" fillId="0" borderId="30" xfId="21" applyFont="1" applyBorder="1" applyAlignment="1">
      <alignment horizontal="left" vertical="center"/>
    </xf>
    <xf numFmtId="0" fontId="59" fillId="0" borderId="30" xfId="21" applyFont="1" applyBorder="1" applyAlignment="1">
      <alignment horizontal="center" vertical="center"/>
    </xf>
    <xf numFmtId="169" fontId="59" fillId="0" borderId="30" xfId="26" applyNumberFormat="1" applyFont="1" applyBorder="1" applyAlignment="1">
      <alignment horizontal="center" vertical="center"/>
    </xf>
    <xf numFmtId="10" fontId="59" fillId="0" borderId="30" xfId="26" applyNumberFormat="1" applyFont="1" applyBorder="1" applyAlignment="1">
      <alignment horizontal="center" vertical="center"/>
    </xf>
    <xf numFmtId="0" fontId="58" fillId="0" borderId="29" xfId="21" applyFont="1" applyBorder="1" applyAlignment="1">
      <alignment horizontal="left" vertical="center" wrapText="1"/>
    </xf>
    <xf numFmtId="0" fontId="58" fillId="0" borderId="29" xfId="21" applyFont="1" applyBorder="1" applyAlignment="1">
      <alignment horizontal="right" vertical="center" wrapText="1"/>
    </xf>
    <xf numFmtId="9" fontId="58" fillId="0" borderId="29" xfId="21" applyNumberFormat="1" applyFont="1" applyBorder="1" applyAlignment="1">
      <alignment horizontal="right" vertical="center" wrapText="1"/>
    </xf>
    <xf numFmtId="171" fontId="59" fillId="0" borderId="0" xfId="21" applyNumberFormat="1" applyFont="1" applyAlignment="1">
      <alignment horizontal="right" vertical="center"/>
    </xf>
    <xf numFmtId="0" fontId="62" fillId="0" borderId="0" xfId="21" applyFont="1" applyAlignment="1">
      <alignment horizontal="right"/>
    </xf>
    <xf numFmtId="0" fontId="58" fillId="0" borderId="29" xfId="21" applyFont="1" applyBorder="1" applyAlignment="1">
      <alignment horizontal="left" vertical="center"/>
    </xf>
    <xf numFmtId="0" fontId="59" fillId="0" borderId="0" xfId="0" applyFont="1" applyAlignment="1" applyProtection="1">
      <alignment horizontal="left" vertical="center" indent="2"/>
      <protection locked="0"/>
    </xf>
    <xf numFmtId="171" fontId="59" fillId="0" borderId="0" xfId="1" applyNumberFormat="1" applyFont="1" applyFill="1" applyAlignment="1" applyProtection="1">
      <alignment horizontal="right" vertical="center"/>
      <protection locked="0"/>
    </xf>
    <xf numFmtId="0" fontId="62" fillId="0" borderId="0" xfId="0" applyFont="1" applyAlignment="1" applyProtection="1">
      <alignment horizontal="right"/>
      <protection locked="0"/>
    </xf>
    <xf numFmtId="0" fontId="20" fillId="18" borderId="0" xfId="0" applyFont="1" applyFill="1" applyAlignment="1" applyProtection="1">
      <alignment horizontal="left" vertical="center"/>
      <protection locked="0"/>
    </xf>
    <xf numFmtId="0" fontId="61" fillId="0" borderId="0" xfId="0" applyFont="1" applyAlignment="1" applyProtection="1">
      <alignment horizontal="right" vertical="center"/>
      <protection locked="0"/>
    </xf>
    <xf numFmtId="0" fontId="62" fillId="0" borderId="0" xfId="0" applyFont="1" applyAlignment="1" applyProtection="1">
      <alignment horizontal="left"/>
      <protection locked="0"/>
    </xf>
    <xf numFmtId="15" fontId="61" fillId="0" borderId="30" xfId="0" applyNumberFormat="1" applyFont="1" applyBorder="1" applyAlignment="1">
      <alignment horizontal="left" vertical="center"/>
    </xf>
    <xf numFmtId="167" fontId="61" fillId="0" borderId="30" xfId="0" applyNumberFormat="1" applyFont="1" applyBorder="1" applyAlignment="1">
      <alignment horizontal="right" vertical="center"/>
    </xf>
    <xf numFmtId="167" fontId="59" fillId="0" borderId="19" xfId="0" applyNumberFormat="1" applyFont="1" applyBorder="1" applyAlignment="1">
      <alignment horizontal="right" vertical="center"/>
    </xf>
    <xf numFmtId="0" fontId="61" fillId="0" borderId="27" xfId="0" applyFont="1" applyBorder="1" applyAlignment="1" applyProtection="1">
      <alignment horizontal="right" vertical="center"/>
      <protection locked="0"/>
    </xf>
    <xf numFmtId="166" fontId="61" fillId="0" borderId="30" xfId="0" applyNumberFormat="1" applyFont="1" applyBorder="1" applyAlignment="1" applyProtection="1">
      <alignment horizontal="left" vertical="center"/>
      <protection locked="0"/>
    </xf>
    <xf numFmtId="167" fontId="61" fillId="0" borderId="30" xfId="15" applyFont="1" applyBorder="1" applyAlignment="1" applyProtection="1">
      <alignment horizontal="right" vertical="center"/>
      <protection locked="0"/>
    </xf>
    <xf numFmtId="167" fontId="61" fillId="6" borderId="30" xfId="15" applyFont="1" applyFill="1" applyBorder="1" applyAlignment="1" applyProtection="1">
      <alignment horizontal="right" vertical="center"/>
      <protection locked="0"/>
    </xf>
    <xf numFmtId="0" fontId="59" fillId="0" borderId="18" xfId="0" applyFont="1" applyBorder="1" applyAlignment="1" applyProtection="1">
      <alignment horizontal="left" vertical="center" indent="2"/>
      <protection locked="0"/>
    </xf>
    <xf numFmtId="166" fontId="62" fillId="0" borderId="0" xfId="0" applyNumberFormat="1" applyFont="1" applyAlignment="1" applyProtection="1">
      <alignment horizontal="right"/>
      <protection locked="0"/>
    </xf>
    <xf numFmtId="0" fontId="59" fillId="0" borderId="18" xfId="0" applyFont="1" applyBorder="1" applyProtection="1">
      <protection locked="0"/>
    </xf>
    <xf numFmtId="166" fontId="59" fillId="0" borderId="18" xfId="0" applyNumberFormat="1" applyFont="1" applyBorder="1" applyProtection="1">
      <protection locked="0"/>
    </xf>
    <xf numFmtId="3" fontId="59" fillId="0" borderId="8" xfId="0" applyNumberFormat="1" applyFont="1" applyBorder="1" applyAlignment="1">
      <alignment horizontal="left" vertical="center" indent="1"/>
    </xf>
    <xf numFmtId="3" fontId="59" fillId="0" borderId="8" xfId="0" applyNumberFormat="1" applyFont="1" applyBorder="1" applyAlignment="1">
      <alignment horizontal="right" vertical="center"/>
    </xf>
    <xf numFmtId="3" fontId="59" fillId="11" borderId="8" xfId="0" applyNumberFormat="1" applyFont="1" applyFill="1" applyBorder="1" applyAlignment="1">
      <alignment horizontal="right" vertical="center"/>
    </xf>
    <xf numFmtId="171" fontId="59" fillId="0" borderId="8" xfId="1" applyNumberFormat="1" applyFont="1" applyFill="1" applyBorder="1" applyAlignment="1">
      <alignment horizontal="right" vertical="top"/>
    </xf>
    <xf numFmtId="171" fontId="59" fillId="11" borderId="8" xfId="1" applyNumberFormat="1" applyFont="1" applyFill="1" applyBorder="1" applyAlignment="1">
      <alignment horizontal="right" vertical="top"/>
    </xf>
    <xf numFmtId="0" fontId="58" fillId="0" borderId="0" xfId="0" applyFont="1" applyAlignment="1" applyProtection="1">
      <alignment horizontal="left" vertical="center" indent="1"/>
      <protection locked="0"/>
    </xf>
    <xf numFmtId="166" fontId="58" fillId="0" borderId="0" xfId="28" applyNumberFormat="1" applyFont="1" applyFill="1" applyAlignment="1" applyProtection="1">
      <alignment horizontal="right" vertical="center"/>
      <protection locked="0"/>
    </xf>
    <xf numFmtId="166" fontId="58" fillId="0" borderId="0" xfId="0" applyNumberFormat="1" applyFont="1" applyAlignment="1" applyProtection="1">
      <alignment horizontal="right" vertical="center"/>
      <protection locked="0"/>
    </xf>
    <xf numFmtId="0" fontId="3" fillId="18" borderId="0" xfId="21" applyFont="1" applyFill="1"/>
    <xf numFmtId="0" fontId="3" fillId="19" borderId="0" xfId="21" applyFont="1" applyFill="1"/>
    <xf numFmtId="0" fontId="33" fillId="0" borderId="26" xfId="0" applyFont="1" applyBorder="1" applyAlignment="1">
      <alignment horizontal="left" vertical="center"/>
    </xf>
    <xf numFmtId="0" fontId="33" fillId="0" borderId="26" xfId="0" applyFont="1" applyBorder="1" applyAlignment="1">
      <alignment horizontal="right" vertical="center"/>
    </xf>
    <xf numFmtId="166" fontId="12" fillId="0" borderId="0" xfId="28" applyNumberFormat="1" applyFont="1" applyFill="1" applyAlignment="1">
      <alignment horizontal="left" vertical="center" indent="2"/>
    </xf>
    <xf numFmtId="166" fontId="12" fillId="0" borderId="0" xfId="28" applyNumberFormat="1" applyFont="1" applyFill="1" applyAlignment="1">
      <alignment horizontal="right" vertical="center"/>
    </xf>
    <xf numFmtId="0" fontId="12" fillId="0" borderId="0" xfId="0" applyFont="1" applyAlignment="1">
      <alignment horizontal="right" vertical="center"/>
    </xf>
    <xf numFmtId="0" fontId="12" fillId="0" borderId="0" xfId="0" applyFont="1" applyAlignment="1">
      <alignment horizontal="left" indent="1"/>
    </xf>
    <xf numFmtId="171" fontId="12" fillId="0" borderId="30" xfId="1" applyNumberFormat="1" applyFont="1" applyFill="1" applyBorder="1" applyAlignment="1">
      <alignment horizontal="right" vertical="center"/>
    </xf>
    <xf numFmtId="167" fontId="12" fillId="0" borderId="0" xfId="15" applyFont="1" applyAlignment="1">
      <alignment horizontal="right"/>
    </xf>
    <xf numFmtId="0" fontId="33" fillId="4" borderId="26" xfId="0" applyFont="1" applyFill="1" applyBorder="1" applyAlignment="1">
      <alignment horizontal="right" vertical="center"/>
    </xf>
    <xf numFmtId="9" fontId="12" fillId="0" borderId="17" xfId="1" applyFont="1" applyFill="1" applyBorder="1" applyAlignment="1">
      <alignment horizontal="right" vertical="center" wrapText="1"/>
    </xf>
    <xf numFmtId="9" fontId="12" fillId="0" borderId="17" xfId="19" applyFont="1" applyFill="1" applyBorder="1" applyAlignment="1">
      <alignment horizontal="right" vertical="center" wrapText="1"/>
    </xf>
    <xf numFmtId="0" fontId="12" fillId="0" borderId="0" xfId="18" applyFont="1" applyFill="1" applyBorder="1" applyAlignment="1">
      <alignment horizontal="left" vertical="center" wrapText="1" indent="2"/>
    </xf>
    <xf numFmtId="0" fontId="12" fillId="0" borderId="0" xfId="18" applyFont="1" applyFill="1" applyBorder="1" applyAlignment="1">
      <alignment horizontal="right" vertical="center" wrapText="1"/>
    </xf>
    <xf numFmtId="38" fontId="12" fillId="0" borderId="0" xfId="0" applyNumberFormat="1" applyFont="1" applyAlignment="1">
      <alignment horizontal="right" vertical="center" wrapText="1"/>
    </xf>
    <xf numFmtId="9" fontId="12" fillId="0" borderId="0" xfId="19" applyFont="1" applyFill="1" applyBorder="1" applyAlignment="1">
      <alignment horizontal="right" vertical="center" wrapText="1"/>
    </xf>
    <xf numFmtId="2" fontId="12" fillId="0" borderId="0" xfId="17" applyNumberFormat="1" applyFont="1" applyAlignment="1">
      <alignment horizontal="right" vertical="center" wrapText="1"/>
    </xf>
    <xf numFmtId="9" fontId="12" fillId="0" borderId="0" xfId="19" applyFont="1" applyBorder="1" applyAlignment="1">
      <alignment horizontal="right" vertical="center" wrapText="1"/>
    </xf>
    <xf numFmtId="38" fontId="12" fillId="0" borderId="0" xfId="0" applyNumberFormat="1" applyFont="1" applyAlignment="1">
      <alignment horizontal="right" vertical="center"/>
    </xf>
    <xf numFmtId="9" fontId="12" fillId="0" borderId="0" xfId="1" applyFont="1" applyFill="1" applyBorder="1" applyAlignment="1">
      <alignment horizontal="right" vertical="center"/>
    </xf>
    <xf numFmtId="9" fontId="12" fillId="0" borderId="0" xfId="19" applyFont="1" applyBorder="1" applyAlignment="1">
      <alignment horizontal="right" vertical="center"/>
    </xf>
    <xf numFmtId="0" fontId="33" fillId="0" borderId="0" xfId="0" applyFont="1" applyAlignment="1">
      <alignment horizontal="right" indent="2"/>
    </xf>
    <xf numFmtId="0" fontId="64" fillId="0" borderId="0" xfId="0" applyFont="1"/>
    <xf numFmtId="0" fontId="33" fillId="0" borderId="0" xfId="17" applyFont="1" applyAlignment="1">
      <alignment horizontal="center"/>
    </xf>
    <xf numFmtId="0" fontId="12" fillId="0" borderId="0" xfId="17" applyFont="1" applyAlignment="1">
      <alignment horizontal="right" indent="2"/>
    </xf>
    <xf numFmtId="0" fontId="30" fillId="0" borderId="0" xfId="0" applyFont="1"/>
    <xf numFmtId="0" fontId="12" fillId="0" borderId="0" xfId="0" applyFont="1" applyAlignment="1">
      <alignment horizontal="right" indent="2"/>
    </xf>
    <xf numFmtId="0" fontId="33" fillId="0" borderId="29" xfId="17" applyFont="1" applyBorder="1" applyAlignment="1">
      <alignment horizontal="left" vertical="center"/>
    </xf>
    <xf numFmtId="0" fontId="33" fillId="4" borderId="29" xfId="21" applyFont="1" applyFill="1" applyBorder="1" applyAlignment="1">
      <alignment horizontal="right" vertical="center"/>
    </xf>
    <xf numFmtId="0" fontId="12" fillId="0" borderId="0" xfId="21" applyFont="1" applyAlignment="1">
      <alignment horizontal="left" indent="1"/>
    </xf>
    <xf numFmtId="0" fontId="12" fillId="0" borderId="30" xfId="21" applyFont="1" applyBorder="1" applyAlignment="1">
      <alignment horizontal="left" vertical="center" indent="1"/>
    </xf>
    <xf numFmtId="9" fontId="33" fillId="0" borderId="26" xfId="1" applyFont="1" applyFill="1" applyBorder="1" applyAlignment="1">
      <alignment horizontal="right" vertical="center"/>
    </xf>
    <xf numFmtId="0" fontId="12" fillId="0" borderId="30" xfId="0" applyFont="1" applyBorder="1" applyAlignment="1">
      <alignment horizontal="left" vertical="center"/>
    </xf>
    <xf numFmtId="0" fontId="33" fillId="14" borderId="26" xfId="0" applyFont="1" applyFill="1" applyBorder="1" applyAlignment="1">
      <alignment horizontal="right" vertical="center"/>
    </xf>
    <xf numFmtId="171" fontId="12" fillId="14" borderId="0" xfId="1" applyNumberFormat="1" applyFont="1" applyFill="1"/>
    <xf numFmtId="171" fontId="12" fillId="14" borderId="0" xfId="1" applyNumberFormat="1" applyFont="1" applyFill="1" applyBorder="1"/>
    <xf numFmtId="0" fontId="63" fillId="0" borderId="0" xfId="17" applyFont="1" applyAlignment="1">
      <alignment horizontal="left" indent="1"/>
    </xf>
    <xf numFmtId="0" fontId="12" fillId="0" borderId="0" xfId="17" applyFont="1" applyAlignment="1">
      <alignment horizontal="center"/>
    </xf>
    <xf numFmtId="0" fontId="63" fillId="0" borderId="0" xfId="21" applyFont="1" applyAlignment="1">
      <alignment horizontal="left" indent="2"/>
    </xf>
    <xf numFmtId="0" fontId="12" fillId="0" borderId="0" xfId="17" applyFont="1" applyAlignment="1">
      <alignment horizontal="left" indent="2"/>
    </xf>
    <xf numFmtId="171" fontId="12" fillId="0" borderId="0" xfId="19" applyNumberFormat="1" applyFont="1" applyFill="1" applyAlignment="1">
      <alignment horizontal="right"/>
    </xf>
    <xf numFmtId="170" fontId="12" fillId="0" borderId="0" xfId="17" applyNumberFormat="1" applyFont="1" applyAlignment="1">
      <alignment horizontal="right"/>
    </xf>
    <xf numFmtId="171" fontId="12" fillId="0" borderId="0" xfId="21" applyNumberFormat="1" applyFont="1" applyAlignment="1">
      <alignment horizontal="right"/>
    </xf>
    <xf numFmtId="171" fontId="12" fillId="0" borderId="0" xfId="17" applyNumberFormat="1" applyFont="1" applyAlignment="1">
      <alignment horizontal="right"/>
    </xf>
    <xf numFmtId="0" fontId="12" fillId="0" borderId="0" xfId="17" applyFont="1"/>
    <xf numFmtId="1" fontId="30" fillId="0" borderId="0" xfId="7" applyNumberFormat="1" applyFill="1" applyAlignment="1">
      <alignment horizontal="left" wrapText="1" indent="2"/>
    </xf>
    <xf numFmtId="1" fontId="30" fillId="0" borderId="0" xfId="7" applyNumberFormat="1" applyFill="1" applyAlignment="1">
      <alignment wrapText="1"/>
    </xf>
    <xf numFmtId="9" fontId="12" fillId="0" borderId="0" xfId="19" applyFont="1" applyFill="1" applyAlignment="1">
      <alignment horizontal="left"/>
    </xf>
    <xf numFmtId="0" fontId="33" fillId="0" borderId="26" xfId="0" applyFont="1" applyBorder="1" applyAlignment="1" applyProtection="1">
      <alignment horizontal="left" vertical="center"/>
      <protection locked="0"/>
    </xf>
    <xf numFmtId="0" fontId="33" fillId="0" borderId="26" xfId="0" applyFont="1" applyBorder="1" applyAlignment="1" applyProtection="1">
      <alignment horizontal="right" vertical="center"/>
      <protection locked="0"/>
    </xf>
    <xf numFmtId="0" fontId="12" fillId="0" borderId="0" xfId="0" applyFont="1" applyAlignment="1" applyProtection="1">
      <alignment horizontal="left" vertical="center" indent="2"/>
      <protection locked="0"/>
    </xf>
    <xf numFmtId="9" fontId="12" fillId="0" borderId="0" xfId="1" applyFont="1" applyFill="1" applyProtection="1">
      <protection locked="0"/>
    </xf>
    <xf numFmtId="166" fontId="12" fillId="0" borderId="0" xfId="0" applyNumberFormat="1" applyFont="1" applyProtection="1">
      <protection locked="0"/>
    </xf>
    <xf numFmtId="0" fontId="12" fillId="0" borderId="0" xfId="0" applyFont="1" applyProtection="1">
      <protection locked="0"/>
    </xf>
    <xf numFmtId="0" fontId="12" fillId="0" borderId="0" xfId="0" applyFont="1" applyAlignment="1" applyProtection="1">
      <alignment horizontal="center"/>
      <protection locked="0"/>
    </xf>
    <xf numFmtId="0" fontId="33" fillId="0" borderId="0" xfId="0" applyFont="1" applyProtection="1">
      <protection locked="0"/>
    </xf>
    <xf numFmtId="177" fontId="12" fillId="5" borderId="1" xfId="4" applyNumberFormat="1" applyFont="1" applyAlignment="1" applyProtection="1">
      <alignment horizontal="center"/>
      <protection locked="0"/>
    </xf>
    <xf numFmtId="49" fontId="12" fillId="5" borderId="1" xfId="4" applyNumberFormat="1" applyFont="1" applyAlignment="1" applyProtection="1">
      <alignment horizontal="right"/>
      <protection locked="0"/>
    </xf>
    <xf numFmtId="9" fontId="12" fillId="5" borderId="1" xfId="4" applyNumberFormat="1" applyFont="1" applyProtection="1">
      <protection locked="0"/>
    </xf>
    <xf numFmtId="0" fontId="30" fillId="0" borderId="0" xfId="8" applyFont="1" applyProtection="1">
      <protection locked="0"/>
    </xf>
    <xf numFmtId="0" fontId="30" fillId="0" borderId="22" xfId="7" applyBorder="1" applyProtection="1">
      <alignment horizontal="left" indent="2"/>
      <protection locked="0"/>
    </xf>
    <xf numFmtId="0" fontId="12" fillId="0" borderId="23" xfId="0" applyFont="1" applyBorder="1" applyProtection="1">
      <protection locked="0"/>
    </xf>
    <xf numFmtId="0" fontId="12" fillId="0" borderId="24" xfId="0" applyFont="1" applyBorder="1" applyProtection="1">
      <protection locked="0"/>
    </xf>
    <xf numFmtId="0" fontId="33" fillId="0" borderId="26" xfId="0" applyFont="1" applyBorder="1" applyAlignment="1" applyProtection="1">
      <alignment horizontal="right" vertical="center"/>
      <protection locked="0" hidden="1"/>
    </xf>
    <xf numFmtId="166" fontId="12" fillId="0" borderId="0" xfId="28" applyNumberFormat="1" applyFont="1" applyFill="1" applyProtection="1">
      <protection locked="0" hidden="1"/>
    </xf>
    <xf numFmtId="9" fontId="12" fillId="6" borderId="5" xfId="11" applyNumberFormat="1" applyFont="1" applyAlignment="1" applyProtection="1">
      <alignment horizontal="center"/>
      <protection locked="0"/>
    </xf>
    <xf numFmtId="0" fontId="30" fillId="0" borderId="0" xfId="0" applyFont="1" applyAlignment="1" applyProtection="1">
      <alignment horizontal="left" vertical="center" indent="2"/>
      <protection locked="0"/>
    </xf>
    <xf numFmtId="166" fontId="30" fillId="5" borderId="1" xfId="28" applyNumberFormat="1" applyFont="1" applyFill="1" applyBorder="1" applyAlignment="1" applyProtection="1">
      <alignment horizontal="center"/>
      <protection locked="0"/>
    </xf>
    <xf numFmtId="166" fontId="30" fillId="0" borderId="0" xfId="28" applyNumberFormat="1" applyFont="1" applyFill="1" applyProtection="1">
      <protection locked="0" hidden="1"/>
    </xf>
    <xf numFmtId="0" fontId="12" fillId="0" borderId="0" xfId="0" applyFont="1" applyProtection="1">
      <protection locked="0" hidden="1"/>
    </xf>
    <xf numFmtId="166" fontId="12" fillId="0" borderId="0" xfId="0" applyNumberFormat="1" applyFont="1" applyProtection="1">
      <protection locked="0" hidden="1"/>
    </xf>
    <xf numFmtId="39" fontId="12" fillId="0" borderId="0" xfId="0" applyNumberFormat="1" applyFont="1" applyProtection="1">
      <protection locked="0" hidden="1"/>
    </xf>
    <xf numFmtId="9" fontId="12" fillId="0" borderId="5" xfId="11" applyNumberFormat="1" applyFont="1" applyFill="1" applyAlignment="1" applyProtection="1">
      <alignment horizontal="center"/>
      <protection locked="0"/>
    </xf>
    <xf numFmtId="9" fontId="30" fillId="0" borderId="0" xfId="1" applyFont="1" applyFill="1" applyProtection="1">
      <protection locked="0" hidden="1"/>
    </xf>
    <xf numFmtId="9" fontId="12" fillId="0" borderId="4" xfId="10" applyNumberFormat="1" applyAlignment="1">
      <alignment horizontal="center"/>
    </xf>
    <xf numFmtId="166" fontId="12" fillId="0" borderId="0" xfId="0" applyNumberFormat="1" applyFont="1" applyAlignment="1" applyProtection="1">
      <alignment horizontal="right"/>
      <protection locked="0"/>
    </xf>
    <xf numFmtId="9" fontId="12" fillId="0" borderId="25" xfId="10" applyNumberFormat="1" applyBorder="1" applyAlignment="1">
      <alignment horizontal="center"/>
    </xf>
    <xf numFmtId="0" fontId="12" fillId="0" borderId="0" xfId="0" applyFont="1" applyAlignment="1" applyProtection="1">
      <alignment horizontal="left"/>
      <protection locked="0"/>
    </xf>
    <xf numFmtId="167" fontId="12" fillId="0" borderId="0" xfId="15" applyFont="1" applyAlignment="1" applyProtection="1">
      <alignment horizontal="right"/>
      <protection locked="0"/>
    </xf>
    <xf numFmtId="171" fontId="12" fillId="0" borderId="0" xfId="0" applyNumberFormat="1" applyFont="1" applyAlignment="1" applyProtection="1">
      <alignment horizontal="right"/>
      <protection locked="0"/>
    </xf>
    <xf numFmtId="0" fontId="63" fillId="0" borderId="0" xfId="0" applyFont="1" applyProtection="1">
      <protection locked="0"/>
    </xf>
    <xf numFmtId="171" fontId="12" fillId="0" borderId="21" xfId="0" applyNumberFormat="1" applyFont="1" applyBorder="1" applyAlignment="1" applyProtection="1">
      <alignment horizontal="right"/>
      <protection locked="0"/>
    </xf>
    <xf numFmtId="166" fontId="33" fillId="0" borderId="0" xfId="0" applyNumberFormat="1" applyFont="1" applyAlignment="1" applyProtection="1">
      <alignment horizontal="left"/>
      <protection locked="0"/>
    </xf>
    <xf numFmtId="0" fontId="12" fillId="0" borderId="0" xfId="0" applyFont="1" applyAlignment="1" applyProtection="1">
      <alignment horizontal="right"/>
      <protection locked="0"/>
    </xf>
    <xf numFmtId="177" fontId="12" fillId="0" borderId="0" xfId="0" applyNumberFormat="1" applyFont="1" applyAlignment="1" applyProtection="1">
      <alignment horizontal="left" indent="1"/>
      <protection locked="0"/>
    </xf>
    <xf numFmtId="41" fontId="12" fillId="6" borderId="0" xfId="28" applyNumberFormat="1" applyFont="1" applyFill="1" applyAlignment="1" applyProtection="1">
      <alignment horizontal="right"/>
      <protection locked="0"/>
    </xf>
    <xf numFmtId="41" fontId="12" fillId="0" borderId="0" xfId="28" applyNumberFormat="1" applyFont="1" applyFill="1" applyAlignment="1" applyProtection="1">
      <alignment horizontal="right"/>
      <protection locked="0"/>
    </xf>
    <xf numFmtId="177" fontId="12" fillId="0" borderId="0" xfId="0" applyNumberFormat="1" applyFont="1" applyProtection="1">
      <protection locked="0"/>
    </xf>
    <xf numFmtId="167" fontId="12" fillId="0" borderId="0" xfId="0" applyNumberFormat="1" applyFont="1" applyAlignment="1" applyProtection="1">
      <alignment horizontal="center"/>
      <protection locked="0"/>
    </xf>
    <xf numFmtId="167" fontId="12" fillId="6" borderId="0" xfId="0" applyNumberFormat="1" applyFont="1" applyFill="1" applyAlignment="1" applyProtection="1">
      <alignment horizontal="right"/>
      <protection locked="0"/>
    </xf>
    <xf numFmtId="0" fontId="12" fillId="11" borderId="0" xfId="0" applyFont="1" applyFill="1" applyProtection="1">
      <protection locked="0"/>
    </xf>
    <xf numFmtId="166" fontId="12" fillId="11" borderId="0" xfId="28" applyNumberFormat="1" applyFont="1" applyFill="1" applyProtection="1">
      <protection locked="0"/>
    </xf>
    <xf numFmtId="41" fontId="12" fillId="11" borderId="0" xfId="28" applyNumberFormat="1" applyFont="1" applyFill="1" applyProtection="1">
      <protection locked="0"/>
    </xf>
    <xf numFmtId="0" fontId="33" fillId="11" borderId="0" xfId="0" applyFont="1" applyFill="1" applyProtection="1">
      <protection locked="0"/>
    </xf>
    <xf numFmtId="167" fontId="33" fillId="11" borderId="0" xfId="15" applyFont="1" applyFill="1" applyProtection="1">
      <protection locked="0"/>
    </xf>
    <xf numFmtId="167" fontId="33" fillId="0" borderId="0" xfId="15" applyFont="1" applyProtection="1">
      <protection locked="0"/>
    </xf>
    <xf numFmtId="0" fontId="12" fillId="5" borderId="1" xfId="4" applyNumberFormat="1" applyFont="1" applyAlignment="1" applyProtection="1">
      <alignment horizontal="center"/>
      <protection locked="0"/>
    </xf>
    <xf numFmtId="0" fontId="30" fillId="0" borderId="23" xfId="0" applyFont="1" applyBorder="1" applyProtection="1">
      <protection locked="0"/>
    </xf>
    <xf numFmtId="0" fontId="12" fillId="6" borderId="5" xfId="11" applyFont="1" applyAlignment="1" applyProtection="1">
      <alignment horizontal="right"/>
      <protection locked="0"/>
    </xf>
    <xf numFmtId="166" fontId="12" fillId="0" borderId="0" xfId="28" applyNumberFormat="1" applyFont="1" applyAlignment="1" applyProtection="1">
      <alignment horizontal="right" vertical="center"/>
      <protection locked="0"/>
    </xf>
    <xf numFmtId="0" fontId="33" fillId="0" borderId="26" xfId="21" applyFont="1" applyBorder="1" applyAlignment="1" applyProtection="1">
      <alignment horizontal="left" vertical="center"/>
      <protection locked="0"/>
    </xf>
    <xf numFmtId="0" fontId="33" fillId="0" borderId="26" xfId="21" applyFont="1" applyBorder="1" applyAlignment="1" applyProtection="1">
      <alignment horizontal="right" vertical="center"/>
      <protection locked="0"/>
    </xf>
    <xf numFmtId="165" fontId="12" fillId="0" borderId="0" xfId="21" applyNumberFormat="1" applyFont="1" applyAlignment="1" applyProtection="1">
      <alignment horizontal="left" vertical="center" indent="2"/>
      <protection locked="0"/>
    </xf>
    <xf numFmtId="0" fontId="12" fillId="0" borderId="0" xfId="0" applyFont="1" applyAlignment="1" applyProtection="1">
      <alignment horizontal="left" indent="2"/>
      <protection locked="0"/>
    </xf>
    <xf numFmtId="166" fontId="12" fillId="0" borderId="0" xfId="28" applyNumberFormat="1" applyFont="1" applyFill="1" applyAlignment="1" applyProtection="1">
      <alignment horizontal="center"/>
      <protection locked="0"/>
    </xf>
    <xf numFmtId="9" fontId="30" fillId="0" borderId="0" xfId="0" applyNumberFormat="1" applyFont="1" applyProtection="1">
      <protection locked="0"/>
    </xf>
    <xf numFmtId="0" fontId="33" fillId="0" borderId="26" xfId="0" applyFont="1" applyBorder="1" applyAlignment="1">
      <alignment horizontal="right" vertical="center" wrapText="1"/>
    </xf>
    <xf numFmtId="0" fontId="12" fillId="0" borderId="0" xfId="0" applyFont="1" applyAlignment="1">
      <alignment horizontal="left"/>
    </xf>
    <xf numFmtId="167" fontId="12" fillId="0" borderId="0" xfId="0" applyNumberFormat="1" applyFont="1" applyAlignment="1">
      <alignment horizontal="right" vertical="center"/>
    </xf>
    <xf numFmtId="167" fontId="12" fillId="0" borderId="30" xfId="0" applyNumberFormat="1" applyFont="1" applyBorder="1" applyAlignment="1">
      <alignment horizontal="right" vertical="center"/>
    </xf>
    <xf numFmtId="0" fontId="12" fillId="0" borderId="0" xfId="0" applyFont="1" applyAlignment="1">
      <alignment horizontal="left" vertical="center"/>
    </xf>
    <xf numFmtId="0" fontId="66" fillId="0" borderId="0" xfId="0" applyFont="1"/>
    <xf numFmtId="0" fontId="12" fillId="0" borderId="0" xfId="18" applyFont="1" applyFill="1" applyBorder="1" applyAlignment="1">
      <alignment horizontal="left" vertical="center" wrapText="1"/>
    </xf>
    <xf numFmtId="0" fontId="4" fillId="5" borderId="34" xfId="4" applyBorder="1" applyAlignment="1">
      <alignment horizontal="right"/>
    </xf>
    <xf numFmtId="0" fontId="4" fillId="5" borderId="15" xfId="4" applyBorder="1" applyAlignment="1">
      <alignment horizontal="right"/>
    </xf>
    <xf numFmtId="10" fontId="65" fillId="0" borderId="0" xfId="19" applyNumberFormat="1" applyFont="1" applyFill="1" applyAlignment="1">
      <alignment horizontal="right"/>
    </xf>
    <xf numFmtId="10" fontId="65" fillId="0" borderId="0" xfId="19" applyNumberFormat="1" applyFont="1" applyFill="1" applyBorder="1" applyAlignment="1">
      <alignment horizontal="right"/>
    </xf>
    <xf numFmtId="10" fontId="65" fillId="0" borderId="30" xfId="19" applyNumberFormat="1" applyFont="1" applyFill="1" applyBorder="1" applyAlignment="1">
      <alignment horizontal="right" vertical="center"/>
    </xf>
    <xf numFmtId="166" fontId="12" fillId="0" borderId="0" xfId="28" applyNumberFormat="1" applyFont="1" applyAlignment="1">
      <alignment horizontal="right"/>
    </xf>
    <xf numFmtId="9" fontId="12" fillId="0" borderId="0" xfId="1" applyFont="1" applyAlignment="1">
      <alignment horizontal="right"/>
    </xf>
    <xf numFmtId="2" fontId="12" fillId="0" borderId="0" xfId="0" applyNumberFormat="1" applyFont="1" applyAlignment="1">
      <alignment horizontal="right"/>
    </xf>
    <xf numFmtId="166" fontId="33" fillId="0" borderId="0" xfId="28" applyNumberFormat="1" applyFont="1" applyAlignment="1">
      <alignment horizontal="right"/>
    </xf>
    <xf numFmtId="9" fontId="33" fillId="0" borderId="0" xfId="1" applyFont="1" applyAlignment="1">
      <alignment horizontal="right"/>
    </xf>
    <xf numFmtId="2" fontId="33" fillId="0" borderId="0" xfId="0" applyNumberFormat="1" applyFont="1" applyAlignment="1">
      <alignment horizontal="right"/>
    </xf>
    <xf numFmtId="171" fontId="12" fillId="14" borderId="0" xfId="1" applyNumberFormat="1" applyFont="1" applyFill="1" applyAlignment="1">
      <alignment horizontal="right"/>
    </xf>
    <xf numFmtId="41" fontId="65" fillId="0" borderId="0" xfId="28" applyNumberFormat="1" applyFont="1" applyFill="1" applyBorder="1" applyAlignment="1">
      <alignment horizontal="right"/>
    </xf>
    <xf numFmtId="9" fontId="65" fillId="0" borderId="0" xfId="28" applyNumberFormat="1" applyFont="1" applyFill="1" applyBorder="1" applyAlignment="1">
      <alignment horizontal="right"/>
    </xf>
    <xf numFmtId="0" fontId="30" fillId="0" borderId="0" xfId="7" applyAlignment="1">
      <alignment horizontal="right"/>
    </xf>
    <xf numFmtId="9" fontId="0" fillId="0" borderId="0" xfId="1" applyFont="1" applyAlignment="1">
      <alignment horizontal="right"/>
    </xf>
    <xf numFmtId="1" fontId="0" fillId="0" borderId="0" xfId="1" applyNumberFormat="1" applyFont="1" applyAlignment="1">
      <alignment horizontal="right"/>
    </xf>
    <xf numFmtId="0" fontId="0" fillId="0" borderId="0" xfId="0" applyAlignment="1">
      <alignment vertical="center"/>
    </xf>
    <xf numFmtId="0" fontId="52" fillId="0" borderId="0" xfId="2" applyAlignment="1">
      <alignment vertical="center"/>
    </xf>
    <xf numFmtId="0" fontId="0" fillId="0" borderId="0" xfId="0" applyAlignment="1">
      <alignment horizontal="left" vertical="center"/>
    </xf>
    <xf numFmtId="0" fontId="12" fillId="5" borderId="1" xfId="4" applyNumberFormat="1" applyFont="1" applyAlignment="1">
      <alignment horizontal="left" vertical="center"/>
    </xf>
    <xf numFmtId="0" fontId="67" fillId="0" borderId="0" xfId="0" applyFont="1" applyAlignment="1">
      <alignment horizontal="left" vertical="center"/>
    </xf>
    <xf numFmtId="15" fontId="65" fillId="0" borderId="0" xfId="0" applyNumberFormat="1" applyFont="1" applyAlignment="1">
      <alignment horizontal="left" vertical="center"/>
    </xf>
    <xf numFmtId="0" fontId="68"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167" fontId="12" fillId="0" borderId="0" xfId="0" applyNumberFormat="1" applyFont="1" applyAlignment="1">
      <alignment vertical="center"/>
    </xf>
    <xf numFmtId="0" fontId="55" fillId="0" borderId="0" xfId="0" applyFont="1" applyAlignment="1">
      <alignment vertical="center"/>
    </xf>
    <xf numFmtId="0" fontId="25" fillId="0" borderId="0" xfId="0" applyFont="1" applyAlignment="1" applyProtection="1">
      <alignment horizontal="left" vertical="center"/>
      <protection locked="0"/>
    </xf>
    <xf numFmtId="0" fontId="33" fillId="0" borderId="26" xfId="0" applyFont="1" applyBorder="1" applyAlignment="1">
      <alignment horizontal="center" vertical="center"/>
    </xf>
    <xf numFmtId="0" fontId="65" fillId="0" borderId="0" xfId="0" applyFont="1" applyAlignment="1">
      <alignment horizontal="left" vertical="center"/>
    </xf>
    <xf numFmtId="0" fontId="65" fillId="0" borderId="0" xfId="0" applyFont="1" applyAlignment="1">
      <alignment horizontal="center" vertical="center"/>
    </xf>
    <xf numFmtId="180" fontId="65" fillId="0" borderId="0" xfId="0" applyNumberFormat="1" applyFont="1" applyAlignment="1">
      <alignment horizontal="right" vertical="center"/>
    </xf>
    <xf numFmtId="181" fontId="65" fillId="0" borderId="0" xfId="0" applyNumberFormat="1" applyFont="1" applyAlignment="1">
      <alignment horizontal="right" vertical="center"/>
    </xf>
    <xf numFmtId="0" fontId="12" fillId="5" borderId="0" xfId="21" applyFont="1" applyFill="1"/>
    <xf numFmtId="0" fontId="12" fillId="5" borderId="30" xfId="21" applyFont="1" applyFill="1" applyBorder="1" applyAlignment="1">
      <alignment horizontal="left" vertical="center"/>
    </xf>
    <xf numFmtId="0" fontId="0" fillId="5" borderId="0" xfId="0" applyFill="1"/>
    <xf numFmtId="0" fontId="0" fillId="5" borderId="0" xfId="0" applyFill="1" applyAlignment="1">
      <alignment horizontal="left"/>
    </xf>
    <xf numFmtId="0" fontId="62" fillId="0" borderId="0" xfId="17" applyFont="1" applyAlignment="1">
      <alignment horizontal="right"/>
    </xf>
    <xf numFmtId="0" fontId="19" fillId="0" borderId="0" xfId="17" applyFont="1" applyAlignment="1">
      <alignment horizontal="center"/>
    </xf>
    <xf numFmtId="0" fontId="33" fillId="12" borderId="26" xfId="0" applyFont="1" applyFill="1" applyBorder="1" applyAlignment="1">
      <alignment horizontal="left" vertical="center"/>
    </xf>
    <xf numFmtId="0" fontId="33" fillId="12" borderId="26" xfId="0" applyFont="1" applyFill="1" applyBorder="1" applyAlignment="1">
      <alignment horizontal="right" vertical="center"/>
    </xf>
    <xf numFmtId="0" fontId="33" fillId="12" borderId="26" xfId="0" applyFont="1" applyFill="1" applyBorder="1" applyAlignment="1">
      <alignment horizontal="right" vertical="center" wrapText="1"/>
    </xf>
    <xf numFmtId="0" fontId="33" fillId="12" borderId="29" xfId="0" applyFont="1" applyFill="1" applyBorder="1" applyAlignment="1">
      <alignment horizontal="right" vertical="center" wrapText="1"/>
    </xf>
    <xf numFmtId="0" fontId="33" fillId="12" borderId="29" xfId="0" applyFont="1" applyFill="1" applyBorder="1" applyAlignment="1">
      <alignment horizontal="right" vertical="center"/>
    </xf>
    <xf numFmtId="0" fontId="33" fillId="12" borderId="29" xfId="17" applyFont="1" applyFill="1" applyBorder="1" applyAlignment="1">
      <alignment horizontal="right" vertical="center" wrapText="1"/>
    </xf>
    <xf numFmtId="0" fontId="70" fillId="0" borderId="0" xfId="3" applyFont="1"/>
    <xf numFmtId="10" fontId="59" fillId="0" borderId="0" xfId="19" applyNumberFormat="1" applyFont="1" applyFill="1" applyBorder="1" applyAlignment="1">
      <alignment horizontal="right" vertical="center"/>
    </xf>
    <xf numFmtId="0" fontId="66" fillId="0" borderId="0" xfId="0" applyFont="1" applyAlignment="1">
      <alignment horizontal="left"/>
    </xf>
    <xf numFmtId="0" fontId="20" fillId="0" borderId="0" xfId="21" applyFont="1" applyAlignment="1">
      <alignment horizontal="left" vertical="center"/>
    </xf>
    <xf numFmtId="0" fontId="20" fillId="0" borderId="0" xfId="0" applyFont="1" applyAlignment="1">
      <alignment horizontal="left" vertical="center"/>
    </xf>
    <xf numFmtId="0" fontId="58" fillId="0" borderId="0" xfId="0" applyFont="1" applyAlignment="1">
      <alignment horizontal="left" vertical="center"/>
    </xf>
    <xf numFmtId="0" fontId="58" fillId="0" borderId="0" xfId="0" applyFont="1" applyAlignment="1">
      <alignment vertical="center"/>
    </xf>
    <xf numFmtId="0" fontId="58" fillId="0" borderId="0" xfId="0" applyFont="1" applyAlignment="1">
      <alignment horizontal="right" vertical="center"/>
    </xf>
    <xf numFmtId="0" fontId="59" fillId="0" borderId="0" xfId="0" applyFont="1" applyAlignment="1">
      <alignment horizontal="left" vertical="center" indent="2"/>
    </xf>
    <xf numFmtId="0" fontId="59" fillId="0" borderId="0" xfId="0" applyFont="1" applyAlignment="1">
      <alignment vertical="center"/>
    </xf>
    <xf numFmtId="0" fontId="12" fillId="12" borderId="0" xfId="0" applyFont="1" applyFill="1" applyAlignment="1">
      <alignment horizontal="left" indent="1"/>
    </xf>
    <xf numFmtId="0" fontId="12" fillId="12" borderId="0" xfId="0" applyFont="1" applyFill="1"/>
    <xf numFmtId="9" fontId="65" fillId="12" borderId="0" xfId="28" applyNumberFormat="1" applyFont="1" applyFill="1" applyBorder="1" applyAlignment="1">
      <alignment horizontal="right"/>
    </xf>
    <xf numFmtId="167" fontId="12" fillId="0" borderId="0" xfId="1" applyNumberFormat="1" applyFont="1" applyFill="1" applyBorder="1" applyAlignment="1">
      <alignment horizontal="right" vertical="center"/>
    </xf>
    <xf numFmtId="166" fontId="12" fillId="0" borderId="0" xfId="28" applyNumberFormat="1" applyFont="1" applyFill="1" applyBorder="1" applyAlignment="1">
      <alignment horizontal="right" vertical="center"/>
    </xf>
    <xf numFmtId="14" fontId="12" fillId="0" borderId="0" xfId="17" applyNumberFormat="1" applyFont="1" applyAlignment="1">
      <alignment horizontal="right" vertical="center"/>
    </xf>
    <xf numFmtId="2" fontId="12" fillId="0" borderId="0" xfId="1" applyNumberFormat="1" applyFont="1" applyFill="1" applyBorder="1" applyAlignment="1">
      <alignment horizontal="right" vertical="center"/>
    </xf>
    <xf numFmtId="0" fontId="12" fillId="0" borderId="0" xfId="18" applyFont="1" applyFill="1" applyBorder="1" applyAlignment="1">
      <alignment horizontal="left" vertical="center"/>
    </xf>
    <xf numFmtId="2" fontId="12" fillId="0" borderId="0" xfId="0" applyNumberFormat="1" applyFont="1" applyAlignment="1">
      <alignment horizontal="right" vertical="center"/>
    </xf>
    <xf numFmtId="0" fontId="12" fillId="0" borderId="0" xfId="18" applyFont="1" applyFill="1" applyBorder="1" applyAlignment="1">
      <alignment horizontal="right" vertical="center"/>
    </xf>
    <xf numFmtId="14" fontId="12" fillId="20" borderId="35" xfId="18" applyNumberFormat="1" applyFont="1" applyFill="1" applyBorder="1" applyAlignment="1">
      <alignment horizontal="right" vertical="center"/>
    </xf>
    <xf numFmtId="14" fontId="12" fillId="20" borderId="0" xfId="18" applyNumberFormat="1" applyFont="1" applyFill="1" applyBorder="1" applyAlignment="1">
      <alignment horizontal="right" vertical="center"/>
    </xf>
    <xf numFmtId="38" fontId="12" fillId="0" borderId="17" xfId="0" applyNumberFormat="1" applyFont="1" applyBorder="1" applyAlignment="1">
      <alignment horizontal="right" vertical="center"/>
    </xf>
    <xf numFmtId="0" fontId="12" fillId="0" borderId="17" xfId="18" applyFont="1" applyFill="1" applyBorder="1" applyAlignment="1">
      <alignment horizontal="right" vertical="center" wrapText="1"/>
    </xf>
    <xf numFmtId="171" fontId="12" fillId="0" borderId="0" xfId="1" applyNumberFormat="1" applyFont="1" applyFill="1" applyBorder="1" applyAlignment="1">
      <alignment horizontal="right"/>
    </xf>
    <xf numFmtId="171" fontId="4" fillId="5" borderId="1" xfId="4" applyNumberFormat="1" applyAlignment="1">
      <alignment horizontal="right"/>
    </xf>
    <xf numFmtId="0" fontId="4" fillId="5" borderId="1" xfId="4" applyAlignment="1">
      <alignment horizontal="left" vertical="center"/>
    </xf>
    <xf numFmtId="0" fontId="4" fillId="5" borderId="1" xfId="4" applyAlignment="1">
      <alignment horizontal="left" vertical="center" wrapText="1" indent="2"/>
    </xf>
    <xf numFmtId="0" fontId="4" fillId="5" borderId="1" xfId="4" applyAlignment="1">
      <alignment horizontal="left" vertical="center" wrapText="1"/>
    </xf>
    <xf numFmtId="38" fontId="4" fillId="5" borderId="1" xfId="4" applyNumberFormat="1" applyAlignment="1">
      <alignment horizontal="right" vertical="center" wrapText="1"/>
    </xf>
    <xf numFmtId="9" fontId="4" fillId="5" borderId="1" xfId="4" applyNumberFormat="1" applyAlignment="1">
      <alignment horizontal="right" vertical="center" wrapText="1"/>
    </xf>
    <xf numFmtId="2" fontId="12" fillId="0" borderId="0" xfId="0" applyNumberFormat="1" applyFont="1" applyAlignment="1">
      <alignment horizontal="right" vertical="center" wrapText="1"/>
    </xf>
    <xf numFmtId="0" fontId="20" fillId="21" borderId="0" xfId="0" applyFont="1" applyFill="1" applyAlignment="1">
      <alignment horizontal="left" vertical="center"/>
    </xf>
    <xf numFmtId="0" fontId="20" fillId="21" borderId="0" xfId="17" applyFont="1" applyFill="1" applyAlignment="1">
      <alignment horizontal="left" vertical="center"/>
    </xf>
    <xf numFmtId="0" fontId="20" fillId="21" borderId="0" xfId="17" applyFont="1" applyFill="1" applyAlignment="1">
      <alignment horizontal="left" vertical="center" wrapText="1"/>
    </xf>
    <xf numFmtId="0" fontId="20" fillId="21" borderId="0" xfId="21" applyFont="1" applyFill="1" applyAlignment="1">
      <alignment horizontal="left" vertical="center"/>
    </xf>
    <xf numFmtId="0" fontId="72" fillId="0" borderId="0" xfId="0" applyFont="1" applyAlignment="1">
      <alignment horizontal="left"/>
    </xf>
    <xf numFmtId="0" fontId="20" fillId="21" borderId="0" xfId="20" applyFont="1" applyFill="1" applyBorder="1" applyAlignment="1">
      <alignment horizontal="left" vertical="center"/>
    </xf>
    <xf numFmtId="0" fontId="20" fillId="21" borderId="0" xfId="20" applyFont="1" applyFill="1" applyBorder="1" applyAlignment="1">
      <alignment horizontal="right" vertical="center"/>
    </xf>
    <xf numFmtId="0" fontId="20" fillId="21" borderId="9" xfId="17" applyFont="1" applyFill="1" applyBorder="1" applyAlignment="1">
      <alignment horizontal="left" vertical="center"/>
    </xf>
    <xf numFmtId="0" fontId="20" fillId="21" borderId="9" xfId="17" applyFont="1" applyFill="1" applyBorder="1" applyAlignment="1">
      <alignment horizontal="left" vertical="center" wrapText="1"/>
    </xf>
    <xf numFmtId="0" fontId="71" fillId="0" borderId="0" xfId="17" applyFont="1" applyAlignment="1">
      <alignment horizontal="left" vertical="center" indent="1"/>
    </xf>
    <xf numFmtId="171" fontId="71" fillId="0" borderId="0" xfId="1" applyNumberFormat="1" applyFont="1" applyFill="1" applyAlignment="1">
      <alignment horizontal="right" vertical="center"/>
    </xf>
    <xf numFmtId="171" fontId="71" fillId="0" borderId="0" xfId="17" applyNumberFormat="1" applyFont="1" applyAlignment="1">
      <alignment horizontal="right" vertical="center"/>
    </xf>
    <xf numFmtId="0" fontId="71" fillId="0" borderId="27" xfId="17" applyFont="1" applyBorder="1" applyAlignment="1">
      <alignment horizontal="left" vertical="center"/>
    </xf>
    <xf numFmtId="171" fontId="71" fillId="0" borderId="27" xfId="17" applyNumberFormat="1" applyFont="1" applyBorder="1" applyAlignment="1">
      <alignment horizontal="right" vertical="center"/>
    </xf>
    <xf numFmtId="0" fontId="72" fillId="0" borderId="0" xfId="21" applyFont="1" applyAlignment="1">
      <alignment horizontal="left"/>
    </xf>
    <xf numFmtId="0" fontId="20" fillId="21" borderId="0" xfId="0" applyFont="1" applyFill="1" applyAlignment="1" applyProtection="1">
      <alignment horizontal="left" vertical="center"/>
      <protection locked="0"/>
    </xf>
    <xf numFmtId="0" fontId="72" fillId="0" borderId="0" xfId="0" applyFont="1" applyAlignment="1" applyProtection="1">
      <alignment horizontal="left"/>
      <protection locked="0"/>
    </xf>
    <xf numFmtId="0" fontId="71" fillId="0" borderId="27" xfId="0" applyFont="1" applyBorder="1" applyAlignment="1" applyProtection="1">
      <alignment horizontal="left" vertical="center"/>
      <protection locked="0"/>
    </xf>
    <xf numFmtId="166" fontId="71" fillId="0" borderId="27" xfId="0" applyNumberFormat="1" applyFont="1" applyBorder="1" applyAlignment="1" applyProtection="1">
      <alignment horizontal="right" vertical="center"/>
      <protection locked="0"/>
    </xf>
    <xf numFmtId="0" fontId="71" fillId="0" borderId="0" xfId="0" applyFont="1" applyAlignment="1" applyProtection="1">
      <alignment horizontal="left" vertical="center" indent="1"/>
      <protection locked="0"/>
    </xf>
    <xf numFmtId="0" fontId="71" fillId="0" borderId="0" xfId="0" applyFont="1" applyAlignment="1" applyProtection="1">
      <alignment horizontal="right" vertical="center"/>
      <protection locked="0"/>
    </xf>
    <xf numFmtId="166" fontId="71" fillId="0" borderId="0" xfId="0" applyNumberFormat="1" applyFont="1" applyAlignment="1" applyProtection="1">
      <alignment horizontal="right" vertical="center"/>
      <protection locked="0"/>
    </xf>
    <xf numFmtId="0" fontId="20" fillId="21" borderId="0" xfId="0" applyFont="1" applyFill="1" applyAlignment="1" applyProtection="1">
      <alignment horizontal="left" vertical="center"/>
      <protection locked="0" hidden="1"/>
    </xf>
    <xf numFmtId="166" fontId="71" fillId="0" borderId="0" xfId="0" applyNumberFormat="1" applyFont="1" applyAlignment="1" applyProtection="1">
      <alignment horizontal="right" vertical="center"/>
      <protection locked="0" hidden="1"/>
    </xf>
    <xf numFmtId="0" fontId="20" fillId="21" borderId="9" xfId="0" applyFont="1" applyFill="1" applyBorder="1" applyAlignment="1" applyProtection="1">
      <alignment horizontal="left" vertical="center"/>
      <protection locked="0"/>
    </xf>
    <xf numFmtId="0" fontId="73" fillId="0" borderId="0" xfId="0" applyFont="1" applyProtection="1">
      <protection locked="0"/>
    </xf>
    <xf numFmtId="0" fontId="20" fillId="21" borderId="0" xfId="21" applyFont="1" applyFill="1" applyAlignment="1" applyProtection="1">
      <alignment horizontal="left" vertical="center"/>
      <protection locked="0"/>
    </xf>
    <xf numFmtId="166" fontId="71" fillId="0" borderId="0" xfId="28" applyNumberFormat="1" applyFont="1" applyFill="1" applyAlignment="1" applyProtection="1">
      <alignment horizontal="right" vertical="center"/>
      <protection locked="0"/>
    </xf>
    <xf numFmtId="175" fontId="71" fillId="0" borderId="27" xfId="0" applyNumberFormat="1" applyFont="1" applyBorder="1" applyAlignment="1" applyProtection="1">
      <alignment horizontal="right" vertical="center"/>
      <protection locked="0"/>
    </xf>
    <xf numFmtId="0" fontId="72" fillId="0" borderId="0" xfId="0" applyFont="1" applyAlignment="1" applyProtection="1">
      <alignment horizontal="left" vertical="center"/>
      <protection locked="0"/>
    </xf>
    <xf numFmtId="0" fontId="20" fillId="21" borderId="9" xfId="0" applyFont="1" applyFill="1" applyBorder="1" applyAlignment="1">
      <alignment horizontal="left" vertical="center"/>
    </xf>
    <xf numFmtId="0" fontId="71" fillId="0" borderId="27" xfId="21" applyFont="1" applyBorder="1" applyAlignment="1">
      <alignment horizontal="left" vertical="center"/>
    </xf>
    <xf numFmtId="171" fontId="71" fillId="0" borderId="27" xfId="21" applyNumberFormat="1" applyFont="1" applyBorder="1" applyAlignment="1">
      <alignment horizontal="right" vertical="center"/>
    </xf>
    <xf numFmtId="0" fontId="71" fillId="0" borderId="27" xfId="21" applyFont="1" applyBorder="1" applyAlignment="1">
      <alignment horizontal="right" vertical="center"/>
    </xf>
    <xf numFmtId="0" fontId="75" fillId="0" borderId="0" xfId="0" applyFont="1"/>
    <xf numFmtId="0" fontId="74" fillId="0" borderId="0" xfId="0" applyFont="1"/>
    <xf numFmtId="0" fontId="76" fillId="0" borderId="0" xfId="0" applyFont="1"/>
    <xf numFmtId="0" fontId="77" fillId="0" borderId="0" xfId="0" applyFont="1"/>
    <xf numFmtId="166" fontId="0" fillId="0" borderId="0" xfId="28" applyNumberFormat="1" applyFont="1" applyBorder="1"/>
    <xf numFmtId="0" fontId="12" fillId="22" borderId="5" xfId="11" applyFont="1" applyFill="1" applyAlignment="1" applyProtection="1">
      <alignment horizontal="center"/>
      <protection locked="0"/>
    </xf>
    <xf numFmtId="0" fontId="12" fillId="23" borderId="1" xfId="4" applyNumberFormat="1" applyFont="1" applyFill="1" applyAlignment="1" applyProtection="1">
      <alignment horizontal="right"/>
      <protection locked="0"/>
    </xf>
    <xf numFmtId="15" fontId="12" fillId="22" borderId="5" xfId="11" applyNumberFormat="1" applyFont="1" applyFill="1" applyAlignment="1" applyProtection="1">
      <alignment horizontal="center"/>
      <protection locked="0"/>
    </xf>
    <xf numFmtId="0" fontId="36" fillId="0" borderId="0" xfId="10" applyFont="1" applyBorder="1" applyProtection="1">
      <protection locked="0"/>
    </xf>
    <xf numFmtId="0" fontId="33" fillId="15" borderId="26" xfId="0" applyFont="1" applyFill="1" applyBorder="1" applyAlignment="1">
      <alignment horizontal="right" vertical="center"/>
    </xf>
    <xf numFmtId="166" fontId="12" fillId="14" borderId="0" xfId="28" applyNumberFormat="1" applyFont="1" applyFill="1" applyAlignment="1">
      <alignment horizontal="right"/>
    </xf>
    <xf numFmtId="0" fontId="78" fillId="21" borderId="0" xfId="0" applyFont="1" applyFill="1" applyAlignment="1">
      <alignment horizontal="left" vertical="center"/>
    </xf>
    <xf numFmtId="0" fontId="79" fillId="0" borderId="0" xfId="0" applyFont="1"/>
    <xf numFmtId="9" fontId="79" fillId="0" borderId="0" xfId="0" applyNumberFormat="1" applyFont="1"/>
    <xf numFmtId="166" fontId="75" fillId="0" borderId="0" xfId="28" applyNumberFormat="1" applyFont="1"/>
    <xf numFmtId="0" fontId="80" fillId="19" borderId="0" xfId="0" applyFont="1" applyFill="1"/>
    <xf numFmtId="0" fontId="80" fillId="19" borderId="0" xfId="0" applyFont="1" applyFill="1" applyAlignment="1">
      <alignment horizontal="right"/>
    </xf>
    <xf numFmtId="9" fontId="75" fillId="0" borderId="0" xfId="1" applyFont="1"/>
    <xf numFmtId="0" fontId="80" fillId="19" borderId="0" xfId="0" applyFont="1" applyFill="1" applyAlignment="1">
      <alignment wrapText="1"/>
    </xf>
    <xf numFmtId="166" fontId="74" fillId="0" borderId="0" xfId="0" applyNumberFormat="1" applyFont="1"/>
    <xf numFmtId="9" fontId="74" fillId="0" borderId="0" xfId="1" applyFont="1"/>
    <xf numFmtId="0" fontId="80" fillId="19" borderId="0" xfId="0" applyFont="1" applyFill="1" applyAlignment="1">
      <alignment horizontal="right" wrapText="1"/>
    </xf>
    <xf numFmtId="0" fontId="81" fillId="15" borderId="0" xfId="0" applyFont="1" applyFill="1"/>
    <xf numFmtId="166" fontId="81" fillId="15" borderId="0" xfId="28" applyNumberFormat="1" applyFont="1" applyFill="1"/>
    <xf numFmtId="9" fontId="81" fillId="15" borderId="0" xfId="1" applyFont="1" applyFill="1"/>
    <xf numFmtId="183" fontId="75" fillId="0" borderId="0" xfId="1" applyNumberFormat="1" applyFont="1"/>
    <xf numFmtId="183" fontId="81" fillId="15" borderId="0" xfId="1" applyNumberFormat="1" applyFont="1" applyFill="1"/>
    <xf numFmtId="183" fontId="21" fillId="0" borderId="0" xfId="1" applyNumberFormat="1" applyFont="1" applyFill="1" applyAlignment="1" applyProtection="1">
      <alignment horizontal="center" vertical="center"/>
      <protection locked="0"/>
    </xf>
    <xf numFmtId="183" fontId="21" fillId="0" borderId="0" xfId="1" applyNumberFormat="1" applyFont="1" applyFill="1" applyBorder="1" applyAlignment="1" applyProtection="1">
      <alignment horizontal="center" vertical="center"/>
      <protection locked="0"/>
    </xf>
    <xf numFmtId="183" fontId="21" fillId="0" borderId="18" xfId="1" applyNumberFormat="1" applyFont="1" applyFill="1" applyBorder="1" applyAlignment="1" applyProtection="1">
      <alignment horizontal="center" vertical="center"/>
      <protection locked="0"/>
    </xf>
    <xf numFmtId="183" fontId="0" fillId="0" borderId="0" xfId="0" applyNumberFormat="1" applyProtection="1">
      <protection locked="0"/>
    </xf>
    <xf numFmtId="183" fontId="45" fillId="0" borderId="0" xfId="1" applyNumberFormat="1" applyFont="1" applyBorder="1" applyAlignment="1" applyProtection="1">
      <alignment horizontal="center" vertical="center"/>
      <protection locked="0"/>
    </xf>
    <xf numFmtId="0" fontId="19" fillId="0" borderId="0" xfId="0" applyFont="1" applyAlignment="1" applyProtection="1">
      <alignment horizontal="right" indent="1"/>
      <protection locked="0"/>
    </xf>
    <xf numFmtId="0" fontId="19" fillId="0" borderId="0" xfId="0" applyFont="1" applyProtection="1">
      <protection locked="0"/>
    </xf>
    <xf numFmtId="183" fontId="19" fillId="0" borderId="0" xfId="0" applyNumberFormat="1" applyFont="1" applyProtection="1">
      <protection locked="0"/>
    </xf>
    <xf numFmtId="183" fontId="74" fillId="0" borderId="0" xfId="1" applyNumberFormat="1" applyFont="1"/>
    <xf numFmtId="165" fontId="82" fillId="0" borderId="0" xfId="0" applyNumberFormat="1" applyFont="1" applyAlignment="1">
      <alignment horizontal="left"/>
    </xf>
    <xf numFmtId="166" fontId="12" fillId="15" borderId="0" xfId="28" applyNumberFormat="1" applyFont="1" applyFill="1" applyAlignment="1">
      <alignment horizontal="left" vertical="center" indent="2"/>
    </xf>
    <xf numFmtId="166" fontId="0" fillId="15" borderId="0" xfId="28" applyNumberFormat="1" applyFont="1" applyFill="1"/>
    <xf numFmtId="9" fontId="0" fillId="15" borderId="0" xfId="1" applyFont="1" applyFill="1"/>
    <xf numFmtId="0" fontId="12" fillId="0" borderId="0" xfId="3" applyFont="1" applyProtection="1">
      <protection locked="0"/>
    </xf>
    <xf numFmtId="0" fontId="83" fillId="0" borderId="23" xfId="0" applyFont="1" applyBorder="1"/>
    <xf numFmtId="171" fontId="83" fillId="0" borderId="23" xfId="1" applyNumberFormat="1" applyFont="1" applyBorder="1"/>
    <xf numFmtId="171" fontId="83" fillId="15" borderId="23" xfId="1" applyNumberFormat="1" applyFont="1" applyFill="1" applyBorder="1"/>
    <xf numFmtId="0" fontId="83" fillId="0" borderId="13" xfId="0" applyFont="1" applyBorder="1"/>
    <xf numFmtId="183" fontId="49" fillId="0" borderId="13" xfId="1" applyNumberFormat="1" applyFont="1" applyBorder="1"/>
    <xf numFmtId="183" fontId="49" fillId="15" borderId="13" xfId="1" applyNumberFormat="1" applyFont="1" applyFill="1" applyBorder="1"/>
    <xf numFmtId="0" fontId="83" fillId="0" borderId="0" xfId="0" applyFont="1"/>
    <xf numFmtId="171" fontId="83" fillId="0" borderId="0" xfId="1" applyNumberFormat="1" applyFont="1" applyBorder="1"/>
    <xf numFmtId="171" fontId="83" fillId="15" borderId="0" xfId="1" applyNumberFormat="1" applyFont="1" applyFill="1" applyBorder="1"/>
    <xf numFmtId="0" fontId="83" fillId="0" borderId="36" xfId="0" applyFont="1" applyBorder="1"/>
    <xf numFmtId="171" fontId="83" fillId="0" borderId="36" xfId="1" applyNumberFormat="1" applyFont="1" applyBorder="1"/>
    <xf numFmtId="171" fontId="83" fillId="15" borderId="36" xfId="1" applyNumberFormat="1" applyFont="1" applyFill="1" applyBorder="1"/>
    <xf numFmtId="166" fontId="83" fillId="0" borderId="36" xfId="28" applyNumberFormat="1" applyFont="1" applyBorder="1"/>
    <xf numFmtId="166" fontId="83" fillId="0" borderId="0" xfId="28" applyNumberFormat="1" applyFont="1" applyBorder="1"/>
    <xf numFmtId="171" fontId="83" fillId="0" borderId="13" xfId="1" applyNumberFormat="1" applyFont="1" applyBorder="1"/>
    <xf numFmtId="171" fontId="83" fillId="15" borderId="13" xfId="1" applyNumberFormat="1" applyFont="1" applyFill="1" applyBorder="1"/>
    <xf numFmtId="166" fontId="83" fillId="15" borderId="36" xfId="28" applyNumberFormat="1" applyFont="1" applyFill="1" applyBorder="1"/>
    <xf numFmtId="166" fontId="83" fillId="15" borderId="0" xfId="28" applyNumberFormat="1" applyFont="1" applyFill="1" applyBorder="1"/>
    <xf numFmtId="171" fontId="33" fillId="15" borderId="0" xfId="1" applyNumberFormat="1" applyFont="1" applyFill="1" applyAlignment="1">
      <alignment horizontal="left" vertical="center" indent="2"/>
    </xf>
    <xf numFmtId="171" fontId="84" fillId="15" borderId="23" xfId="1" applyNumberFormat="1" applyFont="1" applyFill="1" applyBorder="1"/>
    <xf numFmtId="166" fontId="33" fillId="15" borderId="0" xfId="28" applyNumberFormat="1" applyFont="1" applyFill="1" applyAlignment="1">
      <alignment horizontal="left" vertical="center" indent="2"/>
    </xf>
    <xf numFmtId="166" fontId="19" fillId="15" borderId="0" xfId="28" applyNumberFormat="1" applyFont="1" applyFill="1"/>
    <xf numFmtId="171" fontId="84" fillId="15" borderId="36" xfId="1" applyNumberFormat="1" applyFont="1" applyFill="1" applyBorder="1"/>
    <xf numFmtId="183" fontId="45" fillId="15" borderId="13" xfId="1" applyNumberFormat="1" applyFont="1" applyFill="1" applyBorder="1"/>
    <xf numFmtId="9" fontId="19" fillId="15" borderId="0" xfId="1" applyFont="1" applyFill="1"/>
    <xf numFmtId="166" fontId="84" fillId="15" borderId="36" xfId="28" applyNumberFormat="1" applyFont="1" applyFill="1" applyBorder="1"/>
    <xf numFmtId="166" fontId="84" fillId="15" borderId="0" xfId="28" applyNumberFormat="1" applyFont="1" applyFill="1" applyBorder="1"/>
    <xf numFmtId="171" fontId="84" fillId="15" borderId="0" xfId="1" applyNumberFormat="1" applyFont="1" applyFill="1" applyBorder="1"/>
    <xf numFmtId="171" fontId="12" fillId="5" borderId="0" xfId="19" applyNumberFormat="1" applyFont="1" applyFill="1" applyAlignment="1">
      <alignment horizontal="right"/>
    </xf>
    <xf numFmtId="43" fontId="19" fillId="0" borderId="0" xfId="28" applyFont="1"/>
    <xf numFmtId="0" fontId="33" fillId="22" borderId="2" xfId="5" applyFont="1" applyFill="1" applyAlignment="1" applyProtection="1">
      <alignment horizontal="center"/>
      <protection locked="0"/>
    </xf>
    <xf numFmtId="166" fontId="12" fillId="0" borderId="0" xfId="28" applyNumberFormat="1" applyFont="1" applyFill="1" applyAlignment="1" applyProtection="1">
      <alignment horizontal="right" vertical="center"/>
      <protection locked="0"/>
    </xf>
    <xf numFmtId="171" fontId="12" fillId="27" borderId="38" xfId="68" applyNumberFormat="1" applyFont="1" applyAlignment="1">
      <alignment horizontal="right"/>
    </xf>
    <xf numFmtId="179" fontId="12" fillId="0" borderId="0" xfId="0" applyNumberFormat="1" applyFont="1" applyAlignment="1">
      <alignment horizontal="right" vertical="center" wrapText="1"/>
    </xf>
    <xf numFmtId="0" fontId="97" fillId="6" borderId="0" xfId="69" applyFont="1" applyFill="1"/>
    <xf numFmtId="0" fontId="98" fillId="6" borderId="0" xfId="69" applyFont="1" applyFill="1"/>
    <xf numFmtId="186" fontId="99" fillId="6" borderId="0" xfId="69" applyNumberFormat="1" applyFont="1" applyFill="1" applyAlignment="1">
      <alignment horizontal="left" vertical="center"/>
    </xf>
    <xf numFmtId="186" fontId="99" fillId="6" borderId="0" xfId="69" applyNumberFormat="1" applyFont="1" applyFill="1" applyAlignment="1">
      <alignment horizontal="center" vertical="center"/>
    </xf>
    <xf numFmtId="15" fontId="100" fillId="6" borderId="0" xfId="70" applyNumberFormat="1" applyFont="1" applyFill="1" applyBorder="1" applyAlignment="1">
      <alignment horizontal="center"/>
    </xf>
    <xf numFmtId="0" fontId="101" fillId="6" borderId="0" xfId="69" applyFont="1" applyFill="1"/>
    <xf numFmtId="0" fontId="97" fillId="12" borderId="0" xfId="69" applyFont="1" applyFill="1"/>
    <xf numFmtId="0" fontId="102" fillId="12" borderId="0" xfId="69" applyFont="1" applyFill="1"/>
    <xf numFmtId="0" fontId="102" fillId="0" borderId="0" xfId="69" applyFont="1"/>
    <xf numFmtId="0" fontId="102" fillId="12" borderId="0" xfId="69" applyFont="1" applyFill="1" applyAlignment="1">
      <alignment horizontal="left" vertical="center" indent="5"/>
    </xf>
    <xf numFmtId="0" fontId="103" fillId="12" borderId="39" xfId="69" applyFont="1" applyFill="1" applyBorder="1" applyAlignment="1">
      <alignment horizontal="left"/>
    </xf>
    <xf numFmtId="0" fontId="104" fillId="12" borderId="39" xfId="69" applyFont="1" applyFill="1" applyBorder="1"/>
    <xf numFmtId="0" fontId="97" fillId="0" borderId="0" xfId="69" applyFont="1"/>
    <xf numFmtId="0" fontId="104" fillId="6" borderId="0" xfId="69" applyFont="1" applyFill="1"/>
    <xf numFmtId="0" fontId="105" fillId="0" borderId="0" xfId="69" applyFont="1" applyAlignment="1">
      <alignment horizontal="right" vertical="top"/>
    </xf>
    <xf numFmtId="187" fontId="103" fillId="0" borderId="0" xfId="69" applyNumberFormat="1" applyFont="1" applyAlignment="1">
      <alignment horizontal="right" vertical="top"/>
    </xf>
    <xf numFmtId="0" fontId="106" fillId="6" borderId="0" xfId="69" applyFont="1" applyFill="1" applyAlignment="1">
      <alignment vertical="top"/>
    </xf>
    <xf numFmtId="0" fontId="107" fillId="6" borderId="0" xfId="69" applyFont="1" applyFill="1"/>
    <xf numFmtId="0" fontId="108" fillId="0" borderId="0" xfId="69" applyFont="1"/>
    <xf numFmtId="43" fontId="107" fillId="6" borderId="0" xfId="71" applyFont="1" applyFill="1"/>
    <xf numFmtId="186" fontId="97" fillId="12" borderId="0" xfId="69" applyNumberFormat="1" applyFont="1" applyFill="1"/>
    <xf numFmtId="0" fontId="102" fillId="6" borderId="0" xfId="69" applyFont="1" applyFill="1" applyAlignment="1">
      <alignment vertical="top"/>
    </xf>
    <xf numFmtId="188" fontId="102" fillId="6" borderId="0" xfId="71" applyNumberFormat="1" applyFont="1" applyFill="1" applyBorder="1" applyAlignment="1" applyProtection="1">
      <alignment vertical="top"/>
      <protection locked="0"/>
    </xf>
    <xf numFmtId="186" fontId="97" fillId="0" borderId="0" xfId="69" applyNumberFormat="1" applyFont="1"/>
    <xf numFmtId="186" fontId="97" fillId="6" borderId="0" xfId="69" applyNumberFormat="1" applyFont="1" applyFill="1"/>
    <xf numFmtId="0" fontId="105" fillId="0" borderId="40" xfId="69" applyFont="1" applyBorder="1" applyAlignment="1">
      <alignment vertical="center"/>
    </xf>
    <xf numFmtId="189" fontId="105" fillId="0" borderId="40" xfId="71" applyNumberFormat="1" applyFont="1" applyBorder="1" applyAlignment="1">
      <alignment vertical="center"/>
    </xf>
    <xf numFmtId="189" fontId="105" fillId="0" borderId="41" xfId="71" applyNumberFormat="1" applyFont="1" applyBorder="1" applyAlignment="1">
      <alignment vertical="center"/>
    </xf>
    <xf numFmtId="0" fontId="107" fillId="6" borderId="0" xfId="69" applyFont="1" applyFill="1" applyAlignment="1">
      <alignment vertical="top"/>
    </xf>
    <xf numFmtId="0" fontId="97" fillId="12" borderId="0" xfId="69" applyFont="1" applyFill="1" applyAlignment="1">
      <alignment vertical="top"/>
    </xf>
    <xf numFmtId="0" fontId="102" fillId="6" borderId="0" xfId="69" applyFont="1" applyFill="1" applyAlignment="1">
      <alignment vertical="center"/>
    </xf>
    <xf numFmtId="0" fontId="97" fillId="0" borderId="0" xfId="69" applyFont="1" applyAlignment="1">
      <alignment vertical="top"/>
    </xf>
    <xf numFmtId="0" fontId="97" fillId="6" borderId="0" xfId="69" applyFont="1" applyFill="1" applyAlignment="1">
      <alignment vertical="top"/>
    </xf>
    <xf numFmtId="0" fontId="105" fillId="0" borderId="40" xfId="69" applyFont="1" applyBorder="1"/>
    <xf numFmtId="189" fontId="105" fillId="0" borderId="40" xfId="71" applyNumberFormat="1" applyFont="1" applyBorder="1" applyAlignment="1"/>
    <xf numFmtId="186" fontId="108" fillId="0" borderId="0" xfId="69" applyNumberFormat="1" applyFont="1"/>
    <xf numFmtId="166" fontId="109" fillId="0" borderId="0" xfId="71" applyNumberFormat="1" applyFont="1" applyFill="1" applyBorder="1" applyAlignment="1">
      <alignment horizontal="right" vertical="top" indent="2"/>
    </xf>
    <xf numFmtId="166" fontId="109" fillId="0" borderId="0" xfId="71" applyNumberFormat="1" applyFont="1" applyFill="1" applyAlignment="1">
      <alignment horizontal="right" vertical="top" indent="2"/>
    </xf>
    <xf numFmtId="189" fontId="102" fillId="6" borderId="0" xfId="71" applyNumberFormat="1" applyFont="1" applyFill="1" applyBorder="1" applyAlignment="1" applyProtection="1">
      <alignment horizontal="right" vertical="top"/>
      <protection locked="0"/>
    </xf>
    <xf numFmtId="0" fontId="105" fillId="0" borderId="41" xfId="69" applyFont="1" applyBorder="1" applyAlignment="1">
      <alignment vertical="top"/>
    </xf>
    <xf numFmtId="189" fontId="105" fillId="0" borderId="41" xfId="71" applyNumberFormat="1" applyFont="1" applyBorder="1" applyAlignment="1">
      <alignment vertical="top"/>
    </xf>
    <xf numFmtId="189" fontId="105" fillId="0" borderId="40" xfId="71" applyNumberFormat="1" applyFont="1" applyBorder="1" applyAlignment="1">
      <alignment vertical="top"/>
    </xf>
    <xf numFmtId="188" fontId="102" fillId="6" borderId="0" xfId="71" applyNumberFormat="1" applyFont="1" applyFill="1" applyBorder="1" applyAlignment="1" applyProtection="1">
      <alignment horizontal="right" vertical="top"/>
      <protection locked="0"/>
    </xf>
    <xf numFmtId="188" fontId="102" fillId="6" borderId="0" xfId="71" applyNumberFormat="1" applyFont="1" applyFill="1" applyBorder="1" applyAlignment="1" applyProtection="1">
      <alignment horizontal="left" vertical="top"/>
      <protection locked="0"/>
    </xf>
    <xf numFmtId="0" fontId="110" fillId="12" borderId="0" xfId="69" applyFont="1" applyFill="1" applyAlignment="1">
      <alignment horizontal="right"/>
    </xf>
    <xf numFmtId="0" fontId="111" fillId="6" borderId="0" xfId="69" applyFont="1" applyFill="1" applyAlignment="1">
      <alignment horizontal="right"/>
    </xf>
    <xf numFmtId="0" fontId="113" fillId="0" borderId="0" xfId="0" applyFont="1"/>
    <xf numFmtId="0" fontId="118" fillId="30" borderId="0" xfId="0" applyFont="1" applyFill="1"/>
    <xf numFmtId="0" fontId="119" fillId="0" borderId="0" xfId="0" applyFont="1"/>
    <xf numFmtId="8" fontId="119" fillId="0" borderId="0" xfId="0" applyNumberFormat="1" applyFont="1"/>
    <xf numFmtId="10" fontId="119" fillId="0" borderId="0" xfId="0" applyNumberFormat="1" applyFont="1"/>
    <xf numFmtId="9" fontId="119" fillId="0" borderId="0" xfId="0" applyNumberFormat="1" applyFont="1"/>
    <xf numFmtId="0" fontId="120" fillId="28" borderId="0" xfId="0" applyFont="1" applyFill="1"/>
    <xf numFmtId="10" fontId="120" fillId="28" borderId="0" xfId="0" applyNumberFormat="1" applyFont="1" applyFill="1"/>
    <xf numFmtId="0" fontId="121" fillId="28" borderId="0" xfId="0" applyFont="1" applyFill="1"/>
    <xf numFmtId="3" fontId="121" fillId="28" borderId="0" xfId="0" applyNumberFormat="1" applyFont="1" applyFill="1"/>
    <xf numFmtId="8" fontId="121" fillId="28" borderId="0" xfId="0" applyNumberFormat="1" applyFont="1" applyFill="1"/>
    <xf numFmtId="9" fontId="121" fillId="28" borderId="0" xfId="0" applyNumberFormat="1" applyFont="1" applyFill="1"/>
    <xf numFmtId="3" fontId="119" fillId="0" borderId="0" xfId="0" applyNumberFormat="1" applyFont="1"/>
    <xf numFmtId="0" fontId="119" fillId="0" borderId="0" xfId="0" quotePrefix="1" applyFont="1"/>
    <xf numFmtId="0" fontId="122" fillId="29" borderId="0" xfId="0" applyFont="1" applyFill="1"/>
    <xf numFmtId="3" fontId="122" fillId="29" borderId="0" xfId="0" applyNumberFormat="1" applyFont="1" applyFill="1"/>
    <xf numFmtId="10" fontId="122" fillId="29" borderId="0" xfId="0" applyNumberFormat="1" applyFont="1" applyFill="1"/>
    <xf numFmtId="9" fontId="113" fillId="0" borderId="0" xfId="0" applyNumberFormat="1" applyFont="1"/>
    <xf numFmtId="9" fontId="0" fillId="0" borderId="0" xfId="0" applyNumberFormat="1"/>
    <xf numFmtId="0" fontId="125" fillId="31" borderId="0" xfId="0" applyFont="1" applyFill="1"/>
    <xf numFmtId="0" fontId="125" fillId="0" borderId="42" xfId="0" applyFont="1" applyBorder="1"/>
    <xf numFmtId="0" fontId="125" fillId="0" borderId="43" xfId="0" applyFont="1" applyBorder="1"/>
    <xf numFmtId="0" fontId="125" fillId="0" borderId="44" xfId="0" applyFont="1" applyBorder="1"/>
    <xf numFmtId="0" fontId="125" fillId="0" borderId="45" xfId="0" applyFont="1" applyBorder="1"/>
    <xf numFmtId="0" fontId="126" fillId="0" borderId="0" xfId="0" applyFont="1"/>
    <xf numFmtId="0" fontId="125" fillId="0" borderId="0" xfId="0" applyFont="1"/>
    <xf numFmtId="0" fontId="125" fillId="0" borderId="46" xfId="0" applyFont="1" applyBorder="1"/>
    <xf numFmtId="0" fontId="127" fillId="0" borderId="0" xfId="0" applyFont="1"/>
    <xf numFmtId="0" fontId="125" fillId="32" borderId="0" xfId="0" applyFont="1" applyFill="1"/>
    <xf numFmtId="0" fontId="129" fillId="32" borderId="0" xfId="0" applyFont="1" applyFill="1" applyAlignment="1">
      <alignment wrapText="1"/>
    </xf>
    <xf numFmtId="0" fontId="130" fillId="0" borderId="0" xfId="0" applyFont="1"/>
    <xf numFmtId="0" fontId="124" fillId="0" borderId="0" xfId="72" applyAlignment="1"/>
    <xf numFmtId="0" fontId="130" fillId="32" borderId="0" xfId="0" applyFont="1" applyFill="1"/>
    <xf numFmtId="0" fontId="127" fillId="32" borderId="0" xfId="0" applyFont="1" applyFill="1"/>
    <xf numFmtId="3" fontId="127" fillId="32" borderId="0" xfId="0" applyNumberFormat="1" applyFont="1" applyFill="1"/>
    <xf numFmtId="0" fontId="131" fillId="32" borderId="0" xfId="0" applyFont="1" applyFill="1"/>
    <xf numFmtId="3" fontId="131" fillId="32" borderId="0" xfId="0" applyNumberFormat="1" applyFont="1" applyFill="1"/>
    <xf numFmtId="3" fontId="127" fillId="0" borderId="0" xfId="0" applyNumberFormat="1" applyFont="1"/>
    <xf numFmtId="0" fontId="131" fillId="0" borderId="0" xfId="0" applyFont="1"/>
    <xf numFmtId="3" fontId="131" fillId="0" borderId="0" xfId="0" applyNumberFormat="1" applyFont="1"/>
    <xf numFmtId="0" fontId="130" fillId="32" borderId="43" xfId="0" applyFont="1" applyFill="1" applyBorder="1"/>
    <xf numFmtId="3" fontId="130" fillId="32" borderId="43" xfId="0" applyNumberFormat="1" applyFont="1" applyFill="1" applyBorder="1"/>
    <xf numFmtId="0" fontId="132" fillId="32" borderId="43" xfId="0" applyFont="1" applyFill="1" applyBorder="1"/>
    <xf numFmtId="3" fontId="132" fillId="32" borderId="43" xfId="0" applyNumberFormat="1" applyFont="1" applyFill="1" applyBorder="1"/>
    <xf numFmtId="0" fontId="133" fillId="0" borderId="43" xfId="0" applyFont="1" applyBorder="1"/>
    <xf numFmtId="0" fontId="130" fillId="0" borderId="43" xfId="0" applyFont="1" applyBorder="1"/>
    <xf numFmtId="3" fontId="130" fillId="0" borderId="43" xfId="0" applyNumberFormat="1" applyFont="1" applyBorder="1"/>
    <xf numFmtId="0" fontId="132" fillId="0" borderId="43" xfId="0" applyFont="1" applyBorder="1"/>
    <xf numFmtId="3" fontId="132" fillId="0" borderId="43" xfId="0" applyNumberFormat="1" applyFont="1" applyBorder="1"/>
    <xf numFmtId="0" fontId="125" fillId="0" borderId="47" xfId="0" applyFont="1" applyBorder="1"/>
    <xf numFmtId="0" fontId="125" fillId="0" borderId="48" xfId="0" applyFont="1" applyBorder="1"/>
    <xf numFmtId="0" fontId="125" fillId="0" borderId="49" xfId="0" applyFont="1" applyBorder="1"/>
    <xf numFmtId="188" fontId="102" fillId="6" borderId="0" xfId="71" applyNumberFormat="1" applyFont="1" applyFill="1" applyBorder="1" applyAlignment="1" applyProtection="1">
      <alignment vertical="top" wrapText="1"/>
      <protection locked="0"/>
    </xf>
    <xf numFmtId="10" fontId="109" fillId="0" borderId="0" xfId="71" applyNumberFormat="1" applyFont="1" applyAlignment="1">
      <alignment horizontal="right" vertical="top" indent="2"/>
    </xf>
    <xf numFmtId="0" fontId="134" fillId="0" borderId="0" xfId="0" applyFont="1"/>
    <xf numFmtId="0" fontId="135" fillId="0" borderId="0" xfId="0" applyFont="1"/>
    <xf numFmtId="0" fontId="136" fillId="0" borderId="0" xfId="0" applyFont="1"/>
    <xf numFmtId="0" fontId="137" fillId="0" borderId="0" xfId="0" applyFont="1"/>
    <xf numFmtId="0" fontId="138" fillId="33" borderId="50" xfId="0" applyFont="1" applyFill="1" applyBorder="1"/>
    <xf numFmtId="0" fontId="138" fillId="34" borderId="50" xfId="0" applyFont="1" applyFill="1" applyBorder="1"/>
    <xf numFmtId="9" fontId="139" fillId="0" borderId="4" xfId="0" applyNumberFormat="1" applyFont="1" applyBorder="1"/>
    <xf numFmtId="0" fontId="140" fillId="0" borderId="0" xfId="0" applyFont="1"/>
    <xf numFmtId="0" fontId="141" fillId="35" borderId="50" xfId="0" applyFont="1" applyFill="1" applyBorder="1"/>
    <xf numFmtId="0" fontId="142" fillId="0" borderId="0" xfId="0" applyFont="1"/>
    <xf numFmtId="0" fontId="143" fillId="36" borderId="0" xfId="0" applyFont="1" applyFill="1"/>
    <xf numFmtId="0" fontId="144" fillId="0" borderId="23" xfId="0" applyFont="1" applyBorder="1"/>
    <xf numFmtId="0" fontId="144" fillId="37" borderId="23" xfId="0" applyFont="1" applyFill="1" applyBorder="1"/>
    <xf numFmtId="0" fontId="139" fillId="0" borderId="0" xfId="0" applyFont="1"/>
    <xf numFmtId="0" fontId="139" fillId="37" borderId="0" xfId="0" applyFont="1" applyFill="1"/>
    <xf numFmtId="0" fontId="146" fillId="0" borderId="0" xfId="0" applyFont="1"/>
    <xf numFmtId="0" fontId="147" fillId="0" borderId="0" xfId="0" applyFont="1"/>
    <xf numFmtId="0" fontId="148" fillId="37" borderId="0" xfId="0" applyFont="1" applyFill="1"/>
    <xf numFmtId="0" fontId="147" fillId="0" borderId="51" xfId="0" applyFont="1" applyBorder="1"/>
    <xf numFmtId="3" fontId="147" fillId="0" borderId="51" xfId="0" applyNumberFormat="1" applyFont="1" applyBorder="1"/>
    <xf numFmtId="0" fontId="149" fillId="37" borderId="52" xfId="0" applyFont="1" applyFill="1" applyBorder="1"/>
    <xf numFmtId="0" fontId="150" fillId="0" borderId="0" xfId="0" applyFont="1"/>
    <xf numFmtId="0" fontId="151" fillId="0" borderId="0" xfId="0" applyFont="1"/>
    <xf numFmtId="0" fontId="144" fillId="0" borderId="0" xfId="0" applyFont="1"/>
    <xf numFmtId="0" fontId="144" fillId="37" borderId="0" xfId="0" applyFont="1" applyFill="1"/>
    <xf numFmtId="10" fontId="139" fillId="0" borderId="0" xfId="0" applyNumberFormat="1" applyFont="1"/>
    <xf numFmtId="10" fontId="139" fillId="37" borderId="0" xfId="0" applyNumberFormat="1" applyFont="1" applyFill="1"/>
    <xf numFmtId="0" fontId="151" fillId="37" borderId="0" xfId="0" applyFont="1" applyFill="1"/>
    <xf numFmtId="0" fontId="139" fillId="0" borderId="10" xfId="0" applyFont="1" applyBorder="1"/>
    <xf numFmtId="0" fontId="139" fillId="37" borderId="10" xfId="0" applyFont="1" applyFill="1" applyBorder="1"/>
    <xf numFmtId="0" fontId="152" fillId="0" borderId="0" xfId="0" applyFont="1"/>
    <xf numFmtId="0" fontId="153" fillId="0" borderId="0" xfId="0" applyFont="1"/>
    <xf numFmtId="0" fontId="154" fillId="5" borderId="0" xfId="0" applyFont="1" applyFill="1"/>
    <xf numFmtId="0" fontId="154" fillId="0" borderId="0" xfId="0" applyFont="1"/>
    <xf numFmtId="0" fontId="113" fillId="0" borderId="48" xfId="0" applyFont="1" applyBorder="1"/>
    <xf numFmtId="0" fontId="139" fillId="37" borderId="13" xfId="0" applyFont="1" applyFill="1" applyBorder="1"/>
    <xf numFmtId="0" fontId="155" fillId="0" borderId="0" xfId="0" applyFont="1"/>
    <xf numFmtId="0" fontId="113" fillId="37" borderId="0" xfId="0" applyFont="1" applyFill="1"/>
    <xf numFmtId="0" fontId="147" fillId="0" borderId="53" xfId="0" applyFont="1" applyBorder="1"/>
    <xf numFmtId="0" fontId="155" fillId="0" borderId="43" xfId="0" applyFont="1" applyBorder="1"/>
    <xf numFmtId="10" fontId="113" fillId="37" borderId="0" xfId="0" applyNumberFormat="1" applyFont="1" applyFill="1"/>
    <xf numFmtId="0" fontId="113" fillId="0" borderId="43" xfId="0" applyFont="1" applyBorder="1"/>
    <xf numFmtId="10" fontId="113" fillId="37" borderId="43" xfId="0" applyNumberFormat="1" applyFont="1" applyFill="1" applyBorder="1"/>
    <xf numFmtId="0" fontId="147" fillId="37" borderId="51" xfId="0" applyFont="1" applyFill="1" applyBorder="1"/>
    <xf numFmtId="0" fontId="139" fillId="0" borderId="13" xfId="0" applyFont="1" applyBorder="1"/>
    <xf numFmtId="0" fontId="144" fillId="0" borderId="13" xfId="0" applyFont="1" applyBorder="1"/>
    <xf numFmtId="3" fontId="144" fillId="0" borderId="0" xfId="0" applyNumberFormat="1" applyFont="1"/>
    <xf numFmtId="10" fontId="144" fillId="37" borderId="0" xfId="0" applyNumberFormat="1" applyFont="1" applyFill="1"/>
    <xf numFmtId="10" fontId="113" fillId="0" borderId="0" xfId="0" applyNumberFormat="1" applyFont="1"/>
    <xf numFmtId="10" fontId="156" fillId="0" borderId="0" xfId="0" applyNumberFormat="1" applyFont="1"/>
    <xf numFmtId="0" fontId="144" fillId="0" borderId="10" xfId="0" applyFont="1" applyBorder="1"/>
    <xf numFmtId="0" fontId="144" fillId="37" borderId="10" xfId="0" applyFont="1" applyFill="1" applyBorder="1"/>
    <xf numFmtId="3" fontId="113" fillId="0" borderId="0" xfId="0" applyNumberFormat="1" applyFont="1"/>
    <xf numFmtId="3" fontId="113" fillId="0" borderId="48" xfId="0" applyNumberFormat="1" applyFont="1" applyBorder="1"/>
    <xf numFmtId="3" fontId="155" fillId="0" borderId="0" xfId="0" applyNumberFormat="1" applyFont="1"/>
    <xf numFmtId="0" fontId="157" fillId="0" borderId="0" xfId="0" applyFont="1"/>
    <xf numFmtId="0" fontId="158" fillId="0" borderId="0" xfId="0" applyFont="1"/>
    <xf numFmtId="9" fontId="139" fillId="0" borderId="0" xfId="0" applyNumberFormat="1" applyFont="1"/>
    <xf numFmtId="0" fontId="159" fillId="0" borderId="0" xfId="0" applyFont="1"/>
    <xf numFmtId="9" fontId="139" fillId="0" borderId="10" xfId="0" applyNumberFormat="1" applyFont="1" applyBorder="1"/>
    <xf numFmtId="0" fontId="143" fillId="26" borderId="0" xfId="0" applyFont="1" applyFill="1"/>
    <xf numFmtId="0" fontId="160" fillId="26" borderId="0" xfId="0" applyFont="1" applyFill="1"/>
    <xf numFmtId="0" fontId="155" fillId="0" borderId="54" xfId="0" applyFont="1" applyBorder="1"/>
    <xf numFmtId="0" fontId="147" fillId="0" borderId="55" xfId="0" applyFont="1" applyBorder="1"/>
    <xf numFmtId="10" fontId="139" fillId="5" borderId="56" xfId="0" applyNumberFormat="1" applyFont="1" applyFill="1" applyBorder="1"/>
    <xf numFmtId="0" fontId="113" fillId="0" borderId="54" xfId="0" applyFont="1" applyBorder="1"/>
    <xf numFmtId="44" fontId="139" fillId="0" borderId="0" xfId="0" applyNumberFormat="1" applyFont="1"/>
    <xf numFmtId="44" fontId="145" fillId="5" borderId="0" xfId="0" applyNumberFormat="1" applyFont="1" applyFill="1"/>
    <xf numFmtId="44" fontId="147" fillId="0" borderId="0" xfId="0" applyNumberFormat="1" applyFont="1"/>
    <xf numFmtId="44" fontId="113" fillId="0" borderId="0" xfId="0" applyNumberFormat="1" applyFont="1"/>
    <xf numFmtId="44" fontId="113" fillId="5" borderId="0" xfId="0" applyNumberFormat="1" applyFont="1" applyFill="1"/>
    <xf numFmtId="44" fontId="113" fillId="0" borderId="48" xfId="0" applyNumberFormat="1" applyFont="1" applyBorder="1"/>
    <xf numFmtId="44" fontId="119" fillId="0" borderId="0" xfId="0" applyNumberFormat="1" applyFont="1"/>
    <xf numFmtId="190" fontId="162" fillId="39" borderId="0" xfId="0" applyNumberFormat="1" applyFont="1" applyFill="1" applyAlignment="1">
      <alignment horizontal="right" vertical="center"/>
    </xf>
    <xf numFmtId="44" fontId="162" fillId="39" borderId="0" xfId="0" applyNumberFormat="1" applyFont="1" applyFill="1" applyAlignment="1">
      <alignment horizontal="left" vertical="center" indent="1"/>
    </xf>
    <xf numFmtId="44" fontId="139" fillId="0" borderId="0" xfId="0" applyNumberFormat="1" applyFont="1" applyAlignment="1">
      <alignment horizontal="right" vertical="center"/>
    </xf>
    <xf numFmtId="44" fontId="162" fillId="39" borderId="0" xfId="0" applyNumberFormat="1" applyFont="1" applyFill="1" applyAlignment="1">
      <alignment horizontal="right" vertical="center"/>
    </xf>
    <xf numFmtId="190" fontId="162" fillId="39" borderId="1" xfId="0" applyNumberFormat="1" applyFont="1" applyFill="1" applyBorder="1"/>
    <xf numFmtId="0" fontId="137" fillId="0" borderId="0" xfId="0" applyFont="1" applyAlignment="1">
      <alignment horizontal="left" vertical="center" indent="3"/>
    </xf>
    <xf numFmtId="190" fontId="163" fillId="39" borderId="0" xfId="0" applyNumberFormat="1" applyFont="1" applyFill="1" applyAlignment="1">
      <alignment horizontal="right" vertical="center"/>
    </xf>
    <xf numFmtId="0" fontId="139" fillId="0" borderId="0" xfId="0" applyFont="1" applyAlignment="1">
      <alignment horizontal="left" vertical="center" indent="2"/>
    </xf>
    <xf numFmtId="0" fontId="137" fillId="0" borderId="0" xfId="0" applyFont="1" applyAlignment="1">
      <alignment horizontal="right" vertical="center"/>
    </xf>
    <xf numFmtId="44" fontId="145" fillId="5" borderId="48" xfId="0" applyNumberFormat="1" applyFont="1" applyFill="1" applyBorder="1"/>
    <xf numFmtId="44" fontId="155" fillId="0" borderId="0" xfId="0" applyNumberFormat="1" applyFont="1"/>
    <xf numFmtId="0" fontId="139" fillId="37" borderId="48" xfId="0" applyFont="1" applyFill="1" applyBorder="1"/>
    <xf numFmtId="44" fontId="155" fillId="0" borderId="43" xfId="0" applyNumberFormat="1" applyFont="1" applyBorder="1"/>
    <xf numFmtId="44" fontId="113" fillId="0" borderId="43" xfId="0" applyNumberFormat="1" applyFont="1" applyBorder="1"/>
    <xf numFmtId="44" fontId="147" fillId="0" borderId="51" xfId="0" applyNumberFormat="1" applyFont="1" applyBorder="1"/>
    <xf numFmtId="3" fontId="125" fillId="0" borderId="0" xfId="0" applyNumberFormat="1" applyFont="1"/>
    <xf numFmtId="10" fontId="113" fillId="37" borderId="54" xfId="0" applyNumberFormat="1" applyFont="1" applyFill="1" applyBorder="1"/>
    <xf numFmtId="10" fontId="155" fillId="37" borderId="43" xfId="0" applyNumberFormat="1" applyFont="1" applyFill="1" applyBorder="1"/>
    <xf numFmtId="10" fontId="155" fillId="37" borderId="0" xfId="0" applyNumberFormat="1" applyFont="1" applyFill="1"/>
    <xf numFmtId="0" fontId="144" fillId="37" borderId="48" xfId="0" applyFont="1" applyFill="1" applyBorder="1"/>
    <xf numFmtId="44" fontId="147" fillId="0" borderId="53" xfId="0" applyNumberFormat="1" applyFont="1" applyBorder="1"/>
    <xf numFmtId="10" fontId="144" fillId="37" borderId="43" xfId="0" applyNumberFormat="1" applyFont="1" applyFill="1" applyBorder="1"/>
    <xf numFmtId="10" fontId="144" fillId="37" borderId="54" xfId="0" applyNumberFormat="1" applyFont="1" applyFill="1" applyBorder="1"/>
    <xf numFmtId="2" fontId="139" fillId="0" borderId="0" xfId="0" applyNumberFormat="1" applyFont="1"/>
    <xf numFmtId="2" fontId="144" fillId="0" borderId="0" xfId="0" applyNumberFormat="1" applyFont="1"/>
    <xf numFmtId="167" fontId="139" fillId="0" borderId="0" xfId="0" applyNumberFormat="1" applyFont="1"/>
    <xf numFmtId="167" fontId="139" fillId="37" borderId="0" xfId="0" applyNumberFormat="1" applyFont="1" applyFill="1"/>
    <xf numFmtId="2" fontId="139" fillId="37" borderId="0" xfId="0" applyNumberFormat="1" applyFont="1" applyFill="1"/>
    <xf numFmtId="0" fontId="155" fillId="38" borderId="37" xfId="0" applyFont="1" applyFill="1" applyBorder="1"/>
    <xf numFmtId="0" fontId="155" fillId="38" borderId="59" xfId="0" applyFont="1" applyFill="1" applyBorder="1"/>
    <xf numFmtId="0" fontId="139" fillId="5" borderId="58" xfId="0" applyFont="1" applyFill="1" applyBorder="1"/>
    <xf numFmtId="183" fontId="161" fillId="5" borderId="1" xfId="0" applyNumberFormat="1" applyFont="1" applyFill="1" applyBorder="1"/>
    <xf numFmtId="44" fontId="155" fillId="0" borderId="54" xfId="0" applyNumberFormat="1" applyFont="1" applyBorder="1"/>
    <xf numFmtId="44" fontId="147" fillId="0" borderId="55" xfId="0" applyNumberFormat="1" applyFont="1" applyBorder="1"/>
    <xf numFmtId="44" fontId="113" fillId="0" borderId="54" xfId="0" applyNumberFormat="1" applyFont="1" applyBorder="1"/>
    <xf numFmtId="0" fontId="124" fillId="0" borderId="0" xfId="72"/>
    <xf numFmtId="44" fontId="113" fillId="5" borderId="1" xfId="0" applyNumberFormat="1" applyFont="1" applyFill="1" applyBorder="1"/>
    <xf numFmtId="44" fontId="113" fillId="5" borderId="60" xfId="0" applyNumberFormat="1" applyFont="1" applyFill="1" applyBorder="1"/>
    <xf numFmtId="44" fontId="113" fillId="5" borderId="49" xfId="0" applyNumberFormat="1" applyFont="1" applyFill="1" applyBorder="1"/>
    <xf numFmtId="191" fontId="164" fillId="0" borderId="0" xfId="0" applyNumberFormat="1" applyFont="1"/>
    <xf numFmtId="171" fontId="164" fillId="0" borderId="0" xfId="0" applyNumberFormat="1" applyFont="1"/>
    <xf numFmtId="10" fontId="139" fillId="5" borderId="25" xfId="0" applyNumberFormat="1" applyFont="1" applyFill="1" applyBorder="1"/>
    <xf numFmtId="2" fontId="139" fillId="5" borderId="1" xfId="0" applyNumberFormat="1" applyFont="1" applyFill="1" applyBorder="1"/>
    <xf numFmtId="2" fontId="139" fillId="5" borderId="57" xfId="0" applyNumberFormat="1" applyFont="1" applyFill="1" applyBorder="1"/>
    <xf numFmtId="0" fontId="4" fillId="5" borderId="31" xfId="4" applyBorder="1" applyAlignment="1">
      <alignment horizontal="left"/>
    </xf>
    <xf numFmtId="0" fontId="4" fillId="5" borderId="32" xfId="4" applyBorder="1" applyAlignment="1">
      <alignment horizontal="left"/>
    </xf>
    <xf numFmtId="0" fontId="4" fillId="5" borderId="33" xfId="4" applyBorder="1" applyAlignment="1">
      <alignment horizontal="left"/>
    </xf>
    <xf numFmtId="0" fontId="20" fillId="21" borderId="0" xfId="21" applyFont="1" applyFill="1" applyAlignment="1">
      <alignment horizontal="center" vertical="center" wrapText="1"/>
    </xf>
    <xf numFmtId="0" fontId="20" fillId="21" borderId="0" xfId="25" applyFont="1" applyFill="1" applyAlignment="1">
      <alignment horizontal="center" vertical="center" wrapText="1"/>
    </xf>
    <xf numFmtId="0" fontId="58" fillId="0" borderId="0" xfId="21" applyFont="1" applyAlignment="1">
      <alignment horizontal="center" vertical="center"/>
    </xf>
    <xf numFmtId="0" fontId="40" fillId="10" borderId="0" xfId="25" applyFont="1" applyFill="1" applyAlignment="1">
      <alignment horizontal="center" vertical="center" wrapText="1"/>
    </xf>
    <xf numFmtId="0" fontId="112" fillId="0" borderId="0" xfId="0" applyFont="1" applyAlignment="1"/>
    <xf numFmtId="0" fontId="114" fillId="0" borderId="0" xfId="0" applyFont="1" applyAlignment="1"/>
    <xf numFmtId="0" fontId="115" fillId="28" borderId="0" xfId="0" applyFont="1" applyFill="1" applyAlignment="1"/>
    <xf numFmtId="0" fontId="116" fillId="0" borderId="0" xfId="0" applyFont="1" applyAlignment="1"/>
    <xf numFmtId="0" fontId="117" fillId="29" borderId="0" xfId="0" applyFont="1" applyFill="1" applyAlignment="1"/>
    <xf numFmtId="0" fontId="119" fillId="0" borderId="0" xfId="0" applyFont="1" applyAlignment="1"/>
    <xf numFmtId="0" fontId="122" fillId="0" borderId="0" xfId="0" applyFont="1" applyAlignment="1"/>
    <xf numFmtId="0" fontId="123" fillId="0" borderId="0" xfId="0" applyFont="1" applyAlignment="1"/>
    <xf numFmtId="0" fontId="128" fillId="32" borderId="0" xfId="0" applyFont="1" applyFill="1" applyAlignment="1"/>
    <xf numFmtId="0" fontId="143" fillId="26" borderId="0" xfId="0" applyFont="1" applyFill="1" applyAlignment="1"/>
    <xf numFmtId="0" fontId="143" fillId="36" borderId="0" xfId="0" applyFont="1" applyFill="1" applyAlignment="1"/>
    <xf numFmtId="0" fontId="156" fillId="0" borderId="0" xfId="0" applyFont="1" applyAlignment="1"/>
    <xf numFmtId="0" fontId="142" fillId="0" borderId="0" xfId="0" applyFont="1" applyAlignment="1"/>
    <xf numFmtId="0" fontId="113" fillId="0" borderId="0" xfId="0" applyFont="1" applyAlignment="1"/>
  </cellXfs>
  <cellStyles count="73">
    <cellStyle name="0,0_x000d__x000a_NA_x000d__x000a_ 2" xfId="40" xr:uid="{38FC63CD-C264-4374-9646-B46FA6DBF1EA}"/>
    <cellStyle name="0.0x" xfId="15" xr:uid="{00000000-0005-0000-0000-000000000000}"/>
    <cellStyle name="Assumption" xfId="9" xr:uid="{00000000-0005-0000-0000-000001000000}"/>
    <cellStyle name="Bloomberg data" xfId="12" xr:uid="{00000000-0005-0000-0000-000002000000}"/>
    <cellStyle name="blp_column_header" xfId="42" xr:uid="{8D52E4AA-3FFC-4144-96CF-A80D2F38FBC0}"/>
    <cellStyle name="Check" xfId="16" xr:uid="{00000000-0005-0000-0000-000003000000}"/>
    <cellStyle name="ColumnHeaderNormal" xfId="49" xr:uid="{779F86FB-C516-4BAF-8BDA-6BEEFCDFF7BA}"/>
    <cellStyle name="Comma" xfId="28" builtinId="3"/>
    <cellStyle name="Comma 13 2 2" xfId="26" xr:uid="{00000000-0005-0000-0000-000005000000}"/>
    <cellStyle name="Comma 13 2 2 2" xfId="35" xr:uid="{C5CE0BFB-0431-4E95-B666-5B8DAAD80642}"/>
    <cellStyle name="Comma 2" xfId="38" xr:uid="{CC8BFA52-8FFB-402E-808D-019CB009D496}"/>
    <cellStyle name="Comma 2 2" xfId="43" xr:uid="{98E6BC94-9354-4BAA-B744-D5E03A4B6E9C}"/>
    <cellStyle name="Comma 2 3" xfId="62" xr:uid="{428506B6-A08B-4E3B-8ED9-B5B69E8BC9CE}"/>
    <cellStyle name="Comma 2 4 2 3" xfId="58" xr:uid="{E960945B-0A36-4F3E-A626-A40D36DC3E89}"/>
    <cellStyle name="Comma 3" xfId="55" xr:uid="{E5A57871-8218-4899-BED7-7F3A2F7C96C8}"/>
    <cellStyle name="Comma 4" xfId="36" xr:uid="{27E862AF-F6FC-4F9B-A8E6-52EBC6517A57}"/>
    <cellStyle name="Comma 5" xfId="71" xr:uid="{020A2689-D560-44C9-AA7C-4AA954232F16}"/>
    <cellStyle name="Currency 2" xfId="44" xr:uid="{396043B5-4C59-465A-82EE-781900CBBD7E}"/>
    <cellStyle name="Currency 3" xfId="70" xr:uid="{5D45C1DD-2829-4B89-A8E2-3227A07E339C}"/>
    <cellStyle name="Currency 4 2 4" xfId="57" xr:uid="{9D16752A-B046-456F-994B-EC891C796CA0}"/>
    <cellStyle name="Date" xfId="13" xr:uid="{00000000-0005-0000-0000-000007000000}"/>
    <cellStyle name="Explanatory Text" xfId="7" builtinId="53" customBuiltin="1"/>
    <cellStyle name="Header0" xfId="30" xr:uid="{00000000-0005-0000-0000-000009000000}"/>
    <cellStyle name="Header1" xfId="27" xr:uid="{00000000-0005-0000-0000-00000A000000}"/>
    <cellStyle name="Heading 1" xfId="3" builtinId="16" customBuiltin="1"/>
    <cellStyle name="Heading 2" xfId="20" builtinId="17"/>
    <cellStyle name="Hyperlink" xfId="72" builtinId="8"/>
    <cellStyle name="Hyperlink 2" xfId="22" xr:uid="{00000000-0005-0000-0000-00000E000000}"/>
    <cellStyle name="Hyperlink 3" xfId="45" xr:uid="{0718CEB7-B95F-4F0F-BD37-7F6131D07856}"/>
    <cellStyle name="Input" xfId="4" builtinId="20" customBuiltin="1"/>
    <cellStyle name="Input 3" xfId="18" xr:uid="{00000000-0005-0000-0000-000010000000}"/>
    <cellStyle name="Insheet" xfId="10" xr:uid="{00000000-0005-0000-0000-000011000000}"/>
    <cellStyle name="Linked Cell" xfId="6" builtinId="24" customBuiltin="1"/>
    <cellStyle name="Normal" xfId="0" builtinId="0"/>
    <cellStyle name="Normal 10" xfId="63" xr:uid="{A27D952C-BA6A-4799-89FA-5B5B61849D1F}"/>
    <cellStyle name="Normal 11" xfId="69" xr:uid="{BAFDB25A-1F3A-470A-90BB-D31C8456C873}"/>
    <cellStyle name="Normal 162" xfId="60" xr:uid="{79510F2E-A8FA-475C-BB0E-1F27CAC6BFF7}"/>
    <cellStyle name="Normal 2" xfId="21" xr:uid="{00000000-0005-0000-0000-000014000000}"/>
    <cellStyle name="Normal 2 2" xfId="47" xr:uid="{7D1805CC-6E48-462C-8558-FA5BEB237087}"/>
    <cellStyle name="Normal 2 2 2" xfId="61" xr:uid="{58DFBA62-ACBF-4DA0-80FE-0CA0FCEA8F7D}"/>
    <cellStyle name="Normal 2 3" xfId="46" xr:uid="{2535F9DD-4141-43F1-A4B5-F093BADDC265}"/>
    <cellStyle name="Normal 27" xfId="17" xr:uid="{00000000-0005-0000-0000-000015000000}"/>
    <cellStyle name="Normal 3" xfId="32" xr:uid="{3FE146C5-F416-442D-85F1-F3BB5D2CF9A4}"/>
    <cellStyle name="Normal 3 2 2 3" xfId="54" xr:uid="{10000D67-246F-4017-B3DB-0539D1124E84}"/>
    <cellStyle name="Normal 30" xfId="24" xr:uid="{00000000-0005-0000-0000-000016000000}"/>
    <cellStyle name="Normal 4" xfId="37" xr:uid="{17A4796D-4BEE-4819-A6FE-F15E68F6D235}"/>
    <cellStyle name="Normal 4 2_Battery" xfId="25" xr:uid="{00000000-0005-0000-0000-000017000000}"/>
    <cellStyle name="Normal 5" xfId="41" xr:uid="{3E503162-AA01-43D1-856D-4620B4D401B0}"/>
    <cellStyle name="Normal 6" xfId="51" xr:uid="{143CA3C7-D99C-4855-804E-197A29398727}"/>
    <cellStyle name="Normal 7" xfId="52" xr:uid="{708CF002-880F-40AE-A7E8-4B0A8760CADA}"/>
    <cellStyle name="Normal 8" xfId="65" xr:uid="{1CB9D4E3-F08E-4421-B8F1-4AD83A9AD0A2}"/>
    <cellStyle name="Normal 9" xfId="66" xr:uid="{A9E0B6D5-13CA-44E1-9C06-B1807C4F408E}"/>
    <cellStyle name="Note" xfId="68" builtinId="10"/>
    <cellStyle name="Offsheet" xfId="11" xr:uid="{00000000-0005-0000-0000-000019000000}"/>
    <cellStyle name="Output" xfId="5" builtinId="21"/>
    <cellStyle name="Percent" xfId="1" builtinId="5"/>
    <cellStyle name="Percent 2" xfId="23" xr:uid="{00000000-0005-0000-0000-00001C000000}"/>
    <cellStyle name="Percent 2 2 5" xfId="64" xr:uid="{E28FD8DA-2BA1-4A3A-B2AD-DA14BA4CFFD3}"/>
    <cellStyle name="Percent 2 2 9" xfId="56" xr:uid="{EBB72466-F5B9-4CD4-AA77-B2C957890665}"/>
    <cellStyle name="Percent 3" xfId="39" xr:uid="{0FAF4ECB-611D-4665-8E64-768756D61DAE}"/>
    <cellStyle name="Percent 3 2 2 2" xfId="59" xr:uid="{2BF103AF-AE3E-403F-86E7-DD4346DF8613}"/>
    <cellStyle name="Percent 4" xfId="33" xr:uid="{85C4FD75-C4B9-4287-B44C-AC03C2565180}"/>
    <cellStyle name="Percent 5" xfId="19" xr:uid="{00000000-0005-0000-0000-00001D000000}"/>
    <cellStyle name="Percent 6" xfId="48" xr:uid="{BCF3049A-07C3-4852-9D0F-9355FF2E0283}"/>
    <cellStyle name="Percent 7" xfId="67" xr:uid="{7CC9CF98-5EAE-44F9-B897-F5684324C3D9}"/>
    <cellStyle name="Ratio" xfId="31" xr:uid="{00000000-0005-0000-0000-00001E000000}"/>
    <cellStyle name="ShortDate" xfId="53" xr:uid="{2CFAC30B-0B9D-4273-B2FF-590948944816}"/>
    <cellStyle name="Table_Heading" xfId="29" xr:uid="{00000000-0005-0000-0000-00001F000000}"/>
    <cellStyle name="TextNormal" xfId="50" xr:uid="{904C8A15-E643-4D7A-B825-1AC5E5AF22AC}"/>
    <cellStyle name="Title" xfId="2" builtinId="15" customBuiltin="1"/>
    <cellStyle name="Unit" xfId="8" xr:uid="{00000000-0005-0000-0000-000021000000}"/>
    <cellStyle name="Warning Text" xfId="14" builtinId="11"/>
    <cellStyle name="一般 3" xfId="34" xr:uid="{ABA3556B-094B-406D-853F-633D03A07C0A}"/>
  </cellStyles>
  <dxfs count="144">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lor rgb="FF9C0006"/>
      </font>
      <fill>
        <patternFill patternType="none">
          <bgColor auto="1"/>
        </patternFill>
      </fill>
    </dxf>
    <dxf>
      <font>
        <color rgb="FF002060"/>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b/>
        <i val="0"/>
        <strike val="0"/>
        <color rgb="FF9C0006"/>
      </font>
      <fill>
        <patternFill patternType="none">
          <bgColor auto="1"/>
        </patternFill>
      </fill>
    </dxf>
    <dxf>
      <font>
        <color rgb="FF002060"/>
      </font>
      <fill>
        <patternFill patternType="none">
          <bgColor auto="1"/>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b val="0"/>
        <i val="0"/>
        <strike val="0"/>
        <condense val="0"/>
        <extend val="0"/>
        <outline val="0"/>
        <shadow val="0"/>
        <u val="none"/>
        <vertAlign val="baseline"/>
        <sz val="8"/>
        <color rgb="FF000000"/>
        <name val="Arial"/>
        <scheme val="none"/>
      </font>
      <numFmt numFmtId="13" formatCode="0%"/>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rgb="FF000000"/>
        <name val="Arial"/>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numFmt numFmtId="166" formatCode="_(* #,##0_);_(* \(#,##0\);_(* &quot;-&quot;??_);_(@_)"/>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border outline="0">
        <bottom style="thin">
          <color rgb="FFAA9C8F"/>
        </bottom>
      </border>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i val="0"/>
        <strike val="0"/>
        <condense val="0"/>
        <extend val="0"/>
        <outline val="0"/>
        <shadow val="0"/>
        <u val="none"/>
        <vertAlign val="baseline"/>
        <sz val="8"/>
        <color rgb="FF000000"/>
        <name val="Arial"/>
        <scheme val="none"/>
      </font>
      <alignment horizontal="left" vertical="top" textRotation="0" wrapText="1" indent="0" justifyLastLine="0" shrinkToFit="0" readingOrder="0"/>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6" formatCode="#,##0_);[Red]\(#,##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outline val="0"/>
        <shadow val="0"/>
        <u val="none"/>
        <vertAlign val="baseline"/>
        <sz val="8"/>
        <color auto="1"/>
        <name val="Arial"/>
        <family val="2"/>
        <scheme val="none"/>
      </font>
      <numFmt numFmtId="167" formatCode="0.0\x"/>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66" formatCode="_(* #,##0_);_(* \(#,##0\);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outline val="0"/>
        <shadow val="0"/>
        <u val="none"/>
        <vertAlign val="baseline"/>
        <sz val="8"/>
        <color auto="1"/>
        <name val="Arial"/>
        <family val="2"/>
        <scheme val="none"/>
      </font>
      <alignment horizontal="right" vertical="center" textRotation="0" wrapText="0" indent="0" justifyLastLine="0" shrinkToFit="0" readingOrder="0"/>
    </dxf>
    <dxf>
      <font>
        <b val="0"/>
        <i val="0"/>
        <strike val="0"/>
        <outline val="0"/>
        <shadow val="0"/>
        <u val="none"/>
        <vertAlign val="baseline"/>
        <sz val="8"/>
        <color auto="1"/>
        <name val="Arial"/>
        <family val="2"/>
        <scheme val="none"/>
      </font>
      <alignment horizontal="right" vertical="center" textRotation="0" indent="0" justifyLastLine="0" shrinkToFit="0" readingOrder="0"/>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ill>
        <patternFill>
          <bgColor theme="0" tint="-4.9989318521683403E-2"/>
        </patternFill>
      </fill>
      <border>
        <bottom style="thin">
          <color auto="1"/>
        </bottom>
      </border>
    </dxf>
  </dxfs>
  <tableStyles count="1" defaultTableStyle="TableStyleMedium2" defaultPivotStyle="PivotStyleLight16">
    <tableStyle name="Mazars" pivot="0" count="1" xr9:uid="{00000000-0011-0000-FFFF-FFFF00000000}">
      <tableStyleElement type="headerRow" dxfId="143"/>
    </tableStyle>
  </tableStyles>
  <colors>
    <mruColors>
      <color rgb="FFFFFFCC"/>
      <color rgb="FFFFFF99"/>
      <color rgb="FF0A1F8F"/>
      <color rgb="FF0000FF"/>
      <color rgb="FF787878"/>
      <color rgb="FF008000"/>
      <color rgb="FF0071CE"/>
      <color rgb="FF990000"/>
      <color rgb="FF6F508D"/>
      <color rgb="FFB9A6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solidFill>
                <a:latin typeface="Arial" panose="020B0604020202020204" pitchFamily="34" charset="0"/>
                <a:ea typeface="+mn-ea"/>
                <a:cs typeface="Arial" panose="020B0604020202020204" pitchFamily="34" charset="0"/>
              </a:defRPr>
            </a:pPr>
            <a:r>
              <a:rPr lang="en-SG" sz="900" b="1">
                <a:solidFill>
                  <a:schemeClr val="tx1"/>
                </a:solidFill>
              </a:rPr>
              <a:t>Comparable transactions</a:t>
            </a:r>
          </a:p>
          <a:p>
            <a:pPr>
              <a:defRPr sz="900">
                <a:solidFill>
                  <a:schemeClr val="tx1"/>
                </a:solidFill>
              </a:defRPr>
            </a:pPr>
            <a:r>
              <a:rPr lang="en-SG" sz="900">
                <a:solidFill>
                  <a:schemeClr val="tx1"/>
                </a:solidFill>
              </a:rPr>
              <a:t>[Industry]</a:t>
            </a:r>
          </a:p>
        </c:rich>
      </c:tx>
      <c:overlay val="0"/>
      <c:spPr>
        <a:solidFill>
          <a:schemeClr val="bg1"/>
        </a:solidFill>
        <a:ln>
          <a:noFill/>
        </a:ln>
        <a:effectLst/>
      </c:spPr>
      <c:txPr>
        <a:bodyPr rot="0" spcFirstLastPara="1" vertOverflow="ellipsis" vert="horz" wrap="square" anchor="ctr" anchorCtr="1"/>
        <a:lstStyle/>
        <a:p>
          <a:pPr>
            <a:defRPr sz="900" b="0"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0"/>
          <c:order val="0"/>
          <c:spPr>
            <a:solidFill>
              <a:srgbClr val="79AFD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'C5'!$C$13:$C$26</c:f>
              <c:strCache>
                <c:ptCount val="14"/>
                <c:pt idx="0">
                  <c:v>(Invalid Transaction Id)</c:v>
                </c:pt>
                <c:pt idx="1">
                  <c:v>(Invalid Transaction Id)</c:v>
                </c:pt>
                <c:pt idx="2">
                  <c:v>(Invalid Transaction Id)</c:v>
                </c:pt>
                <c:pt idx="3">
                  <c:v>(Invalid Transaction Id)</c:v>
                </c:pt>
                <c:pt idx="4">
                  <c:v>(Invalid Transaction Id)</c:v>
                </c:pt>
                <c:pt idx="5">
                  <c:v>(Invalid Transaction Id)</c:v>
                </c:pt>
                <c:pt idx="6">
                  <c:v>(Invalid Transaction Id)</c:v>
                </c:pt>
                <c:pt idx="7">
                  <c:v>(Invalid Transaction Id)</c:v>
                </c:pt>
                <c:pt idx="8">
                  <c:v>(Invalid Transaction Id)</c:v>
                </c:pt>
                <c:pt idx="9">
                  <c:v>(Invalid Transaction Id)</c:v>
                </c:pt>
                <c:pt idx="10">
                  <c:v>(Invalid Transaction Id)</c:v>
                </c:pt>
                <c:pt idx="11">
                  <c:v>(Invalid Transaction Id)</c:v>
                </c:pt>
                <c:pt idx="12">
                  <c:v>(Invalid Transaction Id)</c:v>
                </c:pt>
                <c:pt idx="13">
                  <c:v>(Invalid Transaction Id)</c:v>
                </c:pt>
              </c:strCache>
            </c:strRef>
          </c:cat>
          <c:val>
            <c:numRef>
              <c:f>'C5'!$I$13:$I$26</c:f>
              <c:numCache>
                <c:formatCode>0.0\x;\(0.0\x\);\-;@</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1A57-469D-A484-D9B2E04E1604}"/>
            </c:ext>
          </c:extLst>
        </c:ser>
        <c:dLbls>
          <c:showLegendKey val="0"/>
          <c:showVal val="0"/>
          <c:showCatName val="0"/>
          <c:showSerName val="0"/>
          <c:showPercent val="0"/>
          <c:showBubbleSize val="0"/>
        </c:dLbls>
        <c:gapWidth val="100"/>
        <c:axId val="1150567536"/>
        <c:axId val="1150569832"/>
      </c:barChart>
      <c:catAx>
        <c:axId val="11505675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50569832"/>
        <c:crosses val="autoZero"/>
        <c:auto val="1"/>
        <c:lblAlgn val="ctr"/>
        <c:lblOffset val="100"/>
        <c:noMultiLvlLbl val="0"/>
      </c:catAx>
      <c:valAx>
        <c:axId val="1150569832"/>
        <c:scaling>
          <c:orientation val="minMax"/>
        </c:scaling>
        <c:delete val="1"/>
        <c:axPos val="b"/>
        <c:numFmt formatCode="0.0\x;\(0.0\x\);\-;@" sourceLinked="1"/>
        <c:majorTickMark val="none"/>
        <c:minorTickMark val="none"/>
        <c:tickLblPos val="nextTo"/>
        <c:crossAx val="1150567536"/>
        <c:crosses val="autoZero"/>
        <c:crossBetween val="between"/>
      </c:valAx>
      <c:spPr>
        <a:solidFill>
          <a:schemeClr val="bg1"/>
        </a:solidFill>
        <a:ln>
          <a:solidFill>
            <a:schemeClr val="bg1">
              <a:lumMod val="9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95000"/>
        </a:schemeClr>
      </a:solidFill>
      <a:round/>
    </a:ln>
    <a:effec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SG">
                <a:solidFill>
                  <a:sysClr val="windowText" lastClr="000000"/>
                </a:solidFill>
              </a:rPr>
              <a:t>Cross-check of EV/EBITDA range</a:t>
            </a:r>
          </a:p>
        </c:rich>
      </c:tx>
      <c:overlay val="0"/>
      <c:spPr>
        <a:noFill/>
        <a:ln>
          <a:noFill/>
        </a:ln>
        <a:effectLst/>
      </c:spPr>
      <c:txPr>
        <a:bodyPr rot="0" spcFirstLastPara="1" vertOverflow="ellipsis" vert="horz" wrap="square" anchor="ctr" anchorCtr="1"/>
        <a:lstStyle/>
        <a:p>
          <a:pPr>
            <a:defRPr sz="9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1"/>
          <c:order val="0"/>
          <c:tx>
            <c:strRef>
              <c:f>'C5'!$Q$37</c:f>
              <c:strCache>
                <c:ptCount val="1"/>
                <c:pt idx="0">
                  <c:v>Median</c:v>
                </c:pt>
              </c:strCache>
            </c:strRef>
          </c:tx>
          <c:spPr>
            <a:solidFill>
              <a:srgbClr val="0071CE"/>
            </a:solidFill>
            <a:ln>
              <a:noFill/>
            </a:ln>
            <a:effectLst/>
          </c:spPr>
          <c:invertIfNegative val="0"/>
          <c:dPt>
            <c:idx val="2"/>
            <c:invertIfNegative val="0"/>
            <c:bubble3D val="0"/>
            <c:spPr>
              <a:solidFill>
                <a:srgbClr val="0071CE"/>
              </a:solidFill>
              <a:ln>
                <a:noFill/>
              </a:ln>
              <a:effectLst/>
            </c:spPr>
            <c:extLst>
              <c:ext xmlns:c16="http://schemas.microsoft.com/office/drawing/2014/chart" uri="{C3380CC4-5D6E-409C-BE32-E72D297353CC}">
                <c16:uniqueId val="{00000002-7A0A-42FA-977D-757FE14360CA}"/>
              </c:ext>
            </c:extLst>
          </c:dPt>
          <c:dLbls>
            <c:spPr>
              <a:noFill/>
              <a:ln>
                <a:noFill/>
              </a:ln>
              <a:effectLst/>
            </c:spPr>
            <c:txPr>
              <a:bodyPr rot="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'C5'!$N$38:$N$40</c:f>
              <c:strCache>
                <c:ptCount val="3"/>
                <c:pt idx="0">
                  <c:v>Raw multiples - CoCos</c:v>
                </c:pt>
                <c:pt idx="1">
                  <c:v>Adjusted multiples - CoCos</c:v>
                </c:pt>
                <c:pt idx="2">
                  <c:v>Raw multiples - CoTrans</c:v>
                </c:pt>
              </c:strCache>
            </c:strRef>
          </c:cat>
          <c:val>
            <c:numRef>
              <c:f>'C5'!$Q$38:$Q$40</c:f>
              <c:numCache>
                <c:formatCode>0.0\x</c:formatCode>
                <c:ptCount val="3"/>
                <c:pt idx="0">
                  <c:v>2.1734149999999999</c:v>
                </c:pt>
                <c:pt idx="1">
                  <c:v>0</c:v>
                </c:pt>
                <c:pt idx="2">
                  <c:v>0</c:v>
                </c:pt>
              </c:numCache>
            </c:numRef>
          </c:val>
          <c:extLst>
            <c:ext xmlns:c16="http://schemas.microsoft.com/office/drawing/2014/chart" uri="{C3380CC4-5D6E-409C-BE32-E72D297353CC}">
              <c16:uniqueId val="{00000000-7A0A-42FA-977D-757FE14360CA}"/>
            </c:ext>
          </c:extLst>
        </c:ser>
        <c:ser>
          <c:idx val="0"/>
          <c:order val="1"/>
          <c:tx>
            <c:strRef>
              <c:f>'C5'!$O$37</c:f>
              <c:strCache>
                <c:ptCount val="1"/>
                <c:pt idx="0">
                  <c:v>Min</c:v>
                </c:pt>
              </c:strCache>
            </c:strRef>
          </c:tx>
          <c:spPr>
            <a:solidFill>
              <a:schemeClr val="bg1"/>
            </a:solidFill>
            <a:ln w="12700">
              <a:solidFill>
                <a:schemeClr val="bg1"/>
              </a:solid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'C5'!$N$38:$N$40</c:f>
              <c:strCache>
                <c:ptCount val="3"/>
                <c:pt idx="0">
                  <c:v>Raw multiples - CoCos</c:v>
                </c:pt>
                <c:pt idx="1">
                  <c:v>Adjusted multiples - CoCos</c:v>
                </c:pt>
                <c:pt idx="2">
                  <c:v>Raw multiples - CoTrans</c:v>
                </c:pt>
              </c:strCache>
            </c:strRef>
          </c:cat>
          <c:val>
            <c:numRef>
              <c:f>'C5'!$O$38:$O$40</c:f>
              <c:numCache>
                <c:formatCode>0.0\x</c:formatCode>
                <c:ptCount val="3"/>
                <c:pt idx="0">
                  <c:v>0.62453999999999998</c:v>
                </c:pt>
                <c:pt idx="1">
                  <c:v>0</c:v>
                </c:pt>
                <c:pt idx="2">
                  <c:v>0</c:v>
                </c:pt>
              </c:numCache>
            </c:numRef>
          </c:val>
          <c:extLst>
            <c:ext xmlns:c16="http://schemas.microsoft.com/office/drawing/2014/chart" uri="{C3380CC4-5D6E-409C-BE32-E72D297353CC}">
              <c16:uniqueId val="{00000001-7A0A-42FA-977D-757FE14360CA}"/>
            </c:ext>
          </c:extLst>
        </c:ser>
        <c:dLbls>
          <c:showLegendKey val="0"/>
          <c:showVal val="0"/>
          <c:showCatName val="0"/>
          <c:showSerName val="0"/>
          <c:showPercent val="0"/>
          <c:showBubbleSize val="0"/>
        </c:dLbls>
        <c:gapWidth val="150"/>
        <c:overlap val="100"/>
        <c:axId val="871459504"/>
        <c:axId val="169081008"/>
      </c:barChart>
      <c:catAx>
        <c:axId val="8714595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9081008"/>
        <c:crosses val="autoZero"/>
        <c:auto val="1"/>
        <c:lblAlgn val="ctr"/>
        <c:lblOffset val="100"/>
        <c:noMultiLvlLbl val="0"/>
      </c:catAx>
      <c:valAx>
        <c:axId val="169081008"/>
        <c:scaling>
          <c:orientation val="minMax"/>
        </c:scaling>
        <c:delete val="0"/>
        <c:axPos val="b"/>
        <c:numFmt formatCode="0.0\x"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crossAx val="871459504"/>
        <c:crosses val="autoZero"/>
        <c:crossBetween val="between"/>
      </c:valAx>
      <c:spPr>
        <a:solidFill>
          <a:schemeClr val="bg1"/>
        </a:solidFill>
        <a:ln>
          <a:solidFill>
            <a:schemeClr val="bg1">
              <a:lumMod val="9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95000"/>
        </a:schemeClr>
      </a:solidFill>
      <a:round/>
    </a:ln>
    <a:effectLst/>
  </c:spPr>
  <c:txPr>
    <a:bodyPr/>
    <a:lstStyle/>
    <a:p>
      <a:pPr>
        <a:defRPr sz="800">
          <a:solidFill>
            <a:srgbClr val="787878"/>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Revenue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KPI''s'!$B$4</c:f>
              <c:strCache>
                <c:ptCount val="1"/>
                <c:pt idx="0">
                  <c:v>Historical Revenue</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KPI''s'!$C$4:$M$4</c:f>
              <c:numCache>
                <c:formatCode>_(* #,##0_);_(* \(#,##0\);_(* "-"??_);_(@_)</c:formatCode>
                <c:ptCount val="11"/>
                <c:pt idx="0">
                  <c:v>0</c:v>
                </c:pt>
                <c:pt idx="1">
                  <c:v>0</c:v>
                </c:pt>
                <c:pt idx="2">
                  <c:v>0</c:v>
                </c:pt>
                <c:pt idx="3">
                  <c:v>0</c:v>
                </c:pt>
                <c:pt idx="4">
                  <c:v>0</c:v>
                </c:pt>
                <c:pt idx="5">
                  <c:v>0</c:v>
                </c:pt>
                <c:pt idx="6">
                  <c:v>675000</c:v>
                </c:pt>
                <c:pt idx="7">
                  <c:v>1433000</c:v>
                </c:pt>
                <c:pt idx="8">
                  <c:v>2359000</c:v>
                </c:pt>
                <c:pt idx="9">
                  <c:v>2797000</c:v>
                </c:pt>
                <c:pt idx="10">
                  <c:v>3370000</c:v>
                </c:pt>
              </c:numCache>
            </c:numRef>
          </c:val>
          <c:extLst>
            <c:ext xmlns:c16="http://schemas.microsoft.com/office/drawing/2014/chart" uri="{C3380CC4-5D6E-409C-BE32-E72D297353CC}">
              <c16:uniqueId val="{00000000-6B98-4E3D-B144-907466C47651}"/>
            </c:ext>
          </c:extLst>
        </c:ser>
        <c:ser>
          <c:idx val="1"/>
          <c:order val="1"/>
          <c:tx>
            <c:strRef>
              <c:f>'Charts - Target KPI''s'!$B$5</c:f>
              <c:strCache>
                <c:ptCount val="1"/>
                <c:pt idx="0">
                  <c:v>Forecast Revenue</c:v>
                </c:pt>
              </c:strCache>
            </c:strRef>
          </c:tx>
          <c:spPr>
            <a:solidFill>
              <a:srgbClr val="0A1F8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KPI''s'!$C$5:$X$5</c:f>
              <c:numCache>
                <c:formatCode>_(* #,##0_);_(* \(#,##0\);_(* "-"??_);_(@_)</c:formatCode>
                <c:ptCount val="22"/>
                <c:pt idx="11">
                  <c:v>4077700</c:v>
                </c:pt>
                <c:pt idx="12">
                  <c:v>4852463.0000000009</c:v>
                </c:pt>
                <c:pt idx="13">
                  <c:v>5677381.7100000009</c:v>
                </c:pt>
                <c:pt idx="14">
                  <c:v>6528988.966500001</c:v>
                </c:pt>
                <c:pt idx="15">
                  <c:v>7377757.532145001</c:v>
                </c:pt>
                <c:pt idx="16">
                  <c:v>8115533.2853595009</c:v>
                </c:pt>
                <c:pt idx="17">
                  <c:v>8845931.281041855</c:v>
                </c:pt>
                <c:pt idx="18">
                  <c:v>9642065.0963356234</c:v>
                </c:pt>
                <c:pt idx="19">
                  <c:v>10413430.304042475</c:v>
                </c:pt>
                <c:pt idx="20">
                  <c:v>11142370.425325451</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KPI''s'!$B$6</c:f>
              <c:strCache>
                <c:ptCount val="1"/>
                <c:pt idx="0">
                  <c:v>YoY Growth %</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KPI''s'!$C$6:$X$6</c:f>
              <c:numCache>
                <c:formatCode>0%</c:formatCode>
                <c:ptCount val="22"/>
                <c:pt idx="0">
                  <c:v>0</c:v>
                </c:pt>
                <c:pt idx="1">
                  <c:v>0</c:v>
                </c:pt>
                <c:pt idx="2">
                  <c:v>0</c:v>
                </c:pt>
                <c:pt idx="3">
                  <c:v>0</c:v>
                </c:pt>
                <c:pt idx="4">
                  <c:v>0</c:v>
                </c:pt>
                <c:pt idx="5">
                  <c:v>0</c:v>
                </c:pt>
                <c:pt idx="6">
                  <c:v>0.35699999999999998</c:v>
                </c:pt>
                <c:pt idx="7">
                  <c:v>0.19400000000000001</c:v>
                </c:pt>
                <c:pt idx="8">
                  <c:v>0.124</c:v>
                </c:pt>
                <c:pt idx="9">
                  <c:v>0.11600000000000001</c:v>
                </c:pt>
                <c:pt idx="10">
                  <c:v>0.109</c:v>
                </c:pt>
                <c:pt idx="11">
                  <c:v>0.11</c:v>
                </c:pt>
                <c:pt idx="12">
                  <c:v>0.18</c:v>
                </c:pt>
                <c:pt idx="13">
                  <c:v>0.16</c:v>
                </c:pt>
                <c:pt idx="14">
                  <c:v>0.14000000000000001</c:v>
                </c:pt>
                <c:pt idx="15">
                  <c:v>0.12</c:v>
                </c:pt>
                <c:pt idx="16">
                  <c:v>0.1</c:v>
                </c:pt>
                <c:pt idx="17">
                  <c:v>0.08</c:v>
                </c:pt>
                <c:pt idx="18">
                  <c:v>0.09</c:v>
                </c:pt>
                <c:pt idx="19">
                  <c:v>7.0000000000000007E-2</c:v>
                </c:pt>
                <c:pt idx="20">
                  <c:v>7.0000000000000007E-2</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1.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Gross</a:t>
            </a:r>
            <a:r>
              <a:rPr lang="en-SG" sz="1000" baseline="0"/>
              <a:t> Profit</a:t>
            </a:r>
            <a:r>
              <a:rPr lang="en-SG" sz="1000"/>
              <a:t>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KPI''s'!$B$44</c:f>
              <c:strCache>
                <c:ptCount val="1"/>
                <c:pt idx="0">
                  <c:v>Historical Gross Profit</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KPI''s'!$C$43:$X$43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KPI''s'!$C$44:$M$44</c:f>
              <c:numCache>
                <c:formatCode>_(* #,##0_);_(* \(#,##0\);_(* "-"??_);_(@_)</c:formatCode>
                <c:ptCount val="11"/>
                <c:pt idx="0">
                  <c:v>0</c:v>
                </c:pt>
                <c:pt idx="1">
                  <c:v>0</c:v>
                </c:pt>
                <c:pt idx="2">
                  <c:v>0</c:v>
                </c:pt>
                <c:pt idx="3">
                  <c:v>0</c:v>
                </c:pt>
                <c:pt idx="4">
                  <c:v>0</c:v>
                </c:pt>
                <c:pt idx="5">
                  <c:v>0</c:v>
                </c:pt>
                <c:pt idx="6">
                  <c:v>-395000</c:v>
                </c:pt>
                <c:pt idx="7">
                  <c:v>77000</c:v>
                </c:pt>
                <c:pt idx="8">
                  <c:v>860000</c:v>
                </c:pt>
                <c:pt idx="9">
                  <c:v>1174000</c:v>
                </c:pt>
                <c:pt idx="10">
                  <c:v>1456000</c:v>
                </c:pt>
              </c:numCache>
            </c:numRef>
          </c:val>
          <c:extLst>
            <c:ext xmlns:c16="http://schemas.microsoft.com/office/drawing/2014/chart" uri="{C3380CC4-5D6E-409C-BE32-E72D297353CC}">
              <c16:uniqueId val="{00000000-6B98-4E3D-B144-907466C47651}"/>
            </c:ext>
          </c:extLst>
        </c:ser>
        <c:ser>
          <c:idx val="1"/>
          <c:order val="1"/>
          <c:tx>
            <c:strRef>
              <c:f>'Charts - Target KPI''s'!$B$45</c:f>
              <c:strCache>
                <c:ptCount val="1"/>
                <c:pt idx="0">
                  <c:v>Forecast Gross Profit</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KPI''s'!$C$43:$X$43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KPI''s'!$C$45:$X$45</c:f>
              <c:numCache>
                <c:formatCode>_(* #,##0_);_(* \(#,##0\);_(* "-"??_);_(@_)</c:formatCode>
                <c:ptCount val="22"/>
                <c:pt idx="11">
                  <c:v>1773799.5</c:v>
                </c:pt>
                <c:pt idx="12">
                  <c:v>2135083.7200000002</c:v>
                </c:pt>
                <c:pt idx="13">
                  <c:v>2526434.8609500001</c:v>
                </c:pt>
                <c:pt idx="14">
                  <c:v>2938045.0349250003</c:v>
                </c:pt>
                <c:pt idx="15">
                  <c:v>3356879.677125975</c:v>
                </c:pt>
                <c:pt idx="16">
                  <c:v>3692567.6448385725</c:v>
                </c:pt>
                <c:pt idx="17">
                  <c:v>4069128.3892792528</c:v>
                </c:pt>
                <c:pt idx="18">
                  <c:v>4435349.9443143867</c:v>
                </c:pt>
                <c:pt idx="19">
                  <c:v>4842245.0913797505</c:v>
                </c:pt>
                <c:pt idx="20">
                  <c:v>5181202.2477763342</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KPI''s'!$B$46</c:f>
              <c:strCache>
                <c:ptCount val="1"/>
                <c:pt idx="0">
                  <c:v>Gross Margin</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KPI''s'!$C$46:$X$46</c:f>
              <c:numCache>
                <c:formatCode>0%</c:formatCode>
                <c:ptCount val="22"/>
                <c:pt idx="0">
                  <c:v>0</c:v>
                </c:pt>
                <c:pt idx="1">
                  <c:v>0</c:v>
                </c:pt>
                <c:pt idx="2">
                  <c:v>0</c:v>
                </c:pt>
                <c:pt idx="3">
                  <c:v>0</c:v>
                </c:pt>
                <c:pt idx="4">
                  <c:v>0</c:v>
                </c:pt>
                <c:pt idx="5">
                  <c:v>0</c:v>
                </c:pt>
                <c:pt idx="6">
                  <c:v>0</c:v>
                </c:pt>
                <c:pt idx="7">
                  <c:v>0</c:v>
                </c:pt>
                <c:pt idx="8">
                  <c:v>0</c:v>
                </c:pt>
                <c:pt idx="9">
                  <c:v>0</c:v>
                </c:pt>
                <c:pt idx="10">
                  <c:v>0</c:v>
                </c:pt>
                <c:pt idx="11">
                  <c:v>0.08</c:v>
                </c:pt>
                <c:pt idx="12">
                  <c:v>0.1</c:v>
                </c:pt>
                <c:pt idx="13">
                  <c:v>0.12</c:v>
                </c:pt>
                <c:pt idx="14">
                  <c:v>0.14000000000000001</c:v>
                </c:pt>
                <c:pt idx="15">
                  <c:v>0.15</c:v>
                </c:pt>
                <c:pt idx="16">
                  <c:v>0.16</c:v>
                </c:pt>
                <c:pt idx="17">
                  <c:v>0.17</c:v>
                </c:pt>
                <c:pt idx="18">
                  <c:v>0.18</c:v>
                </c:pt>
                <c:pt idx="19">
                  <c:v>0.19</c:v>
                </c:pt>
                <c:pt idx="20">
                  <c:v>0.2</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1"/>
          <c:min val="1.0000000000000002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EBITDA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KPI''s'!$B$84</c:f>
              <c:strCache>
                <c:ptCount val="1"/>
                <c:pt idx="0">
                  <c:v>Historical EBITDA</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KPI''s'!$C$84:$M$84</c:f>
              <c:numCache>
                <c:formatCode>_(* #,##0_);_(* \(#,##0\);_(* "-"??_);_(@_)</c:formatCode>
                <c:ptCount val="11"/>
                <c:pt idx="0">
                  <c:v>0</c:v>
                </c:pt>
                <c:pt idx="1">
                  <c:v>0</c:v>
                </c:pt>
                <c:pt idx="2">
                  <c:v>0</c:v>
                </c:pt>
                <c:pt idx="3">
                  <c:v>0</c:v>
                </c:pt>
                <c:pt idx="4">
                  <c:v>0</c:v>
                </c:pt>
                <c:pt idx="5">
                  <c:v>0</c:v>
                </c:pt>
                <c:pt idx="6">
                  <c:v>-1166000</c:v>
                </c:pt>
                <c:pt idx="7">
                  <c:v>-629000</c:v>
                </c:pt>
                <c:pt idx="8">
                  <c:v>135000</c:v>
                </c:pt>
                <c:pt idx="9">
                  <c:v>503000</c:v>
                </c:pt>
                <c:pt idx="10">
                  <c:v>876000</c:v>
                </c:pt>
              </c:numCache>
            </c:numRef>
          </c:val>
          <c:extLst>
            <c:ext xmlns:c16="http://schemas.microsoft.com/office/drawing/2014/chart" uri="{C3380CC4-5D6E-409C-BE32-E72D297353CC}">
              <c16:uniqueId val="{00000000-6B98-4E3D-B144-907466C47651}"/>
            </c:ext>
          </c:extLst>
        </c:ser>
        <c:ser>
          <c:idx val="1"/>
          <c:order val="1"/>
          <c:tx>
            <c:strRef>
              <c:f>'Charts - Target KPI''s'!$B$85</c:f>
              <c:strCache>
                <c:ptCount val="1"/>
                <c:pt idx="0">
                  <c:v>Forecast EBITDA</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KPI''s'!$C$85:$X$85</c:f>
              <c:numCache>
                <c:formatCode>_(* #,##0_);_(* \(#,##0\);_(* "-"??_);_(@_)</c:formatCode>
                <c:ptCount val="22"/>
                <c:pt idx="11">
                  <c:v>526023.29999999993</c:v>
                </c:pt>
                <c:pt idx="12">
                  <c:v>727869.44999999984</c:v>
                </c:pt>
                <c:pt idx="13">
                  <c:v>965154.89069999999</c:v>
                </c:pt>
                <c:pt idx="14">
                  <c:v>1220920.9367354999</c:v>
                </c:pt>
                <c:pt idx="15">
                  <c:v>1505062.5365575799</c:v>
                </c:pt>
                <c:pt idx="16">
                  <c:v>1712377.523210854</c:v>
                </c:pt>
                <c:pt idx="17">
                  <c:v>1972642.6756723332</c:v>
                </c:pt>
                <c:pt idx="18">
                  <c:v>2217674.9721571933</c:v>
                </c:pt>
                <c:pt idx="19">
                  <c:v>2530463.5638823211</c:v>
                </c:pt>
                <c:pt idx="20">
                  <c:v>2807877.3471820131</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KPI''s'!$B$86</c:f>
              <c:strCache>
                <c:ptCount val="1"/>
                <c:pt idx="0">
                  <c:v>EBITDA Margin</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KPI''s'!$C$86:$X$86</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5"/>
          <c:min val="1.0000000000000002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&amp;</a:t>
            </a:r>
            <a:r>
              <a:rPr lang="en-SG" sz="1000" baseline="0"/>
              <a:t> Forecast Net Working Capital </a:t>
            </a:r>
            <a:r>
              <a:rPr lang="en-SG" sz="1000"/>
              <a:t>(</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KPI''s'!$B$126</c:f>
              <c:strCache>
                <c:ptCount val="1"/>
                <c:pt idx="0">
                  <c:v>Historical NWC</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KPI''s'!$C$126:$M$126</c:f>
              <c:numCache>
                <c:formatCode>_(* #,##0_);_(* \(#,##0\);_(* "-"??_);_(@_)</c:formatCode>
                <c:ptCount val="11"/>
                <c:pt idx="0">
                  <c:v>0</c:v>
                </c:pt>
                <c:pt idx="1">
                  <c:v>0</c:v>
                </c:pt>
                <c:pt idx="2">
                  <c:v>0</c:v>
                </c:pt>
                <c:pt idx="3">
                  <c:v>0</c:v>
                </c:pt>
                <c:pt idx="4">
                  <c:v>0</c:v>
                </c:pt>
                <c:pt idx="5">
                  <c:v>0</c:v>
                </c:pt>
                <c:pt idx="6">
                  <c:v>4838000</c:v>
                </c:pt>
                <c:pt idx="7">
                  <c:v>1952000</c:v>
                </c:pt>
                <c:pt idx="8">
                  <c:v>3138000</c:v>
                </c:pt>
                <c:pt idx="9">
                  <c:v>2964000</c:v>
                </c:pt>
                <c:pt idx="10">
                  <c:v>3433000</c:v>
                </c:pt>
              </c:numCache>
            </c:numRef>
          </c:val>
          <c:extLst>
            <c:ext xmlns:c16="http://schemas.microsoft.com/office/drawing/2014/chart" uri="{C3380CC4-5D6E-409C-BE32-E72D297353CC}">
              <c16:uniqueId val="{00000000-6B98-4E3D-B144-907466C47651}"/>
            </c:ext>
          </c:extLst>
        </c:ser>
        <c:ser>
          <c:idx val="1"/>
          <c:order val="1"/>
          <c:tx>
            <c:strRef>
              <c:f>'Charts - Target KPI''s'!$B$127</c:f>
              <c:strCache>
                <c:ptCount val="1"/>
                <c:pt idx="0">
                  <c:v>Forecast NWC</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KPI''s'!$C$127:$X$127</c:f>
              <c:numCache>
                <c:formatCode>_(* #,##0_);_(* \(#,##0\);_(* "-"??_);_(@_)</c:formatCode>
                <c:ptCount val="22"/>
                <c:pt idx="11">
                  <c:v>3433000</c:v>
                </c:pt>
                <c:pt idx="12">
                  <c:v>3433000</c:v>
                </c:pt>
                <c:pt idx="13">
                  <c:v>3433000</c:v>
                </c:pt>
                <c:pt idx="14">
                  <c:v>3433000</c:v>
                </c:pt>
                <c:pt idx="15">
                  <c:v>3433000</c:v>
                </c:pt>
                <c:pt idx="16">
                  <c:v>3433000</c:v>
                </c:pt>
                <c:pt idx="17">
                  <c:v>3433000</c:v>
                </c:pt>
                <c:pt idx="18">
                  <c:v>3433000</c:v>
                </c:pt>
                <c:pt idx="19">
                  <c:v>3433000</c:v>
                </c:pt>
                <c:pt idx="20">
                  <c:v>3433000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KPI''s'!$B$128</c:f>
              <c:strCache>
                <c:ptCount val="1"/>
                <c:pt idx="0">
                  <c:v>NWC / Sales</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KPI''s'!$C$128:$X$128</c:f>
              <c:numCache>
                <c:formatCode>0%</c:formatCode>
                <c:ptCount val="22"/>
                <c:pt idx="0">
                  <c:v>0</c:v>
                </c:pt>
                <c:pt idx="1">
                  <c:v>0</c:v>
                </c:pt>
                <c:pt idx="2">
                  <c:v>0</c:v>
                </c:pt>
                <c:pt idx="3">
                  <c:v>0</c:v>
                </c:pt>
                <c:pt idx="4">
                  <c:v>0</c:v>
                </c:pt>
                <c:pt idx="5">
                  <c:v>0</c:v>
                </c:pt>
                <c:pt idx="6">
                  <c:v>0</c:v>
                </c:pt>
                <c:pt idx="7">
                  <c:v>0</c:v>
                </c:pt>
                <c:pt idx="8">
                  <c:v>0</c:v>
                </c:pt>
                <c:pt idx="9">
                  <c:v>0</c:v>
                </c:pt>
                <c:pt idx="10">
                  <c:v>0</c:v>
                </c:pt>
                <c:pt idx="11">
                  <c:v>0.84189616695686298</c:v>
                </c:pt>
                <c:pt idx="12">
                  <c:v>0.70747577055198552</c:v>
                </c:pt>
                <c:pt idx="13">
                  <c:v>0.60468014577092777</c:v>
                </c:pt>
                <c:pt idx="14">
                  <c:v>0.52580882240950244</c:v>
                </c:pt>
                <c:pt idx="15">
                  <c:v>0.46531754195531194</c:v>
                </c:pt>
                <c:pt idx="16">
                  <c:v>0.42301594723210173</c:v>
                </c:pt>
                <c:pt idx="17">
                  <c:v>0.38808802498357964</c:v>
                </c:pt>
                <c:pt idx="18">
                  <c:v>0.35604405961796293</c:v>
                </c:pt>
                <c:pt idx="19">
                  <c:v>0.32967042557218784</c:v>
                </c:pt>
                <c:pt idx="20">
                  <c:v>0.30810320146933434</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8"/>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CAPEX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KPI''s'!$B$168</c:f>
              <c:strCache>
                <c:ptCount val="1"/>
                <c:pt idx="0">
                  <c:v>Historical Capex</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KPI''s'!$C$167:$X$167</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KPI''s'!$C$168:$M$168</c:f>
              <c:numCache>
                <c:formatCode>_(* #,##0_);_(* \(#,##0\);_(* "-"??_);_(@_)</c:formatCode>
                <c:ptCount val="11"/>
                <c:pt idx="0">
                  <c:v>0</c:v>
                </c:pt>
                <c:pt idx="1">
                  <c:v>0</c:v>
                </c:pt>
                <c:pt idx="2">
                  <c:v>0</c:v>
                </c:pt>
                <c:pt idx="3">
                  <c:v>0</c:v>
                </c:pt>
                <c:pt idx="4">
                  <c:v>0</c:v>
                </c:pt>
                <c:pt idx="5">
                  <c:v>0</c:v>
                </c:pt>
                <c:pt idx="6">
                  <c:v>433000</c:v>
                </c:pt>
                <c:pt idx="7">
                  <c:v>358000</c:v>
                </c:pt>
                <c:pt idx="8">
                  <c:v>572000</c:v>
                </c:pt>
                <c:pt idx="9">
                  <c:v>1367000</c:v>
                </c:pt>
                <c:pt idx="10">
                  <c:v>1586000</c:v>
                </c:pt>
              </c:numCache>
            </c:numRef>
          </c:val>
          <c:extLst>
            <c:ext xmlns:c16="http://schemas.microsoft.com/office/drawing/2014/chart" uri="{C3380CC4-5D6E-409C-BE32-E72D297353CC}">
              <c16:uniqueId val="{00000000-6B98-4E3D-B144-907466C47651}"/>
            </c:ext>
          </c:extLst>
        </c:ser>
        <c:ser>
          <c:idx val="1"/>
          <c:order val="1"/>
          <c:tx>
            <c:strRef>
              <c:f>'Charts - Target KPI''s'!$B$169</c:f>
              <c:strCache>
                <c:ptCount val="1"/>
                <c:pt idx="0">
                  <c:v>Forecast Capex</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KPI''s'!$C$167:$X$167</c:f>
              <c:strCache>
                <c:ptCount val="22"/>
                <c:pt idx="0">
                  <c:v>#REF!</c:v>
                </c:pt>
                <c:pt idx="1">
                  <c:v>#REF!</c:v>
                </c:pt>
                <c:pt idx="2">
                  <c:v>#REF!</c:v>
                </c:pt>
                <c:pt idx="3">
                  <c:v>#REF!</c:v>
                </c:pt>
                <c:pt idx="4">
                  <c:v>#REF!</c:v>
                </c:pt>
                <c:pt idx="5">
                  <c:v>#REF!</c:v>
                </c:pt>
                <c:pt idx="6">
                  <c:v>FY21</c:v>
                </c:pt>
                <c:pt idx="7">
                  <c:v>FY22</c:v>
                </c:pt>
                <c:pt idx="8">
                  <c:v>FY23</c:v>
                </c:pt>
                <c:pt idx="9">
                  <c:v>FY24</c:v>
                </c:pt>
                <c:pt idx="10">
                  <c:v>FY25</c:v>
                </c:pt>
                <c:pt idx="11">
                  <c:v>FY26F</c:v>
                </c:pt>
                <c:pt idx="12">
                  <c:v>FY27F</c:v>
                </c:pt>
                <c:pt idx="13">
                  <c:v>FY28F</c:v>
                </c:pt>
                <c:pt idx="14">
                  <c:v>FY29F</c:v>
                </c:pt>
                <c:pt idx="15">
                  <c:v>FY30F</c:v>
                </c:pt>
                <c:pt idx="16">
                  <c:v>FY31F</c:v>
                </c:pt>
                <c:pt idx="17">
                  <c:v>FY32F</c:v>
                </c:pt>
                <c:pt idx="18">
                  <c:v>FY33F</c:v>
                </c:pt>
                <c:pt idx="19">
                  <c:v>FY34F</c:v>
                </c:pt>
                <c:pt idx="20">
                  <c:v>FY35F</c:v>
                </c:pt>
                <c:pt idx="21">
                  <c:v>#REF!</c:v>
                </c:pt>
              </c:strCache>
            </c:strRef>
          </c:cat>
          <c:val>
            <c:numRef>
              <c:f>'Charts - Target KPI''s'!$C$169:$X$169</c:f>
              <c:numCache>
                <c:formatCode>_(* #,##0_);_(* \(#,##0\);_(* "-"??_);_(@_)</c:formatCode>
                <c:ptCount val="22"/>
                <c:pt idx="11">
                  <c:v>353700.44520547963</c:v>
                </c:pt>
                <c:pt idx="12">
                  <c:v>330919.87831506901</c:v>
                </c:pt>
                <c:pt idx="13">
                  <c:v>348596.95359424688</c:v>
                </c:pt>
                <c:pt idx="14">
                  <c:v>349683.93854229432</c:v>
                </c:pt>
                <c:pt idx="15">
                  <c:v>316727.51543926587</c:v>
                </c:pt>
                <c:pt idx="16">
                  <c:v>239069.66359300027</c:v>
                </c:pt>
                <c:pt idx="17">
                  <c:v>251544.84518882632</c:v>
                </c:pt>
                <c:pt idx="18">
                  <c:v>341975.22092522029</c:v>
                </c:pt>
                <c:pt idx="19">
                  <c:v>288659.65402925666</c:v>
                </c:pt>
                <c:pt idx="20">
                  <c:v>282533.48211629782</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KPI''s'!$B$170</c:f>
              <c:strCache>
                <c:ptCount val="1"/>
                <c:pt idx="0">
                  <c:v>Capex / Sales</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KPI''s'!$C$170:$X$170</c:f>
              <c:numCache>
                <c:formatCode>0%</c:formatCode>
                <c:ptCount val="22"/>
                <c:pt idx="0">
                  <c:v>0</c:v>
                </c:pt>
                <c:pt idx="1">
                  <c:v>0</c:v>
                </c:pt>
                <c:pt idx="2">
                  <c:v>0</c:v>
                </c:pt>
                <c:pt idx="3">
                  <c:v>0</c:v>
                </c:pt>
                <c:pt idx="4">
                  <c:v>0</c:v>
                </c:pt>
                <c:pt idx="5">
                  <c:v>0</c:v>
                </c:pt>
                <c:pt idx="6">
                  <c:v>0.64148148148148143</c:v>
                </c:pt>
                <c:pt idx="7">
                  <c:v>0.24982554082344732</c:v>
                </c:pt>
                <c:pt idx="8">
                  <c:v>0.24247562526494276</c:v>
                </c:pt>
                <c:pt idx="9">
                  <c:v>0.48873793350017875</c:v>
                </c:pt>
                <c:pt idx="10">
                  <c:v>0.47062314540059347</c:v>
                </c:pt>
                <c:pt idx="11">
                  <c:v>8.6740183241896071E-2</c:v>
                </c:pt>
                <c:pt idx="12">
                  <c:v>6.8196270288937585E-2</c:v>
                </c:pt>
                <c:pt idx="13">
                  <c:v>6.1401006907856263E-2</c:v>
                </c:pt>
                <c:pt idx="14">
                  <c:v>5.355866587254314E-2</c:v>
                </c:pt>
                <c:pt idx="15">
                  <c:v>4.2930052127530524E-2</c:v>
                </c:pt>
                <c:pt idx="16">
                  <c:v>2.9458281444582849E-2</c:v>
                </c:pt>
                <c:pt idx="17">
                  <c:v>2.8436219680784126E-2</c:v>
                </c:pt>
                <c:pt idx="18">
                  <c:v>3.5467010179716041E-2</c:v>
                </c:pt>
                <c:pt idx="19">
                  <c:v>2.7719939117199402E-2</c:v>
                </c:pt>
                <c:pt idx="20">
                  <c:v>2.5356676481884728E-2</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8"/>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b="1" i="0" u="none" strike="noStrike" kern="1200" spc="0" baseline="0">
                <a:solidFill>
                  <a:schemeClr val="tx1"/>
                </a:solidFill>
              </a:rPr>
              <a:t>Size Analysis</a:t>
            </a:r>
          </a:p>
          <a:p>
            <a:pPr>
              <a:defRPr sz="900"/>
            </a:pPr>
            <a:r>
              <a:rPr lang="en-US" sz="900" b="0" i="0" u="none" strike="noStrike" kern="1200" spc="0" baseline="0">
                <a:solidFill>
                  <a:sysClr val="windowText" lastClr="000000">
                    <a:lumMod val="65000"/>
                    <a:lumOff val="35000"/>
                  </a:sysClr>
                </a:solidFill>
              </a:rPr>
              <a:t>Market Cap </a:t>
            </a:r>
            <a:r>
              <a:rPr lang="en-US" sz="900" b="0" i="0" u="none" strike="noStrike" kern="1200" spc="0" baseline="0">
                <a:solidFill>
                  <a:srgbClr val="FF0000"/>
                </a:solidFill>
              </a:rPr>
              <a:t>(Currency + Unit)</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9548468448969401"/>
          <c:y val="0.12134910367007598"/>
          <c:w val="0.66264048389550501"/>
          <c:h val="0.80275202886969121"/>
        </c:manualLayout>
      </c:layout>
      <c:barChart>
        <c:barDir val="bar"/>
        <c:grouping val="clustered"/>
        <c:varyColors val="0"/>
        <c:ser>
          <c:idx val="0"/>
          <c:order val="0"/>
          <c:tx>
            <c:strRef>
              <c:f>'Charts - Peer Analysis'!$D$6</c:f>
              <c:strCache>
                <c:ptCount val="1"/>
                <c:pt idx="0">
                  <c:v>Market Cap</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6BAB-43BC-BCCE-2530DBD18B4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Analysis'!$B$7:$B$17</c:f>
              <c:strCache>
                <c:ptCount val="11"/>
                <c:pt idx="0">
                  <c:v>Grab Holdings</c:v>
                </c:pt>
                <c:pt idx="1">
                  <c:v>Pt Goto Gojek Tokopedia Tbk</c:v>
                </c:pt>
                <c:pt idx="2">
                  <c:v>Talabat Holding Plc</c:v>
                </c:pt>
                <c:pt idx="3">
                  <c:v>Lyft, Inc.</c:v>
                </c:pt>
                <c:pt idx="4">
                  <c:v>Delivery Hero Se</c:v>
                </c:pt>
                <c:pt idx="5">
                  <c:v>Grab Holdings Limited</c:v>
                </c:pt>
                <c:pt idx="6">
                  <c:v>Didi Global Inc.</c:v>
                </c:pt>
                <c:pt idx="7">
                  <c:v>Sea Limited</c:v>
                </c:pt>
                <c:pt idx="8">
                  <c:v>Meituan</c:v>
                </c:pt>
                <c:pt idx="9">
                  <c:v>Doordash, Inc.</c:v>
                </c:pt>
                <c:pt idx="10">
                  <c:v>Uber Technologies, Inc.</c:v>
                </c:pt>
              </c:strCache>
            </c:strRef>
          </c:cat>
          <c:val>
            <c:numRef>
              <c:f>'Charts - Peer Analysis'!$D$7:$D$17</c:f>
              <c:numCache>
                <c:formatCode>_(* #,##0_);_(* \(#,##0\);_(* "-"??_);_(@_)</c:formatCode>
                <c:ptCount val="11"/>
                <c:pt idx="0">
                  <c:v>15424.531416916907</c:v>
                </c:pt>
                <c:pt idx="1">
                  <c:v>5215.9345800000001</c:v>
                </c:pt>
                <c:pt idx="2">
                  <c:v>7665.4665500000001</c:v>
                </c:pt>
                <c:pt idx="3">
                  <c:v>9949.6004200000007</c:v>
                </c:pt>
                <c:pt idx="4">
                  <c:v>10232.01735</c:v>
                </c:pt>
                <c:pt idx="5">
                  <c:v>26231.541829999998</c:v>
                </c:pt>
                <c:pt idx="6">
                  <c:v>31622.724630000001</c:v>
                </c:pt>
                <c:pt idx="7">
                  <c:v>97141.212629999995</c:v>
                </c:pt>
                <c:pt idx="8">
                  <c:v>104268.16804999999</c:v>
                </c:pt>
                <c:pt idx="9">
                  <c:v>125552.18322000001</c:v>
                </c:pt>
                <c:pt idx="10">
                  <c:v>218375.51256999999</c:v>
                </c:pt>
              </c:numCache>
            </c:numRef>
          </c:val>
          <c:extLst>
            <c:ext xmlns:c16="http://schemas.microsoft.com/office/drawing/2014/chart" uri="{C3380CC4-5D6E-409C-BE32-E72D297353CC}">
              <c16:uniqueId val="{00000002-6BAB-43BC-BCCE-2530DBD18B4E}"/>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_(* #,##0_);_(* \(#,##0\);_(* &quot;-&quot;??_);_(@_)"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Profitability Analysis</a:t>
            </a:r>
          </a:p>
          <a:p>
            <a:pPr>
              <a:defRPr sz="1000"/>
            </a:pPr>
            <a:r>
              <a:rPr lang="en-US" sz="1000" b="0" i="0" u="none" strike="noStrike" kern="1200" spc="0" baseline="0">
                <a:solidFill>
                  <a:sysClr val="windowText" lastClr="000000">
                    <a:lumMod val="65000"/>
                    <a:lumOff val="35000"/>
                  </a:sysClr>
                </a:solidFill>
              </a:rPr>
              <a:t>EBITDA Margin %</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3911570036241546E-2"/>
          <c:y val="0.11045816767947524"/>
          <c:w val="0.94507878969823111"/>
          <c:h val="0.82772348950446162"/>
        </c:manualLayout>
      </c:layout>
      <c:barChart>
        <c:barDir val="bar"/>
        <c:grouping val="clustered"/>
        <c:varyColors val="0"/>
        <c:ser>
          <c:idx val="0"/>
          <c:order val="0"/>
          <c:tx>
            <c:strRef>
              <c:f>'Charts - Peer Analysis'!$J$6</c:f>
              <c:strCache>
                <c:ptCount val="1"/>
                <c:pt idx="0">
                  <c:v>EBIT margin</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81B3-4FC9-9A82-83508E398C3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Analysis'!$H$7:$H$17</c:f>
              <c:strCache>
                <c:ptCount val="11"/>
                <c:pt idx="0">
                  <c:v>Grab Holdings</c:v>
                </c:pt>
                <c:pt idx="1">
                  <c:v>Meituan</c:v>
                </c:pt>
                <c:pt idx="2">
                  <c:v>Lyft, Inc.</c:v>
                </c:pt>
                <c:pt idx="3">
                  <c:v>Pt Goto Gojek Tokopedia Tbk</c:v>
                </c:pt>
                <c:pt idx="4">
                  <c:v>Didi Global Inc.</c:v>
                </c:pt>
                <c:pt idx="5">
                  <c:v>Delivery Hero Se</c:v>
                </c:pt>
                <c:pt idx="6">
                  <c:v>Grab Holdings Limited</c:v>
                </c:pt>
                <c:pt idx="7">
                  <c:v>Doordash, Inc.</c:v>
                </c:pt>
                <c:pt idx="8">
                  <c:v>Sea Limited</c:v>
                </c:pt>
                <c:pt idx="9">
                  <c:v>Uber Technologies, Inc.</c:v>
                </c:pt>
                <c:pt idx="10">
                  <c:v>Talabat Holding Plc</c:v>
                </c:pt>
              </c:strCache>
            </c:strRef>
          </c:cat>
          <c:val>
            <c:numRef>
              <c:f>'Charts - Peer Analysis'!$J$7:$J$17</c:f>
              <c:numCache>
                <c:formatCode>0%</c:formatCode>
                <c:ptCount val="11"/>
                <c:pt idx="0">
                  <c:v>0</c:v>
                </c:pt>
                <c:pt idx="1">
                  <c:v>-8.5064000000000001E-2</c:v>
                </c:pt>
                <c:pt idx="2">
                  <c:v>-2.6672999999999999E-2</c:v>
                </c:pt>
                <c:pt idx="3">
                  <c:v>-2.0643999999999999E-2</c:v>
                </c:pt>
                <c:pt idx="4">
                  <c:v>-1.6008999999999999E-2</c:v>
                </c:pt>
                <c:pt idx="5">
                  <c:v>6.6639999999999998E-3</c:v>
                </c:pt>
                <c:pt idx="6">
                  <c:v>2.3737999999999999E-2</c:v>
                </c:pt>
                <c:pt idx="7">
                  <c:v>6.1310000000000003E-2</c:v>
                </c:pt>
                <c:pt idx="8">
                  <c:v>8.6549000000000001E-2</c:v>
                </c:pt>
                <c:pt idx="9">
                  <c:v>0.106984</c:v>
                </c:pt>
                <c:pt idx="10">
                  <c:v>0.14419599999999999</c:v>
                </c:pt>
              </c:numCache>
            </c:numRef>
          </c:val>
          <c:extLst>
            <c:ext xmlns:c16="http://schemas.microsoft.com/office/drawing/2014/chart" uri="{C3380CC4-5D6E-409C-BE32-E72D297353CC}">
              <c16:uniqueId val="{00000002-81B3-4FC9-9A82-83508E398C32}"/>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Growth Analysis</a:t>
            </a:r>
          </a:p>
          <a:p>
            <a:pPr>
              <a:defRPr sz="1000"/>
            </a:pPr>
            <a:r>
              <a:rPr lang="en-US" sz="1000" b="0" i="0" u="none" strike="noStrike" kern="1200" spc="0" baseline="0">
                <a:solidFill>
                  <a:sysClr val="windowText" lastClr="000000">
                    <a:lumMod val="65000"/>
                    <a:lumOff val="35000"/>
                  </a:sysClr>
                </a:solidFill>
              </a:rPr>
              <a:t>3-Year Sales CAGR %</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3911570036241546E-2"/>
          <c:y val="0.11305038084509932"/>
          <c:w val="0.93938827739529873"/>
          <c:h val="0.82513133780102155"/>
        </c:manualLayout>
      </c:layout>
      <c:barChart>
        <c:barDir val="bar"/>
        <c:grouping val="clustered"/>
        <c:varyColors val="0"/>
        <c:ser>
          <c:idx val="0"/>
          <c:order val="0"/>
          <c:tx>
            <c:strRef>
              <c:f>'Charts - Peer Analysis'!$O$6</c:f>
              <c:strCache>
                <c:ptCount val="1"/>
                <c:pt idx="0">
                  <c:v>3-Year Sales CAGR</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74F5-4F98-B2EF-C3CDA97DBC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Analysis'!$M$7:$M$17</c:f>
              <c:strCache>
                <c:ptCount val="11"/>
                <c:pt idx="0">
                  <c:v>Grab Holdings</c:v>
                </c:pt>
                <c:pt idx="1">
                  <c:v>Talabat Holding Plc</c:v>
                </c:pt>
                <c:pt idx="2">
                  <c:v>Didi Global Inc.</c:v>
                </c:pt>
                <c:pt idx="3">
                  <c:v>Meituan</c:v>
                </c:pt>
                <c:pt idx="4">
                  <c:v>Sea Limited</c:v>
                </c:pt>
                <c:pt idx="5">
                  <c:v>Lyft, Inc.</c:v>
                </c:pt>
                <c:pt idx="6">
                  <c:v>Delivery Hero Se</c:v>
                </c:pt>
                <c:pt idx="7">
                  <c:v>Doordash, Inc.</c:v>
                </c:pt>
                <c:pt idx="8">
                  <c:v>Uber Technologies, Inc.</c:v>
                </c:pt>
                <c:pt idx="9">
                  <c:v>Pt Goto Gojek Tokopedia Tbk</c:v>
                </c:pt>
                <c:pt idx="10">
                  <c:v>Grab Holdings Limited</c:v>
                </c:pt>
              </c:strCache>
            </c:strRef>
          </c:cat>
          <c:val>
            <c:numRef>
              <c:f>'Charts - Peer Analysis'!$O$7:$O$17</c:f>
              <c:numCache>
                <c:formatCode>0%</c:formatCode>
                <c:ptCount val="11"/>
                <c:pt idx="0">
                  <c:v>0.11600000000000001</c:v>
                </c:pt>
                <c:pt idx="1">
                  <c:v>0</c:v>
                </c:pt>
                <c:pt idx="2">
                  <c:v>1.5793969166853383E-2</c:v>
                </c:pt>
                <c:pt idx="3">
                  <c:v>0.18414581328815327</c:v>
                </c:pt>
                <c:pt idx="4">
                  <c:v>0.19589412882933632</c:v>
                </c:pt>
                <c:pt idx="5">
                  <c:v>0.22218117363548462</c:v>
                </c:pt>
                <c:pt idx="6">
                  <c:v>0.2460980637762229</c:v>
                </c:pt>
                <c:pt idx="7">
                  <c:v>0.30461772934889697</c:v>
                </c:pt>
                <c:pt idx="8">
                  <c:v>0.36628179471097311</c:v>
                </c:pt>
                <c:pt idx="9">
                  <c:v>0.46425966802624963</c:v>
                </c:pt>
                <c:pt idx="10">
                  <c:v>0.61274104387880657</c:v>
                </c:pt>
              </c:numCache>
            </c:numRef>
          </c:val>
          <c:extLst>
            <c:ext xmlns:c16="http://schemas.microsoft.com/office/drawing/2014/chart" uri="{C3380CC4-5D6E-409C-BE32-E72D297353CC}">
              <c16:uniqueId val="{00000002-74F5-4F98-B2EF-C3CDA97DBC8B}"/>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Valuation Analysis</a:t>
            </a:r>
          </a:p>
          <a:p>
            <a:pPr>
              <a:defRPr sz="1000"/>
            </a:pPr>
            <a:r>
              <a:rPr lang="en-US" sz="1000" b="0" i="0" u="none" strike="noStrike" kern="1200" spc="0" baseline="0">
                <a:solidFill>
                  <a:sysClr val="windowText" lastClr="000000">
                    <a:lumMod val="65000"/>
                    <a:lumOff val="35000"/>
                  </a:sysClr>
                </a:solidFill>
              </a:rPr>
              <a:t>EV/EBITDA multiples</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4809594431774204"/>
          <c:y val="9.4065020475240846E-2"/>
          <c:w val="0.72520391988242938"/>
          <c:h val="0.84411659476164691"/>
        </c:manualLayout>
      </c:layout>
      <c:barChart>
        <c:barDir val="bar"/>
        <c:grouping val="clustered"/>
        <c:varyColors val="0"/>
        <c:ser>
          <c:idx val="0"/>
          <c:order val="0"/>
          <c:tx>
            <c:strRef>
              <c:f>'Charts - Peer Analysis'!$U$6</c:f>
              <c:strCache>
                <c:ptCount val="1"/>
                <c:pt idx="0">
                  <c:v>Selected Multiple</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500B-444D-9BB9-5266E77DDEE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Analysis'!$S$7:$S$17</c:f>
              <c:strCache>
                <c:ptCount val="11"/>
                <c:pt idx="0">
                  <c:v>Grab Holdings</c:v>
                </c:pt>
                <c:pt idx="1">
                  <c:v>Didi Global Inc.</c:v>
                </c:pt>
                <c:pt idx="2">
                  <c:v>Delivery Hero Se</c:v>
                </c:pt>
                <c:pt idx="3">
                  <c:v>Lyft, Inc.</c:v>
                </c:pt>
                <c:pt idx="4">
                  <c:v>Meituan</c:v>
                </c:pt>
                <c:pt idx="5">
                  <c:v>Talabat Holding Plc</c:v>
                </c:pt>
                <c:pt idx="6">
                  <c:v>Pt Goto Gojek Tokopedia Tbk</c:v>
                </c:pt>
                <c:pt idx="7">
                  <c:v>Sea Limited</c:v>
                </c:pt>
                <c:pt idx="8">
                  <c:v>Uber Technologies, Inc.</c:v>
                </c:pt>
                <c:pt idx="9">
                  <c:v>Grab Holdings Limited</c:v>
                </c:pt>
                <c:pt idx="10">
                  <c:v>Doordash, Inc.</c:v>
                </c:pt>
              </c:strCache>
            </c:strRef>
          </c:cat>
          <c:val>
            <c:numRef>
              <c:f>'Charts - Peer Analysis'!$U$7:$U$17</c:f>
              <c:numCache>
                <c:formatCode>0.0\ "x"</c:formatCode>
                <c:ptCount val="11"/>
                <c:pt idx="0">
                  <c:v>0</c:v>
                </c:pt>
                <c:pt idx="1">
                  <c:v>0.62453999999999998</c:v>
                </c:pt>
                <c:pt idx="2">
                  <c:v>0.65244999999999997</c:v>
                </c:pt>
                <c:pt idx="3">
                  <c:v>1.1255999999999999</c:v>
                </c:pt>
                <c:pt idx="4">
                  <c:v>1.34459</c:v>
                </c:pt>
                <c:pt idx="5">
                  <c:v>1.4474199999999999</c:v>
                </c:pt>
                <c:pt idx="6">
                  <c:v>2.89941</c:v>
                </c:pt>
                <c:pt idx="7">
                  <c:v>3.3262200000000002</c:v>
                </c:pt>
                <c:pt idx="8">
                  <c:v>3.4129700000000001</c:v>
                </c:pt>
                <c:pt idx="9">
                  <c:v>4.7903099999999998</c:v>
                </c:pt>
                <c:pt idx="10">
                  <c:v>7.5813600000000001</c:v>
                </c:pt>
              </c:numCache>
            </c:numRef>
          </c:val>
          <c:extLst>
            <c:ext xmlns:c16="http://schemas.microsoft.com/office/drawing/2014/chart" uri="{C3380CC4-5D6E-409C-BE32-E72D297353CC}">
              <c16:uniqueId val="{00000002-500B-444D-9BB9-5266E77DDEE8}"/>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0\ &quot;x&quot;"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900" b="0" i="0" u="none" strike="noStrike" kern="1200" spc="0" baseline="0">
                <a:solidFill>
                  <a:srgbClr val="787878"/>
                </a:solidFill>
                <a:latin typeface="Arial" panose="020B0604020202020204" pitchFamily="34" charset="0"/>
                <a:ea typeface="+mn-ea"/>
                <a:cs typeface="Arial" panose="020B0604020202020204" pitchFamily="34" charset="0"/>
              </a:defRPr>
            </a:pPr>
            <a:r>
              <a:rPr lang="en-SG" sz="900" b="1" i="0" baseline="0">
                <a:solidFill>
                  <a:srgbClr val="787878"/>
                </a:solidFill>
                <a:effectLst/>
              </a:rPr>
              <a:t>Small Capitalisation Premium</a:t>
            </a:r>
            <a:endParaRPr lang="en-SG" sz="900">
              <a:solidFill>
                <a:srgbClr val="787878"/>
              </a:solidFill>
              <a:effectLst/>
            </a:endParaRPr>
          </a:p>
          <a:p>
            <a:pPr algn="l">
              <a:defRPr sz="900">
                <a:solidFill>
                  <a:srgbClr val="787878"/>
                </a:solidFill>
              </a:defRPr>
            </a:pPr>
            <a:r>
              <a:rPr lang="en-SG" sz="900" b="0" i="0" baseline="0">
                <a:solidFill>
                  <a:srgbClr val="787878"/>
                </a:solidFill>
                <a:effectLst/>
              </a:rPr>
              <a:t>Long term returns in excess of theoretical equity return premium </a:t>
            </a:r>
            <a:endParaRPr lang="en-SG" sz="900">
              <a:solidFill>
                <a:srgbClr val="787878"/>
              </a:solidFill>
              <a:effectLst/>
            </a:endParaRPr>
          </a:p>
        </c:rich>
      </c:tx>
      <c:overlay val="0"/>
      <c:spPr>
        <a:noFill/>
        <a:ln>
          <a:noFill/>
        </a:ln>
        <a:effectLst/>
      </c:spPr>
      <c:txPr>
        <a:bodyPr rot="0" spcFirstLastPara="1" vertOverflow="ellipsis" vert="horz" wrap="square" anchor="ctr" anchorCtr="1"/>
        <a:lstStyle/>
        <a:p>
          <a:pPr algn="l">
            <a:defRPr sz="900" b="0" i="0" u="none" strike="noStrike" kern="1200" spc="0" baseline="0">
              <a:solidFill>
                <a:srgbClr val="787878"/>
              </a:solidFill>
              <a:latin typeface="Arial" panose="020B0604020202020204" pitchFamily="34" charset="0"/>
              <a:ea typeface="+mn-ea"/>
              <a:cs typeface="Arial" panose="020B0604020202020204" pitchFamily="34" charset="0"/>
            </a:defRPr>
          </a:pPr>
          <a:endParaRPr lang="en-SG"/>
        </a:p>
      </c:txPr>
    </c:title>
    <c:autoTitleDeleted val="0"/>
    <c:plotArea>
      <c:layout/>
      <c:barChart>
        <c:barDir val="bar"/>
        <c:grouping val="clustered"/>
        <c:varyColors val="0"/>
        <c:ser>
          <c:idx val="0"/>
          <c:order val="0"/>
          <c:spPr>
            <a:solidFill>
              <a:srgbClr val="0071CE"/>
            </a:solidFill>
            <a:ln>
              <a:noFill/>
            </a:ln>
            <a:effectLst/>
          </c:spPr>
          <c:invertIfNegative val="0"/>
          <c:dPt>
            <c:idx val="9"/>
            <c:invertIfNegative val="0"/>
            <c:bubble3D val="0"/>
            <c:spPr>
              <a:solidFill>
                <a:srgbClr val="0A1F8F"/>
              </a:solidFill>
              <a:ln>
                <a:noFill/>
              </a:ln>
              <a:effectLst/>
            </c:spPr>
            <c:extLst>
              <c:ext xmlns:c16="http://schemas.microsoft.com/office/drawing/2014/chart" uri="{C3380CC4-5D6E-409C-BE32-E72D297353CC}">
                <c16:uniqueId val="{00000001-88A5-4C7A-902B-A630B7C5087A}"/>
              </c:ext>
            </c:extLst>
          </c:dPt>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'Size Premium'!$N$25:$N$34</c:f>
              <c:strCache>
                <c:ptCount val="10"/>
                <c:pt idx="0">
                  <c:v>1 - Largest</c:v>
                </c:pt>
                <c:pt idx="1">
                  <c:v>2</c:v>
                </c:pt>
                <c:pt idx="2">
                  <c:v>3</c:v>
                </c:pt>
                <c:pt idx="3">
                  <c:v>4</c:v>
                </c:pt>
                <c:pt idx="4">
                  <c:v>5</c:v>
                </c:pt>
                <c:pt idx="5">
                  <c:v>6</c:v>
                </c:pt>
                <c:pt idx="6">
                  <c:v>7</c:v>
                </c:pt>
                <c:pt idx="7">
                  <c:v>8</c:v>
                </c:pt>
                <c:pt idx="8">
                  <c:v>9</c:v>
                </c:pt>
                <c:pt idx="9">
                  <c:v>10 - Smallest</c:v>
                </c:pt>
              </c:strCache>
            </c:strRef>
          </c:cat>
          <c:val>
            <c:numRef>
              <c:f>'Size Premium'!$Q$25:$Q$34</c:f>
              <c:numCache>
                <c:formatCode>0.00%</c:formatCode>
                <c:ptCount val="10"/>
                <c:pt idx="0">
                  <c:v>-2.8E-3</c:v>
                </c:pt>
                <c:pt idx="1">
                  <c:v>5.0000000000000001E-3</c:v>
                </c:pt>
                <c:pt idx="2">
                  <c:v>7.3000000000000001E-3</c:v>
                </c:pt>
                <c:pt idx="3">
                  <c:v>7.9000000000000008E-3</c:v>
                </c:pt>
                <c:pt idx="4">
                  <c:v>1.0999999999999999E-2</c:v>
                </c:pt>
                <c:pt idx="5">
                  <c:v>1.34E-2</c:v>
                </c:pt>
                <c:pt idx="6">
                  <c:v>1.47E-2</c:v>
                </c:pt>
                <c:pt idx="7">
                  <c:v>1.5900000000000001E-2</c:v>
                </c:pt>
                <c:pt idx="8">
                  <c:v>2.2200000000000001E-2</c:v>
                </c:pt>
                <c:pt idx="9">
                  <c:v>4.99E-2</c:v>
                </c:pt>
              </c:numCache>
            </c:numRef>
          </c:val>
          <c:extLst>
            <c:ext xmlns:c16="http://schemas.microsoft.com/office/drawing/2014/chart" uri="{C3380CC4-5D6E-409C-BE32-E72D297353CC}">
              <c16:uniqueId val="{00000003-88A5-4C7A-902B-A630B7C5087A}"/>
            </c:ext>
          </c:extLst>
        </c:ser>
        <c:dLbls>
          <c:showLegendKey val="0"/>
          <c:showVal val="0"/>
          <c:showCatName val="0"/>
          <c:showSerName val="0"/>
          <c:showPercent val="0"/>
          <c:showBubbleSize val="0"/>
        </c:dLbls>
        <c:gapWidth val="70"/>
        <c:axId val="444607104"/>
        <c:axId val="444612992"/>
      </c:barChart>
      <c:catAx>
        <c:axId val="4446071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crossAx val="444612992"/>
        <c:crossesAt val="-2.0000000000000011E-2"/>
        <c:auto val="1"/>
        <c:lblAlgn val="ctr"/>
        <c:lblOffset val="100"/>
        <c:noMultiLvlLbl val="0"/>
      </c:catAx>
      <c:valAx>
        <c:axId val="444612992"/>
        <c:scaling>
          <c:orientation val="minMax"/>
          <c:min val="-1.5000000000000003E-2"/>
        </c:scaling>
        <c:delete val="1"/>
        <c:axPos val="t"/>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crossAx val="444607104"/>
        <c:crosses val="autoZero"/>
        <c:crossBetween val="between"/>
      </c:valAx>
      <c:spPr>
        <a:solidFill>
          <a:schemeClr val="bg1"/>
        </a:solidFill>
        <a:ln>
          <a:solidFill>
            <a:schemeClr val="bg1">
              <a:lumMod val="8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85000"/>
        </a:schemeClr>
      </a:solid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8</xdr:col>
      <xdr:colOff>45719</xdr:colOff>
      <xdr:row>0</xdr:row>
      <xdr:rowOff>0</xdr:rowOff>
    </xdr:from>
    <xdr:to>
      <xdr:col>8</xdr:col>
      <xdr:colOff>45719</xdr:colOff>
      <xdr:row>1</xdr:row>
      <xdr:rowOff>58420</xdr:rowOff>
    </xdr:to>
    <xdr:pic>
      <xdr:nvPicPr>
        <xdr:cNvPr id="2" name="Image 6" descr="logo.jpg">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srcRect t="20742" r="17020" b="17030"/>
        <a:stretch/>
      </xdr:blipFill>
      <xdr:spPr>
        <a:xfrm>
          <a:off x="3771899" y="68580"/>
          <a:ext cx="1874521" cy="386080"/>
        </a:xfrm>
        <a:prstGeom prst="rect">
          <a:avLst/>
        </a:prstGeom>
      </xdr:spPr>
    </xdr:pic>
    <xdr:clientData/>
  </xdr:twoCellAnchor>
  <xdr:twoCellAnchor editAs="oneCell">
    <xdr:from>
      <xdr:col>8</xdr:col>
      <xdr:colOff>61646</xdr:colOff>
      <xdr:row>0</xdr:row>
      <xdr:rowOff>49695</xdr:rowOff>
    </xdr:from>
    <xdr:to>
      <xdr:col>12</xdr:col>
      <xdr:colOff>442153</xdr:colOff>
      <xdr:row>4</xdr:row>
      <xdr:rowOff>91108</xdr:rowOff>
    </xdr:to>
    <xdr:pic>
      <xdr:nvPicPr>
        <xdr:cNvPr id="5" name="Picture 4">
          <a:extLst>
            <a:ext uri="{FF2B5EF4-FFF2-40B4-BE49-F238E27FC236}">
              <a16:creationId xmlns:a16="http://schemas.microsoft.com/office/drawing/2014/main" id="{6890C458-3CB9-45D1-A04D-174A74F4E23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448" b="32303"/>
        <a:stretch/>
      </xdr:blipFill>
      <xdr:spPr>
        <a:xfrm>
          <a:off x="5428776" y="49695"/>
          <a:ext cx="2467725" cy="10187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5926</xdr:colOff>
      <xdr:row>0</xdr:row>
      <xdr:rowOff>319191</xdr:rowOff>
    </xdr:from>
    <xdr:ext cx="6271260" cy="88832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630766" y="319191"/>
          <a:ext cx="6271260" cy="8883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rgbClr val="000000"/>
              </a:solidFill>
              <a:effectLst/>
              <a:latin typeface="Arial" panose="020B0604020202020204" pitchFamily="34" charset="0"/>
              <a:cs typeface="Arial" panose="020B0604020202020204" pitchFamily="34" charset="0"/>
            </a:rPr>
            <a:t>Note:</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1. Delete entire columns highlighted in </a:t>
          </a:r>
          <a:r>
            <a:rPr lang="en-SG" sz="900" b="1" i="1" u="none" strike="noStrike">
              <a:solidFill>
                <a:srgbClr val="FF0000"/>
              </a:solidFill>
              <a:effectLst/>
              <a:latin typeface="Arial" panose="020B0604020202020204" pitchFamily="34" charset="0"/>
              <a:cs typeface="Arial" panose="020B0604020202020204" pitchFamily="34" charset="0"/>
            </a:rPr>
            <a:t>RED</a:t>
          </a:r>
          <a:r>
            <a:rPr lang="en-SG" sz="900" b="1" i="1" u="none" strike="noStrike">
              <a:solidFill>
                <a:sysClr val="windowText" lastClr="000000"/>
              </a:solidFill>
              <a:effectLst/>
              <a:latin typeface="Arial" panose="020B0604020202020204" pitchFamily="34" charset="0"/>
              <a:cs typeface="Arial" panose="020B0604020202020204" pitchFamily="34" charset="0"/>
            </a:rPr>
            <a:t>.</a:t>
          </a:r>
          <a:endParaRPr lang="en-SG" sz="900" b="1">
            <a:solidFill>
              <a:srgbClr val="FF0000"/>
            </a:solidFill>
            <a:latin typeface="Arial" panose="020B0604020202020204" pitchFamily="34" charset="0"/>
            <a:cs typeface="Arial" panose="020B0604020202020204" pitchFamily="34" charset="0"/>
          </a:endParaRPr>
        </a:p>
        <a:p>
          <a:r>
            <a:rPr lang="en-SG" sz="900" b="0" i="1" u="none" strike="noStrike">
              <a:solidFill>
                <a:srgbClr val="000000"/>
              </a:solidFill>
              <a:effectLst/>
              <a:latin typeface="Arial" panose="020B0604020202020204" pitchFamily="34" charset="0"/>
              <a:cs typeface="Arial" panose="020B0604020202020204" pitchFamily="34" charset="0"/>
            </a:rPr>
            <a:t>2. DO NOT HARD CODE</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3. Link to source tabs [add a client dat</a:t>
          </a:r>
          <a:r>
            <a:rPr lang="en-SG" sz="900" b="0" i="1" u="none" strike="noStrike" baseline="0">
              <a:solidFill>
                <a:srgbClr val="000000"/>
              </a:solidFill>
              <a:effectLst/>
              <a:latin typeface="Arial" panose="020B0604020202020204" pitchFamily="34" charset="0"/>
              <a:cs typeface="Arial" panose="020B0604020202020204" pitchFamily="34" charset="0"/>
            </a:rPr>
            <a:t>a section]</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4. Check if </a:t>
          </a:r>
          <a:r>
            <a:rPr lang="en-SG" sz="900" b="1" i="1" u="sng" strike="noStrike">
              <a:solidFill>
                <a:srgbClr val="000000"/>
              </a:solidFill>
              <a:effectLst/>
              <a:latin typeface="Arial" panose="020B0604020202020204" pitchFamily="34" charset="0"/>
              <a:cs typeface="Arial" panose="020B0604020202020204" pitchFamily="34" charset="0"/>
            </a:rPr>
            <a:t>display unit </a:t>
          </a:r>
          <a:r>
            <a:rPr lang="en-SG" sz="900" b="0" i="1" u="none" strike="noStrike">
              <a:solidFill>
                <a:srgbClr val="000000"/>
              </a:solidFill>
              <a:effectLst/>
              <a:latin typeface="Arial" panose="020B0604020202020204" pitchFamily="34" charset="0"/>
              <a:cs typeface="Arial" panose="020B0604020202020204" pitchFamily="34" charset="0"/>
            </a:rPr>
            <a:t>is correct. If not, all links to be divided by by "units".</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5. Insert or add rows if necessary. Change</a:t>
          </a:r>
          <a:r>
            <a:rPr lang="en-SG" sz="900" b="0" i="1" u="none" strike="noStrike" baseline="0">
              <a:solidFill>
                <a:srgbClr val="000000"/>
              </a:solidFill>
              <a:effectLst/>
              <a:latin typeface="Arial" panose="020B0604020202020204" pitchFamily="34" charset="0"/>
              <a:cs typeface="Arial" panose="020B0604020202020204" pitchFamily="34" charset="0"/>
            </a:rPr>
            <a:t> line item names where necessary.</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22860</xdr:colOff>
      <xdr:row>0</xdr:row>
      <xdr:rowOff>335280</xdr:rowOff>
    </xdr:from>
    <xdr:ext cx="6438900" cy="88832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48377" y="335280"/>
          <a:ext cx="6438900" cy="8883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ysClr val="windowText" lastClr="000000"/>
              </a:solidFill>
              <a:effectLst/>
              <a:latin typeface="Arial" panose="020B0604020202020204" pitchFamily="34" charset="0"/>
              <a:cs typeface="Arial" panose="020B0604020202020204" pitchFamily="34" charset="0"/>
            </a:rPr>
            <a:t>Note:</a:t>
          </a:r>
          <a:r>
            <a:rPr lang="en-SG" sz="900">
              <a:solidFill>
                <a:sysClr val="windowText" lastClr="000000"/>
              </a:solidFill>
              <a:latin typeface="Arial" panose="020B0604020202020204" pitchFamily="34" charset="0"/>
              <a:cs typeface="Arial" panose="020B0604020202020204" pitchFamily="34" charset="0"/>
            </a:rPr>
            <a:t> </a:t>
          </a:r>
        </a:p>
        <a:p>
          <a:r>
            <a:rPr lang="en-SG" sz="900" b="0" i="1" u="none" strike="noStrike">
              <a:solidFill>
                <a:sysClr val="windowText" lastClr="000000"/>
              </a:solidFill>
              <a:effectLst/>
              <a:latin typeface="Arial" panose="020B0604020202020204" pitchFamily="34" charset="0"/>
              <a:cs typeface="Arial" panose="020B0604020202020204" pitchFamily="34" charset="0"/>
            </a:rPr>
            <a:t>1. Delete entire columns highlighted in </a:t>
          </a:r>
          <a:r>
            <a:rPr lang="en-SG" sz="900" b="1" i="1" u="none" strike="noStrike">
              <a:solidFill>
                <a:srgbClr val="C00000"/>
              </a:solidFill>
              <a:effectLst/>
              <a:latin typeface="Arial" panose="020B0604020202020204" pitchFamily="34" charset="0"/>
              <a:cs typeface="Arial" panose="020B0604020202020204" pitchFamily="34" charset="0"/>
            </a:rPr>
            <a:t>RED</a:t>
          </a:r>
          <a:endParaRPr lang="en-SG" sz="900" b="1">
            <a:solidFill>
              <a:srgbClr val="C00000"/>
            </a:solidFill>
            <a:latin typeface="Arial" panose="020B0604020202020204" pitchFamily="34" charset="0"/>
            <a:cs typeface="Arial" panose="020B0604020202020204" pitchFamily="34" charset="0"/>
          </a:endParaRPr>
        </a:p>
        <a:p>
          <a:r>
            <a:rPr lang="en-SG" sz="900" b="0" i="1" u="none" strike="noStrike">
              <a:solidFill>
                <a:sysClr val="windowText" lastClr="000000"/>
              </a:solidFill>
              <a:effectLst/>
              <a:latin typeface="Arial" panose="020B0604020202020204" pitchFamily="34" charset="0"/>
              <a:cs typeface="Arial" panose="020B0604020202020204" pitchFamily="34" charset="0"/>
            </a:rPr>
            <a:t>2. DO NOT HARD CODE</a:t>
          </a:r>
          <a:r>
            <a:rPr lang="en-SG" sz="900">
              <a:solidFill>
                <a:sysClr val="windowText" lastClr="000000"/>
              </a:solidFill>
              <a:latin typeface="Arial" panose="020B0604020202020204" pitchFamily="34" charset="0"/>
              <a:cs typeface="Arial" panose="020B0604020202020204" pitchFamily="34" charset="0"/>
            </a:rPr>
            <a:t> </a:t>
          </a:r>
        </a:p>
        <a:p>
          <a:r>
            <a:rPr lang="en-SG" sz="900" b="0" i="1" u="none" strike="noStrike">
              <a:solidFill>
                <a:sysClr val="windowText" lastClr="000000"/>
              </a:solidFill>
              <a:effectLst/>
              <a:latin typeface="Arial" panose="020B0604020202020204" pitchFamily="34" charset="0"/>
              <a:cs typeface="Arial" panose="020B0604020202020204" pitchFamily="34" charset="0"/>
            </a:rPr>
            <a:t>3. Link to source tabs from Management forecast</a:t>
          </a:r>
        </a:p>
        <a:p>
          <a:r>
            <a:rPr lang="en-SG" sz="900" b="0" i="1" u="none" strike="noStrike">
              <a:solidFill>
                <a:sysClr val="windowText" lastClr="000000"/>
              </a:solidFill>
              <a:effectLst/>
              <a:latin typeface="Arial" panose="020B0604020202020204" pitchFamily="34" charset="0"/>
              <a:cs typeface="Arial" panose="020B0604020202020204" pitchFamily="34" charset="0"/>
            </a:rPr>
            <a:t>4. </a:t>
          </a:r>
          <a:r>
            <a:rPr lang="en-SG" sz="900" b="1" i="1" u="none" strike="noStrike">
              <a:solidFill>
                <a:sysClr val="windowText" lastClr="000000"/>
              </a:solidFill>
              <a:effectLst/>
              <a:latin typeface="Arial" panose="020B0604020202020204" pitchFamily="34" charset="0"/>
              <a:cs typeface="Arial" panose="020B0604020202020204" pitchFamily="34" charset="0"/>
            </a:rPr>
            <a:t>The first column should</a:t>
          </a:r>
          <a:r>
            <a:rPr lang="en-SG" sz="900" b="1" i="1" u="none" strike="noStrike" baseline="0">
              <a:solidFill>
                <a:sysClr val="windowText" lastClr="000000"/>
              </a:solidFill>
              <a:effectLst/>
              <a:latin typeface="Arial" panose="020B0604020202020204" pitchFamily="34" charset="0"/>
              <a:cs typeface="Arial" panose="020B0604020202020204" pitchFamily="34" charset="0"/>
            </a:rPr>
            <a:t> always be linked to </a:t>
          </a:r>
          <a:r>
            <a:rPr lang="en-SG" sz="900" b="1" i="1" u="none" strike="noStrike" baseline="0">
              <a:solidFill>
                <a:srgbClr val="C00000"/>
              </a:solidFill>
              <a:effectLst/>
              <a:latin typeface="Arial" panose="020B0604020202020204" pitchFamily="34" charset="0"/>
              <a:cs typeface="Arial" panose="020B0604020202020204" pitchFamily="34" charset="0"/>
            </a:rPr>
            <a:t>FULL YEAR </a:t>
          </a:r>
          <a:r>
            <a:rPr lang="en-SG" sz="900" b="1" i="1" u="none" strike="noStrike" baseline="0">
              <a:solidFill>
                <a:sysClr val="windowText" lastClr="000000"/>
              </a:solidFill>
              <a:effectLst/>
              <a:latin typeface="Arial" panose="020B0604020202020204" pitchFamily="34" charset="0"/>
              <a:cs typeface="Arial" panose="020B0604020202020204" pitchFamily="34" charset="0"/>
            </a:rPr>
            <a:t>forecast, regardless of no of months till FY. </a:t>
          </a:r>
          <a:endParaRPr lang="en-SG" sz="900" b="1">
            <a:solidFill>
              <a:sysClr val="windowText" lastClr="000000"/>
            </a:solidFill>
            <a:latin typeface="Arial" panose="020B0604020202020204" pitchFamily="34" charset="0"/>
            <a:cs typeface="Arial" panose="020B0604020202020204" pitchFamily="34" charset="0"/>
          </a:endParaRPr>
        </a:p>
        <a:p>
          <a:r>
            <a:rPr lang="en-SG" sz="900" b="0" i="1" u="none" strike="noStrike">
              <a:solidFill>
                <a:sysClr val="windowText" lastClr="000000"/>
              </a:solidFill>
              <a:effectLst/>
              <a:latin typeface="Arial" panose="020B0604020202020204" pitchFamily="34" charset="0"/>
              <a:cs typeface="Arial" panose="020B0604020202020204" pitchFamily="34" charset="0"/>
            </a:rPr>
            <a:t>5. Check if </a:t>
          </a:r>
          <a:r>
            <a:rPr lang="en-SG" sz="900" b="1" i="1" u="sng" strike="noStrike">
              <a:solidFill>
                <a:sysClr val="windowText" lastClr="000000"/>
              </a:solidFill>
              <a:effectLst/>
              <a:latin typeface="Arial" panose="020B0604020202020204" pitchFamily="34" charset="0"/>
              <a:cs typeface="Arial" panose="020B0604020202020204" pitchFamily="34" charset="0"/>
            </a:rPr>
            <a:t>display unit</a:t>
          </a:r>
          <a:r>
            <a:rPr lang="en-SG" sz="900" b="1" i="1" u="none" strike="noStrike">
              <a:solidFill>
                <a:sysClr val="windowText" lastClr="000000"/>
              </a:solidFill>
              <a:effectLst/>
              <a:latin typeface="Arial" panose="020B0604020202020204" pitchFamily="34" charset="0"/>
              <a:cs typeface="Arial" panose="020B0604020202020204" pitchFamily="34" charset="0"/>
            </a:rPr>
            <a:t> </a:t>
          </a:r>
          <a:r>
            <a:rPr lang="en-SG" sz="900" b="0" i="1" u="none" strike="noStrike">
              <a:solidFill>
                <a:sysClr val="windowText" lastClr="000000"/>
              </a:solidFill>
              <a:effectLst/>
              <a:latin typeface="Arial" panose="020B0604020202020204" pitchFamily="34" charset="0"/>
              <a:cs typeface="Arial" panose="020B0604020202020204" pitchFamily="34" charset="0"/>
            </a:rPr>
            <a:t>is correct. If not, all links to be divided by by "units".</a:t>
          </a:r>
          <a:r>
            <a:rPr lang="en-SG" sz="900">
              <a:solidFill>
                <a:sysClr val="windowText" lastClr="000000"/>
              </a:solidFill>
              <a:latin typeface="Arial" panose="020B0604020202020204" pitchFamily="34" charset="0"/>
              <a:cs typeface="Arial" panose="020B0604020202020204" pitchFamily="34" charset="0"/>
            </a:rPr>
            <a:t>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216647</xdr:colOff>
      <xdr:row>1</xdr:row>
      <xdr:rowOff>29882</xdr:rowOff>
    </xdr:from>
    <xdr:ext cx="3189941" cy="806824"/>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786529" y="381000"/>
          <a:ext cx="3189941" cy="80682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Enter info for the Subject Company in row 11</a:t>
          </a:r>
          <a:endParaRPr lang="en-SG" sz="900"/>
        </a:p>
        <a:p>
          <a:r>
            <a:rPr lang="en-SG" sz="900" b="0" i="1" u="none" strike="noStrike">
              <a:solidFill>
                <a:srgbClr val="000000"/>
              </a:solidFill>
              <a:effectLst/>
              <a:latin typeface="Arial" panose="020B0604020202020204" pitchFamily="34" charset="0"/>
            </a:rPr>
            <a:t>2. Enter the CIQ tickers for the Comps in Column C. </a:t>
          </a:r>
        </a:p>
        <a:p>
          <a:r>
            <a:rPr lang="en-SG" sz="900" b="0" i="1" u="none" strike="noStrike">
              <a:solidFill>
                <a:srgbClr val="000000"/>
              </a:solidFill>
              <a:effectLst/>
              <a:latin typeface="Arial" panose="020B0604020202020204" pitchFamily="34" charset="0"/>
            </a:rPr>
            <a:t>3. DO</a:t>
          </a:r>
          <a:r>
            <a:rPr lang="en-SG" sz="900" b="0" i="1" u="none" strike="noStrike" baseline="0">
              <a:solidFill>
                <a:srgbClr val="000000"/>
              </a:solidFill>
              <a:effectLst/>
              <a:latin typeface="Arial" panose="020B0604020202020204" pitchFamily="34" charset="0"/>
            </a:rPr>
            <a:t> NOT DELETE UNUSED ROWS. HIDE INSTEAD</a:t>
          </a:r>
          <a:endParaRPr lang="en-SG" sz="900"/>
        </a:p>
        <a:p>
          <a:r>
            <a:rPr lang="en-SG" sz="900" b="0" i="0" u="none" strike="noStrike" baseline="0">
              <a:solidFill>
                <a:schemeClr val="tx1"/>
              </a:solidFill>
              <a:effectLst/>
              <a:latin typeface="+mn-lt"/>
            </a:rPr>
            <a:t> </a:t>
          </a:r>
          <a:endParaRPr lang="en-SG" sz="900">
            <a:latin typeface="Arial" panose="020B0604020202020204" pitchFamily="34" charset="0"/>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335280</xdr:rowOff>
    </xdr:from>
    <xdr:ext cx="4983480" cy="631198"/>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487680" y="335280"/>
          <a:ext cx="4983480" cy="631198"/>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Check the</a:t>
          </a:r>
          <a:r>
            <a:rPr lang="en-SG" sz="900" b="0" i="1" u="none" strike="noStrike" baseline="0">
              <a:solidFill>
                <a:srgbClr val="000000"/>
              </a:solidFill>
              <a:effectLst/>
              <a:latin typeface="Arial" panose="020B0604020202020204" pitchFamily="34" charset="0"/>
            </a:rPr>
            <a:t> number of Comps. Insert or delete rows as needed</a:t>
          </a:r>
        </a:p>
        <a:p>
          <a:r>
            <a:rPr lang="en-SG" sz="900" b="0" i="1" u="none" strike="noStrike" baseline="0">
              <a:solidFill>
                <a:srgbClr val="000000"/>
              </a:solidFill>
              <a:effectLst/>
              <a:latin typeface="Arial" panose="020B0604020202020204" pitchFamily="34" charset="0"/>
              <a:cs typeface="Arial" panose="020B0604020202020204" pitchFamily="34" charset="0"/>
            </a:rPr>
            <a:t>2. Paste value for columns highlighted in </a:t>
          </a:r>
          <a:r>
            <a:rPr lang="en-SG" sz="900" b="1" i="1" u="none" strike="noStrike" baseline="0">
              <a:solidFill>
                <a:schemeClr val="accent4"/>
              </a:solidFill>
              <a:effectLst/>
              <a:latin typeface="Arial" panose="020B0604020202020204" pitchFamily="34" charset="0"/>
              <a:cs typeface="Arial" panose="020B0604020202020204" pitchFamily="34" charset="0"/>
            </a:rPr>
            <a:t>ORANGE</a:t>
          </a:r>
        </a:p>
        <a:p>
          <a:r>
            <a:rPr lang="en-SG" sz="900" b="0" i="1" u="none" strike="noStrike" baseline="0">
              <a:solidFill>
                <a:srgbClr val="000000"/>
              </a:solidFill>
              <a:effectLst/>
              <a:latin typeface="Arial" panose="020B0604020202020204" pitchFamily="34" charset="0"/>
              <a:ea typeface="+mn-ea"/>
              <a:cs typeface="Arial" panose="020B0604020202020204" pitchFamily="34" charset="0"/>
            </a:rPr>
            <a:t>3. Make sure row index in column A is correct after deleting</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7620</xdr:colOff>
      <xdr:row>1</xdr:row>
      <xdr:rowOff>91440</xdr:rowOff>
    </xdr:from>
    <xdr:ext cx="5829300" cy="998220"/>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495300" y="441960"/>
          <a:ext cx="5829300" cy="9982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DELETE contents of columns with DELETE headings</a:t>
          </a:r>
        </a:p>
        <a:p>
          <a:r>
            <a:rPr lang="en-SG" sz="900" b="0" i="1" u="none" strike="noStrike">
              <a:solidFill>
                <a:srgbClr val="000000"/>
              </a:solidFill>
              <a:effectLst/>
              <a:latin typeface="Arial" panose="020B0604020202020204" pitchFamily="34" charset="0"/>
            </a:rPr>
            <a:t>2. This model caters for 10 years of historical data and 30 years of forecast</a:t>
          </a:r>
          <a:endParaRPr lang="en-SG" sz="900"/>
        </a:p>
        <a:p>
          <a:r>
            <a:rPr lang="en-SG" sz="900" b="0" i="1" u="none" strike="noStrike">
              <a:solidFill>
                <a:srgbClr val="000000"/>
              </a:solidFill>
              <a:effectLst/>
              <a:latin typeface="Arial" panose="020B0604020202020204" pitchFamily="34" charset="0"/>
            </a:rPr>
            <a:t>3. For mode than 10 years of historical or 30 years of forecast data, please manually insert more columns below</a:t>
          </a:r>
          <a:endParaRPr lang="en-SG" sz="900">
            <a:latin typeface="Arial" panose="020B0604020202020204" pitchFamily="34" charset="0"/>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15240</xdr:colOff>
      <xdr:row>1</xdr:row>
      <xdr:rowOff>30480</xdr:rowOff>
    </xdr:from>
    <xdr:ext cx="5829300" cy="632460"/>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502920" y="381000"/>
          <a:ext cx="5829300" cy="63246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a:t>
          </a:r>
          <a:r>
            <a:rPr lang="en-SG" sz="900" b="0" i="1" u="none" strike="noStrike" baseline="0">
              <a:solidFill>
                <a:srgbClr val="000000"/>
              </a:solidFill>
              <a:effectLst/>
              <a:latin typeface="Arial" panose="020B0604020202020204" pitchFamily="34" charset="0"/>
              <a:cs typeface="Arial" panose="020B0604020202020204" pitchFamily="34" charset="0"/>
            </a:rPr>
            <a:t>Check linkage of each input into WACC computation. Make sure the information is up to date.</a:t>
          </a:r>
        </a:p>
        <a:p>
          <a:r>
            <a:rPr lang="en-SG" sz="900" b="0" i="1" u="none" strike="noStrike" baseline="0">
              <a:solidFill>
                <a:srgbClr val="000000"/>
              </a:solidFill>
              <a:effectLst/>
              <a:latin typeface="Arial" panose="020B0604020202020204" pitchFamily="34" charset="0"/>
              <a:cs typeface="Arial" panose="020B0604020202020204" pitchFamily="34" charset="0"/>
            </a:rPr>
            <a:t>2. Enter alpha tab O1. Alpha depends on the assumptions for each case.</a:t>
          </a:r>
          <a:endParaRPr lang="en-SG" sz="900">
            <a:latin typeface="Arial" panose="020B0604020202020204" pitchFamily="34" charset="0"/>
            <a:cs typeface="Arial" panose="020B0604020202020204"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22860</xdr:colOff>
      <xdr:row>1</xdr:row>
      <xdr:rowOff>0</xdr:rowOff>
    </xdr:from>
    <xdr:ext cx="5829300" cy="876300"/>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525780" y="350520"/>
          <a:ext cx="5829300" cy="87630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a:t>
          </a:r>
          <a:r>
            <a:rPr lang="en-SG" sz="900" b="0" i="1" u="none" strike="noStrike" baseline="0">
              <a:solidFill>
                <a:srgbClr val="000000"/>
              </a:solidFill>
              <a:effectLst/>
              <a:latin typeface="Arial" panose="020B0604020202020204" pitchFamily="34" charset="0"/>
            </a:rPr>
            <a:t>DELETE contents of columns highlighted in RED.</a:t>
          </a:r>
          <a:endParaRPr lang="en-SG" sz="900" b="0" i="1" u="none" strike="noStrike">
            <a:solidFill>
              <a:srgbClr val="000000"/>
            </a:solidFill>
            <a:effectLst/>
            <a:latin typeface="Arial" panose="020B0604020202020204" pitchFamily="34" charset="0"/>
          </a:endParaRPr>
        </a:p>
        <a:p>
          <a:r>
            <a:rPr lang="en-SG" sz="900" b="0" i="1" u="none" strike="noStrike">
              <a:solidFill>
                <a:srgbClr val="000000"/>
              </a:solidFill>
              <a:effectLst/>
              <a:latin typeface="Arial" panose="020B0604020202020204" pitchFamily="34" charset="0"/>
            </a:rPr>
            <a:t>2.</a:t>
          </a:r>
          <a:r>
            <a:rPr lang="en-SG" sz="900" b="0" i="1" u="none" strike="noStrike" baseline="0">
              <a:solidFill>
                <a:srgbClr val="000000"/>
              </a:solidFill>
              <a:effectLst/>
              <a:latin typeface="Arial" panose="020B0604020202020204" pitchFamily="34" charset="0"/>
            </a:rPr>
            <a:t> </a:t>
          </a:r>
          <a:r>
            <a:rPr lang="en-SG" sz="900" b="0" i="1" u="none" strike="noStrike" baseline="0">
              <a:solidFill>
                <a:srgbClr val="000000"/>
              </a:solidFill>
              <a:effectLst/>
              <a:latin typeface="Arial" panose="020B0604020202020204" pitchFamily="34" charset="0"/>
              <a:cs typeface="Arial" panose="020B0604020202020204" pitchFamily="34" charset="0"/>
            </a:rPr>
            <a:t>Cell F12 controls DLOC and DLOM. No DLOC and DLOM for controlling stake</a:t>
          </a:r>
        </a:p>
        <a:p>
          <a:r>
            <a:rPr lang="en-SG" sz="900" b="0" i="1" u="none" strike="noStrike" baseline="0">
              <a:solidFill>
                <a:srgbClr val="000000"/>
              </a:solidFill>
              <a:effectLst/>
              <a:latin typeface="Arial" panose="020B0604020202020204" pitchFamily="34" charset="0"/>
              <a:cs typeface="Arial" panose="020B0604020202020204" pitchFamily="34" charset="0"/>
            </a:rPr>
            <a:t>3. Always set cell C4 (Offset) at 2</a:t>
          </a:r>
        </a:p>
        <a:p>
          <a:r>
            <a:rPr lang="en-SG" sz="900">
              <a:latin typeface="Arial" panose="020B0604020202020204" pitchFamily="34" charset="0"/>
              <a:cs typeface="Arial" panose="020B0604020202020204" pitchFamily="34" charset="0"/>
            </a:rPr>
            <a:t>4. If Tax</a:t>
          </a:r>
          <a:r>
            <a:rPr lang="en-SG" sz="900" baseline="0">
              <a:latin typeface="Arial" panose="020B0604020202020204" pitchFamily="34" charset="0"/>
              <a:cs typeface="Arial" panose="020B0604020202020204" pitchFamily="34" charset="0"/>
            </a:rPr>
            <a:t> Loss Carryforward is allowed, set cell F14 to Y and enter the outstanding balance amount in cell C5.</a:t>
          </a:r>
          <a:endParaRPr lang="en-SG" sz="900">
            <a:latin typeface="Arial" panose="020B0604020202020204" pitchFamily="34" charset="0"/>
            <a:cs typeface="Arial" panose="020B0604020202020204"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7620</xdr:colOff>
      <xdr:row>1</xdr:row>
      <xdr:rowOff>7620</xdr:rowOff>
    </xdr:from>
    <xdr:ext cx="5829300" cy="458544"/>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563432" y="357244"/>
          <a:ext cx="5829300" cy="45854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DELETE</a:t>
          </a:r>
          <a:r>
            <a:rPr lang="en-SG" sz="900" b="0" i="1" u="none" strike="noStrike" baseline="0">
              <a:solidFill>
                <a:srgbClr val="000000"/>
              </a:solidFill>
              <a:effectLst/>
              <a:latin typeface="Arial" panose="020B0604020202020204" pitchFamily="34" charset="0"/>
            </a:rPr>
            <a:t> unnecessary rows</a:t>
          </a:r>
          <a:endParaRPr lang="en-SG" sz="900" b="0" i="1" u="none" strike="noStrike">
            <a:solidFill>
              <a:srgbClr val="000000"/>
            </a:solidFill>
            <a:effectLst/>
            <a:latin typeface="Arial" panose="020B0604020202020204" pitchFamily="34" charset="0"/>
          </a:endParaRPr>
        </a:p>
        <a:p>
          <a:endParaRPr lang="en-SG" sz="900">
            <a:latin typeface="Arial" panose="020B0604020202020204" pitchFamily="34" charset="0"/>
            <a:cs typeface="Arial" panose="020B0604020202020204" pitchFamily="34" charset="0"/>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xdr:col>
      <xdr:colOff>45720</xdr:colOff>
      <xdr:row>1</xdr:row>
      <xdr:rowOff>53340</xdr:rowOff>
    </xdr:from>
    <xdr:ext cx="5829300" cy="755074"/>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533400" y="403860"/>
          <a:ext cx="5829300" cy="75507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Download</a:t>
          </a:r>
          <a:r>
            <a:rPr lang="en-SG" sz="900" b="0" i="1" u="none" strike="noStrike" baseline="0">
              <a:solidFill>
                <a:srgbClr val="000000"/>
              </a:solidFill>
              <a:effectLst/>
              <a:latin typeface="Arial" panose="020B0604020202020204" pitchFamily="34" charset="0"/>
            </a:rPr>
            <a:t> info from CIQ and link here</a:t>
          </a:r>
          <a:endParaRPr lang="en-SG" sz="900" b="0" i="1" u="none" strike="noStrike">
            <a:solidFill>
              <a:srgbClr val="000000"/>
            </a:solidFill>
            <a:effectLst/>
            <a:latin typeface="Arial" panose="020B0604020202020204" pitchFamily="34" charset="0"/>
          </a:endParaRPr>
        </a:p>
        <a:p>
          <a:endParaRPr lang="en-SG" sz="900">
            <a:latin typeface="Arial" panose="020B0604020202020204" pitchFamily="34" charset="0"/>
            <a:cs typeface="Arial" panose="020B0604020202020204" pitchFamily="34" charset="0"/>
          </a:endParaRPr>
        </a:p>
      </xdr:txBody>
    </xdr:sp>
    <xdr:clientData/>
  </xdr:oneCellAnchor>
  <xdr:twoCellAnchor>
    <xdr:from>
      <xdr:col>12</xdr:col>
      <xdr:colOff>22860</xdr:colOff>
      <xdr:row>9</xdr:row>
      <xdr:rowOff>91440</xdr:rowOff>
    </xdr:from>
    <xdr:to>
      <xdr:col>16</xdr:col>
      <xdr:colOff>281400</xdr:colOff>
      <xdr:row>30</xdr:row>
      <xdr:rowOff>121920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53340</xdr:colOff>
      <xdr:row>32</xdr:row>
      <xdr:rowOff>114300</xdr:rowOff>
    </xdr:from>
    <xdr:to>
      <xdr:col>4</xdr:col>
      <xdr:colOff>711200</xdr:colOff>
      <xdr:row>53</xdr:row>
      <xdr:rowOff>95250</xdr:rowOff>
    </xdr:to>
    <xdr:graphicFrame macro="">
      <xdr:nvGraphicFramePr>
        <xdr:cNvPr id="4" name="Chart 3">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12631</xdr:colOff>
      <xdr:row>6</xdr:row>
      <xdr:rowOff>99427</xdr:rowOff>
    </xdr:from>
    <xdr:to>
      <xdr:col>28</xdr:col>
      <xdr:colOff>332509</xdr:colOff>
      <xdr:row>38</xdr:row>
      <xdr:rowOff>76200</xdr:rowOff>
    </xdr:to>
    <xdr:graphicFrame macro="">
      <xdr:nvGraphicFramePr>
        <xdr:cNvPr id="5" name="Chart 4">
          <a:extLst>
            <a:ext uri="{FF2B5EF4-FFF2-40B4-BE49-F238E27FC236}">
              <a16:creationId xmlns:a16="http://schemas.microsoft.com/office/drawing/2014/main" id="{2BF1255F-206A-ECFA-86D7-9977DADE20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12631</xdr:colOff>
      <xdr:row>47</xdr:row>
      <xdr:rowOff>88542</xdr:rowOff>
    </xdr:from>
    <xdr:to>
      <xdr:col>28</xdr:col>
      <xdr:colOff>401782</xdr:colOff>
      <xdr:row>79</xdr:row>
      <xdr:rowOff>65315</xdr:rowOff>
    </xdr:to>
    <xdr:graphicFrame macro="">
      <xdr:nvGraphicFramePr>
        <xdr:cNvPr id="2" name="Chart 1">
          <a:extLst>
            <a:ext uri="{FF2B5EF4-FFF2-40B4-BE49-F238E27FC236}">
              <a16:creationId xmlns:a16="http://schemas.microsoft.com/office/drawing/2014/main" id="{018CA222-A0D7-E470-90E4-5744133F0D2E}"/>
            </a:ext>
            <a:ext uri="{147F2762-F138-4A5C-976F-8EAC2B608ADB}">
              <a16:predDERef xmlns:a16="http://schemas.microsoft.com/office/drawing/2014/main" pred="{2BF1255F-206A-ECFA-86D7-9977DADE20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336480</xdr:colOff>
      <xdr:row>89</xdr:row>
      <xdr:rowOff>23227</xdr:rowOff>
    </xdr:from>
    <xdr:to>
      <xdr:col>29</xdr:col>
      <xdr:colOff>55418</xdr:colOff>
      <xdr:row>121</xdr:row>
      <xdr:rowOff>0</xdr:rowOff>
    </xdr:to>
    <xdr:graphicFrame macro="">
      <xdr:nvGraphicFramePr>
        <xdr:cNvPr id="4" name="Chart 3">
          <a:extLst>
            <a:ext uri="{FF2B5EF4-FFF2-40B4-BE49-F238E27FC236}">
              <a16:creationId xmlns:a16="http://schemas.microsoft.com/office/drawing/2014/main" id="{A317C212-4E3B-4B45-58A2-49B5B0318DC3}"/>
            </a:ext>
            <a:ext uri="{147F2762-F138-4A5C-976F-8EAC2B608ADB}">
              <a16:predDERef xmlns:a16="http://schemas.microsoft.com/office/drawing/2014/main" pred="{018CA222-A0D7-E470-90E4-5744133F0D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525248</xdr:colOff>
      <xdr:row>131</xdr:row>
      <xdr:rowOff>2445</xdr:rowOff>
    </xdr:from>
    <xdr:to>
      <xdr:col>29</xdr:col>
      <xdr:colOff>138546</xdr:colOff>
      <xdr:row>162</xdr:row>
      <xdr:rowOff>103909</xdr:rowOff>
    </xdr:to>
    <xdr:graphicFrame macro="">
      <xdr:nvGraphicFramePr>
        <xdr:cNvPr id="7" name="Chart 6">
          <a:extLst>
            <a:ext uri="{FF2B5EF4-FFF2-40B4-BE49-F238E27FC236}">
              <a16:creationId xmlns:a16="http://schemas.microsoft.com/office/drawing/2014/main" id="{18C6242E-4C33-34AB-306F-10ABF01CD1AC}"/>
            </a:ext>
            <a:ext uri="{147F2762-F138-4A5C-976F-8EAC2B608ADB}">
              <a16:predDERef xmlns:a16="http://schemas.microsoft.com/office/drawing/2014/main" pred="{A317C212-4E3B-4B45-58A2-49B5B0318D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948800</xdr:colOff>
      <xdr:row>172</xdr:row>
      <xdr:rowOff>1458</xdr:rowOff>
    </xdr:from>
    <xdr:to>
      <xdr:col>29</xdr:col>
      <xdr:colOff>263236</xdr:colOff>
      <xdr:row>203</xdr:row>
      <xdr:rowOff>108859</xdr:rowOff>
    </xdr:to>
    <xdr:graphicFrame macro="">
      <xdr:nvGraphicFramePr>
        <xdr:cNvPr id="8" name="Chart 7">
          <a:extLst>
            <a:ext uri="{FF2B5EF4-FFF2-40B4-BE49-F238E27FC236}">
              <a16:creationId xmlns:a16="http://schemas.microsoft.com/office/drawing/2014/main" id="{124AEDC2-F4F3-59F3-A342-DB6C49B7DD5D}"/>
            </a:ext>
            <a:ext uri="{147F2762-F138-4A5C-976F-8EAC2B608ADB}">
              <a16:predDERef xmlns:a16="http://schemas.microsoft.com/office/drawing/2014/main" pred="{18C6242E-4C33-34AB-306F-10ABF01CD1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192566</xdr:colOff>
      <xdr:row>19</xdr:row>
      <xdr:rowOff>103673</xdr:rowOff>
    </xdr:from>
    <xdr:to>
      <xdr:col>5</xdr:col>
      <xdr:colOff>454509</xdr:colOff>
      <xdr:row>45</xdr:row>
      <xdr:rowOff>24301</xdr:rowOff>
    </xdr:to>
    <xdr:graphicFrame macro="">
      <xdr:nvGraphicFramePr>
        <xdr:cNvPr id="7" name="Chart 6">
          <a:extLst>
            <a:ext uri="{FF2B5EF4-FFF2-40B4-BE49-F238E27FC236}">
              <a16:creationId xmlns:a16="http://schemas.microsoft.com/office/drawing/2014/main" id="{6A01CCB5-D04F-4942-B095-28CB82313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190589</xdr:colOff>
      <xdr:row>19</xdr:row>
      <xdr:rowOff>101694</xdr:rowOff>
    </xdr:from>
    <xdr:to>
      <xdr:col>11</xdr:col>
      <xdr:colOff>223932</xdr:colOff>
      <xdr:row>45</xdr:row>
      <xdr:rowOff>22322</xdr:rowOff>
    </xdr:to>
    <xdr:graphicFrame macro="">
      <xdr:nvGraphicFramePr>
        <xdr:cNvPr id="8" name="Chart 7">
          <a:extLst>
            <a:ext uri="{FF2B5EF4-FFF2-40B4-BE49-F238E27FC236}">
              <a16:creationId xmlns:a16="http://schemas.microsoft.com/office/drawing/2014/main" id="{F9C90E79-57ED-4685-A69F-8C4790CFEC99}"/>
            </a:ext>
            <a:ext uri="{147F2762-F138-4A5C-976F-8EAC2B608ADB}">
              <a16:predDERef xmlns:a16="http://schemas.microsoft.com/office/drawing/2014/main" pred="{6A01CCB5-D04F-4942-B095-28CB82313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493409</xdr:colOff>
      <xdr:row>19</xdr:row>
      <xdr:rowOff>100703</xdr:rowOff>
    </xdr:from>
    <xdr:to>
      <xdr:col>17</xdr:col>
      <xdr:colOff>472323</xdr:colOff>
      <xdr:row>45</xdr:row>
      <xdr:rowOff>21331</xdr:rowOff>
    </xdr:to>
    <xdr:graphicFrame macro="">
      <xdr:nvGraphicFramePr>
        <xdr:cNvPr id="9" name="Chart 8">
          <a:extLst>
            <a:ext uri="{FF2B5EF4-FFF2-40B4-BE49-F238E27FC236}">
              <a16:creationId xmlns:a16="http://schemas.microsoft.com/office/drawing/2014/main" id="{84E2E463-4BAA-4610-9D27-F10FD1874E4E}"/>
            </a:ext>
            <a:ext uri="{147F2762-F138-4A5C-976F-8EAC2B608ADB}">
              <a16:predDERef xmlns:a16="http://schemas.microsoft.com/office/drawing/2014/main" pred="{F9C90E79-57ED-4685-A69F-8C4790CFEC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143826</xdr:colOff>
      <xdr:row>19</xdr:row>
      <xdr:rowOff>78933</xdr:rowOff>
    </xdr:from>
    <xdr:to>
      <xdr:col>23</xdr:col>
      <xdr:colOff>471055</xdr:colOff>
      <xdr:row>45</xdr:row>
      <xdr:rowOff>27709</xdr:rowOff>
    </xdr:to>
    <xdr:graphicFrame macro="">
      <xdr:nvGraphicFramePr>
        <xdr:cNvPr id="10" name="Chart 9">
          <a:extLst>
            <a:ext uri="{FF2B5EF4-FFF2-40B4-BE49-F238E27FC236}">
              <a16:creationId xmlns:a16="http://schemas.microsoft.com/office/drawing/2014/main" id="{70357B15-9DC3-4ED0-B67E-70D155ACF82F}"/>
            </a:ext>
            <a:ext uri="{147F2762-F138-4A5C-976F-8EAC2B608ADB}">
              <a16:predDERef xmlns:a16="http://schemas.microsoft.com/office/drawing/2014/main" pred="{84E2E463-4BAA-4610-9D27-F10FD1874E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498082</xdr:colOff>
      <xdr:row>7</xdr:row>
      <xdr:rowOff>95509</xdr:rowOff>
    </xdr:from>
    <xdr:to>
      <xdr:col>15</xdr:col>
      <xdr:colOff>562222</xdr:colOff>
      <xdr:row>33</xdr:row>
      <xdr:rowOff>30694</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0.00943</cdr:x>
      <cdr:y>0.01429</cdr:y>
    </cdr:from>
    <cdr:to>
      <cdr:x>0.00943</cdr:x>
      <cdr:y>0.01429</cdr:y>
    </cdr:to>
    <cdr:sp macro="" textlink="">
      <cdr:nvSpPr>
        <cdr:cNvPr id="2" name="#UpSlide#ChartHasBeenCopiedWithUpSlideActive#" hidden="1">
          <a:extLst xmlns:a="http://schemas.openxmlformats.org/drawingml/2006/main">
            <a:ext uri="{FF2B5EF4-FFF2-40B4-BE49-F238E27FC236}">
              <a16:creationId xmlns:a16="http://schemas.microsoft.com/office/drawing/2014/main" id="{932D2662-9CE0-4583-90D2-8ED26E485D73}"/>
            </a:ext>
          </a:extLst>
        </cdr:cNvPr>
        <cdr:cNvSpPr/>
      </cdr:nvSpPr>
      <cdr:spPr>
        <a:xfrm xmlns:a="http://schemas.openxmlformats.org/drawingml/2006/main">
          <a:off x="50800" y="50800"/>
          <a:ext cx="0" cy="0"/>
        </a:xfrm>
        <a:prstGeom xmlns:a="http://schemas.openxmlformats.org/drawingml/2006/main" prst="rect">
          <a:avLst/>
        </a:prstGeom>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persons/person.xml><?xml version="1.0" encoding="utf-8"?>
<personList xmlns="http://schemas.microsoft.com/office/spreadsheetml/2018/threadedcomments" xmlns:x="http://schemas.openxmlformats.org/spreadsheetml/2006/main">
  <person displayName="Bilal Noorgat" id="{F1E62710-728A-4ABE-A5D6-13BAF78665E7}" userId="Bilal Noorgat"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Comps" displayName="Comps" ref="B12:P22" totalsRowShown="0" headerRowDxfId="133" dataDxfId="132">
  <autoFilter ref="B12:P22" xr:uid="{00000000-0009-0000-0100-000003000000}"/>
  <sortState xmlns:xlrd2="http://schemas.microsoft.com/office/spreadsheetml/2017/richdata2" ref="B13:P22">
    <sortCondition ref="E12:E22"/>
  </sortState>
  <tableColumns count="15">
    <tableColumn id="1" xr3:uid="{00000000-0010-0000-0600-000001000000}" name="Name" dataDxfId="131" dataCellStyle="Input 3">
      <calculatedColumnFormula array="1">IF(Comps[[#This Row],[Ticker]]="","",PROPER(_xll.ciqfunctions.udf.CIQ(Comps[[#This Row],[Ticker]],"IQ_COMPANY_NAME")))</calculatedColumnFormula>
    </tableColumn>
    <tableColumn id="2" xr3:uid="{00000000-0010-0000-0600-000002000000}" name="Ticker" dataDxfId="130" dataCellStyle="Input"/>
    <tableColumn id="3" xr3:uid="{00000000-0010-0000-0600-000003000000}" name="Description" dataDxfId="129" dataCellStyle="Input 3">
      <calculatedColumnFormula array="1">IF(Comps[[#This Row],[Ticker]]="","",IF(_xll.ciqfunctions.udf.CIQ(Comps[[#This Row],[Ticker]],"IQ_BUSINESS_DESCRIPTION")=0,"-",_xll.ciqfunctions.udf.CIQ(Comps[[#This Row],[Ticker]],"IQ_BUSINESS_DESCRIPTION")))</calculatedColumnFormula>
    </tableColumn>
    <tableColumn id="4" xr3:uid="{00000000-0010-0000-0600-000004000000}" name="Market Cap" dataDxfId="128" dataCellStyle="Comma">
      <calculatedColumnFormula array="1">IF(Comps[[#This Row],[Ticker]]="","",IFERROR(_xll.ciqfunctions.udf.CIQ(Comps[[#This Row],[Ticker]],"IQ_MARKETCAP",$C$5,$C$6)*$C$8,0))</calculatedColumnFormula>
    </tableColumn>
    <tableColumn id="19" xr3:uid="{00000000-0010-0000-0600-000013000000}" name="EBIT margin" dataDxfId="127">
      <calculatedColumnFormula array="1">IF(Comps[[#This Row],[Ticker]]="","",IFERROR(_xll.ciqfunctions.udf.CIQ(Comps[[#This Row],[Ticker]],"IQ_EBIT_MARGIN",IQ_FY,$C$5)/100,"NA"))</calculatedColumnFormula>
    </tableColumn>
    <tableColumn id="18" xr3:uid="{00000000-0010-0000-0600-000012000000}" name="CAGR" dataDxfId="126">
      <calculatedColumnFormula>IF(Comps[[#This Row],[Ticker]]="","",'Comps Financials'!O9)</calculatedColumnFormula>
    </tableColumn>
    <tableColumn id="5" xr3:uid="{00000000-0010-0000-0600-000005000000}" name="Selected Multiple" dataDxfId="125" dataCellStyle="0.0x">
      <calculatedColumnFormula array="1">IF(Comps[[#This Row],[Ticker]]="","",_xll.ciqfunctions.udf.CIQ(Comps[[#This Row],[Ticker]],$I$5,$I$6,$C$5))</calculatedColumnFormula>
    </tableColumn>
    <tableColumn id="6" xr3:uid="{00000000-0010-0000-0600-000006000000}" name="DE ratio" dataDxfId="124" dataCellStyle="Percent 5">
      <calculatedColumnFormula>IF(Comps[[#This Row],[Ticker]]="","",IFERROR(Comps[[#This Row],[Total debt]]/Comps[[#This Row],[Market Cap]],"NA"))</calculatedColumnFormula>
    </tableColumn>
    <tableColumn id="7" xr3:uid="{00000000-0010-0000-0600-000007000000}" name="Unlv.beta" dataDxfId="123" dataCellStyle="Normal 27">
      <calculatedColumnFormula>IFERROR(Comps[[#This Row],[Adj Beta]]/(1+((1-Comps[[#This Row],[Tax rate]])*Comps[[#This Row],[DE ratio]])),"NA")</calculatedColumnFormula>
    </tableColumn>
    <tableColumn id="23" xr3:uid="{00000000-0010-0000-0600-000017000000}" name="Adj Beta" dataDxfId="122" dataCellStyle="Percent 5">
      <calculatedColumnFormula array="1">IF(Comps[[#This Row],[Ticker]]="","",_xll.ciqfunctions.udf.CIQ(Comps[[#This Row],[Ticker]],"IQ_CUSTOM_BETA","-"&amp;$F$5,$C$5,$F$6))</calculatedColumnFormula>
    </tableColumn>
    <tableColumn id="8" xr3:uid="{00000000-0010-0000-0600-000008000000}" name="Tax rate" dataDxfId="121" dataCellStyle="Percent 5">
      <calculatedColumnFormula array="1">IF(Comps[[#This Row],[Ticker]]="","",IF($F$7="S",M13,IFERROR(_xll.ciqfunctions.udf.CIQ(Comps[[#This Row],[Ticker]],"IQ_EFFECT_TAX_RATE",IQ_FY,$C$5)/100,"NA")))</calculatedColumnFormula>
    </tableColumn>
    <tableColumn id="9" xr3:uid="{00000000-0010-0000-0600-000009000000}" name="Stat Tax rate" dataDxfId="120" dataCellStyle="Percent 5"/>
    <tableColumn id="10" xr3:uid="{00000000-0010-0000-0600-00000A000000}" name="Total debt" dataDxfId="119">
      <calculatedColumnFormula array="1">IF(Comps[[#This Row],[Ticker]]="","",IFERROR(_xll.ciqfunctions.udf.CIQ(Comps[[#This Row],[Ticker]],"IQ_TOTAL_DEBT",IQ_FQ,$C$5,"LFR",,$C$6)*$C$8,0))</calculatedColumnFormula>
    </tableColumn>
    <tableColumn id="11" xr3:uid="{00000000-0010-0000-0600-00000B000000}" name="Exchange" dataDxfId="118" dataCellStyle="Input 3">
      <calculatedColumnFormula array="1">IF(Comps[[#This Row],[Ticker]]="","",IF(_xll.ciqfunctions.udf.CIQ(Comps[[#This Row],[Ticker]],"IQ_EXCHANGE")=0,"-",_xll.ciqfunctions.udf.CIQ(Comps[[#This Row],[Ticker]],"IQ_EXCHANGE")))</calculatedColumnFormula>
    </tableColumn>
    <tableColumn id="12" xr3:uid="{00000000-0010-0000-0600-00000C000000}" name="Country" dataDxfId="117" dataCellStyle="Input 3">
      <calculatedColumnFormula array="1">IF(Comps[[#This Row],[Ticker]]="","",IF(_xll.ciqfunctions.udf.CIQ(Comps[[#This Row],[Ticker]],"IQ_COUNTRY_NAME")=0,"-",_xll.ciqfunctions.udf.CIQ(Comps[[#This Row],[Ticker]],"IQ_COUNTRY_NAME")))</calculatedColumnFormula>
    </tableColumn>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 displayName="Table4" ref="B8:G20" totalsRowShown="0" headerRowDxfId="81" dataDxfId="80" headerRowBorderDxfId="79">
  <sortState xmlns:xlrd2="http://schemas.microsoft.com/office/spreadsheetml/2017/richdata2" ref="B9:F20">
    <sortCondition ref="B8:B20"/>
  </sortState>
  <tableColumns count="6">
    <tableColumn id="1" xr3:uid="{00000000-0010-0000-0700-000001000000}" name="Name" dataDxfId="78"/>
    <tableColumn id="2" xr3:uid="{00000000-0010-0000-0700-000002000000}" name="Ticker" dataDxfId="77"/>
    <tableColumn id="3" xr3:uid="{00000000-0010-0000-0700-000003000000}" name="Market Cap" dataDxfId="76" dataCellStyle="Comma"/>
    <tableColumn id="4" xr3:uid="{00000000-0010-0000-0700-000004000000}" name="EBIT margin_x000a_(%)" dataDxfId="75"/>
    <tableColumn id="5" xr3:uid="{00000000-0010-0000-0700-000005000000}" name="3 years Sales CAGR (%)" dataDxfId="74"/>
    <tableColumn id="6" xr3:uid="{0B3E3F3D-3C7C-4B93-9FAC-ECFCC8612451}" name="Selected  multiple" dataDxfId="73">
      <calculatedColumnFormula>'Comps'!H12</calculatedColumnFormula>
    </tableColumn>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9" dT="2022-03-16T15:00:22.41" personId="{F1E62710-728A-4ABE-A5D6-13BAF78665E7}" id="{28943A0E-C983-4996-8FAD-2393C46A944E}">
    <text>Can more countries if needed. Expand row and add CIQ ID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my.pitchbook.com/?sec_f=436344823394&amp;financialGroup=INCOME_STATEMENT&amp;period=QTR&amp;exchangeId=NAS&amp;exchangeSymbol=GRAB" TargetMode="External"/><Relationship Id="rId3" Type="http://schemas.openxmlformats.org/officeDocument/2006/relationships/hyperlink" Target="https://my.pitchbook.com/?sec_f=436344806626&amp;financialGroup=INCOME_STATEMENT&amp;period=QTR&amp;exchangeId=NAS&amp;exchangeSymbol=GRAB" TargetMode="External"/><Relationship Id="rId7" Type="http://schemas.openxmlformats.org/officeDocument/2006/relationships/hyperlink" Target="https://my.pitchbook.com/?sec_f=436344823458&amp;financialGroup=INCOME_STATEMENT&amp;period=QTR&amp;exchangeId=NAS&amp;exchangeSymbol=GRAB" TargetMode="External"/><Relationship Id="rId2" Type="http://schemas.openxmlformats.org/officeDocument/2006/relationships/hyperlink" Target="https://my.pitchbook.com/?sec_f=436344806754&amp;financialGroup=INCOME_STATEMENT&amp;period=QTR&amp;exchangeId=NAS&amp;exchangeSymbol=GRAB" TargetMode="External"/><Relationship Id="rId1" Type="http://schemas.openxmlformats.org/officeDocument/2006/relationships/hyperlink" Target="https://my.pitchbook.com/?sec_f=436344806818&amp;financialGroup=INCOME_STATEMENT&amp;period=QTR&amp;exchangeId=NAS&amp;exchangeSymbol=GRAB" TargetMode="External"/><Relationship Id="rId6" Type="http://schemas.openxmlformats.org/officeDocument/2006/relationships/hyperlink" Target="https://my.pitchbook.com/?sec_f=436344823522&amp;financialGroup=INCOME_STATEMENT&amp;period=QTR&amp;exchangeId=NAS&amp;exchangeSymbol=GRAB" TargetMode="External"/><Relationship Id="rId5" Type="http://schemas.openxmlformats.org/officeDocument/2006/relationships/hyperlink" Target="https://my.pitchbook.com/?sec_f=436344823586&amp;financialGroup=INCOME_STATEMENT&amp;period=QTR&amp;exchangeId=NAS&amp;exchangeSymbol=GRAB" TargetMode="External"/><Relationship Id="rId10" Type="http://schemas.openxmlformats.org/officeDocument/2006/relationships/hyperlink" Target="https://my.pitchbook.com/?sec_f=436344823266&amp;financialGroup=INCOME_STATEMENT&amp;period=QTR&amp;exchangeId=NAS&amp;exchangeSymbol=GRAB" TargetMode="External"/><Relationship Id="rId4" Type="http://schemas.openxmlformats.org/officeDocument/2006/relationships/hyperlink" Target="https://my.pitchbook.com/?sec_f=436344823650&amp;financialGroup=INCOME_STATEMENT&amp;period=QTR&amp;exchangeId=NAS&amp;exchangeSymbol=GRAB" TargetMode="External"/><Relationship Id="rId9" Type="http://schemas.openxmlformats.org/officeDocument/2006/relationships/hyperlink" Target="https://my.pitchbook.com/?sec_f=436344823330&amp;financialGroup=INCOME_STATEMENT&amp;period=QTR&amp;exchangeId=NAS&amp;exchangeSymbol=GRAB"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y.pitchbook.com/?sec_f=436344823330&amp;financialGroup=BALANCE_SHEET&amp;period=QTR&amp;exchangeId=NAS&amp;exchangeSymbol=GRAB" TargetMode="External"/><Relationship Id="rId3" Type="http://schemas.openxmlformats.org/officeDocument/2006/relationships/hyperlink" Target="https://my.pitchbook.com/?sec_f=436344823650&amp;financialGroup=BALANCE_SHEET&amp;period=QTR&amp;exchangeId=NAS&amp;exchangeSymbol=GRAB" TargetMode="External"/><Relationship Id="rId7" Type="http://schemas.openxmlformats.org/officeDocument/2006/relationships/hyperlink" Target="https://my.pitchbook.com/?sec_f=436344823394&amp;financialGroup=BALANCE_SHEET&amp;period=QTR&amp;exchangeId=NAS&amp;exchangeSymbol=GRAB" TargetMode="External"/><Relationship Id="rId2" Type="http://schemas.openxmlformats.org/officeDocument/2006/relationships/hyperlink" Target="https://my.pitchbook.com/?sec_f=436344806754&amp;financialGroup=BALANCE_SHEET&amp;period=QTR&amp;exchangeId=NAS&amp;exchangeSymbol=GRAB" TargetMode="External"/><Relationship Id="rId1" Type="http://schemas.openxmlformats.org/officeDocument/2006/relationships/hyperlink" Target="https://my.pitchbook.com/?sec_f=436344806818&amp;financialGroup=BALANCE_SHEET&amp;period=QTR&amp;exchangeId=NAS&amp;exchangeSymbol=GRAB" TargetMode="External"/><Relationship Id="rId6" Type="http://schemas.openxmlformats.org/officeDocument/2006/relationships/hyperlink" Target="https://my.pitchbook.com/?sec_f=436344823458&amp;financialGroup=BALANCE_SHEET&amp;period=QTR&amp;exchangeId=NAS&amp;exchangeSymbol=GRAB" TargetMode="External"/><Relationship Id="rId5" Type="http://schemas.openxmlformats.org/officeDocument/2006/relationships/hyperlink" Target="https://my.pitchbook.com/?sec_f=436344823522&amp;financialGroup=BALANCE_SHEET&amp;period=QTR&amp;exchangeId=NAS&amp;exchangeSymbol=GRAB" TargetMode="External"/><Relationship Id="rId4" Type="http://schemas.openxmlformats.org/officeDocument/2006/relationships/hyperlink" Target="https://my.pitchbook.com/?sec_f=436344823586&amp;financialGroup=BALANCE_SHEET&amp;period=QTR&amp;exchangeId=NAS&amp;exchangeSymbol=GRAB" TargetMode="External"/><Relationship Id="rId9" Type="http://schemas.openxmlformats.org/officeDocument/2006/relationships/hyperlink" Target="https://my.pitchbook.com/?sec_f=436344823266&amp;financialGroup=BALANCE_SHEET&amp;period=QTR&amp;exchangeId=NAS&amp;exchangeSymbol=GRA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y.pitchbook.com/?sec_f=436344823330&amp;financialGroup=CASH_FLOW&amp;period=QTR&amp;exchangeId=NAS&amp;exchangeSymbol=GRAB" TargetMode="External"/><Relationship Id="rId3" Type="http://schemas.openxmlformats.org/officeDocument/2006/relationships/hyperlink" Target="https://my.pitchbook.com/?sec_f=436344823650&amp;financialGroup=CASH_FLOW&amp;period=QTR&amp;exchangeId=NAS&amp;exchangeSymbol=GRAB" TargetMode="External"/><Relationship Id="rId7" Type="http://schemas.openxmlformats.org/officeDocument/2006/relationships/hyperlink" Target="https://my.pitchbook.com/?sec_f=436344823394&amp;financialGroup=CASH_FLOW&amp;period=QTR&amp;exchangeId=NAS&amp;exchangeSymbol=GRAB" TargetMode="External"/><Relationship Id="rId2" Type="http://schemas.openxmlformats.org/officeDocument/2006/relationships/hyperlink" Target="https://my.pitchbook.com/?sec_f=436344806754&amp;financialGroup=CASH_FLOW&amp;period=QTR&amp;exchangeId=NAS&amp;exchangeSymbol=GRAB" TargetMode="External"/><Relationship Id="rId1" Type="http://schemas.openxmlformats.org/officeDocument/2006/relationships/hyperlink" Target="https://my.pitchbook.com/?sec_f=436344806818&amp;financialGroup=CASH_FLOW&amp;period=QTR&amp;exchangeId=NAS&amp;exchangeSymbol=GRAB" TargetMode="External"/><Relationship Id="rId6" Type="http://schemas.openxmlformats.org/officeDocument/2006/relationships/hyperlink" Target="https://my.pitchbook.com/?sec_f=436344823458&amp;financialGroup=CASH_FLOW&amp;period=QTR&amp;exchangeId=NAS&amp;exchangeSymbol=GRAB" TargetMode="External"/><Relationship Id="rId5" Type="http://schemas.openxmlformats.org/officeDocument/2006/relationships/hyperlink" Target="https://my.pitchbook.com/?sec_f=436344823522&amp;financialGroup=CASH_FLOW&amp;period=QTR&amp;exchangeId=NAS&amp;exchangeSymbol=GRAB" TargetMode="External"/><Relationship Id="rId4" Type="http://schemas.openxmlformats.org/officeDocument/2006/relationships/hyperlink" Target="https://my.pitchbook.com/?sec_f=436344823586&amp;financialGroup=CASH_FLOW&amp;period=QTR&amp;exchangeId=NAS&amp;exchangeSymbol=GRAB" TargetMode="External"/><Relationship Id="rId9" Type="http://schemas.openxmlformats.org/officeDocument/2006/relationships/hyperlink" Target="https://my.pitchbook.com/?sec_f=436344823266&amp;financialGroup=CASH_FLOW&amp;period=QTR&amp;exchangeId=NAS&amp;exchangeSymbol=GRAB"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sec.gov/Archives/edgar/data/0001855612/000185561226000077/a42026q1-earningspressrele.htm" TargetMode="External"/><Relationship Id="rId7" Type="http://schemas.openxmlformats.org/officeDocument/2006/relationships/comments" Target="../comments2.xml"/><Relationship Id="rId2" Type="http://schemas.openxmlformats.org/officeDocument/2006/relationships/hyperlink" Target="https://www.sec.gov/Archives/edgar/data/0001855612/000185561226000011/a2025q4-earningspressrelea.htm" TargetMode="External"/><Relationship Id="rId1" Type="http://schemas.openxmlformats.org/officeDocument/2006/relationships/hyperlink" Target="https://s205.q4cdn.com/179588156/files/doc_financials/2025/q3/Grab-Q3-2025-Prepared-Remarks.pdf" TargetMode="External"/><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4.xml"/><Relationship Id="rId4"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3"/>
  <sheetViews>
    <sheetView showGridLines="0" zoomScale="115" zoomScaleNormal="115" workbookViewId="0">
      <selection activeCell="F20" sqref="F20"/>
    </sheetView>
  </sheetViews>
  <sheetFormatPr defaultColWidth="0" defaultRowHeight="0" customHeight="1" zeroHeight="1"/>
  <cols>
    <col min="1" max="1" width="7" customWidth="1"/>
    <col min="2" max="2" width="19.6640625" customWidth="1"/>
    <col min="3" max="3" width="5.5" customWidth="1"/>
    <col min="4" max="4" width="20" customWidth="1"/>
    <col min="5" max="5" width="14.33203125" bestFit="1" customWidth="1"/>
    <col min="6" max="13" width="9.1640625" customWidth="1"/>
    <col min="14" max="16384" width="9.1640625" hidden="1"/>
  </cols>
  <sheetData>
    <row r="1" spans="1:12" ht="33.6" customHeight="1">
      <c r="B1" s="2" t="s">
        <v>0</v>
      </c>
      <c r="C1" s="2"/>
      <c r="D1" s="2"/>
      <c r="E1" s="2"/>
    </row>
    <row r="2" spans="1:12" ht="9.9499999999999993"/>
    <row r="3" spans="1:12" ht="18.95">
      <c r="B3" s="16" t="s">
        <v>1</v>
      </c>
    </row>
    <row r="4" spans="1:12" ht="14.1">
      <c r="B4" s="3"/>
      <c r="C4" s="4"/>
      <c r="D4" s="4"/>
      <c r="E4" s="5"/>
      <c r="F4" s="4"/>
      <c r="G4" s="4"/>
      <c r="H4" s="4"/>
      <c r="I4" s="4"/>
      <c r="J4" s="4"/>
      <c r="K4" s="4"/>
      <c r="L4" s="4"/>
    </row>
    <row r="5" spans="1:12" ht="15.6">
      <c r="B5" s="13" t="s">
        <v>2</v>
      </c>
      <c r="C5" s="4"/>
      <c r="D5" s="144" t="s">
        <v>3</v>
      </c>
      <c r="E5" s="5"/>
      <c r="F5" s="4"/>
      <c r="G5" s="4"/>
      <c r="H5" s="4"/>
      <c r="I5" s="4"/>
      <c r="J5" s="4"/>
      <c r="K5" s="4"/>
      <c r="L5" s="4"/>
    </row>
    <row r="6" spans="1:12" ht="15.6">
      <c r="B6" s="13" t="s">
        <v>4</v>
      </c>
      <c r="C6" s="4"/>
      <c r="D6" s="144"/>
      <c r="E6" s="14" t="s">
        <v>5</v>
      </c>
      <c r="F6" s="4"/>
      <c r="G6" s="4"/>
      <c r="H6" s="4"/>
      <c r="I6" s="4"/>
      <c r="J6" s="4"/>
      <c r="K6" s="4"/>
      <c r="L6" s="4"/>
    </row>
    <row r="7" spans="1:12" ht="15.6">
      <c r="B7" s="13" t="s">
        <v>6</v>
      </c>
      <c r="C7" s="4"/>
      <c r="D7" s="144"/>
      <c r="E7" s="14" t="s">
        <v>7</v>
      </c>
      <c r="F7" s="4"/>
      <c r="G7" s="4"/>
      <c r="H7" s="4"/>
      <c r="I7" s="4"/>
      <c r="J7" s="4"/>
      <c r="K7" s="4"/>
      <c r="L7" s="4"/>
    </row>
    <row r="8" spans="1:12" ht="15.6">
      <c r="B8" s="13" t="s">
        <v>8</v>
      </c>
      <c r="C8" s="6"/>
      <c r="D8" s="144"/>
      <c r="E8" s="14" t="s">
        <v>9</v>
      </c>
      <c r="F8" s="5"/>
      <c r="G8" s="4"/>
      <c r="H8" s="4"/>
      <c r="I8" s="4"/>
      <c r="J8" s="4"/>
      <c r="K8" s="4"/>
      <c r="L8" s="4"/>
    </row>
    <row r="9" spans="1:12" ht="15.6">
      <c r="B9" s="13" t="s">
        <v>10</v>
      </c>
      <c r="C9" s="4"/>
      <c r="D9" s="144"/>
      <c r="E9" s="14" t="s">
        <v>11</v>
      </c>
      <c r="F9" s="5"/>
      <c r="G9" s="4"/>
      <c r="H9" s="4"/>
      <c r="I9" s="4"/>
      <c r="J9" s="4"/>
      <c r="K9" s="4"/>
      <c r="L9" s="4"/>
    </row>
    <row r="10" spans="1:12" ht="15.6">
      <c r="B10" s="13" t="s">
        <v>12</v>
      </c>
      <c r="C10" s="4"/>
      <c r="D10" s="144"/>
      <c r="E10" s="14" t="s">
        <v>13</v>
      </c>
      <c r="F10" s="5"/>
      <c r="G10" s="4"/>
      <c r="H10" s="4"/>
      <c r="I10" s="4"/>
      <c r="J10" s="4"/>
      <c r="K10" s="4"/>
      <c r="L10" s="4"/>
    </row>
    <row r="11" spans="1:12" ht="9.9499999999999993"/>
    <row r="12" spans="1:12" ht="18.95">
      <c r="B12" s="16" t="s">
        <v>14</v>
      </c>
      <c r="D12" s="7"/>
    </row>
    <row r="13" spans="1:12" ht="9.9499999999999993"/>
    <row r="14" spans="1:12" ht="9.9499999999999993">
      <c r="B14" s="10" t="s">
        <v>15</v>
      </c>
      <c r="D14" t="s">
        <v>16</v>
      </c>
    </row>
    <row r="15" spans="1:12" ht="9.9499999999999993">
      <c r="A15" s="9"/>
      <c r="B15" s="8"/>
    </row>
    <row r="16" spans="1:12" ht="9.9499999999999993">
      <c r="B16" s="11" t="s">
        <v>17</v>
      </c>
      <c r="D16" t="s">
        <v>18</v>
      </c>
    </row>
    <row r="17" spans="2:4" ht="9.9499999999999993">
      <c r="B17" s="8"/>
    </row>
    <row r="18" spans="2:4" ht="10.5">
      <c r="B18" s="12" t="s">
        <v>19</v>
      </c>
      <c r="D18" t="s">
        <v>20</v>
      </c>
    </row>
    <row r="19" spans="2:4" ht="9.9499999999999993">
      <c r="B19" s="8"/>
    </row>
    <row r="20" spans="2:4" ht="9.9499999999999993">
      <c r="B20" s="22" t="s">
        <v>21</v>
      </c>
      <c r="D20" t="s">
        <v>22</v>
      </c>
    </row>
    <row r="21" spans="2:4" ht="9.9499999999999993"/>
    <row r="22" spans="2:4" ht="9.9499999999999993"/>
    <row r="23" spans="2:4" ht="9.9499999999999993" hidden="1"/>
    <row r="24" spans="2:4" ht="9.9499999999999993" hidden="1"/>
    <row r="25" spans="2:4" ht="9.9499999999999993" hidden="1"/>
    <row r="26" spans="2:4" ht="9.9499999999999993" hidden="1"/>
    <row r="27" spans="2:4" ht="9.9499999999999993" hidden="1"/>
    <row r="28" spans="2:4" ht="9.9499999999999993" hidden="1"/>
    <row r="29" spans="2:4" ht="9.9499999999999993" hidden="1"/>
    <row r="30" spans="2:4" ht="9.9499999999999993" hidden="1"/>
    <row r="31" spans="2:4" ht="9.9499999999999993" hidden="1"/>
    <row r="32" spans="2:4" ht="9.9499999999999993" hidden="1"/>
    <row r="33" ht="10.35" hidden="1" customHeight="1"/>
    <row r="34" ht="10.35" hidden="1" customHeight="1"/>
    <row r="35" ht="10.35" hidden="1" customHeight="1"/>
    <row r="36" ht="10.35" hidden="1" customHeight="1"/>
    <row r="37" ht="10.35" hidden="1" customHeight="1"/>
    <row r="38" ht="10.35" hidden="1" customHeight="1"/>
    <row r="39" ht="10.35" hidden="1" customHeight="1"/>
    <row r="40" ht="10.35" hidden="1" customHeight="1"/>
    <row r="41" ht="10.35" hidden="1" customHeight="1"/>
    <row r="42" ht="10.35" hidden="1" customHeight="1"/>
    <row r="43" ht="10.35" hidden="1" customHeight="1"/>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BD42-3B4C-44D3-B9EB-6598A9B98D88}">
  <dimension ref="A1:BXZ166"/>
  <sheetViews>
    <sheetView topLeftCell="A38" workbookViewId="0">
      <selection activeCell="A100" sqref="A100"/>
    </sheetView>
  </sheetViews>
  <sheetFormatPr defaultRowHeight="11.25"/>
  <cols>
    <col min="3" max="3" width="53.33203125" bestFit="1" customWidth="1"/>
    <col min="4" max="4" width="25.83203125" customWidth="1"/>
    <col min="5" max="5" width="12.83203125" bestFit="1" customWidth="1"/>
    <col min="6" max="7" width="12.1640625" bestFit="1" customWidth="1"/>
    <col min="8" max="8" width="13.33203125" bestFit="1" customWidth="1"/>
    <col min="9" max="16" width="11.6640625" bestFit="1" customWidth="1"/>
    <col min="17" max="18" width="12.83203125" bestFit="1" customWidth="1"/>
    <col min="19" max="19" width="137.83203125" bestFit="1" customWidth="1"/>
    <col min="24" max="44" width="9.83203125" bestFit="1" customWidth="1"/>
  </cols>
  <sheetData>
    <row r="1" spans="1:2002" ht="15">
      <c r="A1" s="700"/>
      <c r="B1" s="701"/>
      <c r="C1" s="700"/>
      <c r="D1" s="700"/>
      <c r="E1" s="702"/>
      <c r="F1" s="703"/>
      <c r="G1" s="700"/>
      <c r="H1" s="703"/>
      <c r="I1" s="704"/>
      <c r="J1" s="700"/>
      <c r="K1" s="700"/>
      <c r="L1" s="700"/>
      <c r="M1" s="700"/>
      <c r="N1" s="700"/>
      <c r="O1" s="700"/>
      <c r="P1" s="700"/>
      <c r="Q1" s="700"/>
      <c r="R1" s="700"/>
      <c r="S1" s="700"/>
      <c r="T1" s="705"/>
      <c r="U1" s="700"/>
      <c r="V1" s="700"/>
      <c r="W1" s="700"/>
      <c r="X1" s="700"/>
      <c r="Y1" s="700"/>
      <c r="Z1" s="700"/>
      <c r="AA1" s="700"/>
      <c r="AB1" s="700"/>
      <c r="AC1" s="700"/>
      <c r="AD1" s="700"/>
      <c r="AE1" s="700"/>
      <c r="AF1" s="700"/>
      <c r="AG1" s="700"/>
      <c r="AH1" s="700"/>
      <c r="AI1" s="700"/>
      <c r="AJ1" s="700"/>
      <c r="AK1" s="700"/>
      <c r="AL1" s="700"/>
      <c r="AM1" s="700"/>
      <c r="AN1" s="700"/>
      <c r="AO1" s="700"/>
      <c r="AP1" s="700"/>
      <c r="AQ1" s="700"/>
      <c r="AR1" s="700"/>
      <c r="AS1" s="700"/>
      <c r="AT1" s="700"/>
      <c r="AU1" s="700"/>
      <c r="AV1" s="700"/>
      <c r="AW1" s="700"/>
      <c r="AX1" s="700"/>
      <c r="AY1" s="700"/>
      <c r="AZ1" s="700"/>
      <c r="BA1" s="700"/>
      <c r="BB1" s="700"/>
      <c r="BC1" s="700"/>
      <c r="BD1" s="700"/>
      <c r="BE1" s="700"/>
      <c r="BF1" s="700"/>
      <c r="BG1" s="700"/>
      <c r="BH1" s="700"/>
      <c r="BI1" s="700"/>
      <c r="BJ1" s="700"/>
      <c r="BK1" s="700"/>
      <c r="BL1" s="700"/>
      <c r="BM1" s="700"/>
      <c r="BN1" s="700"/>
      <c r="BO1" s="700"/>
      <c r="BP1" s="700"/>
      <c r="BQ1" s="700"/>
      <c r="BR1" s="700"/>
      <c r="BS1" s="700"/>
      <c r="BT1" s="700"/>
      <c r="BU1" s="700"/>
      <c r="BV1" s="700"/>
      <c r="BW1" s="700"/>
      <c r="BX1" s="700"/>
      <c r="BY1" s="700"/>
      <c r="BZ1" s="700"/>
      <c r="CA1" s="700"/>
      <c r="CB1" s="700"/>
      <c r="CC1" s="700"/>
      <c r="CD1" s="700"/>
      <c r="CE1" s="700"/>
      <c r="CF1" s="700"/>
      <c r="CG1" s="700"/>
      <c r="CH1" s="700"/>
      <c r="CI1" s="700"/>
      <c r="CJ1" s="700"/>
      <c r="CK1" s="700"/>
      <c r="CL1" s="700"/>
      <c r="CM1" s="700"/>
      <c r="CN1" s="700"/>
      <c r="CO1" s="700"/>
      <c r="CP1" s="700"/>
      <c r="CQ1" s="700"/>
      <c r="CR1" s="700"/>
      <c r="CS1" s="700"/>
      <c r="CT1" s="700"/>
      <c r="CU1" s="700"/>
      <c r="CV1" s="700"/>
      <c r="CW1" s="700"/>
      <c r="CX1" s="700"/>
      <c r="CY1" s="700"/>
      <c r="CZ1" s="700"/>
      <c r="DA1" s="700"/>
      <c r="DB1" s="700"/>
      <c r="DC1" s="700"/>
      <c r="DD1" s="700"/>
      <c r="DE1" s="700"/>
      <c r="DF1" s="700"/>
      <c r="DG1" s="700"/>
      <c r="DH1" s="700"/>
      <c r="DI1" s="700"/>
      <c r="DJ1" s="700"/>
      <c r="DK1" s="700"/>
      <c r="DL1" s="700"/>
      <c r="DM1" s="700"/>
      <c r="DN1" s="700"/>
      <c r="DO1" s="700"/>
      <c r="DP1" s="700"/>
      <c r="DQ1" s="700"/>
      <c r="DR1" s="700"/>
      <c r="DS1" s="700"/>
      <c r="DT1" s="700"/>
      <c r="DU1" s="700"/>
      <c r="DV1" s="700"/>
      <c r="DW1" s="700"/>
      <c r="DX1" s="700"/>
      <c r="DY1" s="700"/>
      <c r="DZ1" s="700"/>
      <c r="EA1" s="700"/>
      <c r="EB1" s="700"/>
      <c r="EC1" s="700"/>
      <c r="ED1" s="700"/>
      <c r="EE1" s="700"/>
      <c r="EF1" s="700"/>
      <c r="EG1" s="700"/>
      <c r="EH1" s="700"/>
      <c r="EI1" s="700"/>
      <c r="EJ1" s="700"/>
      <c r="EK1" s="700"/>
      <c r="EL1" s="700"/>
      <c r="EM1" s="700"/>
      <c r="EN1" s="700"/>
      <c r="EO1" s="700"/>
      <c r="EP1" s="700"/>
      <c r="EQ1" s="700"/>
      <c r="ER1" s="700"/>
      <c r="ES1" s="700"/>
      <c r="ET1" s="700"/>
      <c r="EU1" s="700"/>
      <c r="EV1" s="700"/>
      <c r="EW1" s="700"/>
      <c r="EX1" s="700"/>
      <c r="EY1" s="700"/>
      <c r="EZ1" s="700"/>
      <c r="FA1" s="700"/>
      <c r="FB1" s="700"/>
      <c r="FC1" s="700"/>
      <c r="FD1" s="700"/>
      <c r="FE1" s="700"/>
      <c r="FF1" s="700"/>
      <c r="FG1" s="700"/>
      <c r="FH1" s="700"/>
      <c r="FI1" s="700"/>
      <c r="FJ1" s="700"/>
      <c r="FK1" s="700"/>
      <c r="FL1" s="700"/>
      <c r="FM1" s="700"/>
      <c r="FN1" s="700"/>
      <c r="FO1" s="700"/>
      <c r="FP1" s="700"/>
      <c r="FQ1" s="700"/>
      <c r="FR1" s="700"/>
      <c r="FS1" s="700"/>
      <c r="FT1" s="700"/>
      <c r="FU1" s="700"/>
      <c r="FV1" s="700"/>
      <c r="FW1" s="700"/>
      <c r="FX1" s="700"/>
      <c r="FY1" s="700"/>
      <c r="FZ1" s="700"/>
      <c r="GA1" s="700"/>
      <c r="GB1" s="700"/>
      <c r="GC1" s="700"/>
      <c r="GD1" s="700"/>
      <c r="GE1" s="700"/>
      <c r="GF1" s="700"/>
      <c r="GG1" s="700"/>
      <c r="GH1" s="700"/>
      <c r="GI1" s="700"/>
      <c r="GJ1" s="700"/>
      <c r="GK1" s="700"/>
      <c r="GL1" s="700"/>
      <c r="GM1" s="700"/>
      <c r="GN1" s="700"/>
      <c r="GO1" s="700"/>
      <c r="GP1" s="700"/>
      <c r="GQ1" s="700"/>
      <c r="GR1" s="700"/>
      <c r="GS1" s="700"/>
      <c r="GT1" s="700"/>
      <c r="GU1" s="700"/>
      <c r="GV1" s="700"/>
      <c r="GW1" s="700"/>
      <c r="GX1" s="700"/>
      <c r="GY1" s="700"/>
      <c r="GZ1" s="700"/>
      <c r="HA1" s="700"/>
      <c r="HB1" s="700"/>
      <c r="HC1" s="700"/>
      <c r="HD1" s="700"/>
      <c r="HE1" s="700"/>
      <c r="HF1" s="700"/>
      <c r="HG1" s="700"/>
      <c r="HH1" s="700"/>
      <c r="HI1" s="700"/>
      <c r="HJ1" s="700"/>
      <c r="HK1" s="700"/>
      <c r="HL1" s="700"/>
      <c r="HM1" s="700"/>
      <c r="HN1" s="700"/>
      <c r="HO1" s="700"/>
      <c r="HP1" s="700"/>
      <c r="HQ1" s="700"/>
      <c r="HR1" s="700"/>
      <c r="HS1" s="700"/>
      <c r="HT1" s="700"/>
      <c r="HU1" s="700"/>
      <c r="HV1" s="700"/>
      <c r="HW1" s="700"/>
      <c r="HX1" s="700"/>
      <c r="HY1" s="700"/>
      <c r="HZ1" s="700"/>
      <c r="IA1" s="700"/>
      <c r="IB1" s="700"/>
      <c r="IC1" s="700"/>
      <c r="ID1" s="700"/>
      <c r="IE1" s="700"/>
      <c r="IF1" s="700"/>
      <c r="IG1" s="700"/>
      <c r="IH1" s="700"/>
      <c r="II1" s="700"/>
      <c r="IJ1" s="700"/>
      <c r="IK1" s="700"/>
      <c r="IL1" s="700"/>
      <c r="IM1" s="700"/>
      <c r="IN1" s="700"/>
      <c r="IO1" s="700"/>
      <c r="IP1" s="700"/>
      <c r="IQ1" s="700"/>
      <c r="IR1" s="700"/>
      <c r="IS1" s="700"/>
      <c r="IT1" s="700"/>
      <c r="IU1" s="700"/>
      <c r="IV1" s="700"/>
      <c r="IW1" s="700"/>
      <c r="IX1" s="700"/>
      <c r="IY1" s="700"/>
      <c r="IZ1" s="700"/>
      <c r="JA1" s="700"/>
      <c r="JB1" s="700"/>
      <c r="JC1" s="700"/>
      <c r="JD1" s="700"/>
      <c r="JE1" s="700"/>
      <c r="JF1" s="700"/>
      <c r="JG1" s="700"/>
      <c r="JH1" s="700"/>
      <c r="JI1" s="700"/>
      <c r="JJ1" s="700"/>
      <c r="JK1" s="700"/>
      <c r="JL1" s="700"/>
      <c r="JM1" s="700"/>
      <c r="JN1" s="700"/>
      <c r="JO1" s="700"/>
      <c r="JP1" s="700"/>
      <c r="JQ1" s="700"/>
      <c r="JR1" s="700"/>
      <c r="JS1" s="700"/>
      <c r="JT1" s="700"/>
      <c r="JU1" s="700"/>
      <c r="JV1" s="700"/>
      <c r="JW1" s="700"/>
      <c r="JX1" s="700"/>
      <c r="JY1" s="700"/>
      <c r="JZ1" s="700"/>
      <c r="KA1" s="700"/>
      <c r="KB1" s="700"/>
      <c r="KC1" s="700"/>
      <c r="KD1" s="700"/>
      <c r="KE1" s="700"/>
      <c r="KF1" s="700"/>
      <c r="KG1" s="700"/>
      <c r="KH1" s="700"/>
      <c r="KI1" s="700"/>
      <c r="KJ1" s="700"/>
      <c r="KK1" s="700"/>
      <c r="KL1" s="700"/>
      <c r="KM1" s="700"/>
      <c r="KN1" s="700"/>
      <c r="KO1" s="700"/>
      <c r="KP1" s="700"/>
      <c r="KQ1" s="700"/>
      <c r="KR1" s="700"/>
      <c r="KS1" s="700"/>
      <c r="KT1" s="700"/>
      <c r="KU1" s="700"/>
      <c r="KV1" s="700"/>
      <c r="KW1" s="700"/>
      <c r="KX1" s="700"/>
      <c r="KY1" s="700"/>
      <c r="KZ1" s="700"/>
      <c r="LA1" s="700"/>
      <c r="LB1" s="700"/>
      <c r="LC1" s="700"/>
      <c r="LD1" s="700"/>
      <c r="LE1" s="700"/>
      <c r="LF1" s="700"/>
      <c r="LG1" s="700"/>
      <c r="LH1" s="700"/>
      <c r="LI1" s="700"/>
      <c r="LJ1" s="700"/>
      <c r="LK1" s="700"/>
      <c r="LL1" s="700"/>
      <c r="LM1" s="700"/>
      <c r="LN1" s="700"/>
      <c r="LO1" s="700"/>
      <c r="LP1" s="700"/>
      <c r="LQ1" s="700"/>
      <c r="LR1" s="700"/>
      <c r="LS1" s="700"/>
      <c r="LT1" s="700"/>
      <c r="LU1" s="700"/>
      <c r="LV1" s="700"/>
      <c r="LW1" s="700"/>
      <c r="LX1" s="700"/>
      <c r="LY1" s="700"/>
      <c r="LZ1" s="700"/>
      <c r="MA1" s="700"/>
      <c r="MB1" s="700"/>
      <c r="MC1" s="700"/>
      <c r="MD1" s="700"/>
      <c r="ME1" s="700"/>
      <c r="MF1" s="700"/>
      <c r="MG1" s="700"/>
      <c r="MH1" s="700"/>
      <c r="MI1" s="700"/>
      <c r="MJ1" s="700"/>
      <c r="MK1" s="700"/>
      <c r="ML1" s="700"/>
      <c r="MM1" s="700"/>
      <c r="MN1" s="700"/>
      <c r="MO1" s="700"/>
      <c r="MP1" s="700"/>
      <c r="MQ1" s="700"/>
      <c r="MR1" s="700"/>
      <c r="MS1" s="700"/>
      <c r="MT1" s="700"/>
      <c r="MU1" s="700"/>
      <c r="MV1" s="700"/>
      <c r="MW1" s="700"/>
      <c r="MX1" s="700"/>
      <c r="MY1" s="700"/>
      <c r="MZ1" s="700"/>
      <c r="NA1" s="700"/>
      <c r="NB1" s="700"/>
      <c r="NC1" s="700"/>
      <c r="ND1" s="700"/>
      <c r="NE1" s="700"/>
      <c r="NF1" s="700"/>
      <c r="NG1" s="700"/>
      <c r="NH1" s="700"/>
      <c r="NI1" s="700"/>
      <c r="NJ1" s="700"/>
      <c r="NK1" s="700"/>
      <c r="NL1" s="700"/>
      <c r="NM1" s="700"/>
      <c r="NN1" s="700"/>
      <c r="NO1" s="700"/>
      <c r="NP1" s="700"/>
      <c r="NQ1" s="700"/>
      <c r="NR1" s="700"/>
      <c r="NS1" s="700"/>
      <c r="NT1" s="700"/>
      <c r="NU1" s="700"/>
      <c r="NV1" s="700"/>
      <c r="NW1" s="700"/>
      <c r="NX1" s="700"/>
      <c r="NY1" s="700"/>
      <c r="NZ1" s="700"/>
      <c r="OA1" s="700"/>
      <c r="OB1" s="700"/>
      <c r="OC1" s="700"/>
      <c r="OD1" s="700"/>
      <c r="OE1" s="700"/>
      <c r="OF1" s="700"/>
      <c r="OG1" s="700"/>
      <c r="OH1" s="700"/>
      <c r="OI1" s="700"/>
      <c r="OJ1" s="700"/>
      <c r="OK1" s="700"/>
      <c r="OL1" s="700"/>
      <c r="OM1" s="700"/>
      <c r="ON1" s="700"/>
      <c r="OO1" s="700"/>
      <c r="OP1" s="700"/>
      <c r="OQ1" s="700"/>
      <c r="OR1" s="700"/>
      <c r="OS1" s="700"/>
      <c r="OT1" s="700"/>
      <c r="OU1" s="700"/>
      <c r="OV1" s="700"/>
      <c r="OW1" s="700"/>
      <c r="OX1" s="700"/>
      <c r="OY1" s="700"/>
      <c r="OZ1" s="700"/>
      <c r="PA1" s="700"/>
      <c r="PB1" s="700"/>
      <c r="PC1" s="700"/>
      <c r="PD1" s="700"/>
      <c r="PE1" s="700"/>
      <c r="PF1" s="700"/>
      <c r="PG1" s="700"/>
      <c r="PH1" s="700"/>
      <c r="PI1" s="700"/>
      <c r="PJ1" s="700"/>
      <c r="PK1" s="700"/>
      <c r="PL1" s="700"/>
      <c r="PM1" s="700"/>
      <c r="PN1" s="700"/>
      <c r="PO1" s="700"/>
      <c r="PP1" s="700"/>
      <c r="PQ1" s="700"/>
      <c r="PR1" s="700"/>
      <c r="PS1" s="700"/>
      <c r="PT1" s="700"/>
      <c r="PU1" s="700"/>
      <c r="PV1" s="700"/>
      <c r="PW1" s="700"/>
      <c r="PX1" s="700"/>
      <c r="PY1" s="700"/>
      <c r="PZ1" s="700"/>
      <c r="QA1" s="700"/>
      <c r="QB1" s="700"/>
      <c r="QC1" s="700"/>
      <c r="QD1" s="700"/>
      <c r="QE1" s="700"/>
      <c r="QF1" s="700"/>
      <c r="QG1" s="700"/>
      <c r="QH1" s="700"/>
      <c r="QI1" s="700"/>
      <c r="QJ1" s="700"/>
      <c r="QK1" s="700"/>
      <c r="QL1" s="700"/>
      <c r="QM1" s="700"/>
      <c r="QN1" s="700"/>
      <c r="QO1" s="700"/>
      <c r="QP1" s="700"/>
      <c r="QQ1" s="700"/>
      <c r="QR1" s="700"/>
      <c r="QS1" s="700"/>
      <c r="QT1" s="700"/>
      <c r="QU1" s="700"/>
      <c r="QV1" s="700"/>
      <c r="QW1" s="700"/>
      <c r="QX1" s="700"/>
      <c r="QY1" s="700"/>
      <c r="QZ1" s="700"/>
      <c r="RA1" s="700"/>
      <c r="RB1" s="700"/>
      <c r="RC1" s="700"/>
      <c r="RD1" s="700"/>
      <c r="RE1" s="700"/>
      <c r="RF1" s="700"/>
      <c r="RG1" s="700"/>
      <c r="RH1" s="700"/>
      <c r="RI1" s="700"/>
      <c r="RJ1" s="700"/>
      <c r="RK1" s="700"/>
      <c r="RL1" s="700"/>
      <c r="RM1" s="700"/>
      <c r="RN1" s="700"/>
      <c r="RO1" s="700"/>
      <c r="RP1" s="700"/>
      <c r="RQ1" s="700"/>
      <c r="RR1" s="700"/>
      <c r="RS1" s="700"/>
      <c r="RT1" s="700"/>
      <c r="RU1" s="700"/>
      <c r="RV1" s="700"/>
      <c r="RW1" s="700"/>
      <c r="RX1" s="700"/>
      <c r="RY1" s="700"/>
      <c r="RZ1" s="700"/>
      <c r="SA1" s="700"/>
      <c r="SB1" s="700"/>
      <c r="SC1" s="700"/>
      <c r="SD1" s="700"/>
      <c r="SE1" s="700"/>
      <c r="SF1" s="700"/>
      <c r="SG1" s="700"/>
      <c r="SH1" s="700"/>
      <c r="SI1" s="700"/>
      <c r="SJ1" s="700"/>
      <c r="SK1" s="700"/>
      <c r="SL1" s="700"/>
      <c r="SM1" s="700"/>
      <c r="SN1" s="700"/>
      <c r="SO1" s="700"/>
      <c r="SP1" s="700"/>
      <c r="SQ1" s="700"/>
      <c r="SR1" s="700"/>
      <c r="SS1" s="700"/>
      <c r="ST1" s="700"/>
      <c r="SU1" s="700"/>
      <c r="SV1" s="700"/>
      <c r="SW1" s="700"/>
      <c r="SX1" s="700"/>
      <c r="SY1" s="700"/>
      <c r="SZ1" s="700"/>
      <c r="TA1" s="700"/>
      <c r="TB1" s="700"/>
      <c r="TC1" s="700"/>
      <c r="TD1" s="700"/>
      <c r="TE1" s="700"/>
      <c r="TF1" s="700"/>
      <c r="TG1" s="700"/>
      <c r="TH1" s="700"/>
      <c r="TI1" s="700"/>
      <c r="TJ1" s="700"/>
      <c r="TK1" s="700"/>
      <c r="TL1" s="700"/>
      <c r="TM1" s="700"/>
      <c r="TN1" s="700"/>
      <c r="TO1" s="700"/>
      <c r="TP1" s="700"/>
      <c r="TQ1" s="700"/>
      <c r="TR1" s="700"/>
      <c r="TS1" s="700"/>
      <c r="TT1" s="700"/>
      <c r="TU1" s="700"/>
      <c r="TV1" s="700"/>
      <c r="TW1" s="700"/>
      <c r="TX1" s="700"/>
      <c r="TY1" s="700"/>
      <c r="TZ1" s="700"/>
      <c r="UA1" s="700"/>
      <c r="UB1" s="700"/>
      <c r="UC1" s="700"/>
      <c r="UD1" s="700"/>
      <c r="UE1" s="700"/>
      <c r="UF1" s="700"/>
      <c r="UG1" s="700"/>
      <c r="UH1" s="700"/>
      <c r="UI1" s="700"/>
      <c r="UJ1" s="700"/>
      <c r="UK1" s="700"/>
      <c r="UL1" s="700"/>
      <c r="UM1" s="700"/>
      <c r="UN1" s="700"/>
      <c r="UO1" s="700"/>
      <c r="UP1" s="700"/>
      <c r="UQ1" s="700"/>
      <c r="UR1" s="700"/>
      <c r="US1" s="700"/>
      <c r="UT1" s="700"/>
      <c r="UU1" s="700"/>
      <c r="UV1" s="700"/>
      <c r="UW1" s="700"/>
      <c r="UX1" s="700"/>
      <c r="UY1" s="700"/>
      <c r="UZ1" s="700"/>
      <c r="VA1" s="700"/>
      <c r="VB1" s="700"/>
      <c r="VC1" s="700"/>
      <c r="VD1" s="700"/>
      <c r="VE1" s="700"/>
      <c r="VF1" s="700"/>
      <c r="VG1" s="700"/>
      <c r="VH1" s="700"/>
      <c r="VI1" s="700"/>
      <c r="VJ1" s="700"/>
      <c r="VK1" s="700"/>
      <c r="VL1" s="700"/>
      <c r="VM1" s="700"/>
      <c r="VN1" s="700"/>
      <c r="VO1" s="700"/>
      <c r="VP1" s="700"/>
      <c r="VQ1" s="700"/>
      <c r="VR1" s="700"/>
      <c r="VS1" s="700"/>
      <c r="VT1" s="700"/>
      <c r="VU1" s="700"/>
      <c r="VV1" s="700"/>
      <c r="VW1" s="700"/>
      <c r="VX1" s="700"/>
      <c r="VY1" s="700"/>
      <c r="VZ1" s="700"/>
      <c r="WA1" s="700"/>
      <c r="WB1" s="700"/>
      <c r="WC1" s="700"/>
      <c r="WD1" s="700"/>
      <c r="WE1" s="700"/>
      <c r="WF1" s="700"/>
      <c r="WG1" s="700"/>
      <c r="WH1" s="700"/>
      <c r="WI1" s="700"/>
      <c r="WJ1" s="700"/>
      <c r="WK1" s="700"/>
      <c r="WL1" s="700"/>
      <c r="WM1" s="700"/>
      <c r="WN1" s="700"/>
      <c r="WO1" s="700"/>
      <c r="WP1" s="700"/>
      <c r="WQ1" s="700"/>
      <c r="WR1" s="700"/>
      <c r="WS1" s="700"/>
      <c r="WT1" s="700"/>
      <c r="WU1" s="700"/>
      <c r="WV1" s="700"/>
      <c r="WW1" s="700"/>
      <c r="WX1" s="700"/>
      <c r="WY1" s="700"/>
      <c r="WZ1" s="700"/>
      <c r="XA1" s="700"/>
      <c r="XB1" s="700"/>
      <c r="XC1" s="700"/>
      <c r="XD1" s="700"/>
      <c r="XE1" s="700"/>
      <c r="XF1" s="700"/>
      <c r="XG1" s="700"/>
      <c r="XH1" s="700"/>
      <c r="XI1" s="700"/>
      <c r="XJ1" s="700"/>
      <c r="XK1" s="700"/>
      <c r="XL1" s="700"/>
      <c r="XM1" s="700"/>
      <c r="XN1" s="700"/>
      <c r="XO1" s="700"/>
      <c r="XP1" s="700"/>
      <c r="XQ1" s="700"/>
      <c r="XR1" s="700"/>
      <c r="XS1" s="700"/>
      <c r="XT1" s="700"/>
      <c r="XU1" s="700"/>
      <c r="XV1" s="700"/>
      <c r="XW1" s="700"/>
      <c r="XX1" s="700"/>
      <c r="XY1" s="700"/>
      <c r="XZ1" s="700"/>
      <c r="YA1" s="700"/>
      <c r="YB1" s="700"/>
      <c r="YC1" s="700"/>
      <c r="YD1" s="700"/>
      <c r="YE1" s="700"/>
      <c r="YF1" s="700"/>
      <c r="YG1" s="700"/>
      <c r="YH1" s="700"/>
      <c r="YI1" s="700"/>
      <c r="YJ1" s="700"/>
      <c r="YK1" s="700"/>
      <c r="YL1" s="700"/>
      <c r="YM1" s="700"/>
      <c r="YN1" s="700"/>
      <c r="YO1" s="700"/>
      <c r="YP1" s="700"/>
      <c r="YQ1" s="700"/>
      <c r="YR1" s="700"/>
      <c r="YS1" s="700"/>
      <c r="YT1" s="700"/>
      <c r="YU1" s="700"/>
      <c r="YV1" s="700"/>
      <c r="YW1" s="700"/>
      <c r="YX1" s="700"/>
      <c r="YY1" s="700"/>
      <c r="YZ1" s="700"/>
      <c r="ZA1" s="700"/>
      <c r="ZB1" s="700"/>
      <c r="ZC1" s="700"/>
      <c r="ZD1" s="700"/>
      <c r="ZE1" s="700"/>
      <c r="ZF1" s="700"/>
      <c r="ZG1" s="700"/>
      <c r="ZH1" s="700"/>
      <c r="ZI1" s="700"/>
      <c r="ZJ1" s="700"/>
      <c r="ZK1" s="700"/>
      <c r="ZL1" s="700"/>
      <c r="ZM1" s="700"/>
      <c r="ZN1" s="700"/>
      <c r="ZO1" s="700"/>
      <c r="ZP1" s="700"/>
      <c r="ZQ1" s="700"/>
      <c r="ZR1" s="700"/>
      <c r="ZS1" s="700"/>
      <c r="ZT1" s="700"/>
      <c r="ZU1" s="700"/>
      <c r="ZV1" s="700"/>
      <c r="ZW1" s="700"/>
      <c r="ZX1" s="700"/>
      <c r="ZY1" s="700"/>
      <c r="ZZ1" s="700"/>
      <c r="AAA1" s="700"/>
      <c r="AAB1" s="700"/>
      <c r="AAC1" s="700"/>
      <c r="AAD1" s="700"/>
      <c r="AAE1" s="700"/>
      <c r="AAF1" s="700"/>
      <c r="AAG1" s="700"/>
      <c r="AAH1" s="700"/>
      <c r="AAI1" s="700"/>
      <c r="AAJ1" s="700"/>
      <c r="AAK1" s="700"/>
      <c r="AAL1" s="700"/>
      <c r="AAM1" s="700"/>
      <c r="AAN1" s="700"/>
      <c r="AAO1" s="700"/>
      <c r="AAP1" s="700"/>
      <c r="AAQ1" s="700"/>
      <c r="AAR1" s="700"/>
      <c r="AAS1" s="700"/>
      <c r="AAT1" s="700"/>
      <c r="AAU1" s="700"/>
      <c r="AAV1" s="700"/>
      <c r="AAW1" s="700"/>
      <c r="AAX1" s="700"/>
      <c r="AAY1" s="700"/>
      <c r="AAZ1" s="700"/>
      <c r="ABA1" s="700"/>
      <c r="ABB1" s="700"/>
      <c r="ABC1" s="700"/>
      <c r="ABD1" s="700"/>
      <c r="ABE1" s="700"/>
      <c r="ABF1" s="700"/>
      <c r="ABG1" s="700"/>
      <c r="ABH1" s="700"/>
      <c r="ABI1" s="700"/>
      <c r="ABJ1" s="700"/>
      <c r="ABK1" s="700"/>
      <c r="ABL1" s="700"/>
      <c r="ABM1" s="700"/>
      <c r="ABN1" s="700"/>
      <c r="ABO1" s="700"/>
      <c r="ABP1" s="700"/>
      <c r="ABQ1" s="700"/>
      <c r="ABR1" s="700"/>
      <c r="ABS1" s="700"/>
      <c r="ABT1" s="700"/>
      <c r="ABU1" s="700"/>
      <c r="ABV1" s="700"/>
      <c r="ABW1" s="700"/>
      <c r="ABX1" s="700"/>
      <c r="ABY1" s="700"/>
      <c r="ABZ1" s="700"/>
      <c r="ACA1" s="700"/>
      <c r="ACB1" s="700"/>
      <c r="ACC1" s="700"/>
      <c r="ACD1" s="700"/>
      <c r="ACE1" s="700"/>
      <c r="ACF1" s="700"/>
      <c r="ACG1" s="700"/>
      <c r="ACH1" s="700"/>
      <c r="ACI1" s="700"/>
      <c r="ACJ1" s="700"/>
      <c r="ACK1" s="700"/>
      <c r="ACL1" s="700"/>
      <c r="ACM1" s="700"/>
      <c r="ACN1" s="700"/>
      <c r="ACO1" s="700"/>
      <c r="ACP1" s="700"/>
      <c r="ACQ1" s="700"/>
      <c r="ACR1" s="700"/>
      <c r="ACS1" s="700"/>
      <c r="ACT1" s="700"/>
      <c r="ACU1" s="700"/>
      <c r="ACV1" s="700"/>
      <c r="ACW1" s="700"/>
      <c r="ACX1" s="700"/>
      <c r="ACY1" s="700"/>
      <c r="ACZ1" s="700"/>
      <c r="ADA1" s="700"/>
      <c r="ADB1" s="700"/>
      <c r="ADC1" s="700"/>
      <c r="ADD1" s="700"/>
      <c r="ADE1" s="700"/>
      <c r="ADF1" s="700"/>
      <c r="ADG1" s="700"/>
      <c r="ADH1" s="700"/>
      <c r="ADI1" s="700"/>
      <c r="ADJ1" s="700"/>
      <c r="ADK1" s="700"/>
      <c r="ADL1" s="700"/>
      <c r="ADM1" s="700"/>
      <c r="ADN1" s="700"/>
      <c r="ADO1" s="700"/>
      <c r="ADP1" s="700"/>
      <c r="ADQ1" s="700"/>
      <c r="ADR1" s="700"/>
      <c r="ADS1" s="700"/>
      <c r="ADT1" s="700"/>
      <c r="ADU1" s="700"/>
      <c r="ADV1" s="700"/>
      <c r="ADW1" s="700"/>
      <c r="ADX1" s="700"/>
      <c r="ADY1" s="700"/>
      <c r="ADZ1" s="700"/>
      <c r="AEA1" s="700"/>
      <c r="AEB1" s="700"/>
      <c r="AEC1" s="700"/>
      <c r="AED1" s="700"/>
      <c r="AEE1" s="700"/>
      <c r="AEF1" s="700"/>
      <c r="AEG1" s="700"/>
      <c r="AEH1" s="700"/>
      <c r="AEI1" s="700"/>
      <c r="AEJ1" s="700"/>
      <c r="AEK1" s="700"/>
      <c r="AEL1" s="700"/>
      <c r="AEM1" s="700"/>
      <c r="AEN1" s="700"/>
      <c r="AEO1" s="700"/>
      <c r="AEP1" s="700"/>
      <c r="AEQ1" s="700"/>
      <c r="AER1" s="700"/>
      <c r="AES1" s="700"/>
      <c r="AET1" s="700"/>
      <c r="AEU1" s="700"/>
      <c r="AEV1" s="700"/>
      <c r="AEW1" s="700"/>
      <c r="AEX1" s="700"/>
      <c r="AEY1" s="700"/>
      <c r="AEZ1" s="700"/>
      <c r="AFA1" s="700"/>
      <c r="AFB1" s="700"/>
      <c r="AFC1" s="700"/>
      <c r="AFD1" s="700"/>
      <c r="AFE1" s="700"/>
      <c r="AFF1" s="700"/>
      <c r="AFG1" s="700"/>
      <c r="AFH1" s="700"/>
      <c r="AFI1" s="700"/>
      <c r="AFJ1" s="700"/>
      <c r="AFK1" s="700"/>
      <c r="AFL1" s="700"/>
      <c r="AFM1" s="700"/>
      <c r="AFN1" s="700"/>
      <c r="AFO1" s="700"/>
      <c r="AFP1" s="700"/>
      <c r="AFQ1" s="700"/>
      <c r="AFR1" s="700"/>
      <c r="AFS1" s="700"/>
      <c r="AFT1" s="700"/>
      <c r="AFU1" s="700"/>
      <c r="AFV1" s="700"/>
      <c r="AFW1" s="700"/>
      <c r="AFX1" s="700"/>
      <c r="AFY1" s="700"/>
      <c r="AFZ1" s="700"/>
      <c r="AGA1" s="700"/>
      <c r="AGB1" s="700"/>
      <c r="AGC1" s="700"/>
      <c r="AGD1" s="700"/>
      <c r="AGE1" s="700"/>
      <c r="AGF1" s="700"/>
      <c r="AGG1" s="700"/>
      <c r="AGH1" s="700"/>
      <c r="AGI1" s="700"/>
      <c r="AGJ1" s="700"/>
      <c r="AGK1" s="700"/>
      <c r="AGL1" s="700"/>
      <c r="AGM1" s="700"/>
      <c r="AGN1" s="700"/>
      <c r="AGO1" s="700"/>
      <c r="AGP1" s="700"/>
      <c r="AGQ1" s="700"/>
      <c r="AGR1" s="700"/>
      <c r="AGS1" s="700"/>
      <c r="AGT1" s="700"/>
      <c r="AGU1" s="700"/>
      <c r="AGV1" s="700"/>
      <c r="AGW1" s="700"/>
      <c r="AGX1" s="700"/>
      <c r="AGY1" s="700"/>
      <c r="AGZ1" s="700"/>
      <c r="AHA1" s="700"/>
      <c r="AHB1" s="700"/>
      <c r="AHC1" s="700"/>
      <c r="AHD1" s="700"/>
      <c r="AHE1" s="700"/>
      <c r="AHF1" s="700"/>
      <c r="AHG1" s="700"/>
      <c r="AHH1" s="700"/>
      <c r="AHI1" s="700"/>
      <c r="AHJ1" s="700"/>
      <c r="AHK1" s="700"/>
      <c r="AHL1" s="700"/>
      <c r="AHM1" s="700"/>
      <c r="AHN1" s="700"/>
      <c r="AHO1" s="700"/>
      <c r="AHP1" s="700"/>
      <c r="AHQ1" s="700"/>
      <c r="AHR1" s="700"/>
      <c r="AHS1" s="700"/>
      <c r="AHT1" s="700"/>
      <c r="AHU1" s="700"/>
      <c r="AHV1" s="700"/>
      <c r="AHW1" s="700"/>
      <c r="AHX1" s="700"/>
      <c r="AHY1" s="700"/>
      <c r="AHZ1" s="700"/>
      <c r="AIA1" s="700"/>
      <c r="AIB1" s="700"/>
      <c r="AIC1" s="700"/>
      <c r="AID1" s="700"/>
      <c r="AIE1" s="700"/>
      <c r="AIF1" s="700"/>
      <c r="AIG1" s="700"/>
      <c r="AIH1" s="700"/>
      <c r="AII1" s="700"/>
      <c r="AIJ1" s="700"/>
      <c r="AIK1" s="700"/>
      <c r="AIL1" s="700"/>
      <c r="AIM1" s="700"/>
      <c r="AIN1" s="700"/>
      <c r="AIO1" s="700"/>
      <c r="AIP1" s="700"/>
      <c r="AIQ1" s="700"/>
      <c r="AIR1" s="700"/>
      <c r="AIS1" s="700"/>
      <c r="AIT1" s="700"/>
      <c r="AIU1" s="700"/>
      <c r="AIV1" s="700"/>
      <c r="AIW1" s="700"/>
      <c r="AIX1" s="700"/>
      <c r="AIY1" s="700"/>
      <c r="AIZ1" s="700"/>
      <c r="AJA1" s="700"/>
      <c r="AJB1" s="700"/>
      <c r="AJC1" s="700"/>
      <c r="AJD1" s="700"/>
      <c r="AJE1" s="700"/>
      <c r="AJF1" s="700"/>
      <c r="AJG1" s="700"/>
      <c r="AJH1" s="700"/>
      <c r="AJI1" s="700"/>
      <c r="AJJ1" s="700"/>
      <c r="AJK1" s="700"/>
      <c r="AJL1" s="700"/>
      <c r="AJM1" s="700"/>
      <c r="AJN1" s="700"/>
      <c r="AJO1" s="700"/>
      <c r="AJP1" s="700"/>
      <c r="AJQ1" s="700"/>
      <c r="AJR1" s="700"/>
      <c r="AJS1" s="700"/>
      <c r="AJT1" s="700"/>
      <c r="AJU1" s="700"/>
      <c r="AJV1" s="700"/>
      <c r="AJW1" s="700"/>
      <c r="AJX1" s="700"/>
      <c r="AJY1" s="700"/>
      <c r="AJZ1" s="700"/>
      <c r="AKA1" s="700"/>
      <c r="AKB1" s="700"/>
      <c r="AKC1" s="700"/>
      <c r="AKD1" s="700"/>
      <c r="AKE1" s="700"/>
      <c r="AKF1" s="700"/>
      <c r="AKG1" s="700"/>
      <c r="AKH1" s="700"/>
      <c r="AKI1" s="700"/>
      <c r="AKJ1" s="700"/>
      <c r="AKK1" s="700"/>
      <c r="AKL1" s="700"/>
      <c r="AKM1" s="700"/>
      <c r="AKN1" s="700"/>
      <c r="AKO1" s="700"/>
      <c r="AKP1" s="700"/>
      <c r="AKQ1" s="700"/>
      <c r="AKR1" s="700"/>
      <c r="AKS1" s="700"/>
      <c r="AKT1" s="700"/>
      <c r="AKU1" s="700"/>
      <c r="AKV1" s="700"/>
      <c r="AKW1" s="700"/>
      <c r="AKX1" s="700"/>
      <c r="AKY1" s="700"/>
      <c r="AKZ1" s="700"/>
      <c r="ALA1" s="700"/>
      <c r="ALB1" s="700"/>
      <c r="ALC1" s="700"/>
      <c r="ALD1" s="700"/>
      <c r="ALE1" s="700"/>
      <c r="ALF1" s="700"/>
      <c r="ALG1" s="700"/>
      <c r="ALH1" s="700"/>
      <c r="ALI1" s="700"/>
      <c r="ALJ1" s="700"/>
      <c r="ALK1" s="700"/>
      <c r="ALL1" s="700"/>
      <c r="ALM1" s="700"/>
      <c r="ALN1" s="700"/>
      <c r="ALO1" s="700"/>
      <c r="ALP1" s="700"/>
      <c r="ALQ1" s="700"/>
      <c r="ALR1" s="700"/>
      <c r="ALS1" s="700"/>
      <c r="ALT1" s="700"/>
      <c r="ALU1" s="700"/>
      <c r="ALV1" s="700"/>
      <c r="ALW1" s="700"/>
      <c r="ALX1" s="700"/>
      <c r="ALY1" s="700"/>
      <c r="ALZ1" s="700"/>
      <c r="AMA1" s="700"/>
      <c r="AMB1" s="700"/>
      <c r="AMC1" s="700"/>
      <c r="AMD1" s="700"/>
      <c r="AME1" s="700"/>
      <c r="AMF1" s="700"/>
      <c r="AMG1" s="700"/>
      <c r="AMH1" s="700"/>
      <c r="AMI1" s="700"/>
      <c r="AMJ1" s="700"/>
      <c r="AMK1" s="700"/>
      <c r="AML1" s="700"/>
      <c r="AMM1" s="700"/>
      <c r="AMN1" s="700"/>
      <c r="AMO1" s="700"/>
      <c r="AMP1" s="700"/>
      <c r="AMQ1" s="700"/>
      <c r="AMR1" s="700"/>
      <c r="AMS1" s="700"/>
      <c r="AMT1" s="700"/>
      <c r="AMU1" s="700"/>
      <c r="AMV1" s="700"/>
      <c r="AMW1" s="700"/>
      <c r="AMX1" s="700"/>
      <c r="AMY1" s="700"/>
      <c r="AMZ1" s="700"/>
      <c r="ANA1" s="700"/>
      <c r="ANB1" s="700"/>
      <c r="ANC1" s="700"/>
      <c r="AND1" s="700"/>
      <c r="ANE1" s="700"/>
      <c r="ANF1" s="700"/>
      <c r="ANG1" s="700"/>
      <c r="ANH1" s="700"/>
      <c r="ANI1" s="700"/>
      <c r="ANJ1" s="700"/>
      <c r="ANK1" s="700"/>
      <c r="ANL1" s="700"/>
      <c r="ANM1" s="700"/>
      <c r="ANN1" s="700"/>
      <c r="ANO1" s="700"/>
      <c r="ANP1" s="700"/>
      <c r="ANQ1" s="700"/>
      <c r="ANR1" s="700"/>
      <c r="ANS1" s="700"/>
      <c r="ANT1" s="700"/>
      <c r="ANU1" s="700"/>
      <c r="ANV1" s="700"/>
      <c r="ANW1" s="700"/>
      <c r="ANX1" s="700"/>
      <c r="ANY1" s="700"/>
      <c r="ANZ1" s="700"/>
      <c r="AOA1" s="700"/>
      <c r="AOB1" s="700"/>
      <c r="AOC1" s="700"/>
      <c r="AOD1" s="700"/>
      <c r="AOE1" s="700"/>
      <c r="AOF1" s="700"/>
      <c r="AOG1" s="700"/>
      <c r="AOH1" s="700"/>
      <c r="AOI1" s="700"/>
      <c r="AOJ1" s="700"/>
      <c r="AOK1" s="700"/>
      <c r="AOL1" s="700"/>
      <c r="AOM1" s="700"/>
      <c r="AON1" s="700"/>
      <c r="AOO1" s="700"/>
      <c r="AOP1" s="700"/>
      <c r="AOQ1" s="700"/>
      <c r="AOR1" s="700"/>
      <c r="AOS1" s="700"/>
      <c r="AOT1" s="700"/>
      <c r="AOU1" s="700"/>
      <c r="AOV1" s="700"/>
      <c r="AOW1" s="700"/>
      <c r="AOX1" s="700"/>
      <c r="AOY1" s="700"/>
      <c r="AOZ1" s="700"/>
      <c r="APA1" s="700"/>
      <c r="APB1" s="700"/>
      <c r="APC1" s="700"/>
      <c r="APD1" s="700"/>
      <c r="APE1" s="700"/>
      <c r="APF1" s="700"/>
      <c r="APG1" s="700"/>
      <c r="APH1" s="700"/>
      <c r="API1" s="700"/>
      <c r="APJ1" s="700"/>
      <c r="APK1" s="700"/>
      <c r="APL1" s="700"/>
      <c r="APM1" s="700"/>
      <c r="APN1" s="700"/>
      <c r="APO1" s="700"/>
      <c r="APP1" s="700"/>
      <c r="APQ1" s="700"/>
      <c r="APR1" s="700"/>
      <c r="APS1" s="700"/>
      <c r="APT1" s="700"/>
      <c r="APU1" s="700"/>
      <c r="APV1" s="700"/>
      <c r="APW1" s="700"/>
      <c r="APX1" s="700"/>
      <c r="APY1" s="700"/>
      <c r="APZ1" s="700"/>
      <c r="AQA1" s="700"/>
      <c r="AQB1" s="700"/>
      <c r="AQC1" s="700"/>
      <c r="AQD1" s="700"/>
      <c r="AQE1" s="700"/>
      <c r="AQF1" s="700"/>
      <c r="AQG1" s="700"/>
      <c r="AQH1" s="700"/>
      <c r="AQI1" s="700"/>
      <c r="AQJ1" s="700"/>
      <c r="AQK1" s="700"/>
      <c r="AQL1" s="700"/>
      <c r="AQM1" s="700"/>
      <c r="AQN1" s="700"/>
      <c r="AQO1" s="700"/>
      <c r="AQP1" s="700"/>
      <c r="AQQ1" s="700"/>
      <c r="AQR1" s="700"/>
      <c r="AQS1" s="700"/>
      <c r="AQT1" s="700"/>
      <c r="AQU1" s="700"/>
      <c r="AQV1" s="700"/>
      <c r="AQW1" s="700"/>
      <c r="AQX1" s="700"/>
      <c r="AQY1" s="700"/>
      <c r="AQZ1" s="700"/>
      <c r="ARA1" s="700"/>
      <c r="ARB1" s="700"/>
      <c r="ARC1" s="700"/>
      <c r="ARD1" s="700"/>
      <c r="ARE1" s="700"/>
      <c r="ARF1" s="700"/>
      <c r="ARG1" s="700"/>
      <c r="ARH1" s="700"/>
      <c r="ARI1" s="700"/>
      <c r="ARJ1" s="700"/>
      <c r="ARK1" s="700"/>
      <c r="ARL1" s="700"/>
      <c r="ARM1" s="700"/>
      <c r="ARN1" s="700"/>
      <c r="ARO1" s="700"/>
      <c r="ARP1" s="700"/>
      <c r="ARQ1" s="700"/>
      <c r="ARR1" s="700"/>
      <c r="ARS1" s="700"/>
      <c r="ART1" s="700"/>
      <c r="ARU1" s="700"/>
      <c r="ARV1" s="700"/>
      <c r="ARW1" s="700"/>
      <c r="ARX1" s="700"/>
      <c r="ARY1" s="700"/>
      <c r="ARZ1" s="700"/>
      <c r="ASA1" s="700"/>
      <c r="ASB1" s="700"/>
      <c r="ASC1" s="700"/>
      <c r="ASD1" s="700"/>
      <c r="ASE1" s="700"/>
      <c r="ASF1" s="700"/>
      <c r="ASG1" s="700"/>
      <c r="ASH1" s="700"/>
      <c r="ASI1" s="700"/>
      <c r="ASJ1" s="700"/>
      <c r="ASK1" s="700"/>
      <c r="ASL1" s="700"/>
      <c r="ASM1" s="700"/>
      <c r="ASN1" s="700"/>
      <c r="ASO1" s="700"/>
      <c r="ASP1" s="700"/>
      <c r="ASQ1" s="700"/>
      <c r="ASR1" s="700"/>
      <c r="ASS1" s="700"/>
      <c r="AST1" s="700"/>
      <c r="ASU1" s="700"/>
      <c r="ASV1" s="700"/>
      <c r="ASW1" s="700"/>
      <c r="ASX1" s="700"/>
      <c r="ASY1" s="700"/>
      <c r="ASZ1" s="700"/>
      <c r="ATA1" s="700"/>
      <c r="ATB1" s="700"/>
      <c r="ATC1" s="700"/>
      <c r="ATD1" s="700"/>
      <c r="ATE1" s="700"/>
      <c r="ATF1" s="700"/>
      <c r="ATG1" s="700"/>
      <c r="ATH1" s="700"/>
      <c r="ATI1" s="700"/>
      <c r="ATJ1" s="700"/>
      <c r="ATK1" s="700"/>
      <c r="ATL1" s="700"/>
      <c r="ATM1" s="700"/>
      <c r="ATN1" s="700"/>
      <c r="ATO1" s="700"/>
      <c r="ATP1" s="700"/>
      <c r="ATQ1" s="700"/>
      <c r="ATR1" s="700"/>
      <c r="ATS1" s="700"/>
      <c r="ATT1" s="700"/>
      <c r="ATU1" s="700"/>
      <c r="ATV1" s="700"/>
      <c r="ATW1" s="700"/>
      <c r="ATX1" s="700"/>
      <c r="ATY1" s="700"/>
      <c r="ATZ1" s="700"/>
      <c r="AUA1" s="700"/>
      <c r="AUB1" s="700"/>
      <c r="AUC1" s="700"/>
      <c r="AUD1" s="700"/>
      <c r="AUE1" s="700"/>
      <c r="AUF1" s="700"/>
      <c r="AUG1" s="700"/>
      <c r="AUH1" s="700"/>
      <c r="AUI1" s="700"/>
      <c r="AUJ1" s="700"/>
      <c r="AUK1" s="700"/>
      <c r="AUL1" s="700"/>
      <c r="AUM1" s="700"/>
      <c r="AUN1" s="700"/>
      <c r="AUO1" s="700"/>
      <c r="AUP1" s="700"/>
      <c r="AUQ1" s="700"/>
      <c r="AUR1" s="700"/>
      <c r="AUS1" s="700"/>
      <c r="AUT1" s="700"/>
      <c r="AUU1" s="700"/>
      <c r="AUV1" s="700"/>
      <c r="AUW1" s="700"/>
      <c r="AUX1" s="700"/>
      <c r="AUY1" s="700"/>
      <c r="AUZ1" s="700"/>
      <c r="AVA1" s="700"/>
      <c r="AVB1" s="700"/>
      <c r="AVC1" s="700"/>
      <c r="AVD1" s="700"/>
      <c r="AVE1" s="700"/>
      <c r="AVF1" s="700"/>
      <c r="AVG1" s="700"/>
      <c r="AVH1" s="700"/>
      <c r="AVI1" s="700"/>
      <c r="AVJ1" s="700"/>
      <c r="AVK1" s="700"/>
      <c r="AVL1" s="700"/>
      <c r="AVM1" s="700"/>
      <c r="AVN1" s="700"/>
      <c r="AVO1" s="700"/>
      <c r="AVP1" s="700"/>
      <c r="AVQ1" s="700"/>
      <c r="AVR1" s="700"/>
      <c r="AVS1" s="700"/>
      <c r="AVT1" s="700"/>
      <c r="AVU1" s="700"/>
      <c r="AVV1" s="700"/>
      <c r="AVW1" s="700"/>
      <c r="AVX1" s="700"/>
      <c r="AVY1" s="700"/>
      <c r="AVZ1" s="700"/>
      <c r="AWA1" s="700"/>
      <c r="AWB1" s="700"/>
      <c r="AWC1" s="700"/>
      <c r="AWD1" s="700"/>
      <c r="AWE1" s="700"/>
      <c r="AWF1" s="700"/>
      <c r="AWG1" s="700"/>
      <c r="AWH1" s="700"/>
      <c r="AWI1" s="700"/>
      <c r="AWJ1" s="700"/>
      <c r="AWK1" s="700"/>
      <c r="AWL1" s="700"/>
      <c r="AWM1" s="700"/>
      <c r="AWN1" s="700"/>
      <c r="AWO1" s="700"/>
      <c r="AWP1" s="700"/>
      <c r="AWQ1" s="700"/>
      <c r="AWR1" s="700"/>
      <c r="AWS1" s="700"/>
      <c r="AWT1" s="700"/>
      <c r="AWU1" s="700"/>
      <c r="AWV1" s="700"/>
      <c r="AWW1" s="700"/>
      <c r="AWX1" s="700"/>
      <c r="AWY1" s="700"/>
      <c r="AWZ1" s="700"/>
      <c r="AXA1" s="700"/>
      <c r="AXB1" s="700"/>
      <c r="AXC1" s="700"/>
      <c r="AXD1" s="700"/>
      <c r="AXE1" s="700"/>
      <c r="AXF1" s="700"/>
      <c r="AXG1" s="700"/>
      <c r="AXH1" s="700"/>
      <c r="AXI1" s="700"/>
      <c r="AXJ1" s="700"/>
      <c r="AXK1" s="700"/>
      <c r="AXL1" s="700"/>
      <c r="AXM1" s="700"/>
      <c r="AXN1" s="700"/>
      <c r="AXO1" s="700"/>
      <c r="AXP1" s="700"/>
      <c r="AXQ1" s="700"/>
      <c r="AXR1" s="700"/>
      <c r="AXS1" s="700"/>
      <c r="AXT1" s="700"/>
      <c r="AXU1" s="700"/>
      <c r="AXV1" s="700"/>
      <c r="AXW1" s="700"/>
      <c r="AXX1" s="700"/>
      <c r="AXY1" s="700"/>
      <c r="AXZ1" s="700"/>
      <c r="AYA1" s="700"/>
      <c r="AYB1" s="700"/>
      <c r="AYC1" s="700"/>
      <c r="AYD1" s="700"/>
      <c r="AYE1" s="700"/>
      <c r="AYF1" s="700"/>
      <c r="AYG1" s="700"/>
      <c r="AYH1" s="700"/>
      <c r="AYI1" s="700"/>
      <c r="AYJ1" s="700"/>
      <c r="AYK1" s="700"/>
      <c r="AYL1" s="700"/>
      <c r="AYM1" s="700"/>
      <c r="AYN1" s="700"/>
      <c r="AYO1" s="700"/>
      <c r="AYP1" s="700"/>
      <c r="AYQ1" s="700"/>
      <c r="AYR1" s="700"/>
      <c r="AYS1" s="700"/>
      <c r="AYT1" s="700"/>
      <c r="AYU1" s="700"/>
      <c r="AYV1" s="700"/>
      <c r="AYW1" s="700"/>
      <c r="AYX1" s="700"/>
      <c r="AYY1" s="700"/>
      <c r="AYZ1" s="700"/>
      <c r="AZA1" s="700"/>
      <c r="AZB1" s="700"/>
      <c r="AZC1" s="700"/>
      <c r="AZD1" s="700"/>
      <c r="AZE1" s="700"/>
      <c r="AZF1" s="700"/>
      <c r="AZG1" s="700"/>
      <c r="AZH1" s="700"/>
      <c r="AZI1" s="700"/>
      <c r="AZJ1" s="700"/>
      <c r="AZK1" s="700"/>
      <c r="AZL1" s="700"/>
      <c r="AZM1" s="700"/>
      <c r="AZN1" s="700"/>
      <c r="AZO1" s="700"/>
      <c r="AZP1" s="700"/>
      <c r="AZQ1" s="700"/>
      <c r="AZR1" s="700"/>
      <c r="AZS1" s="700"/>
      <c r="AZT1" s="700"/>
      <c r="AZU1" s="700"/>
      <c r="AZV1" s="700"/>
      <c r="AZW1" s="700"/>
      <c r="AZX1" s="700"/>
      <c r="AZY1" s="700"/>
      <c r="AZZ1" s="700"/>
      <c r="BAA1" s="700"/>
      <c r="BAB1" s="700"/>
      <c r="BAC1" s="700"/>
      <c r="BAD1" s="700"/>
      <c r="BAE1" s="700"/>
      <c r="BAF1" s="700"/>
      <c r="BAG1" s="700"/>
      <c r="BAH1" s="700"/>
      <c r="BAI1" s="700"/>
      <c r="BAJ1" s="700"/>
      <c r="BAK1" s="700"/>
      <c r="BAL1" s="700"/>
      <c r="BAM1" s="700"/>
      <c r="BAN1" s="700"/>
      <c r="BAO1" s="700"/>
      <c r="BAP1" s="700"/>
      <c r="BAQ1" s="700"/>
      <c r="BAR1" s="700"/>
      <c r="BAS1" s="700"/>
      <c r="BAT1" s="700"/>
      <c r="BAU1" s="700"/>
      <c r="BAV1" s="700"/>
      <c r="BAW1" s="700"/>
      <c r="BAX1" s="700"/>
      <c r="BAY1" s="700"/>
      <c r="BAZ1" s="700"/>
      <c r="BBA1" s="700"/>
      <c r="BBB1" s="700"/>
      <c r="BBC1" s="700"/>
      <c r="BBD1" s="700"/>
      <c r="BBE1" s="700"/>
      <c r="BBF1" s="700"/>
      <c r="BBG1" s="700"/>
      <c r="BBH1" s="700"/>
      <c r="BBI1" s="700"/>
      <c r="BBJ1" s="700"/>
      <c r="BBK1" s="700"/>
      <c r="BBL1" s="700"/>
      <c r="BBM1" s="700"/>
      <c r="BBN1" s="700"/>
      <c r="BBO1" s="700"/>
      <c r="BBP1" s="700"/>
      <c r="BBQ1" s="700"/>
      <c r="BBR1" s="700"/>
      <c r="BBS1" s="700"/>
      <c r="BBT1" s="700"/>
      <c r="BBU1" s="700"/>
      <c r="BBV1" s="700"/>
      <c r="BBW1" s="700"/>
      <c r="BBX1" s="700"/>
      <c r="BBY1" s="700"/>
      <c r="BBZ1" s="700"/>
      <c r="BCA1" s="700"/>
      <c r="BCB1" s="700"/>
      <c r="BCC1" s="700"/>
      <c r="BCD1" s="700"/>
      <c r="BCE1" s="700"/>
      <c r="BCF1" s="700"/>
      <c r="BCG1" s="700"/>
      <c r="BCH1" s="700"/>
      <c r="BCI1" s="700"/>
      <c r="BCJ1" s="700"/>
      <c r="BCK1" s="700"/>
      <c r="BCL1" s="700"/>
      <c r="BCM1" s="700"/>
      <c r="BCN1" s="700"/>
      <c r="BCO1" s="700"/>
      <c r="BCP1" s="700"/>
      <c r="BCQ1" s="700"/>
      <c r="BCR1" s="700"/>
      <c r="BCS1" s="700"/>
      <c r="BCT1" s="700"/>
      <c r="BCU1" s="700"/>
      <c r="BCV1" s="700"/>
      <c r="BCW1" s="700"/>
      <c r="BCX1" s="700"/>
      <c r="BCY1" s="700"/>
      <c r="BCZ1" s="700"/>
      <c r="BDA1" s="700"/>
      <c r="BDB1" s="700"/>
      <c r="BDC1" s="700"/>
      <c r="BDD1" s="700"/>
      <c r="BDE1" s="700"/>
      <c r="BDF1" s="700"/>
      <c r="BDG1" s="700"/>
      <c r="BDH1" s="700"/>
      <c r="BDI1" s="700"/>
      <c r="BDJ1" s="700"/>
      <c r="BDK1" s="700"/>
      <c r="BDL1" s="700"/>
      <c r="BDM1" s="700"/>
      <c r="BDN1" s="700"/>
      <c r="BDO1" s="700"/>
      <c r="BDP1" s="700"/>
      <c r="BDQ1" s="700"/>
      <c r="BDR1" s="700"/>
      <c r="BDS1" s="700"/>
      <c r="BDT1" s="700"/>
      <c r="BDU1" s="700"/>
      <c r="BDV1" s="700"/>
      <c r="BDW1" s="700"/>
      <c r="BDX1" s="700"/>
      <c r="BDY1" s="700"/>
      <c r="BDZ1" s="700"/>
      <c r="BEA1" s="700"/>
      <c r="BEB1" s="700"/>
      <c r="BEC1" s="700"/>
      <c r="BED1" s="700"/>
      <c r="BEE1" s="700"/>
      <c r="BEF1" s="700"/>
      <c r="BEG1" s="700"/>
      <c r="BEH1" s="700"/>
      <c r="BEI1" s="700"/>
      <c r="BEJ1" s="700"/>
      <c r="BEK1" s="700"/>
      <c r="BEL1" s="700"/>
      <c r="BEM1" s="700"/>
      <c r="BEN1" s="700"/>
      <c r="BEO1" s="700"/>
      <c r="BEP1" s="700"/>
      <c r="BEQ1" s="700"/>
      <c r="BER1" s="700"/>
      <c r="BES1" s="700"/>
      <c r="BET1" s="700"/>
      <c r="BEU1" s="700"/>
      <c r="BEV1" s="700"/>
      <c r="BEW1" s="700"/>
      <c r="BEX1" s="700"/>
      <c r="BEY1" s="700"/>
      <c r="BEZ1" s="700"/>
      <c r="BFA1" s="700"/>
      <c r="BFB1" s="700"/>
      <c r="BFC1" s="700"/>
      <c r="BFD1" s="700"/>
      <c r="BFE1" s="700"/>
      <c r="BFF1" s="700"/>
      <c r="BFG1" s="700"/>
      <c r="BFH1" s="700"/>
      <c r="BFI1" s="700"/>
      <c r="BFJ1" s="700"/>
      <c r="BFK1" s="700"/>
      <c r="BFL1" s="700"/>
      <c r="BFM1" s="700"/>
      <c r="BFN1" s="700"/>
      <c r="BFO1" s="700"/>
      <c r="BFP1" s="700"/>
      <c r="BFQ1" s="700"/>
      <c r="BFR1" s="700"/>
      <c r="BFS1" s="700"/>
      <c r="BFT1" s="700"/>
      <c r="BFU1" s="700"/>
      <c r="BFV1" s="700"/>
      <c r="BFW1" s="700"/>
      <c r="BFX1" s="700"/>
      <c r="BFY1" s="700"/>
      <c r="BFZ1" s="700"/>
      <c r="BGA1" s="700"/>
      <c r="BGB1" s="700"/>
      <c r="BGC1" s="700"/>
      <c r="BGD1" s="700"/>
      <c r="BGE1" s="700"/>
      <c r="BGF1" s="700"/>
      <c r="BGG1" s="700"/>
      <c r="BGH1" s="700"/>
      <c r="BGI1" s="700"/>
      <c r="BGJ1" s="700"/>
      <c r="BGK1" s="700"/>
      <c r="BGL1" s="700"/>
      <c r="BGM1" s="700"/>
      <c r="BGN1" s="700"/>
      <c r="BGO1" s="700"/>
      <c r="BGP1" s="700"/>
      <c r="BGQ1" s="700"/>
      <c r="BGR1" s="700"/>
      <c r="BGS1" s="700"/>
      <c r="BGT1" s="700"/>
      <c r="BGU1" s="700"/>
      <c r="BGV1" s="700"/>
      <c r="BGW1" s="700"/>
      <c r="BGX1" s="700"/>
      <c r="BGY1" s="700"/>
      <c r="BGZ1" s="700"/>
      <c r="BHA1" s="700"/>
      <c r="BHB1" s="700"/>
      <c r="BHC1" s="700"/>
      <c r="BHD1" s="700"/>
      <c r="BHE1" s="700"/>
      <c r="BHF1" s="700"/>
      <c r="BHG1" s="700"/>
      <c r="BHH1" s="700"/>
      <c r="BHI1" s="700"/>
      <c r="BHJ1" s="700"/>
      <c r="BHK1" s="700"/>
      <c r="BHL1" s="700"/>
      <c r="BHM1" s="700"/>
      <c r="BHN1" s="700"/>
      <c r="BHO1" s="700"/>
      <c r="BHP1" s="700"/>
      <c r="BHQ1" s="700"/>
      <c r="BHR1" s="700"/>
      <c r="BHS1" s="700"/>
      <c r="BHT1" s="700"/>
      <c r="BHU1" s="700"/>
      <c r="BHV1" s="700"/>
      <c r="BHW1" s="700"/>
      <c r="BHX1" s="700"/>
      <c r="BHY1" s="700"/>
      <c r="BHZ1" s="700"/>
      <c r="BIA1" s="700"/>
      <c r="BIB1" s="700"/>
      <c r="BIC1" s="700"/>
      <c r="BID1" s="700"/>
      <c r="BIE1" s="700"/>
      <c r="BIF1" s="700"/>
      <c r="BIG1" s="700"/>
      <c r="BIH1" s="700"/>
      <c r="BII1" s="700"/>
      <c r="BIJ1" s="700"/>
      <c r="BIK1" s="700"/>
      <c r="BIL1" s="700"/>
      <c r="BIM1" s="700"/>
      <c r="BIN1" s="700"/>
      <c r="BIO1" s="700"/>
      <c r="BIP1" s="700"/>
      <c r="BIQ1" s="700"/>
      <c r="BIR1" s="700"/>
      <c r="BIS1" s="700"/>
      <c r="BIT1" s="700"/>
      <c r="BIU1" s="700"/>
      <c r="BIV1" s="700"/>
      <c r="BIW1" s="700"/>
      <c r="BIX1" s="700"/>
      <c r="BIY1" s="700"/>
      <c r="BIZ1" s="700"/>
      <c r="BJA1" s="700"/>
      <c r="BJB1" s="700"/>
      <c r="BJC1" s="700"/>
      <c r="BJD1" s="700"/>
      <c r="BJE1" s="700"/>
      <c r="BJF1" s="700"/>
      <c r="BJG1" s="700"/>
      <c r="BJH1" s="700"/>
      <c r="BJI1" s="700"/>
      <c r="BJJ1" s="700"/>
      <c r="BJK1" s="700"/>
      <c r="BJL1" s="700"/>
      <c r="BJM1" s="700"/>
      <c r="BJN1" s="700"/>
      <c r="BJO1" s="700"/>
      <c r="BJP1" s="700"/>
      <c r="BJQ1" s="700"/>
      <c r="BJR1" s="700"/>
      <c r="BJS1" s="700"/>
      <c r="BJT1" s="700"/>
      <c r="BJU1" s="700"/>
      <c r="BJV1" s="700"/>
      <c r="BJW1" s="700"/>
      <c r="BJX1" s="700"/>
      <c r="BJY1" s="700"/>
      <c r="BJZ1" s="700"/>
      <c r="BKA1" s="700"/>
      <c r="BKB1" s="700"/>
      <c r="BKC1" s="700"/>
      <c r="BKD1" s="700"/>
      <c r="BKE1" s="700"/>
      <c r="BKF1" s="700"/>
      <c r="BKG1" s="700"/>
      <c r="BKH1" s="700"/>
      <c r="BKI1" s="700"/>
      <c r="BKJ1" s="700"/>
      <c r="BKK1" s="700"/>
      <c r="BKL1" s="700"/>
      <c r="BKM1" s="700"/>
      <c r="BKN1" s="700"/>
      <c r="BKO1" s="700"/>
      <c r="BKP1" s="700"/>
      <c r="BKQ1" s="700"/>
      <c r="BKR1" s="700"/>
      <c r="BKS1" s="700"/>
      <c r="BKT1" s="700"/>
      <c r="BKU1" s="700"/>
      <c r="BKV1" s="700"/>
      <c r="BKW1" s="700"/>
      <c r="BKX1" s="700"/>
      <c r="BKY1" s="700"/>
      <c r="BKZ1" s="700"/>
      <c r="BLA1" s="700"/>
      <c r="BLB1" s="700"/>
      <c r="BLC1" s="700"/>
      <c r="BLD1" s="700"/>
      <c r="BLE1" s="700"/>
      <c r="BLF1" s="700"/>
      <c r="BLG1" s="700"/>
      <c r="BLH1" s="700"/>
      <c r="BLI1" s="700"/>
      <c r="BLJ1" s="700"/>
      <c r="BLK1" s="700"/>
      <c r="BLL1" s="700"/>
      <c r="BLM1" s="700"/>
      <c r="BLN1" s="700"/>
      <c r="BLO1" s="700"/>
      <c r="BLP1" s="700"/>
      <c r="BLQ1" s="700"/>
      <c r="BLR1" s="700"/>
      <c r="BLS1" s="700"/>
      <c r="BLT1" s="700"/>
      <c r="BLU1" s="700"/>
      <c r="BLV1" s="700"/>
      <c r="BLW1" s="700"/>
      <c r="BLX1" s="700"/>
      <c r="BLY1" s="700"/>
      <c r="BLZ1" s="700"/>
      <c r="BMA1" s="700"/>
      <c r="BMB1" s="700"/>
      <c r="BMC1" s="700"/>
      <c r="BMD1" s="700"/>
      <c r="BME1" s="700"/>
      <c r="BMF1" s="700"/>
      <c r="BMG1" s="700"/>
      <c r="BMH1" s="700"/>
      <c r="BMI1" s="700"/>
      <c r="BMJ1" s="700"/>
      <c r="BMK1" s="700"/>
      <c r="BML1" s="700"/>
      <c r="BMM1" s="700"/>
      <c r="BMN1" s="700"/>
      <c r="BMO1" s="700"/>
      <c r="BMP1" s="700"/>
      <c r="BMQ1" s="700"/>
      <c r="BMR1" s="700"/>
      <c r="BMS1" s="700"/>
      <c r="BMT1" s="700"/>
      <c r="BMU1" s="700"/>
      <c r="BMV1" s="700"/>
      <c r="BMW1" s="700"/>
      <c r="BMX1" s="700"/>
      <c r="BMY1" s="700"/>
      <c r="BMZ1" s="700"/>
      <c r="BNA1" s="700"/>
      <c r="BNB1" s="700"/>
      <c r="BNC1" s="700"/>
      <c r="BND1" s="700"/>
      <c r="BNE1" s="700"/>
      <c r="BNF1" s="700"/>
      <c r="BNG1" s="700"/>
      <c r="BNH1" s="700"/>
      <c r="BNI1" s="700"/>
      <c r="BNJ1" s="700"/>
      <c r="BNK1" s="700"/>
      <c r="BNL1" s="700"/>
      <c r="BNM1" s="700"/>
      <c r="BNN1" s="700"/>
      <c r="BNO1" s="700"/>
      <c r="BNP1" s="700"/>
      <c r="BNQ1" s="700"/>
      <c r="BNR1" s="700"/>
      <c r="BNS1" s="700"/>
      <c r="BNT1" s="700"/>
      <c r="BNU1" s="700"/>
      <c r="BNV1" s="700"/>
      <c r="BNW1" s="700"/>
      <c r="BNX1" s="700"/>
      <c r="BNY1" s="700"/>
      <c r="BNZ1" s="700"/>
      <c r="BOA1" s="700"/>
      <c r="BOB1" s="700"/>
      <c r="BOC1" s="700"/>
      <c r="BOD1" s="700"/>
      <c r="BOE1" s="700"/>
      <c r="BOF1" s="700"/>
      <c r="BOG1" s="700"/>
      <c r="BOH1" s="700"/>
      <c r="BOI1" s="700"/>
      <c r="BOJ1" s="700"/>
      <c r="BOK1" s="700"/>
      <c r="BOL1" s="700"/>
      <c r="BOM1" s="700"/>
      <c r="BON1" s="700"/>
      <c r="BOO1" s="700"/>
      <c r="BOP1" s="700"/>
      <c r="BOQ1" s="700"/>
      <c r="BOR1" s="700"/>
      <c r="BOS1" s="700"/>
      <c r="BOT1" s="700"/>
      <c r="BOU1" s="700"/>
      <c r="BOV1" s="700"/>
      <c r="BOW1" s="700"/>
      <c r="BOX1" s="700"/>
      <c r="BOY1" s="700"/>
      <c r="BOZ1" s="700"/>
      <c r="BPA1" s="700"/>
      <c r="BPB1" s="700"/>
      <c r="BPC1" s="700"/>
      <c r="BPD1" s="700"/>
      <c r="BPE1" s="700"/>
      <c r="BPF1" s="700"/>
      <c r="BPG1" s="700"/>
      <c r="BPH1" s="700"/>
      <c r="BPI1" s="700"/>
      <c r="BPJ1" s="700"/>
      <c r="BPK1" s="700"/>
      <c r="BPL1" s="700"/>
      <c r="BPM1" s="700"/>
      <c r="BPN1" s="700"/>
      <c r="BPO1" s="700"/>
      <c r="BPP1" s="700"/>
      <c r="BPQ1" s="700"/>
      <c r="BPR1" s="700"/>
      <c r="BPS1" s="700"/>
      <c r="BPT1" s="700"/>
      <c r="BPU1" s="700"/>
      <c r="BPV1" s="700"/>
      <c r="BPW1" s="700"/>
      <c r="BPX1" s="700"/>
      <c r="BPY1" s="700"/>
      <c r="BPZ1" s="700"/>
      <c r="BQA1" s="700"/>
      <c r="BQB1" s="700"/>
      <c r="BQC1" s="700"/>
      <c r="BQD1" s="700"/>
      <c r="BQE1" s="700"/>
      <c r="BQF1" s="700"/>
      <c r="BQG1" s="700"/>
      <c r="BQH1" s="700"/>
      <c r="BQI1" s="700"/>
      <c r="BQJ1" s="700"/>
      <c r="BQK1" s="700"/>
      <c r="BQL1" s="700"/>
      <c r="BQM1" s="700"/>
      <c r="BQN1" s="700"/>
      <c r="BQO1" s="700"/>
      <c r="BQP1" s="700"/>
      <c r="BQQ1" s="700"/>
      <c r="BQR1" s="700"/>
      <c r="BQS1" s="700"/>
      <c r="BQT1" s="700"/>
      <c r="BQU1" s="700"/>
      <c r="BQV1" s="700"/>
      <c r="BQW1" s="700"/>
      <c r="BQX1" s="700"/>
      <c r="BQY1" s="700"/>
      <c r="BQZ1" s="700"/>
      <c r="BRA1" s="700"/>
      <c r="BRB1" s="700"/>
      <c r="BRC1" s="700"/>
      <c r="BRD1" s="700"/>
      <c r="BRE1" s="700"/>
      <c r="BRF1" s="700"/>
      <c r="BRG1" s="700"/>
      <c r="BRH1" s="700"/>
      <c r="BRI1" s="700"/>
      <c r="BRJ1" s="700"/>
      <c r="BRK1" s="700"/>
      <c r="BRL1" s="700"/>
      <c r="BRM1" s="700"/>
      <c r="BRN1" s="700"/>
      <c r="BRO1" s="700"/>
      <c r="BRP1" s="700"/>
      <c r="BRQ1" s="700"/>
      <c r="BRR1" s="700"/>
      <c r="BRS1" s="700"/>
      <c r="BRT1" s="700"/>
      <c r="BRU1" s="700"/>
      <c r="BRV1" s="700"/>
      <c r="BRW1" s="700"/>
      <c r="BRX1" s="700"/>
      <c r="BRY1" s="700"/>
      <c r="BRZ1" s="700"/>
      <c r="BSA1" s="700"/>
      <c r="BSB1" s="700"/>
      <c r="BSC1" s="700"/>
      <c r="BSD1" s="700"/>
      <c r="BSE1" s="700"/>
      <c r="BSF1" s="700"/>
      <c r="BSG1" s="700"/>
      <c r="BSH1" s="700"/>
      <c r="BSI1" s="700"/>
      <c r="BSJ1" s="700"/>
      <c r="BSK1" s="700"/>
      <c r="BSL1" s="700"/>
      <c r="BSM1" s="700"/>
      <c r="BSN1" s="700"/>
      <c r="BSO1" s="700"/>
      <c r="BSP1" s="700"/>
      <c r="BSQ1" s="700"/>
      <c r="BSR1" s="700"/>
      <c r="BSS1" s="700"/>
      <c r="BST1" s="700"/>
      <c r="BSU1" s="700"/>
      <c r="BSV1" s="700"/>
      <c r="BSW1" s="700"/>
      <c r="BSX1" s="700"/>
      <c r="BSY1" s="700"/>
      <c r="BSZ1" s="700"/>
      <c r="BTA1" s="700"/>
      <c r="BTB1" s="700"/>
      <c r="BTC1" s="700"/>
      <c r="BTD1" s="700"/>
      <c r="BTE1" s="700"/>
      <c r="BTF1" s="700"/>
      <c r="BTG1" s="700"/>
      <c r="BTH1" s="700"/>
      <c r="BTI1" s="700"/>
      <c r="BTJ1" s="700"/>
      <c r="BTK1" s="700"/>
      <c r="BTL1" s="700"/>
      <c r="BTM1" s="700"/>
      <c r="BTN1" s="700"/>
      <c r="BTO1" s="700"/>
      <c r="BTP1" s="700"/>
      <c r="BTQ1" s="700"/>
      <c r="BTR1" s="700"/>
      <c r="BTS1" s="700"/>
      <c r="BTT1" s="700"/>
      <c r="BTU1" s="700"/>
      <c r="BTV1" s="700"/>
      <c r="BTW1" s="700"/>
      <c r="BTX1" s="700"/>
      <c r="BTY1" s="700"/>
      <c r="BTZ1" s="700"/>
      <c r="BUA1" s="700"/>
      <c r="BUB1" s="700"/>
      <c r="BUC1" s="700"/>
      <c r="BUD1" s="700"/>
      <c r="BUE1" s="700"/>
      <c r="BUF1" s="700"/>
      <c r="BUG1" s="700"/>
      <c r="BUH1" s="700"/>
      <c r="BUI1" s="700"/>
      <c r="BUJ1" s="700"/>
      <c r="BUK1" s="700"/>
      <c r="BUL1" s="700"/>
      <c r="BUM1" s="700"/>
      <c r="BUN1" s="700"/>
      <c r="BUO1" s="700"/>
      <c r="BUP1" s="700"/>
      <c r="BUQ1" s="700"/>
      <c r="BUR1" s="700"/>
      <c r="BUS1" s="700"/>
      <c r="BUT1" s="700"/>
      <c r="BUU1" s="700"/>
      <c r="BUV1" s="700"/>
      <c r="BUW1" s="700"/>
      <c r="BUX1" s="700"/>
      <c r="BUY1" s="700"/>
      <c r="BUZ1" s="700"/>
      <c r="BVA1" s="700"/>
      <c r="BVB1" s="700"/>
      <c r="BVC1" s="700"/>
      <c r="BVD1" s="700"/>
      <c r="BVE1" s="700"/>
      <c r="BVF1" s="700"/>
      <c r="BVG1" s="700"/>
      <c r="BVH1" s="700"/>
      <c r="BVI1" s="700"/>
      <c r="BVJ1" s="700"/>
      <c r="BVK1" s="700"/>
      <c r="BVL1" s="700"/>
      <c r="BVM1" s="700"/>
      <c r="BVN1" s="700"/>
      <c r="BVO1" s="700"/>
      <c r="BVP1" s="700"/>
      <c r="BVQ1" s="700"/>
      <c r="BVR1" s="700"/>
      <c r="BVS1" s="700"/>
      <c r="BVT1" s="700"/>
      <c r="BVU1" s="700"/>
      <c r="BVV1" s="700"/>
      <c r="BVW1" s="700"/>
      <c r="BVX1" s="700"/>
      <c r="BVY1" s="700"/>
      <c r="BVZ1" s="700"/>
      <c r="BWA1" s="700"/>
      <c r="BWB1" s="700"/>
      <c r="BWC1" s="700"/>
      <c r="BWD1" s="700"/>
      <c r="BWE1" s="700"/>
      <c r="BWF1" s="700"/>
      <c r="BWG1" s="700"/>
      <c r="BWH1" s="700"/>
      <c r="BWI1" s="700"/>
      <c r="BWJ1" s="700"/>
      <c r="BWK1" s="700"/>
      <c r="BWL1" s="700"/>
      <c r="BWM1" s="700"/>
      <c r="BWN1" s="700"/>
      <c r="BWO1" s="700"/>
      <c r="BWP1" s="700"/>
      <c r="BWQ1" s="700"/>
      <c r="BWR1" s="700"/>
      <c r="BWS1" s="700"/>
      <c r="BWT1" s="700"/>
      <c r="BWU1" s="700"/>
      <c r="BWV1" s="700"/>
      <c r="BWW1" s="700"/>
      <c r="BWX1" s="700"/>
      <c r="BWY1" s="700"/>
      <c r="BWZ1" s="700"/>
      <c r="BXA1" s="700"/>
      <c r="BXB1" s="700"/>
      <c r="BXC1" s="700"/>
      <c r="BXD1" s="700"/>
      <c r="BXE1" s="700"/>
      <c r="BXF1" s="700"/>
      <c r="BXG1" s="700"/>
      <c r="BXH1" s="700"/>
      <c r="BXI1" s="700"/>
      <c r="BXJ1" s="700"/>
      <c r="BXK1" s="700"/>
      <c r="BXL1" s="700"/>
      <c r="BXM1" s="700"/>
      <c r="BXN1" s="700"/>
      <c r="BXO1" s="700"/>
      <c r="BXP1" s="700"/>
      <c r="BXQ1" s="700"/>
      <c r="BXR1" s="700"/>
      <c r="BXS1" s="700"/>
      <c r="BXT1" s="700"/>
      <c r="BXU1" s="700"/>
      <c r="BXV1" s="700"/>
      <c r="BXW1" s="700"/>
      <c r="BXX1" s="700"/>
      <c r="BXY1" s="700"/>
      <c r="BXZ1" s="700"/>
    </row>
    <row r="2" spans="1:2002" ht="14.25">
      <c r="A2" s="700"/>
      <c r="B2" s="706"/>
      <c r="C2" s="707"/>
      <c r="D2" s="708"/>
      <c r="E2" s="709"/>
      <c r="F2" s="707"/>
      <c r="G2" s="707"/>
      <c r="H2" s="707"/>
      <c r="I2" s="710" t="s">
        <v>23</v>
      </c>
      <c r="J2" s="711"/>
      <c r="K2" s="711"/>
      <c r="L2" s="711"/>
      <c r="M2" s="711"/>
      <c r="N2" s="711"/>
      <c r="O2" s="711"/>
      <c r="P2" s="711"/>
      <c r="Q2" s="711"/>
      <c r="R2" s="711"/>
      <c r="S2" s="712"/>
      <c r="T2" s="713"/>
      <c r="U2" s="700"/>
      <c r="V2" s="700"/>
      <c r="W2" s="700"/>
      <c r="X2" s="700"/>
      <c r="Y2" s="700"/>
      <c r="Z2" s="700"/>
      <c r="AA2" s="700"/>
      <c r="AB2" s="700"/>
      <c r="AC2" s="700"/>
      <c r="AD2" s="700"/>
      <c r="AE2" s="700"/>
      <c r="AF2" s="700"/>
      <c r="AG2" s="700"/>
      <c r="AH2" s="700"/>
      <c r="AI2" s="700"/>
      <c r="AJ2" s="700"/>
      <c r="AK2" s="700"/>
      <c r="AL2" s="700"/>
      <c r="AM2" s="700"/>
      <c r="AN2" s="700"/>
      <c r="AO2" s="700"/>
      <c r="AP2" s="700"/>
      <c r="AQ2" s="700"/>
      <c r="AR2" s="700"/>
      <c r="AS2" s="700"/>
      <c r="AT2" s="700"/>
      <c r="AU2" s="700"/>
      <c r="AV2" s="700"/>
      <c r="AW2" s="700"/>
      <c r="AX2" s="700"/>
      <c r="AY2" s="700"/>
      <c r="AZ2" s="700"/>
      <c r="BA2" s="700"/>
      <c r="BB2" s="700"/>
      <c r="BC2" s="700"/>
      <c r="BD2" s="700"/>
      <c r="BE2" s="700"/>
      <c r="BF2" s="700"/>
      <c r="BG2" s="700"/>
      <c r="BH2" s="700"/>
      <c r="BI2" s="700"/>
      <c r="BJ2" s="700"/>
      <c r="BK2" s="700"/>
      <c r="BL2" s="700"/>
      <c r="BM2" s="700"/>
      <c r="BN2" s="700"/>
      <c r="BO2" s="700"/>
      <c r="BP2" s="700"/>
      <c r="BQ2" s="700"/>
      <c r="BR2" s="700"/>
      <c r="BS2" s="700"/>
      <c r="BT2" s="700"/>
      <c r="BU2" s="700"/>
      <c r="BV2" s="700"/>
      <c r="BW2" s="700"/>
      <c r="BX2" s="700"/>
      <c r="BY2" s="700"/>
      <c r="BZ2" s="700"/>
      <c r="CA2" s="700"/>
      <c r="CB2" s="700"/>
      <c r="CC2" s="700"/>
      <c r="CD2" s="700"/>
      <c r="CE2" s="700"/>
      <c r="CF2" s="700"/>
      <c r="CG2" s="700"/>
      <c r="CH2" s="700"/>
      <c r="CI2" s="700"/>
      <c r="CJ2" s="700"/>
      <c r="CK2" s="700"/>
      <c r="CL2" s="700"/>
      <c r="CM2" s="700"/>
      <c r="CN2" s="700"/>
      <c r="CO2" s="700"/>
      <c r="CP2" s="700"/>
      <c r="CQ2" s="700"/>
      <c r="CR2" s="700"/>
      <c r="CS2" s="700"/>
      <c r="CT2" s="700"/>
      <c r="CU2" s="700"/>
      <c r="CV2" s="700"/>
      <c r="CW2" s="700"/>
      <c r="CX2" s="700"/>
      <c r="CY2" s="700"/>
      <c r="CZ2" s="700"/>
      <c r="DA2" s="700"/>
      <c r="DB2" s="700"/>
      <c r="DC2" s="700"/>
      <c r="DD2" s="700"/>
      <c r="DE2" s="700"/>
      <c r="DF2" s="700"/>
      <c r="DG2" s="700"/>
      <c r="DH2" s="700"/>
      <c r="DI2" s="700"/>
      <c r="DJ2" s="700"/>
      <c r="DK2" s="700"/>
      <c r="DL2" s="700"/>
      <c r="DM2" s="700"/>
      <c r="DN2" s="700"/>
      <c r="DO2" s="700"/>
      <c r="DP2" s="700"/>
      <c r="DQ2" s="700"/>
      <c r="DR2" s="700"/>
      <c r="DS2" s="700"/>
      <c r="DT2" s="700"/>
      <c r="DU2" s="700"/>
      <c r="DV2" s="700"/>
      <c r="DW2" s="700"/>
      <c r="DX2" s="700"/>
      <c r="DY2" s="700"/>
      <c r="DZ2" s="700"/>
      <c r="EA2" s="700"/>
      <c r="EB2" s="700"/>
      <c r="EC2" s="700"/>
      <c r="ED2" s="700"/>
      <c r="EE2" s="700"/>
      <c r="EF2" s="700"/>
      <c r="EG2" s="700"/>
      <c r="EH2" s="700"/>
      <c r="EI2" s="700"/>
      <c r="EJ2" s="700"/>
      <c r="EK2" s="700"/>
      <c r="EL2" s="700"/>
      <c r="EM2" s="700"/>
      <c r="EN2" s="700"/>
      <c r="EO2" s="700"/>
      <c r="EP2" s="700"/>
      <c r="EQ2" s="700"/>
      <c r="ER2" s="700"/>
      <c r="ES2" s="700"/>
      <c r="ET2" s="700"/>
      <c r="EU2" s="700"/>
      <c r="EV2" s="700"/>
      <c r="EW2" s="700"/>
      <c r="EX2" s="700"/>
      <c r="EY2" s="700"/>
      <c r="EZ2" s="700"/>
      <c r="FA2" s="700"/>
      <c r="FB2" s="700"/>
      <c r="FC2" s="700"/>
      <c r="FD2" s="700"/>
      <c r="FE2" s="700"/>
      <c r="FF2" s="700"/>
      <c r="FG2" s="700"/>
      <c r="FH2" s="700"/>
      <c r="FI2" s="700"/>
      <c r="FJ2" s="700"/>
      <c r="FK2" s="700"/>
      <c r="FL2" s="700"/>
      <c r="FM2" s="700"/>
      <c r="FN2" s="700"/>
      <c r="FO2" s="700"/>
      <c r="FP2" s="700"/>
      <c r="FQ2" s="700"/>
      <c r="FR2" s="700"/>
      <c r="FS2" s="700"/>
      <c r="FT2" s="700"/>
      <c r="FU2" s="700"/>
      <c r="FV2" s="700"/>
      <c r="FW2" s="700"/>
      <c r="FX2" s="700"/>
      <c r="FY2" s="700"/>
      <c r="FZ2" s="700"/>
      <c r="GA2" s="700"/>
      <c r="GB2" s="700"/>
      <c r="GC2" s="700"/>
      <c r="GD2" s="700"/>
      <c r="GE2" s="700"/>
      <c r="GF2" s="700"/>
      <c r="GG2" s="700"/>
      <c r="GH2" s="700"/>
      <c r="GI2" s="700"/>
      <c r="GJ2" s="700"/>
      <c r="GK2" s="700"/>
      <c r="GL2" s="700"/>
      <c r="GM2" s="700"/>
      <c r="GN2" s="700"/>
      <c r="GO2" s="700"/>
      <c r="GP2" s="700"/>
      <c r="GQ2" s="700"/>
      <c r="GR2" s="700"/>
      <c r="GS2" s="700"/>
      <c r="GT2" s="700"/>
      <c r="GU2" s="700"/>
      <c r="GV2" s="700"/>
      <c r="GW2" s="700"/>
      <c r="GX2" s="700"/>
      <c r="GY2" s="700"/>
      <c r="GZ2" s="700"/>
      <c r="HA2" s="700"/>
      <c r="HB2" s="700"/>
      <c r="HC2" s="700"/>
      <c r="HD2" s="700"/>
      <c r="HE2" s="700"/>
      <c r="HF2" s="700"/>
      <c r="HG2" s="700"/>
      <c r="HH2" s="700"/>
      <c r="HI2" s="700"/>
      <c r="HJ2" s="700"/>
      <c r="HK2" s="700"/>
      <c r="HL2" s="700"/>
      <c r="HM2" s="700"/>
      <c r="HN2" s="700"/>
      <c r="HO2" s="700"/>
      <c r="HP2" s="700"/>
      <c r="HQ2" s="700"/>
      <c r="HR2" s="700"/>
      <c r="HS2" s="700"/>
      <c r="HT2" s="700"/>
      <c r="HU2" s="700"/>
      <c r="HV2" s="700"/>
      <c r="HW2" s="700"/>
      <c r="HX2" s="700"/>
      <c r="HY2" s="700"/>
      <c r="HZ2" s="700"/>
      <c r="IA2" s="700"/>
      <c r="IB2" s="700"/>
      <c r="IC2" s="700"/>
      <c r="ID2" s="700"/>
      <c r="IE2" s="700"/>
      <c r="IF2" s="700"/>
      <c r="IG2" s="700"/>
      <c r="IH2" s="700"/>
      <c r="II2" s="700"/>
      <c r="IJ2" s="700"/>
      <c r="IK2" s="700"/>
      <c r="IL2" s="700"/>
      <c r="IM2" s="700"/>
      <c r="IN2" s="700"/>
      <c r="IO2" s="700"/>
      <c r="IP2" s="700"/>
      <c r="IQ2" s="700"/>
      <c r="IR2" s="700"/>
      <c r="IS2" s="700"/>
      <c r="IT2" s="700"/>
      <c r="IU2" s="700"/>
      <c r="IV2" s="700"/>
      <c r="IW2" s="700"/>
      <c r="IX2" s="700"/>
      <c r="IY2" s="700"/>
      <c r="IZ2" s="700"/>
      <c r="JA2" s="700"/>
      <c r="JB2" s="700"/>
      <c r="JC2" s="700"/>
      <c r="JD2" s="700"/>
      <c r="JE2" s="700"/>
      <c r="JF2" s="700"/>
      <c r="JG2" s="700"/>
      <c r="JH2" s="700"/>
      <c r="JI2" s="700"/>
      <c r="JJ2" s="700"/>
      <c r="JK2" s="700"/>
      <c r="JL2" s="700"/>
      <c r="JM2" s="700"/>
      <c r="JN2" s="700"/>
      <c r="JO2" s="700"/>
      <c r="JP2" s="700"/>
      <c r="JQ2" s="700"/>
      <c r="JR2" s="700"/>
      <c r="JS2" s="700"/>
      <c r="JT2" s="700"/>
      <c r="JU2" s="700"/>
      <c r="JV2" s="700"/>
      <c r="JW2" s="700"/>
      <c r="JX2" s="700"/>
      <c r="JY2" s="700"/>
      <c r="JZ2" s="700"/>
      <c r="KA2" s="700"/>
      <c r="KB2" s="700"/>
      <c r="KC2" s="700"/>
      <c r="KD2" s="700"/>
      <c r="KE2" s="700"/>
      <c r="KF2" s="700"/>
      <c r="KG2" s="700"/>
      <c r="KH2" s="700"/>
      <c r="KI2" s="700"/>
      <c r="KJ2" s="700"/>
      <c r="KK2" s="700"/>
      <c r="KL2" s="700"/>
      <c r="KM2" s="700"/>
      <c r="KN2" s="700"/>
      <c r="KO2" s="700"/>
      <c r="KP2" s="700"/>
      <c r="KQ2" s="700"/>
      <c r="KR2" s="700"/>
      <c r="KS2" s="700"/>
      <c r="KT2" s="700"/>
      <c r="KU2" s="700"/>
      <c r="KV2" s="700"/>
      <c r="KW2" s="700"/>
      <c r="KX2" s="700"/>
      <c r="KY2" s="700"/>
      <c r="KZ2" s="700"/>
      <c r="LA2" s="700"/>
      <c r="LB2" s="700"/>
      <c r="LC2" s="700"/>
      <c r="LD2" s="700"/>
      <c r="LE2" s="700"/>
      <c r="LF2" s="700"/>
      <c r="LG2" s="700"/>
      <c r="LH2" s="700"/>
      <c r="LI2" s="700"/>
      <c r="LJ2" s="700"/>
      <c r="LK2" s="700"/>
      <c r="LL2" s="700"/>
      <c r="LM2" s="700"/>
      <c r="LN2" s="700"/>
      <c r="LO2" s="700"/>
      <c r="LP2" s="700"/>
      <c r="LQ2" s="700"/>
      <c r="LR2" s="700"/>
      <c r="LS2" s="700"/>
      <c r="LT2" s="700"/>
      <c r="LU2" s="700"/>
      <c r="LV2" s="700"/>
      <c r="LW2" s="700"/>
      <c r="LX2" s="700"/>
      <c r="LY2" s="700"/>
      <c r="LZ2" s="700"/>
      <c r="MA2" s="700"/>
      <c r="MB2" s="700"/>
      <c r="MC2" s="700"/>
      <c r="MD2" s="700"/>
      <c r="ME2" s="700"/>
      <c r="MF2" s="700"/>
      <c r="MG2" s="700"/>
      <c r="MH2" s="700"/>
      <c r="MI2" s="700"/>
      <c r="MJ2" s="700"/>
      <c r="MK2" s="700"/>
      <c r="ML2" s="700"/>
      <c r="MM2" s="700"/>
      <c r="MN2" s="700"/>
      <c r="MO2" s="700"/>
      <c r="MP2" s="700"/>
      <c r="MQ2" s="700"/>
      <c r="MR2" s="700"/>
      <c r="MS2" s="700"/>
      <c r="MT2" s="700"/>
      <c r="MU2" s="700"/>
      <c r="MV2" s="700"/>
      <c r="MW2" s="700"/>
      <c r="MX2" s="700"/>
      <c r="MY2" s="700"/>
      <c r="MZ2" s="700"/>
      <c r="NA2" s="700"/>
      <c r="NB2" s="700"/>
      <c r="NC2" s="700"/>
      <c r="ND2" s="700"/>
      <c r="NE2" s="700"/>
      <c r="NF2" s="700"/>
      <c r="NG2" s="700"/>
      <c r="NH2" s="700"/>
      <c r="NI2" s="700"/>
      <c r="NJ2" s="700"/>
      <c r="NK2" s="700"/>
      <c r="NL2" s="700"/>
      <c r="NM2" s="700"/>
      <c r="NN2" s="700"/>
      <c r="NO2" s="700"/>
      <c r="NP2" s="700"/>
      <c r="NQ2" s="700"/>
      <c r="NR2" s="700"/>
      <c r="NS2" s="700"/>
      <c r="NT2" s="700"/>
      <c r="NU2" s="700"/>
      <c r="NV2" s="700"/>
      <c r="NW2" s="700"/>
      <c r="NX2" s="700"/>
      <c r="NY2" s="700"/>
      <c r="NZ2" s="700"/>
      <c r="OA2" s="700"/>
      <c r="OB2" s="700"/>
      <c r="OC2" s="700"/>
      <c r="OD2" s="700"/>
      <c r="OE2" s="700"/>
      <c r="OF2" s="700"/>
      <c r="OG2" s="700"/>
      <c r="OH2" s="700"/>
      <c r="OI2" s="700"/>
      <c r="OJ2" s="700"/>
      <c r="OK2" s="700"/>
      <c r="OL2" s="700"/>
      <c r="OM2" s="700"/>
      <c r="ON2" s="700"/>
      <c r="OO2" s="700"/>
      <c r="OP2" s="700"/>
      <c r="OQ2" s="700"/>
      <c r="OR2" s="700"/>
      <c r="OS2" s="700"/>
      <c r="OT2" s="700"/>
      <c r="OU2" s="700"/>
      <c r="OV2" s="700"/>
      <c r="OW2" s="700"/>
      <c r="OX2" s="700"/>
      <c r="OY2" s="700"/>
      <c r="OZ2" s="700"/>
      <c r="PA2" s="700"/>
      <c r="PB2" s="700"/>
      <c r="PC2" s="700"/>
      <c r="PD2" s="700"/>
      <c r="PE2" s="700"/>
      <c r="PF2" s="700"/>
      <c r="PG2" s="700"/>
      <c r="PH2" s="700"/>
      <c r="PI2" s="700"/>
      <c r="PJ2" s="700"/>
      <c r="PK2" s="700"/>
      <c r="PL2" s="700"/>
      <c r="PM2" s="700"/>
      <c r="PN2" s="700"/>
      <c r="PO2" s="700"/>
      <c r="PP2" s="700"/>
      <c r="PQ2" s="700"/>
      <c r="PR2" s="700"/>
      <c r="PS2" s="700"/>
      <c r="PT2" s="700"/>
      <c r="PU2" s="700"/>
      <c r="PV2" s="700"/>
      <c r="PW2" s="700"/>
      <c r="PX2" s="700"/>
      <c r="PY2" s="700"/>
      <c r="PZ2" s="700"/>
      <c r="QA2" s="700"/>
      <c r="QB2" s="700"/>
      <c r="QC2" s="700"/>
      <c r="QD2" s="700"/>
      <c r="QE2" s="700"/>
      <c r="QF2" s="700"/>
      <c r="QG2" s="700"/>
      <c r="QH2" s="700"/>
      <c r="QI2" s="700"/>
      <c r="QJ2" s="700"/>
      <c r="QK2" s="700"/>
      <c r="QL2" s="700"/>
      <c r="QM2" s="700"/>
      <c r="QN2" s="700"/>
      <c r="QO2" s="700"/>
      <c r="QP2" s="700"/>
      <c r="QQ2" s="700"/>
      <c r="QR2" s="700"/>
      <c r="QS2" s="700"/>
      <c r="QT2" s="700"/>
      <c r="QU2" s="700"/>
      <c r="QV2" s="700"/>
      <c r="QW2" s="700"/>
      <c r="QX2" s="700"/>
      <c r="QY2" s="700"/>
      <c r="QZ2" s="700"/>
      <c r="RA2" s="700"/>
      <c r="RB2" s="700"/>
      <c r="RC2" s="700"/>
      <c r="RD2" s="700"/>
      <c r="RE2" s="700"/>
      <c r="RF2" s="700"/>
      <c r="RG2" s="700"/>
      <c r="RH2" s="700"/>
      <c r="RI2" s="700"/>
      <c r="RJ2" s="700"/>
      <c r="RK2" s="700"/>
      <c r="RL2" s="700"/>
      <c r="RM2" s="700"/>
      <c r="RN2" s="700"/>
      <c r="RO2" s="700"/>
      <c r="RP2" s="700"/>
      <c r="RQ2" s="700"/>
      <c r="RR2" s="700"/>
      <c r="RS2" s="700"/>
      <c r="RT2" s="700"/>
      <c r="RU2" s="700"/>
      <c r="RV2" s="700"/>
      <c r="RW2" s="700"/>
      <c r="RX2" s="700"/>
      <c r="RY2" s="700"/>
      <c r="RZ2" s="700"/>
      <c r="SA2" s="700"/>
      <c r="SB2" s="700"/>
      <c r="SC2" s="700"/>
      <c r="SD2" s="700"/>
      <c r="SE2" s="700"/>
      <c r="SF2" s="700"/>
      <c r="SG2" s="700"/>
      <c r="SH2" s="700"/>
      <c r="SI2" s="700"/>
      <c r="SJ2" s="700"/>
      <c r="SK2" s="700"/>
      <c r="SL2" s="700"/>
      <c r="SM2" s="700"/>
      <c r="SN2" s="700"/>
      <c r="SO2" s="700"/>
      <c r="SP2" s="700"/>
      <c r="SQ2" s="700"/>
      <c r="SR2" s="700"/>
      <c r="SS2" s="700"/>
      <c r="ST2" s="700"/>
      <c r="SU2" s="700"/>
      <c r="SV2" s="700"/>
      <c r="SW2" s="700"/>
      <c r="SX2" s="700"/>
      <c r="SY2" s="700"/>
      <c r="SZ2" s="700"/>
      <c r="TA2" s="700"/>
      <c r="TB2" s="700"/>
      <c r="TC2" s="700"/>
      <c r="TD2" s="700"/>
      <c r="TE2" s="700"/>
      <c r="TF2" s="700"/>
      <c r="TG2" s="700"/>
      <c r="TH2" s="700"/>
      <c r="TI2" s="700"/>
      <c r="TJ2" s="700"/>
      <c r="TK2" s="700"/>
      <c r="TL2" s="700"/>
      <c r="TM2" s="700"/>
      <c r="TN2" s="700"/>
      <c r="TO2" s="700"/>
      <c r="TP2" s="700"/>
      <c r="TQ2" s="700"/>
      <c r="TR2" s="700"/>
      <c r="TS2" s="700"/>
      <c r="TT2" s="700"/>
      <c r="TU2" s="700"/>
      <c r="TV2" s="700"/>
      <c r="TW2" s="700"/>
      <c r="TX2" s="700"/>
      <c r="TY2" s="700"/>
      <c r="TZ2" s="700"/>
      <c r="UA2" s="700"/>
      <c r="UB2" s="700"/>
      <c r="UC2" s="700"/>
      <c r="UD2" s="700"/>
      <c r="UE2" s="700"/>
      <c r="UF2" s="700"/>
      <c r="UG2" s="700"/>
      <c r="UH2" s="700"/>
      <c r="UI2" s="700"/>
      <c r="UJ2" s="700"/>
      <c r="UK2" s="700"/>
      <c r="UL2" s="700"/>
      <c r="UM2" s="700"/>
      <c r="UN2" s="700"/>
      <c r="UO2" s="700"/>
      <c r="UP2" s="700"/>
      <c r="UQ2" s="700"/>
      <c r="UR2" s="700"/>
      <c r="US2" s="700"/>
      <c r="UT2" s="700"/>
      <c r="UU2" s="700"/>
      <c r="UV2" s="700"/>
      <c r="UW2" s="700"/>
      <c r="UX2" s="700"/>
      <c r="UY2" s="700"/>
      <c r="UZ2" s="700"/>
      <c r="VA2" s="700"/>
      <c r="VB2" s="700"/>
      <c r="VC2" s="700"/>
      <c r="VD2" s="700"/>
      <c r="VE2" s="700"/>
      <c r="VF2" s="700"/>
      <c r="VG2" s="700"/>
      <c r="VH2" s="700"/>
      <c r="VI2" s="700"/>
      <c r="VJ2" s="700"/>
      <c r="VK2" s="700"/>
      <c r="VL2" s="700"/>
      <c r="VM2" s="700"/>
      <c r="VN2" s="700"/>
      <c r="VO2" s="700"/>
      <c r="VP2" s="700"/>
      <c r="VQ2" s="700"/>
      <c r="VR2" s="700"/>
      <c r="VS2" s="700"/>
      <c r="VT2" s="700"/>
      <c r="VU2" s="700"/>
      <c r="VV2" s="700"/>
      <c r="VW2" s="700"/>
      <c r="VX2" s="700"/>
      <c r="VY2" s="700"/>
      <c r="VZ2" s="700"/>
      <c r="WA2" s="700"/>
      <c r="WB2" s="700"/>
      <c r="WC2" s="700"/>
      <c r="WD2" s="700"/>
      <c r="WE2" s="700"/>
      <c r="WF2" s="700"/>
      <c r="WG2" s="700"/>
      <c r="WH2" s="700"/>
      <c r="WI2" s="700"/>
      <c r="WJ2" s="700"/>
      <c r="WK2" s="700"/>
      <c r="WL2" s="700"/>
      <c r="WM2" s="700"/>
      <c r="WN2" s="700"/>
      <c r="WO2" s="700"/>
      <c r="WP2" s="700"/>
      <c r="WQ2" s="700"/>
      <c r="WR2" s="700"/>
      <c r="WS2" s="700"/>
      <c r="WT2" s="700"/>
      <c r="WU2" s="700"/>
      <c r="WV2" s="700"/>
      <c r="WW2" s="700"/>
      <c r="WX2" s="700"/>
      <c r="WY2" s="700"/>
      <c r="WZ2" s="700"/>
      <c r="XA2" s="700"/>
      <c r="XB2" s="700"/>
      <c r="XC2" s="700"/>
      <c r="XD2" s="700"/>
      <c r="XE2" s="700"/>
      <c r="XF2" s="700"/>
      <c r="XG2" s="700"/>
      <c r="XH2" s="700"/>
      <c r="XI2" s="700"/>
      <c r="XJ2" s="700"/>
      <c r="XK2" s="700"/>
      <c r="XL2" s="700"/>
      <c r="XM2" s="700"/>
      <c r="XN2" s="700"/>
      <c r="XO2" s="700"/>
      <c r="XP2" s="700"/>
      <c r="XQ2" s="700"/>
      <c r="XR2" s="700"/>
      <c r="XS2" s="700"/>
      <c r="XT2" s="700"/>
      <c r="XU2" s="700"/>
      <c r="XV2" s="700"/>
      <c r="XW2" s="700"/>
      <c r="XX2" s="700"/>
      <c r="XY2" s="700"/>
      <c r="XZ2" s="700"/>
      <c r="YA2" s="700"/>
      <c r="YB2" s="700"/>
      <c r="YC2" s="700"/>
      <c r="YD2" s="700"/>
      <c r="YE2" s="700"/>
      <c r="YF2" s="700"/>
      <c r="YG2" s="700"/>
      <c r="YH2" s="700"/>
      <c r="YI2" s="700"/>
      <c r="YJ2" s="700"/>
      <c r="YK2" s="700"/>
      <c r="YL2" s="700"/>
      <c r="YM2" s="700"/>
      <c r="YN2" s="700"/>
      <c r="YO2" s="700"/>
      <c r="YP2" s="700"/>
      <c r="YQ2" s="700"/>
      <c r="YR2" s="700"/>
      <c r="YS2" s="700"/>
      <c r="YT2" s="700"/>
      <c r="YU2" s="700"/>
      <c r="YV2" s="700"/>
      <c r="YW2" s="700"/>
      <c r="YX2" s="700"/>
      <c r="YY2" s="700"/>
      <c r="YZ2" s="700"/>
      <c r="ZA2" s="700"/>
      <c r="ZB2" s="700"/>
      <c r="ZC2" s="700"/>
      <c r="ZD2" s="700"/>
      <c r="ZE2" s="700"/>
      <c r="ZF2" s="700"/>
      <c r="ZG2" s="700"/>
      <c r="ZH2" s="700"/>
      <c r="ZI2" s="700"/>
      <c r="ZJ2" s="700"/>
      <c r="ZK2" s="700"/>
      <c r="ZL2" s="700"/>
      <c r="ZM2" s="700"/>
      <c r="ZN2" s="700"/>
      <c r="ZO2" s="700"/>
      <c r="ZP2" s="700"/>
      <c r="ZQ2" s="700"/>
      <c r="ZR2" s="700"/>
      <c r="ZS2" s="700"/>
      <c r="ZT2" s="700"/>
      <c r="ZU2" s="700"/>
      <c r="ZV2" s="700"/>
      <c r="ZW2" s="700"/>
      <c r="ZX2" s="700"/>
      <c r="ZY2" s="700"/>
      <c r="ZZ2" s="700"/>
      <c r="AAA2" s="700"/>
      <c r="AAB2" s="700"/>
      <c r="AAC2" s="700"/>
      <c r="AAD2" s="700"/>
      <c r="AAE2" s="700"/>
      <c r="AAF2" s="700"/>
      <c r="AAG2" s="700"/>
      <c r="AAH2" s="700"/>
      <c r="AAI2" s="700"/>
      <c r="AAJ2" s="700"/>
      <c r="AAK2" s="700"/>
      <c r="AAL2" s="700"/>
      <c r="AAM2" s="700"/>
      <c r="AAN2" s="700"/>
      <c r="AAO2" s="700"/>
      <c r="AAP2" s="700"/>
      <c r="AAQ2" s="700"/>
      <c r="AAR2" s="700"/>
      <c r="AAS2" s="700"/>
      <c r="AAT2" s="700"/>
      <c r="AAU2" s="700"/>
      <c r="AAV2" s="700"/>
      <c r="AAW2" s="700"/>
      <c r="AAX2" s="700"/>
      <c r="AAY2" s="700"/>
      <c r="AAZ2" s="700"/>
      <c r="ABA2" s="700"/>
      <c r="ABB2" s="700"/>
      <c r="ABC2" s="700"/>
      <c r="ABD2" s="700"/>
      <c r="ABE2" s="700"/>
      <c r="ABF2" s="700"/>
      <c r="ABG2" s="700"/>
      <c r="ABH2" s="700"/>
      <c r="ABI2" s="700"/>
      <c r="ABJ2" s="700"/>
      <c r="ABK2" s="700"/>
      <c r="ABL2" s="700"/>
      <c r="ABM2" s="700"/>
      <c r="ABN2" s="700"/>
      <c r="ABO2" s="700"/>
      <c r="ABP2" s="700"/>
      <c r="ABQ2" s="700"/>
      <c r="ABR2" s="700"/>
      <c r="ABS2" s="700"/>
      <c r="ABT2" s="700"/>
      <c r="ABU2" s="700"/>
      <c r="ABV2" s="700"/>
      <c r="ABW2" s="700"/>
      <c r="ABX2" s="700"/>
      <c r="ABY2" s="700"/>
      <c r="ABZ2" s="700"/>
      <c r="ACA2" s="700"/>
      <c r="ACB2" s="700"/>
      <c r="ACC2" s="700"/>
      <c r="ACD2" s="700"/>
      <c r="ACE2" s="700"/>
      <c r="ACF2" s="700"/>
      <c r="ACG2" s="700"/>
      <c r="ACH2" s="700"/>
      <c r="ACI2" s="700"/>
      <c r="ACJ2" s="700"/>
      <c r="ACK2" s="700"/>
      <c r="ACL2" s="700"/>
      <c r="ACM2" s="700"/>
      <c r="ACN2" s="700"/>
      <c r="ACO2" s="700"/>
      <c r="ACP2" s="700"/>
      <c r="ACQ2" s="700"/>
      <c r="ACR2" s="700"/>
      <c r="ACS2" s="700"/>
      <c r="ACT2" s="700"/>
      <c r="ACU2" s="700"/>
      <c r="ACV2" s="700"/>
      <c r="ACW2" s="700"/>
      <c r="ACX2" s="700"/>
      <c r="ACY2" s="700"/>
      <c r="ACZ2" s="700"/>
      <c r="ADA2" s="700"/>
      <c r="ADB2" s="700"/>
      <c r="ADC2" s="700"/>
      <c r="ADD2" s="700"/>
      <c r="ADE2" s="700"/>
      <c r="ADF2" s="700"/>
      <c r="ADG2" s="700"/>
      <c r="ADH2" s="700"/>
      <c r="ADI2" s="700"/>
      <c r="ADJ2" s="700"/>
      <c r="ADK2" s="700"/>
      <c r="ADL2" s="700"/>
      <c r="ADM2" s="700"/>
      <c r="ADN2" s="700"/>
      <c r="ADO2" s="700"/>
      <c r="ADP2" s="700"/>
      <c r="ADQ2" s="700"/>
      <c r="ADR2" s="700"/>
      <c r="ADS2" s="700"/>
      <c r="ADT2" s="700"/>
      <c r="ADU2" s="700"/>
      <c r="ADV2" s="700"/>
      <c r="ADW2" s="700"/>
      <c r="ADX2" s="700"/>
      <c r="ADY2" s="700"/>
      <c r="ADZ2" s="700"/>
      <c r="AEA2" s="700"/>
      <c r="AEB2" s="700"/>
      <c r="AEC2" s="700"/>
      <c r="AED2" s="700"/>
      <c r="AEE2" s="700"/>
      <c r="AEF2" s="700"/>
      <c r="AEG2" s="700"/>
      <c r="AEH2" s="700"/>
      <c r="AEI2" s="700"/>
      <c r="AEJ2" s="700"/>
      <c r="AEK2" s="700"/>
      <c r="AEL2" s="700"/>
      <c r="AEM2" s="700"/>
      <c r="AEN2" s="700"/>
      <c r="AEO2" s="700"/>
      <c r="AEP2" s="700"/>
      <c r="AEQ2" s="700"/>
      <c r="AER2" s="700"/>
      <c r="AES2" s="700"/>
      <c r="AET2" s="700"/>
      <c r="AEU2" s="700"/>
      <c r="AEV2" s="700"/>
      <c r="AEW2" s="700"/>
      <c r="AEX2" s="700"/>
      <c r="AEY2" s="700"/>
      <c r="AEZ2" s="700"/>
      <c r="AFA2" s="700"/>
      <c r="AFB2" s="700"/>
      <c r="AFC2" s="700"/>
      <c r="AFD2" s="700"/>
      <c r="AFE2" s="700"/>
      <c r="AFF2" s="700"/>
      <c r="AFG2" s="700"/>
      <c r="AFH2" s="700"/>
      <c r="AFI2" s="700"/>
      <c r="AFJ2" s="700"/>
      <c r="AFK2" s="700"/>
      <c r="AFL2" s="700"/>
      <c r="AFM2" s="700"/>
      <c r="AFN2" s="700"/>
      <c r="AFO2" s="700"/>
      <c r="AFP2" s="700"/>
      <c r="AFQ2" s="700"/>
      <c r="AFR2" s="700"/>
      <c r="AFS2" s="700"/>
      <c r="AFT2" s="700"/>
      <c r="AFU2" s="700"/>
      <c r="AFV2" s="700"/>
      <c r="AFW2" s="700"/>
      <c r="AFX2" s="700"/>
      <c r="AFY2" s="700"/>
      <c r="AFZ2" s="700"/>
      <c r="AGA2" s="700"/>
      <c r="AGB2" s="700"/>
      <c r="AGC2" s="700"/>
      <c r="AGD2" s="700"/>
      <c r="AGE2" s="700"/>
      <c r="AGF2" s="700"/>
      <c r="AGG2" s="700"/>
      <c r="AGH2" s="700"/>
      <c r="AGI2" s="700"/>
      <c r="AGJ2" s="700"/>
      <c r="AGK2" s="700"/>
      <c r="AGL2" s="700"/>
      <c r="AGM2" s="700"/>
      <c r="AGN2" s="700"/>
      <c r="AGO2" s="700"/>
      <c r="AGP2" s="700"/>
      <c r="AGQ2" s="700"/>
      <c r="AGR2" s="700"/>
      <c r="AGS2" s="700"/>
      <c r="AGT2" s="700"/>
      <c r="AGU2" s="700"/>
      <c r="AGV2" s="700"/>
      <c r="AGW2" s="700"/>
      <c r="AGX2" s="700"/>
      <c r="AGY2" s="700"/>
      <c r="AGZ2" s="700"/>
      <c r="AHA2" s="700"/>
      <c r="AHB2" s="700"/>
      <c r="AHC2" s="700"/>
      <c r="AHD2" s="700"/>
      <c r="AHE2" s="700"/>
      <c r="AHF2" s="700"/>
      <c r="AHG2" s="700"/>
      <c r="AHH2" s="700"/>
      <c r="AHI2" s="700"/>
      <c r="AHJ2" s="700"/>
      <c r="AHK2" s="700"/>
      <c r="AHL2" s="700"/>
      <c r="AHM2" s="700"/>
      <c r="AHN2" s="700"/>
      <c r="AHO2" s="700"/>
      <c r="AHP2" s="700"/>
      <c r="AHQ2" s="700"/>
      <c r="AHR2" s="700"/>
      <c r="AHS2" s="700"/>
      <c r="AHT2" s="700"/>
      <c r="AHU2" s="700"/>
      <c r="AHV2" s="700"/>
      <c r="AHW2" s="700"/>
      <c r="AHX2" s="700"/>
      <c r="AHY2" s="700"/>
      <c r="AHZ2" s="700"/>
      <c r="AIA2" s="700"/>
      <c r="AIB2" s="700"/>
      <c r="AIC2" s="700"/>
      <c r="AID2" s="700"/>
      <c r="AIE2" s="700"/>
      <c r="AIF2" s="700"/>
      <c r="AIG2" s="700"/>
      <c r="AIH2" s="700"/>
      <c r="AII2" s="700"/>
      <c r="AIJ2" s="700"/>
      <c r="AIK2" s="700"/>
      <c r="AIL2" s="700"/>
      <c r="AIM2" s="700"/>
      <c r="AIN2" s="700"/>
      <c r="AIO2" s="700"/>
      <c r="AIP2" s="700"/>
      <c r="AIQ2" s="700"/>
      <c r="AIR2" s="700"/>
      <c r="AIS2" s="700"/>
      <c r="AIT2" s="700"/>
      <c r="AIU2" s="700"/>
      <c r="AIV2" s="700"/>
      <c r="AIW2" s="700"/>
      <c r="AIX2" s="700"/>
      <c r="AIY2" s="700"/>
      <c r="AIZ2" s="700"/>
      <c r="AJA2" s="700"/>
      <c r="AJB2" s="700"/>
      <c r="AJC2" s="700"/>
      <c r="AJD2" s="700"/>
      <c r="AJE2" s="700"/>
      <c r="AJF2" s="700"/>
      <c r="AJG2" s="700"/>
      <c r="AJH2" s="700"/>
      <c r="AJI2" s="700"/>
      <c r="AJJ2" s="700"/>
      <c r="AJK2" s="700"/>
      <c r="AJL2" s="700"/>
      <c r="AJM2" s="700"/>
      <c r="AJN2" s="700"/>
      <c r="AJO2" s="700"/>
      <c r="AJP2" s="700"/>
      <c r="AJQ2" s="700"/>
      <c r="AJR2" s="700"/>
      <c r="AJS2" s="700"/>
      <c r="AJT2" s="700"/>
      <c r="AJU2" s="700"/>
      <c r="AJV2" s="700"/>
      <c r="AJW2" s="700"/>
      <c r="AJX2" s="700"/>
      <c r="AJY2" s="700"/>
      <c r="AJZ2" s="700"/>
      <c r="AKA2" s="700"/>
      <c r="AKB2" s="700"/>
      <c r="AKC2" s="700"/>
      <c r="AKD2" s="700"/>
      <c r="AKE2" s="700"/>
      <c r="AKF2" s="700"/>
      <c r="AKG2" s="700"/>
      <c r="AKH2" s="700"/>
      <c r="AKI2" s="700"/>
      <c r="AKJ2" s="700"/>
      <c r="AKK2" s="700"/>
      <c r="AKL2" s="700"/>
      <c r="AKM2" s="700"/>
      <c r="AKN2" s="700"/>
      <c r="AKO2" s="700"/>
      <c r="AKP2" s="700"/>
      <c r="AKQ2" s="700"/>
      <c r="AKR2" s="700"/>
      <c r="AKS2" s="700"/>
      <c r="AKT2" s="700"/>
      <c r="AKU2" s="700"/>
      <c r="AKV2" s="700"/>
      <c r="AKW2" s="700"/>
      <c r="AKX2" s="700"/>
      <c r="AKY2" s="700"/>
      <c r="AKZ2" s="700"/>
      <c r="ALA2" s="700"/>
      <c r="ALB2" s="700"/>
      <c r="ALC2" s="700"/>
      <c r="ALD2" s="700"/>
      <c r="ALE2" s="700"/>
      <c r="ALF2" s="700"/>
      <c r="ALG2" s="700"/>
      <c r="ALH2" s="700"/>
      <c r="ALI2" s="700"/>
      <c r="ALJ2" s="700"/>
      <c r="ALK2" s="700"/>
      <c r="ALL2" s="700"/>
      <c r="ALM2" s="700"/>
      <c r="ALN2" s="700"/>
      <c r="ALO2" s="700"/>
      <c r="ALP2" s="700"/>
      <c r="ALQ2" s="700"/>
      <c r="ALR2" s="700"/>
      <c r="ALS2" s="700"/>
      <c r="ALT2" s="700"/>
      <c r="ALU2" s="700"/>
      <c r="ALV2" s="700"/>
      <c r="ALW2" s="700"/>
      <c r="ALX2" s="700"/>
      <c r="ALY2" s="700"/>
      <c r="ALZ2" s="700"/>
      <c r="AMA2" s="700"/>
      <c r="AMB2" s="700"/>
      <c r="AMC2" s="700"/>
      <c r="AMD2" s="700"/>
      <c r="AME2" s="700"/>
      <c r="AMF2" s="700"/>
      <c r="AMG2" s="700"/>
      <c r="AMH2" s="700"/>
      <c r="AMI2" s="700"/>
      <c r="AMJ2" s="700"/>
      <c r="AMK2" s="700"/>
      <c r="AML2" s="700"/>
      <c r="AMM2" s="700"/>
      <c r="AMN2" s="700"/>
      <c r="AMO2" s="700"/>
      <c r="AMP2" s="700"/>
      <c r="AMQ2" s="700"/>
      <c r="AMR2" s="700"/>
      <c r="AMS2" s="700"/>
      <c r="AMT2" s="700"/>
      <c r="AMU2" s="700"/>
      <c r="AMV2" s="700"/>
      <c r="AMW2" s="700"/>
      <c r="AMX2" s="700"/>
      <c r="AMY2" s="700"/>
      <c r="AMZ2" s="700"/>
      <c r="ANA2" s="700"/>
      <c r="ANB2" s="700"/>
      <c r="ANC2" s="700"/>
      <c r="AND2" s="700"/>
      <c r="ANE2" s="700"/>
      <c r="ANF2" s="700"/>
      <c r="ANG2" s="700"/>
      <c r="ANH2" s="700"/>
      <c r="ANI2" s="700"/>
      <c r="ANJ2" s="700"/>
      <c r="ANK2" s="700"/>
      <c r="ANL2" s="700"/>
      <c r="ANM2" s="700"/>
      <c r="ANN2" s="700"/>
      <c r="ANO2" s="700"/>
      <c r="ANP2" s="700"/>
      <c r="ANQ2" s="700"/>
      <c r="ANR2" s="700"/>
      <c r="ANS2" s="700"/>
      <c r="ANT2" s="700"/>
      <c r="ANU2" s="700"/>
      <c r="ANV2" s="700"/>
      <c r="ANW2" s="700"/>
      <c r="ANX2" s="700"/>
      <c r="ANY2" s="700"/>
      <c r="ANZ2" s="700"/>
      <c r="AOA2" s="700"/>
      <c r="AOB2" s="700"/>
      <c r="AOC2" s="700"/>
      <c r="AOD2" s="700"/>
      <c r="AOE2" s="700"/>
      <c r="AOF2" s="700"/>
      <c r="AOG2" s="700"/>
      <c r="AOH2" s="700"/>
      <c r="AOI2" s="700"/>
      <c r="AOJ2" s="700"/>
      <c r="AOK2" s="700"/>
      <c r="AOL2" s="700"/>
      <c r="AOM2" s="700"/>
      <c r="AON2" s="700"/>
      <c r="AOO2" s="700"/>
      <c r="AOP2" s="700"/>
      <c r="AOQ2" s="700"/>
      <c r="AOR2" s="700"/>
      <c r="AOS2" s="700"/>
      <c r="AOT2" s="700"/>
      <c r="AOU2" s="700"/>
      <c r="AOV2" s="700"/>
      <c r="AOW2" s="700"/>
      <c r="AOX2" s="700"/>
      <c r="AOY2" s="700"/>
      <c r="AOZ2" s="700"/>
      <c r="APA2" s="700"/>
      <c r="APB2" s="700"/>
      <c r="APC2" s="700"/>
      <c r="APD2" s="700"/>
      <c r="APE2" s="700"/>
      <c r="APF2" s="700"/>
      <c r="APG2" s="700"/>
      <c r="APH2" s="700"/>
      <c r="API2" s="700"/>
      <c r="APJ2" s="700"/>
      <c r="APK2" s="700"/>
      <c r="APL2" s="700"/>
      <c r="APM2" s="700"/>
      <c r="APN2" s="700"/>
      <c r="APO2" s="700"/>
      <c r="APP2" s="700"/>
      <c r="APQ2" s="700"/>
      <c r="APR2" s="700"/>
      <c r="APS2" s="700"/>
      <c r="APT2" s="700"/>
      <c r="APU2" s="700"/>
      <c r="APV2" s="700"/>
      <c r="APW2" s="700"/>
      <c r="APX2" s="700"/>
      <c r="APY2" s="700"/>
      <c r="APZ2" s="700"/>
      <c r="AQA2" s="700"/>
      <c r="AQB2" s="700"/>
      <c r="AQC2" s="700"/>
      <c r="AQD2" s="700"/>
      <c r="AQE2" s="700"/>
      <c r="AQF2" s="700"/>
      <c r="AQG2" s="700"/>
      <c r="AQH2" s="700"/>
      <c r="AQI2" s="700"/>
      <c r="AQJ2" s="700"/>
      <c r="AQK2" s="700"/>
      <c r="AQL2" s="700"/>
      <c r="AQM2" s="700"/>
      <c r="AQN2" s="700"/>
      <c r="AQO2" s="700"/>
      <c r="AQP2" s="700"/>
      <c r="AQQ2" s="700"/>
      <c r="AQR2" s="700"/>
      <c r="AQS2" s="700"/>
      <c r="AQT2" s="700"/>
      <c r="AQU2" s="700"/>
      <c r="AQV2" s="700"/>
      <c r="AQW2" s="700"/>
      <c r="AQX2" s="700"/>
      <c r="AQY2" s="700"/>
      <c r="AQZ2" s="700"/>
      <c r="ARA2" s="700"/>
      <c r="ARB2" s="700"/>
      <c r="ARC2" s="700"/>
      <c r="ARD2" s="700"/>
      <c r="ARE2" s="700"/>
      <c r="ARF2" s="700"/>
      <c r="ARG2" s="700"/>
      <c r="ARH2" s="700"/>
      <c r="ARI2" s="700"/>
      <c r="ARJ2" s="700"/>
      <c r="ARK2" s="700"/>
      <c r="ARL2" s="700"/>
      <c r="ARM2" s="700"/>
      <c r="ARN2" s="700"/>
      <c r="ARO2" s="700"/>
      <c r="ARP2" s="700"/>
      <c r="ARQ2" s="700"/>
      <c r="ARR2" s="700"/>
      <c r="ARS2" s="700"/>
      <c r="ART2" s="700"/>
      <c r="ARU2" s="700"/>
      <c r="ARV2" s="700"/>
      <c r="ARW2" s="700"/>
      <c r="ARX2" s="700"/>
      <c r="ARY2" s="700"/>
      <c r="ARZ2" s="700"/>
      <c r="ASA2" s="700"/>
      <c r="ASB2" s="700"/>
      <c r="ASC2" s="700"/>
      <c r="ASD2" s="700"/>
      <c r="ASE2" s="700"/>
      <c r="ASF2" s="700"/>
      <c r="ASG2" s="700"/>
      <c r="ASH2" s="700"/>
      <c r="ASI2" s="700"/>
      <c r="ASJ2" s="700"/>
      <c r="ASK2" s="700"/>
      <c r="ASL2" s="700"/>
      <c r="ASM2" s="700"/>
      <c r="ASN2" s="700"/>
      <c r="ASO2" s="700"/>
      <c r="ASP2" s="700"/>
      <c r="ASQ2" s="700"/>
      <c r="ASR2" s="700"/>
      <c r="ASS2" s="700"/>
      <c r="AST2" s="700"/>
      <c r="ASU2" s="700"/>
      <c r="ASV2" s="700"/>
      <c r="ASW2" s="700"/>
      <c r="ASX2" s="700"/>
      <c r="ASY2" s="700"/>
      <c r="ASZ2" s="700"/>
      <c r="ATA2" s="700"/>
      <c r="ATB2" s="700"/>
      <c r="ATC2" s="700"/>
      <c r="ATD2" s="700"/>
      <c r="ATE2" s="700"/>
      <c r="ATF2" s="700"/>
      <c r="ATG2" s="700"/>
      <c r="ATH2" s="700"/>
      <c r="ATI2" s="700"/>
      <c r="ATJ2" s="700"/>
      <c r="ATK2" s="700"/>
      <c r="ATL2" s="700"/>
      <c r="ATM2" s="700"/>
      <c r="ATN2" s="700"/>
      <c r="ATO2" s="700"/>
      <c r="ATP2" s="700"/>
      <c r="ATQ2" s="700"/>
      <c r="ATR2" s="700"/>
      <c r="ATS2" s="700"/>
      <c r="ATT2" s="700"/>
      <c r="ATU2" s="700"/>
      <c r="ATV2" s="700"/>
      <c r="ATW2" s="700"/>
      <c r="ATX2" s="700"/>
      <c r="ATY2" s="700"/>
      <c r="ATZ2" s="700"/>
      <c r="AUA2" s="700"/>
      <c r="AUB2" s="700"/>
      <c r="AUC2" s="700"/>
      <c r="AUD2" s="700"/>
      <c r="AUE2" s="700"/>
      <c r="AUF2" s="700"/>
      <c r="AUG2" s="700"/>
      <c r="AUH2" s="700"/>
      <c r="AUI2" s="700"/>
      <c r="AUJ2" s="700"/>
      <c r="AUK2" s="700"/>
      <c r="AUL2" s="700"/>
      <c r="AUM2" s="700"/>
      <c r="AUN2" s="700"/>
      <c r="AUO2" s="700"/>
      <c r="AUP2" s="700"/>
      <c r="AUQ2" s="700"/>
      <c r="AUR2" s="700"/>
      <c r="AUS2" s="700"/>
      <c r="AUT2" s="700"/>
      <c r="AUU2" s="700"/>
      <c r="AUV2" s="700"/>
      <c r="AUW2" s="700"/>
      <c r="AUX2" s="700"/>
      <c r="AUY2" s="700"/>
      <c r="AUZ2" s="700"/>
      <c r="AVA2" s="700"/>
      <c r="AVB2" s="700"/>
      <c r="AVC2" s="700"/>
      <c r="AVD2" s="700"/>
      <c r="AVE2" s="700"/>
      <c r="AVF2" s="700"/>
      <c r="AVG2" s="700"/>
      <c r="AVH2" s="700"/>
      <c r="AVI2" s="700"/>
      <c r="AVJ2" s="700"/>
      <c r="AVK2" s="700"/>
      <c r="AVL2" s="700"/>
      <c r="AVM2" s="700"/>
      <c r="AVN2" s="700"/>
      <c r="AVO2" s="700"/>
      <c r="AVP2" s="700"/>
      <c r="AVQ2" s="700"/>
      <c r="AVR2" s="700"/>
      <c r="AVS2" s="700"/>
      <c r="AVT2" s="700"/>
      <c r="AVU2" s="700"/>
      <c r="AVV2" s="700"/>
      <c r="AVW2" s="700"/>
      <c r="AVX2" s="700"/>
      <c r="AVY2" s="700"/>
      <c r="AVZ2" s="700"/>
      <c r="AWA2" s="700"/>
      <c r="AWB2" s="700"/>
      <c r="AWC2" s="700"/>
      <c r="AWD2" s="700"/>
      <c r="AWE2" s="700"/>
      <c r="AWF2" s="700"/>
      <c r="AWG2" s="700"/>
      <c r="AWH2" s="700"/>
      <c r="AWI2" s="700"/>
      <c r="AWJ2" s="700"/>
      <c r="AWK2" s="700"/>
      <c r="AWL2" s="700"/>
      <c r="AWM2" s="700"/>
      <c r="AWN2" s="700"/>
      <c r="AWO2" s="700"/>
      <c r="AWP2" s="700"/>
      <c r="AWQ2" s="700"/>
      <c r="AWR2" s="700"/>
      <c r="AWS2" s="700"/>
      <c r="AWT2" s="700"/>
      <c r="AWU2" s="700"/>
      <c r="AWV2" s="700"/>
      <c r="AWW2" s="700"/>
      <c r="AWX2" s="700"/>
      <c r="AWY2" s="700"/>
      <c r="AWZ2" s="700"/>
      <c r="AXA2" s="700"/>
      <c r="AXB2" s="700"/>
      <c r="AXC2" s="700"/>
      <c r="AXD2" s="700"/>
      <c r="AXE2" s="700"/>
      <c r="AXF2" s="700"/>
      <c r="AXG2" s="700"/>
      <c r="AXH2" s="700"/>
      <c r="AXI2" s="700"/>
      <c r="AXJ2" s="700"/>
      <c r="AXK2" s="700"/>
      <c r="AXL2" s="700"/>
      <c r="AXM2" s="700"/>
      <c r="AXN2" s="700"/>
      <c r="AXO2" s="700"/>
      <c r="AXP2" s="700"/>
      <c r="AXQ2" s="700"/>
      <c r="AXR2" s="700"/>
      <c r="AXS2" s="700"/>
      <c r="AXT2" s="700"/>
      <c r="AXU2" s="700"/>
      <c r="AXV2" s="700"/>
      <c r="AXW2" s="700"/>
      <c r="AXX2" s="700"/>
      <c r="AXY2" s="700"/>
      <c r="AXZ2" s="700"/>
      <c r="AYA2" s="700"/>
      <c r="AYB2" s="700"/>
      <c r="AYC2" s="700"/>
      <c r="AYD2" s="700"/>
      <c r="AYE2" s="700"/>
      <c r="AYF2" s="700"/>
      <c r="AYG2" s="700"/>
      <c r="AYH2" s="700"/>
      <c r="AYI2" s="700"/>
      <c r="AYJ2" s="700"/>
      <c r="AYK2" s="700"/>
      <c r="AYL2" s="700"/>
      <c r="AYM2" s="700"/>
      <c r="AYN2" s="700"/>
      <c r="AYO2" s="700"/>
      <c r="AYP2" s="700"/>
      <c r="AYQ2" s="700"/>
      <c r="AYR2" s="700"/>
      <c r="AYS2" s="700"/>
      <c r="AYT2" s="700"/>
      <c r="AYU2" s="700"/>
      <c r="AYV2" s="700"/>
      <c r="AYW2" s="700"/>
      <c r="AYX2" s="700"/>
      <c r="AYY2" s="700"/>
      <c r="AYZ2" s="700"/>
      <c r="AZA2" s="700"/>
      <c r="AZB2" s="700"/>
      <c r="AZC2" s="700"/>
      <c r="AZD2" s="700"/>
      <c r="AZE2" s="700"/>
      <c r="AZF2" s="700"/>
      <c r="AZG2" s="700"/>
      <c r="AZH2" s="700"/>
      <c r="AZI2" s="700"/>
      <c r="AZJ2" s="700"/>
      <c r="AZK2" s="700"/>
      <c r="AZL2" s="700"/>
      <c r="AZM2" s="700"/>
      <c r="AZN2" s="700"/>
      <c r="AZO2" s="700"/>
      <c r="AZP2" s="700"/>
      <c r="AZQ2" s="700"/>
      <c r="AZR2" s="700"/>
      <c r="AZS2" s="700"/>
      <c r="AZT2" s="700"/>
      <c r="AZU2" s="700"/>
      <c r="AZV2" s="700"/>
      <c r="AZW2" s="700"/>
      <c r="AZX2" s="700"/>
      <c r="AZY2" s="700"/>
      <c r="AZZ2" s="700"/>
      <c r="BAA2" s="700"/>
      <c r="BAB2" s="700"/>
      <c r="BAC2" s="700"/>
      <c r="BAD2" s="700"/>
      <c r="BAE2" s="700"/>
      <c r="BAF2" s="700"/>
      <c r="BAG2" s="700"/>
      <c r="BAH2" s="700"/>
      <c r="BAI2" s="700"/>
      <c r="BAJ2" s="700"/>
      <c r="BAK2" s="700"/>
      <c r="BAL2" s="700"/>
      <c r="BAM2" s="700"/>
      <c r="BAN2" s="700"/>
      <c r="BAO2" s="700"/>
      <c r="BAP2" s="700"/>
      <c r="BAQ2" s="700"/>
      <c r="BAR2" s="700"/>
      <c r="BAS2" s="700"/>
      <c r="BAT2" s="700"/>
      <c r="BAU2" s="700"/>
      <c r="BAV2" s="700"/>
      <c r="BAW2" s="700"/>
      <c r="BAX2" s="700"/>
      <c r="BAY2" s="700"/>
      <c r="BAZ2" s="700"/>
      <c r="BBA2" s="700"/>
      <c r="BBB2" s="700"/>
      <c r="BBC2" s="700"/>
      <c r="BBD2" s="700"/>
      <c r="BBE2" s="700"/>
      <c r="BBF2" s="700"/>
      <c r="BBG2" s="700"/>
      <c r="BBH2" s="700"/>
      <c r="BBI2" s="700"/>
      <c r="BBJ2" s="700"/>
      <c r="BBK2" s="700"/>
      <c r="BBL2" s="700"/>
      <c r="BBM2" s="700"/>
      <c r="BBN2" s="700"/>
      <c r="BBO2" s="700"/>
      <c r="BBP2" s="700"/>
      <c r="BBQ2" s="700"/>
      <c r="BBR2" s="700"/>
      <c r="BBS2" s="700"/>
      <c r="BBT2" s="700"/>
      <c r="BBU2" s="700"/>
      <c r="BBV2" s="700"/>
      <c r="BBW2" s="700"/>
      <c r="BBX2" s="700"/>
      <c r="BBY2" s="700"/>
      <c r="BBZ2" s="700"/>
      <c r="BCA2" s="700"/>
      <c r="BCB2" s="700"/>
      <c r="BCC2" s="700"/>
      <c r="BCD2" s="700"/>
      <c r="BCE2" s="700"/>
      <c r="BCF2" s="700"/>
      <c r="BCG2" s="700"/>
      <c r="BCH2" s="700"/>
      <c r="BCI2" s="700"/>
      <c r="BCJ2" s="700"/>
      <c r="BCK2" s="700"/>
      <c r="BCL2" s="700"/>
      <c r="BCM2" s="700"/>
      <c r="BCN2" s="700"/>
      <c r="BCO2" s="700"/>
      <c r="BCP2" s="700"/>
      <c r="BCQ2" s="700"/>
      <c r="BCR2" s="700"/>
      <c r="BCS2" s="700"/>
      <c r="BCT2" s="700"/>
      <c r="BCU2" s="700"/>
      <c r="BCV2" s="700"/>
      <c r="BCW2" s="700"/>
      <c r="BCX2" s="700"/>
      <c r="BCY2" s="700"/>
      <c r="BCZ2" s="700"/>
      <c r="BDA2" s="700"/>
      <c r="BDB2" s="700"/>
      <c r="BDC2" s="700"/>
      <c r="BDD2" s="700"/>
      <c r="BDE2" s="700"/>
      <c r="BDF2" s="700"/>
      <c r="BDG2" s="700"/>
      <c r="BDH2" s="700"/>
      <c r="BDI2" s="700"/>
      <c r="BDJ2" s="700"/>
      <c r="BDK2" s="700"/>
      <c r="BDL2" s="700"/>
      <c r="BDM2" s="700"/>
      <c r="BDN2" s="700"/>
      <c r="BDO2" s="700"/>
      <c r="BDP2" s="700"/>
      <c r="BDQ2" s="700"/>
      <c r="BDR2" s="700"/>
      <c r="BDS2" s="700"/>
      <c r="BDT2" s="700"/>
      <c r="BDU2" s="700"/>
      <c r="BDV2" s="700"/>
      <c r="BDW2" s="700"/>
      <c r="BDX2" s="700"/>
      <c r="BDY2" s="700"/>
      <c r="BDZ2" s="700"/>
      <c r="BEA2" s="700"/>
      <c r="BEB2" s="700"/>
      <c r="BEC2" s="700"/>
      <c r="BED2" s="700"/>
      <c r="BEE2" s="700"/>
      <c r="BEF2" s="700"/>
      <c r="BEG2" s="700"/>
      <c r="BEH2" s="700"/>
      <c r="BEI2" s="700"/>
      <c r="BEJ2" s="700"/>
      <c r="BEK2" s="700"/>
      <c r="BEL2" s="700"/>
      <c r="BEM2" s="700"/>
      <c r="BEN2" s="700"/>
      <c r="BEO2" s="700"/>
      <c r="BEP2" s="700"/>
      <c r="BEQ2" s="700"/>
      <c r="BER2" s="700"/>
      <c r="BES2" s="700"/>
      <c r="BET2" s="700"/>
      <c r="BEU2" s="700"/>
      <c r="BEV2" s="700"/>
      <c r="BEW2" s="700"/>
      <c r="BEX2" s="700"/>
      <c r="BEY2" s="700"/>
      <c r="BEZ2" s="700"/>
      <c r="BFA2" s="700"/>
      <c r="BFB2" s="700"/>
      <c r="BFC2" s="700"/>
      <c r="BFD2" s="700"/>
      <c r="BFE2" s="700"/>
      <c r="BFF2" s="700"/>
      <c r="BFG2" s="700"/>
      <c r="BFH2" s="700"/>
      <c r="BFI2" s="700"/>
      <c r="BFJ2" s="700"/>
      <c r="BFK2" s="700"/>
      <c r="BFL2" s="700"/>
      <c r="BFM2" s="700"/>
      <c r="BFN2" s="700"/>
      <c r="BFO2" s="700"/>
      <c r="BFP2" s="700"/>
      <c r="BFQ2" s="700"/>
      <c r="BFR2" s="700"/>
      <c r="BFS2" s="700"/>
      <c r="BFT2" s="700"/>
      <c r="BFU2" s="700"/>
      <c r="BFV2" s="700"/>
      <c r="BFW2" s="700"/>
      <c r="BFX2" s="700"/>
      <c r="BFY2" s="700"/>
      <c r="BFZ2" s="700"/>
      <c r="BGA2" s="700"/>
      <c r="BGB2" s="700"/>
      <c r="BGC2" s="700"/>
      <c r="BGD2" s="700"/>
      <c r="BGE2" s="700"/>
      <c r="BGF2" s="700"/>
      <c r="BGG2" s="700"/>
      <c r="BGH2" s="700"/>
      <c r="BGI2" s="700"/>
      <c r="BGJ2" s="700"/>
      <c r="BGK2" s="700"/>
      <c r="BGL2" s="700"/>
      <c r="BGM2" s="700"/>
      <c r="BGN2" s="700"/>
      <c r="BGO2" s="700"/>
      <c r="BGP2" s="700"/>
      <c r="BGQ2" s="700"/>
      <c r="BGR2" s="700"/>
      <c r="BGS2" s="700"/>
      <c r="BGT2" s="700"/>
      <c r="BGU2" s="700"/>
      <c r="BGV2" s="700"/>
      <c r="BGW2" s="700"/>
      <c r="BGX2" s="700"/>
      <c r="BGY2" s="700"/>
      <c r="BGZ2" s="700"/>
      <c r="BHA2" s="700"/>
      <c r="BHB2" s="700"/>
      <c r="BHC2" s="700"/>
      <c r="BHD2" s="700"/>
      <c r="BHE2" s="700"/>
      <c r="BHF2" s="700"/>
      <c r="BHG2" s="700"/>
      <c r="BHH2" s="700"/>
      <c r="BHI2" s="700"/>
      <c r="BHJ2" s="700"/>
      <c r="BHK2" s="700"/>
      <c r="BHL2" s="700"/>
      <c r="BHM2" s="700"/>
      <c r="BHN2" s="700"/>
      <c r="BHO2" s="700"/>
      <c r="BHP2" s="700"/>
      <c r="BHQ2" s="700"/>
      <c r="BHR2" s="700"/>
      <c r="BHS2" s="700"/>
      <c r="BHT2" s="700"/>
      <c r="BHU2" s="700"/>
      <c r="BHV2" s="700"/>
      <c r="BHW2" s="700"/>
      <c r="BHX2" s="700"/>
      <c r="BHY2" s="700"/>
      <c r="BHZ2" s="700"/>
      <c r="BIA2" s="700"/>
      <c r="BIB2" s="700"/>
      <c r="BIC2" s="700"/>
      <c r="BID2" s="700"/>
      <c r="BIE2" s="700"/>
      <c r="BIF2" s="700"/>
      <c r="BIG2" s="700"/>
      <c r="BIH2" s="700"/>
      <c r="BII2" s="700"/>
      <c r="BIJ2" s="700"/>
      <c r="BIK2" s="700"/>
      <c r="BIL2" s="700"/>
      <c r="BIM2" s="700"/>
      <c r="BIN2" s="700"/>
      <c r="BIO2" s="700"/>
      <c r="BIP2" s="700"/>
      <c r="BIQ2" s="700"/>
      <c r="BIR2" s="700"/>
      <c r="BIS2" s="700"/>
      <c r="BIT2" s="700"/>
      <c r="BIU2" s="700"/>
      <c r="BIV2" s="700"/>
      <c r="BIW2" s="700"/>
      <c r="BIX2" s="700"/>
      <c r="BIY2" s="700"/>
      <c r="BIZ2" s="700"/>
      <c r="BJA2" s="700"/>
      <c r="BJB2" s="700"/>
      <c r="BJC2" s="700"/>
      <c r="BJD2" s="700"/>
      <c r="BJE2" s="700"/>
      <c r="BJF2" s="700"/>
      <c r="BJG2" s="700"/>
      <c r="BJH2" s="700"/>
      <c r="BJI2" s="700"/>
      <c r="BJJ2" s="700"/>
      <c r="BJK2" s="700"/>
      <c r="BJL2" s="700"/>
      <c r="BJM2" s="700"/>
      <c r="BJN2" s="700"/>
      <c r="BJO2" s="700"/>
      <c r="BJP2" s="700"/>
      <c r="BJQ2" s="700"/>
      <c r="BJR2" s="700"/>
      <c r="BJS2" s="700"/>
      <c r="BJT2" s="700"/>
      <c r="BJU2" s="700"/>
      <c r="BJV2" s="700"/>
      <c r="BJW2" s="700"/>
      <c r="BJX2" s="700"/>
      <c r="BJY2" s="700"/>
      <c r="BJZ2" s="700"/>
      <c r="BKA2" s="700"/>
      <c r="BKB2" s="700"/>
      <c r="BKC2" s="700"/>
      <c r="BKD2" s="700"/>
      <c r="BKE2" s="700"/>
      <c r="BKF2" s="700"/>
      <c r="BKG2" s="700"/>
      <c r="BKH2" s="700"/>
      <c r="BKI2" s="700"/>
      <c r="BKJ2" s="700"/>
      <c r="BKK2" s="700"/>
      <c r="BKL2" s="700"/>
      <c r="BKM2" s="700"/>
      <c r="BKN2" s="700"/>
      <c r="BKO2" s="700"/>
      <c r="BKP2" s="700"/>
      <c r="BKQ2" s="700"/>
      <c r="BKR2" s="700"/>
      <c r="BKS2" s="700"/>
      <c r="BKT2" s="700"/>
      <c r="BKU2" s="700"/>
      <c r="BKV2" s="700"/>
      <c r="BKW2" s="700"/>
      <c r="BKX2" s="700"/>
      <c r="BKY2" s="700"/>
      <c r="BKZ2" s="700"/>
      <c r="BLA2" s="700"/>
      <c r="BLB2" s="700"/>
      <c r="BLC2" s="700"/>
      <c r="BLD2" s="700"/>
      <c r="BLE2" s="700"/>
      <c r="BLF2" s="700"/>
      <c r="BLG2" s="700"/>
      <c r="BLH2" s="700"/>
      <c r="BLI2" s="700"/>
      <c r="BLJ2" s="700"/>
      <c r="BLK2" s="700"/>
      <c r="BLL2" s="700"/>
      <c r="BLM2" s="700"/>
      <c r="BLN2" s="700"/>
      <c r="BLO2" s="700"/>
      <c r="BLP2" s="700"/>
      <c r="BLQ2" s="700"/>
      <c r="BLR2" s="700"/>
      <c r="BLS2" s="700"/>
      <c r="BLT2" s="700"/>
      <c r="BLU2" s="700"/>
      <c r="BLV2" s="700"/>
      <c r="BLW2" s="700"/>
      <c r="BLX2" s="700"/>
      <c r="BLY2" s="700"/>
      <c r="BLZ2" s="700"/>
      <c r="BMA2" s="700"/>
      <c r="BMB2" s="700"/>
      <c r="BMC2" s="700"/>
      <c r="BMD2" s="700"/>
      <c r="BME2" s="700"/>
      <c r="BMF2" s="700"/>
      <c r="BMG2" s="700"/>
      <c r="BMH2" s="700"/>
      <c r="BMI2" s="700"/>
      <c r="BMJ2" s="700"/>
      <c r="BMK2" s="700"/>
      <c r="BML2" s="700"/>
      <c r="BMM2" s="700"/>
      <c r="BMN2" s="700"/>
      <c r="BMO2" s="700"/>
      <c r="BMP2" s="700"/>
      <c r="BMQ2" s="700"/>
      <c r="BMR2" s="700"/>
      <c r="BMS2" s="700"/>
      <c r="BMT2" s="700"/>
      <c r="BMU2" s="700"/>
      <c r="BMV2" s="700"/>
      <c r="BMW2" s="700"/>
      <c r="BMX2" s="700"/>
      <c r="BMY2" s="700"/>
      <c r="BMZ2" s="700"/>
      <c r="BNA2" s="700"/>
      <c r="BNB2" s="700"/>
      <c r="BNC2" s="700"/>
      <c r="BND2" s="700"/>
      <c r="BNE2" s="700"/>
      <c r="BNF2" s="700"/>
      <c r="BNG2" s="700"/>
      <c r="BNH2" s="700"/>
      <c r="BNI2" s="700"/>
      <c r="BNJ2" s="700"/>
      <c r="BNK2" s="700"/>
      <c r="BNL2" s="700"/>
      <c r="BNM2" s="700"/>
      <c r="BNN2" s="700"/>
      <c r="BNO2" s="700"/>
      <c r="BNP2" s="700"/>
      <c r="BNQ2" s="700"/>
      <c r="BNR2" s="700"/>
      <c r="BNS2" s="700"/>
      <c r="BNT2" s="700"/>
      <c r="BNU2" s="700"/>
      <c r="BNV2" s="700"/>
      <c r="BNW2" s="700"/>
      <c r="BNX2" s="700"/>
      <c r="BNY2" s="700"/>
      <c r="BNZ2" s="700"/>
      <c r="BOA2" s="700"/>
      <c r="BOB2" s="700"/>
      <c r="BOC2" s="700"/>
      <c r="BOD2" s="700"/>
      <c r="BOE2" s="700"/>
      <c r="BOF2" s="700"/>
      <c r="BOG2" s="700"/>
      <c r="BOH2" s="700"/>
      <c r="BOI2" s="700"/>
      <c r="BOJ2" s="700"/>
      <c r="BOK2" s="700"/>
      <c r="BOL2" s="700"/>
      <c r="BOM2" s="700"/>
      <c r="BON2" s="700"/>
      <c r="BOO2" s="700"/>
      <c r="BOP2" s="700"/>
      <c r="BOQ2" s="700"/>
      <c r="BOR2" s="700"/>
      <c r="BOS2" s="700"/>
      <c r="BOT2" s="700"/>
      <c r="BOU2" s="700"/>
      <c r="BOV2" s="700"/>
      <c r="BOW2" s="700"/>
      <c r="BOX2" s="700"/>
      <c r="BOY2" s="700"/>
      <c r="BOZ2" s="700"/>
      <c r="BPA2" s="700"/>
      <c r="BPB2" s="700"/>
      <c r="BPC2" s="700"/>
      <c r="BPD2" s="700"/>
      <c r="BPE2" s="700"/>
      <c r="BPF2" s="700"/>
      <c r="BPG2" s="700"/>
      <c r="BPH2" s="700"/>
      <c r="BPI2" s="700"/>
      <c r="BPJ2" s="700"/>
      <c r="BPK2" s="700"/>
      <c r="BPL2" s="700"/>
      <c r="BPM2" s="700"/>
      <c r="BPN2" s="700"/>
      <c r="BPO2" s="700"/>
      <c r="BPP2" s="700"/>
      <c r="BPQ2" s="700"/>
      <c r="BPR2" s="700"/>
      <c r="BPS2" s="700"/>
      <c r="BPT2" s="700"/>
      <c r="BPU2" s="700"/>
      <c r="BPV2" s="700"/>
      <c r="BPW2" s="700"/>
      <c r="BPX2" s="700"/>
      <c r="BPY2" s="700"/>
      <c r="BPZ2" s="700"/>
      <c r="BQA2" s="700"/>
      <c r="BQB2" s="700"/>
      <c r="BQC2" s="700"/>
      <c r="BQD2" s="700"/>
      <c r="BQE2" s="700"/>
      <c r="BQF2" s="700"/>
      <c r="BQG2" s="700"/>
      <c r="BQH2" s="700"/>
      <c r="BQI2" s="700"/>
      <c r="BQJ2" s="700"/>
      <c r="BQK2" s="700"/>
      <c r="BQL2" s="700"/>
      <c r="BQM2" s="700"/>
      <c r="BQN2" s="700"/>
      <c r="BQO2" s="700"/>
      <c r="BQP2" s="700"/>
      <c r="BQQ2" s="700"/>
      <c r="BQR2" s="700"/>
      <c r="BQS2" s="700"/>
      <c r="BQT2" s="700"/>
      <c r="BQU2" s="700"/>
      <c r="BQV2" s="700"/>
      <c r="BQW2" s="700"/>
      <c r="BQX2" s="700"/>
      <c r="BQY2" s="700"/>
      <c r="BQZ2" s="700"/>
      <c r="BRA2" s="700"/>
      <c r="BRB2" s="700"/>
      <c r="BRC2" s="700"/>
      <c r="BRD2" s="700"/>
      <c r="BRE2" s="700"/>
      <c r="BRF2" s="700"/>
      <c r="BRG2" s="700"/>
      <c r="BRH2" s="700"/>
      <c r="BRI2" s="700"/>
      <c r="BRJ2" s="700"/>
      <c r="BRK2" s="700"/>
      <c r="BRL2" s="700"/>
      <c r="BRM2" s="700"/>
      <c r="BRN2" s="700"/>
      <c r="BRO2" s="700"/>
      <c r="BRP2" s="700"/>
      <c r="BRQ2" s="700"/>
      <c r="BRR2" s="700"/>
      <c r="BRS2" s="700"/>
      <c r="BRT2" s="700"/>
      <c r="BRU2" s="700"/>
      <c r="BRV2" s="700"/>
      <c r="BRW2" s="700"/>
      <c r="BRX2" s="700"/>
      <c r="BRY2" s="700"/>
      <c r="BRZ2" s="700"/>
      <c r="BSA2" s="700"/>
      <c r="BSB2" s="700"/>
      <c r="BSC2" s="700"/>
      <c r="BSD2" s="700"/>
      <c r="BSE2" s="700"/>
      <c r="BSF2" s="700"/>
      <c r="BSG2" s="700"/>
      <c r="BSH2" s="700"/>
      <c r="BSI2" s="700"/>
      <c r="BSJ2" s="700"/>
      <c r="BSK2" s="700"/>
      <c r="BSL2" s="700"/>
      <c r="BSM2" s="700"/>
      <c r="BSN2" s="700"/>
      <c r="BSO2" s="700"/>
      <c r="BSP2" s="700"/>
      <c r="BSQ2" s="700"/>
      <c r="BSR2" s="700"/>
      <c r="BSS2" s="700"/>
      <c r="BST2" s="700"/>
      <c r="BSU2" s="700"/>
      <c r="BSV2" s="700"/>
      <c r="BSW2" s="700"/>
      <c r="BSX2" s="700"/>
      <c r="BSY2" s="700"/>
      <c r="BSZ2" s="700"/>
      <c r="BTA2" s="700"/>
      <c r="BTB2" s="700"/>
      <c r="BTC2" s="700"/>
      <c r="BTD2" s="700"/>
      <c r="BTE2" s="700"/>
      <c r="BTF2" s="700"/>
      <c r="BTG2" s="700"/>
      <c r="BTH2" s="700"/>
      <c r="BTI2" s="700"/>
      <c r="BTJ2" s="700"/>
      <c r="BTK2" s="700"/>
      <c r="BTL2" s="700"/>
      <c r="BTM2" s="700"/>
      <c r="BTN2" s="700"/>
      <c r="BTO2" s="700"/>
      <c r="BTP2" s="700"/>
      <c r="BTQ2" s="700"/>
      <c r="BTR2" s="700"/>
      <c r="BTS2" s="700"/>
      <c r="BTT2" s="700"/>
      <c r="BTU2" s="700"/>
      <c r="BTV2" s="700"/>
      <c r="BTW2" s="700"/>
      <c r="BTX2" s="700"/>
      <c r="BTY2" s="700"/>
      <c r="BTZ2" s="700"/>
      <c r="BUA2" s="700"/>
      <c r="BUB2" s="700"/>
      <c r="BUC2" s="700"/>
      <c r="BUD2" s="700"/>
      <c r="BUE2" s="700"/>
      <c r="BUF2" s="700"/>
      <c r="BUG2" s="700"/>
      <c r="BUH2" s="700"/>
      <c r="BUI2" s="700"/>
      <c r="BUJ2" s="700"/>
      <c r="BUK2" s="700"/>
      <c r="BUL2" s="700"/>
      <c r="BUM2" s="700"/>
      <c r="BUN2" s="700"/>
      <c r="BUO2" s="700"/>
      <c r="BUP2" s="700"/>
      <c r="BUQ2" s="700"/>
      <c r="BUR2" s="700"/>
      <c r="BUS2" s="700"/>
      <c r="BUT2" s="700"/>
      <c r="BUU2" s="700"/>
      <c r="BUV2" s="700"/>
      <c r="BUW2" s="700"/>
      <c r="BUX2" s="700"/>
      <c r="BUY2" s="700"/>
      <c r="BUZ2" s="700"/>
      <c r="BVA2" s="700"/>
      <c r="BVB2" s="700"/>
      <c r="BVC2" s="700"/>
      <c r="BVD2" s="700"/>
      <c r="BVE2" s="700"/>
      <c r="BVF2" s="700"/>
      <c r="BVG2" s="700"/>
      <c r="BVH2" s="700"/>
      <c r="BVI2" s="700"/>
      <c r="BVJ2" s="700"/>
      <c r="BVK2" s="700"/>
      <c r="BVL2" s="700"/>
      <c r="BVM2" s="700"/>
      <c r="BVN2" s="700"/>
      <c r="BVO2" s="700"/>
      <c r="BVP2" s="700"/>
      <c r="BVQ2" s="700"/>
      <c r="BVR2" s="700"/>
      <c r="BVS2" s="700"/>
      <c r="BVT2" s="700"/>
      <c r="BVU2" s="700"/>
      <c r="BVV2" s="700"/>
      <c r="BVW2" s="700"/>
      <c r="BVX2" s="700"/>
      <c r="BVY2" s="700"/>
      <c r="BVZ2" s="700"/>
      <c r="BWA2" s="700"/>
      <c r="BWB2" s="700"/>
      <c r="BWC2" s="700"/>
      <c r="BWD2" s="700"/>
      <c r="BWE2" s="700"/>
      <c r="BWF2" s="700"/>
      <c r="BWG2" s="700"/>
      <c r="BWH2" s="700"/>
      <c r="BWI2" s="700"/>
      <c r="BWJ2" s="700"/>
      <c r="BWK2" s="700"/>
      <c r="BWL2" s="700"/>
      <c r="BWM2" s="700"/>
      <c r="BWN2" s="700"/>
      <c r="BWO2" s="700"/>
      <c r="BWP2" s="700"/>
      <c r="BWQ2" s="700"/>
      <c r="BWR2" s="700"/>
      <c r="BWS2" s="700"/>
      <c r="BWT2" s="700"/>
      <c r="BWU2" s="700"/>
      <c r="BWV2" s="700"/>
      <c r="BWW2" s="700"/>
      <c r="BWX2" s="700"/>
      <c r="BWY2" s="700"/>
      <c r="BWZ2" s="700"/>
      <c r="BXA2" s="700"/>
      <c r="BXB2" s="700"/>
      <c r="BXC2" s="700"/>
      <c r="BXD2" s="700"/>
      <c r="BXE2" s="700"/>
      <c r="BXF2" s="700"/>
      <c r="BXG2" s="700"/>
      <c r="BXH2" s="700"/>
      <c r="BXI2" s="700"/>
      <c r="BXJ2" s="700"/>
      <c r="BXK2" s="700"/>
      <c r="BXL2" s="700"/>
      <c r="BXM2" s="700"/>
      <c r="BXN2" s="700"/>
      <c r="BXO2" s="700"/>
      <c r="BXP2" s="700"/>
      <c r="BXQ2" s="700"/>
      <c r="BXR2" s="700"/>
      <c r="BXS2" s="700"/>
      <c r="BXT2" s="700"/>
      <c r="BXU2" s="700"/>
      <c r="BXV2" s="700"/>
      <c r="BXW2" s="700"/>
      <c r="BXX2" s="700"/>
      <c r="BXY2" s="700"/>
      <c r="BXZ2" s="700"/>
    </row>
    <row r="3" spans="1:2002" ht="14.25">
      <c r="A3" s="700"/>
      <c r="B3" s="706"/>
      <c r="C3" s="707"/>
      <c r="D3" s="714">
        <v>2021</v>
      </c>
      <c r="E3" s="714">
        <v>2022</v>
      </c>
      <c r="F3" s="714">
        <v>2023</v>
      </c>
      <c r="G3" s="714">
        <v>2024</v>
      </c>
      <c r="H3" s="714">
        <v>2025</v>
      </c>
      <c r="I3" s="715">
        <v>2026</v>
      </c>
      <c r="J3" s="715">
        <v>2027</v>
      </c>
      <c r="K3" s="715">
        <v>2028</v>
      </c>
      <c r="L3" s="715">
        <v>2029</v>
      </c>
      <c r="M3" s="715">
        <v>2030</v>
      </c>
      <c r="N3" s="715">
        <v>2031</v>
      </c>
      <c r="O3" s="715">
        <v>2032</v>
      </c>
      <c r="P3" s="715">
        <v>2033</v>
      </c>
      <c r="Q3" s="715">
        <v>2034</v>
      </c>
      <c r="R3" s="715">
        <v>2035</v>
      </c>
      <c r="S3" s="712"/>
      <c r="T3" s="716"/>
      <c r="U3" s="700"/>
      <c r="V3" s="700"/>
      <c r="W3" s="700"/>
      <c r="X3" s="700"/>
      <c r="Y3" s="700"/>
      <c r="Z3" s="700"/>
      <c r="AA3" s="700"/>
      <c r="AB3" s="700"/>
      <c r="AC3" s="700"/>
      <c r="AD3" s="700"/>
      <c r="AE3" s="700"/>
      <c r="AF3" s="700"/>
      <c r="AG3" s="700"/>
      <c r="AH3" s="700"/>
      <c r="AI3" s="700"/>
      <c r="AJ3" s="700"/>
      <c r="AK3" s="700"/>
      <c r="AL3" s="700"/>
      <c r="AM3" s="700"/>
      <c r="AN3" s="700"/>
      <c r="AO3" s="700"/>
      <c r="AP3" s="700"/>
      <c r="AQ3" s="700"/>
      <c r="AR3" s="700"/>
      <c r="AS3" s="700"/>
      <c r="AT3" s="700"/>
      <c r="AU3" s="700"/>
      <c r="AV3" s="700"/>
      <c r="AW3" s="700"/>
      <c r="AX3" s="700"/>
      <c r="AY3" s="700"/>
      <c r="AZ3" s="700"/>
      <c r="BA3" s="700"/>
      <c r="BB3" s="700"/>
      <c r="BC3" s="700"/>
      <c r="BD3" s="700"/>
      <c r="BE3" s="700"/>
      <c r="BF3" s="700"/>
      <c r="BG3" s="700"/>
      <c r="BH3" s="700"/>
      <c r="BI3" s="700"/>
      <c r="BJ3" s="700"/>
      <c r="BK3" s="700"/>
      <c r="BL3" s="700"/>
      <c r="BM3" s="700"/>
      <c r="BN3" s="700"/>
      <c r="BO3" s="700"/>
      <c r="BP3" s="700"/>
      <c r="BQ3" s="700"/>
      <c r="BR3" s="700"/>
      <c r="BS3" s="700"/>
      <c r="BT3" s="700"/>
      <c r="BU3" s="700"/>
      <c r="BV3" s="700"/>
      <c r="BW3" s="700"/>
      <c r="BX3" s="700"/>
      <c r="BY3" s="700"/>
      <c r="BZ3" s="700"/>
      <c r="CA3" s="700"/>
      <c r="CB3" s="700"/>
      <c r="CC3" s="700"/>
      <c r="CD3" s="700"/>
      <c r="CE3" s="700"/>
      <c r="CF3" s="700"/>
      <c r="CG3" s="700"/>
      <c r="CH3" s="700"/>
      <c r="CI3" s="700"/>
      <c r="CJ3" s="700"/>
      <c r="CK3" s="700"/>
      <c r="CL3" s="700"/>
      <c r="CM3" s="700"/>
      <c r="CN3" s="700"/>
      <c r="CO3" s="700"/>
      <c r="CP3" s="700"/>
      <c r="CQ3" s="700"/>
      <c r="CR3" s="700"/>
      <c r="CS3" s="700"/>
      <c r="CT3" s="700"/>
      <c r="CU3" s="700"/>
      <c r="CV3" s="700"/>
      <c r="CW3" s="700"/>
      <c r="CX3" s="700"/>
      <c r="CY3" s="700"/>
      <c r="CZ3" s="700"/>
      <c r="DA3" s="700"/>
      <c r="DB3" s="700"/>
      <c r="DC3" s="700"/>
      <c r="DD3" s="700"/>
      <c r="DE3" s="700"/>
      <c r="DF3" s="700"/>
      <c r="DG3" s="700"/>
      <c r="DH3" s="700"/>
      <c r="DI3" s="700"/>
      <c r="DJ3" s="700"/>
      <c r="DK3" s="700"/>
      <c r="DL3" s="700"/>
      <c r="DM3" s="700"/>
      <c r="DN3" s="700"/>
      <c r="DO3" s="700"/>
      <c r="DP3" s="700"/>
      <c r="DQ3" s="700"/>
      <c r="DR3" s="700"/>
      <c r="DS3" s="700"/>
      <c r="DT3" s="700"/>
      <c r="DU3" s="700"/>
      <c r="DV3" s="700"/>
      <c r="DW3" s="700"/>
      <c r="DX3" s="700"/>
      <c r="DY3" s="700"/>
      <c r="DZ3" s="700"/>
      <c r="EA3" s="700"/>
      <c r="EB3" s="700"/>
      <c r="EC3" s="700"/>
      <c r="ED3" s="700"/>
      <c r="EE3" s="700"/>
      <c r="EF3" s="700"/>
      <c r="EG3" s="700"/>
      <c r="EH3" s="700"/>
      <c r="EI3" s="700"/>
      <c r="EJ3" s="700"/>
      <c r="EK3" s="700"/>
      <c r="EL3" s="700"/>
      <c r="EM3" s="700"/>
      <c r="EN3" s="700"/>
      <c r="EO3" s="700"/>
      <c r="EP3" s="700"/>
      <c r="EQ3" s="700"/>
      <c r="ER3" s="700"/>
      <c r="ES3" s="700"/>
      <c r="ET3" s="700"/>
      <c r="EU3" s="700"/>
      <c r="EV3" s="700"/>
      <c r="EW3" s="700"/>
      <c r="EX3" s="700"/>
      <c r="EY3" s="700"/>
      <c r="EZ3" s="700"/>
      <c r="FA3" s="700"/>
      <c r="FB3" s="700"/>
      <c r="FC3" s="700"/>
      <c r="FD3" s="700"/>
      <c r="FE3" s="700"/>
      <c r="FF3" s="700"/>
      <c r="FG3" s="700"/>
      <c r="FH3" s="700"/>
      <c r="FI3" s="700"/>
      <c r="FJ3" s="700"/>
      <c r="FK3" s="700"/>
      <c r="FL3" s="700"/>
      <c r="FM3" s="700"/>
      <c r="FN3" s="700"/>
      <c r="FO3" s="700"/>
      <c r="FP3" s="700"/>
      <c r="FQ3" s="700"/>
      <c r="FR3" s="700"/>
      <c r="FS3" s="700"/>
      <c r="FT3" s="700"/>
      <c r="FU3" s="700"/>
      <c r="FV3" s="700"/>
      <c r="FW3" s="700"/>
      <c r="FX3" s="700"/>
      <c r="FY3" s="700"/>
      <c r="FZ3" s="700"/>
      <c r="GA3" s="700"/>
      <c r="GB3" s="700"/>
      <c r="GC3" s="700"/>
      <c r="GD3" s="700"/>
      <c r="GE3" s="700"/>
      <c r="GF3" s="700"/>
      <c r="GG3" s="700"/>
      <c r="GH3" s="700"/>
      <c r="GI3" s="700"/>
      <c r="GJ3" s="700"/>
      <c r="GK3" s="700"/>
      <c r="GL3" s="700"/>
      <c r="GM3" s="700"/>
      <c r="GN3" s="700"/>
      <c r="GO3" s="700"/>
      <c r="GP3" s="700"/>
      <c r="GQ3" s="700"/>
      <c r="GR3" s="700"/>
      <c r="GS3" s="700"/>
      <c r="GT3" s="700"/>
      <c r="GU3" s="700"/>
      <c r="GV3" s="700"/>
      <c r="GW3" s="700"/>
      <c r="GX3" s="700"/>
      <c r="GY3" s="700"/>
      <c r="GZ3" s="700"/>
      <c r="HA3" s="700"/>
      <c r="HB3" s="700"/>
      <c r="HC3" s="700"/>
      <c r="HD3" s="700"/>
      <c r="HE3" s="700"/>
      <c r="HF3" s="700"/>
      <c r="HG3" s="700"/>
      <c r="HH3" s="700"/>
      <c r="HI3" s="700"/>
      <c r="HJ3" s="700"/>
      <c r="HK3" s="700"/>
      <c r="HL3" s="700"/>
      <c r="HM3" s="700"/>
      <c r="HN3" s="700"/>
      <c r="HO3" s="700"/>
      <c r="HP3" s="700"/>
      <c r="HQ3" s="700"/>
      <c r="HR3" s="700"/>
      <c r="HS3" s="700"/>
      <c r="HT3" s="700"/>
      <c r="HU3" s="700"/>
      <c r="HV3" s="700"/>
      <c r="HW3" s="700"/>
      <c r="HX3" s="700"/>
      <c r="HY3" s="700"/>
      <c r="HZ3" s="700"/>
      <c r="IA3" s="700"/>
      <c r="IB3" s="700"/>
      <c r="IC3" s="700"/>
      <c r="ID3" s="700"/>
      <c r="IE3" s="700"/>
      <c r="IF3" s="700"/>
      <c r="IG3" s="700"/>
      <c r="IH3" s="700"/>
      <c r="II3" s="700"/>
      <c r="IJ3" s="700"/>
      <c r="IK3" s="700"/>
      <c r="IL3" s="700"/>
      <c r="IM3" s="700"/>
      <c r="IN3" s="700"/>
      <c r="IO3" s="700"/>
      <c r="IP3" s="700"/>
      <c r="IQ3" s="700"/>
      <c r="IR3" s="700"/>
      <c r="IS3" s="700"/>
      <c r="IT3" s="700"/>
      <c r="IU3" s="700"/>
      <c r="IV3" s="700"/>
      <c r="IW3" s="700"/>
      <c r="IX3" s="700"/>
      <c r="IY3" s="700"/>
      <c r="IZ3" s="700"/>
      <c r="JA3" s="700"/>
      <c r="JB3" s="700"/>
      <c r="JC3" s="700"/>
      <c r="JD3" s="700"/>
      <c r="JE3" s="700"/>
      <c r="JF3" s="700"/>
      <c r="JG3" s="700"/>
      <c r="JH3" s="700"/>
      <c r="JI3" s="700"/>
      <c r="JJ3" s="700"/>
      <c r="JK3" s="700"/>
      <c r="JL3" s="700"/>
      <c r="JM3" s="700"/>
      <c r="JN3" s="700"/>
      <c r="JO3" s="700"/>
      <c r="JP3" s="700"/>
      <c r="JQ3" s="700"/>
      <c r="JR3" s="700"/>
      <c r="JS3" s="700"/>
      <c r="JT3" s="700"/>
      <c r="JU3" s="700"/>
      <c r="JV3" s="700"/>
      <c r="JW3" s="700"/>
      <c r="JX3" s="700"/>
      <c r="JY3" s="700"/>
      <c r="JZ3" s="700"/>
      <c r="KA3" s="700"/>
      <c r="KB3" s="700"/>
      <c r="KC3" s="700"/>
      <c r="KD3" s="700"/>
      <c r="KE3" s="700"/>
      <c r="KF3" s="700"/>
      <c r="KG3" s="700"/>
      <c r="KH3" s="700"/>
      <c r="KI3" s="700"/>
      <c r="KJ3" s="700"/>
      <c r="KK3" s="700"/>
      <c r="KL3" s="700"/>
      <c r="KM3" s="700"/>
      <c r="KN3" s="700"/>
      <c r="KO3" s="700"/>
      <c r="KP3" s="700"/>
      <c r="KQ3" s="700"/>
      <c r="KR3" s="700"/>
      <c r="KS3" s="700"/>
      <c r="KT3" s="700"/>
      <c r="KU3" s="700"/>
      <c r="KV3" s="700"/>
      <c r="KW3" s="700"/>
      <c r="KX3" s="700"/>
      <c r="KY3" s="700"/>
      <c r="KZ3" s="700"/>
      <c r="LA3" s="700"/>
      <c r="LB3" s="700"/>
      <c r="LC3" s="700"/>
      <c r="LD3" s="700"/>
      <c r="LE3" s="700"/>
      <c r="LF3" s="700"/>
      <c r="LG3" s="700"/>
      <c r="LH3" s="700"/>
      <c r="LI3" s="700"/>
      <c r="LJ3" s="700"/>
      <c r="LK3" s="700"/>
      <c r="LL3" s="700"/>
      <c r="LM3" s="700"/>
      <c r="LN3" s="700"/>
      <c r="LO3" s="700"/>
      <c r="LP3" s="700"/>
      <c r="LQ3" s="700"/>
      <c r="LR3" s="700"/>
      <c r="LS3" s="700"/>
      <c r="LT3" s="700"/>
      <c r="LU3" s="700"/>
      <c r="LV3" s="700"/>
      <c r="LW3" s="700"/>
      <c r="LX3" s="700"/>
      <c r="LY3" s="700"/>
      <c r="LZ3" s="700"/>
      <c r="MA3" s="700"/>
      <c r="MB3" s="700"/>
      <c r="MC3" s="700"/>
      <c r="MD3" s="700"/>
      <c r="ME3" s="700"/>
      <c r="MF3" s="700"/>
      <c r="MG3" s="700"/>
      <c r="MH3" s="700"/>
      <c r="MI3" s="700"/>
      <c r="MJ3" s="700"/>
      <c r="MK3" s="700"/>
      <c r="ML3" s="700"/>
      <c r="MM3" s="700"/>
      <c r="MN3" s="700"/>
      <c r="MO3" s="700"/>
      <c r="MP3" s="700"/>
      <c r="MQ3" s="700"/>
      <c r="MR3" s="700"/>
      <c r="MS3" s="700"/>
      <c r="MT3" s="700"/>
      <c r="MU3" s="700"/>
      <c r="MV3" s="700"/>
      <c r="MW3" s="700"/>
      <c r="MX3" s="700"/>
      <c r="MY3" s="700"/>
      <c r="MZ3" s="700"/>
      <c r="NA3" s="700"/>
      <c r="NB3" s="700"/>
      <c r="NC3" s="700"/>
      <c r="ND3" s="700"/>
      <c r="NE3" s="700"/>
      <c r="NF3" s="700"/>
      <c r="NG3" s="700"/>
      <c r="NH3" s="700"/>
      <c r="NI3" s="700"/>
      <c r="NJ3" s="700"/>
      <c r="NK3" s="700"/>
      <c r="NL3" s="700"/>
      <c r="NM3" s="700"/>
      <c r="NN3" s="700"/>
      <c r="NO3" s="700"/>
      <c r="NP3" s="700"/>
      <c r="NQ3" s="700"/>
      <c r="NR3" s="700"/>
      <c r="NS3" s="700"/>
      <c r="NT3" s="700"/>
      <c r="NU3" s="700"/>
      <c r="NV3" s="700"/>
      <c r="NW3" s="700"/>
      <c r="NX3" s="700"/>
      <c r="NY3" s="700"/>
      <c r="NZ3" s="700"/>
      <c r="OA3" s="700"/>
      <c r="OB3" s="700"/>
      <c r="OC3" s="700"/>
      <c r="OD3" s="700"/>
      <c r="OE3" s="700"/>
      <c r="OF3" s="700"/>
      <c r="OG3" s="700"/>
      <c r="OH3" s="700"/>
      <c r="OI3" s="700"/>
      <c r="OJ3" s="700"/>
      <c r="OK3" s="700"/>
      <c r="OL3" s="700"/>
      <c r="OM3" s="700"/>
      <c r="ON3" s="700"/>
      <c r="OO3" s="700"/>
      <c r="OP3" s="700"/>
      <c r="OQ3" s="700"/>
      <c r="OR3" s="700"/>
      <c r="OS3" s="700"/>
      <c r="OT3" s="700"/>
      <c r="OU3" s="700"/>
      <c r="OV3" s="700"/>
      <c r="OW3" s="700"/>
      <c r="OX3" s="700"/>
      <c r="OY3" s="700"/>
      <c r="OZ3" s="700"/>
      <c r="PA3" s="700"/>
      <c r="PB3" s="700"/>
      <c r="PC3" s="700"/>
      <c r="PD3" s="700"/>
      <c r="PE3" s="700"/>
      <c r="PF3" s="700"/>
      <c r="PG3" s="700"/>
      <c r="PH3" s="700"/>
      <c r="PI3" s="700"/>
      <c r="PJ3" s="700"/>
      <c r="PK3" s="700"/>
      <c r="PL3" s="700"/>
      <c r="PM3" s="700"/>
      <c r="PN3" s="700"/>
      <c r="PO3" s="700"/>
      <c r="PP3" s="700"/>
      <c r="PQ3" s="700"/>
      <c r="PR3" s="700"/>
      <c r="PS3" s="700"/>
      <c r="PT3" s="700"/>
      <c r="PU3" s="700"/>
      <c r="PV3" s="700"/>
      <c r="PW3" s="700"/>
      <c r="PX3" s="700"/>
      <c r="PY3" s="700"/>
      <c r="PZ3" s="700"/>
      <c r="QA3" s="700"/>
      <c r="QB3" s="700"/>
      <c r="QC3" s="700"/>
      <c r="QD3" s="700"/>
      <c r="QE3" s="700"/>
      <c r="QF3" s="700"/>
      <c r="QG3" s="700"/>
      <c r="QH3" s="700"/>
      <c r="QI3" s="700"/>
      <c r="QJ3" s="700"/>
      <c r="QK3" s="700"/>
      <c r="QL3" s="700"/>
      <c r="QM3" s="700"/>
      <c r="QN3" s="700"/>
      <c r="QO3" s="700"/>
      <c r="QP3" s="700"/>
      <c r="QQ3" s="700"/>
      <c r="QR3" s="700"/>
      <c r="QS3" s="700"/>
      <c r="QT3" s="700"/>
      <c r="QU3" s="700"/>
      <c r="QV3" s="700"/>
      <c r="QW3" s="700"/>
      <c r="QX3" s="700"/>
      <c r="QY3" s="700"/>
      <c r="QZ3" s="700"/>
      <c r="RA3" s="700"/>
      <c r="RB3" s="700"/>
      <c r="RC3" s="700"/>
      <c r="RD3" s="700"/>
      <c r="RE3" s="700"/>
      <c r="RF3" s="700"/>
      <c r="RG3" s="700"/>
      <c r="RH3" s="700"/>
      <c r="RI3" s="700"/>
      <c r="RJ3" s="700"/>
      <c r="RK3" s="700"/>
      <c r="RL3" s="700"/>
      <c r="RM3" s="700"/>
      <c r="RN3" s="700"/>
      <c r="RO3" s="700"/>
      <c r="RP3" s="700"/>
      <c r="RQ3" s="700"/>
      <c r="RR3" s="700"/>
      <c r="RS3" s="700"/>
      <c r="RT3" s="700"/>
      <c r="RU3" s="700"/>
      <c r="RV3" s="700"/>
      <c r="RW3" s="700"/>
      <c r="RX3" s="700"/>
      <c r="RY3" s="700"/>
      <c r="RZ3" s="700"/>
      <c r="SA3" s="700"/>
      <c r="SB3" s="700"/>
      <c r="SC3" s="700"/>
      <c r="SD3" s="700"/>
      <c r="SE3" s="700"/>
      <c r="SF3" s="700"/>
      <c r="SG3" s="700"/>
      <c r="SH3" s="700"/>
      <c r="SI3" s="700"/>
      <c r="SJ3" s="700"/>
      <c r="SK3" s="700"/>
      <c r="SL3" s="700"/>
      <c r="SM3" s="700"/>
      <c r="SN3" s="700"/>
      <c r="SO3" s="700"/>
      <c r="SP3" s="700"/>
      <c r="SQ3" s="700"/>
      <c r="SR3" s="700"/>
      <c r="SS3" s="700"/>
      <c r="ST3" s="700"/>
      <c r="SU3" s="700"/>
      <c r="SV3" s="700"/>
      <c r="SW3" s="700"/>
      <c r="SX3" s="700"/>
      <c r="SY3" s="700"/>
      <c r="SZ3" s="700"/>
      <c r="TA3" s="700"/>
      <c r="TB3" s="700"/>
      <c r="TC3" s="700"/>
      <c r="TD3" s="700"/>
      <c r="TE3" s="700"/>
      <c r="TF3" s="700"/>
      <c r="TG3" s="700"/>
      <c r="TH3" s="700"/>
      <c r="TI3" s="700"/>
      <c r="TJ3" s="700"/>
      <c r="TK3" s="700"/>
      <c r="TL3" s="700"/>
      <c r="TM3" s="700"/>
      <c r="TN3" s="700"/>
      <c r="TO3" s="700"/>
      <c r="TP3" s="700"/>
      <c r="TQ3" s="700"/>
      <c r="TR3" s="700"/>
      <c r="TS3" s="700"/>
      <c r="TT3" s="700"/>
      <c r="TU3" s="700"/>
      <c r="TV3" s="700"/>
      <c r="TW3" s="700"/>
      <c r="TX3" s="700"/>
      <c r="TY3" s="700"/>
      <c r="TZ3" s="700"/>
      <c r="UA3" s="700"/>
      <c r="UB3" s="700"/>
      <c r="UC3" s="700"/>
      <c r="UD3" s="700"/>
      <c r="UE3" s="700"/>
      <c r="UF3" s="700"/>
      <c r="UG3" s="700"/>
      <c r="UH3" s="700"/>
      <c r="UI3" s="700"/>
      <c r="UJ3" s="700"/>
      <c r="UK3" s="700"/>
      <c r="UL3" s="700"/>
      <c r="UM3" s="700"/>
      <c r="UN3" s="700"/>
      <c r="UO3" s="700"/>
      <c r="UP3" s="700"/>
      <c r="UQ3" s="700"/>
      <c r="UR3" s="700"/>
      <c r="US3" s="700"/>
      <c r="UT3" s="700"/>
      <c r="UU3" s="700"/>
      <c r="UV3" s="700"/>
      <c r="UW3" s="700"/>
      <c r="UX3" s="700"/>
      <c r="UY3" s="700"/>
      <c r="UZ3" s="700"/>
      <c r="VA3" s="700"/>
      <c r="VB3" s="700"/>
      <c r="VC3" s="700"/>
      <c r="VD3" s="700"/>
      <c r="VE3" s="700"/>
      <c r="VF3" s="700"/>
      <c r="VG3" s="700"/>
      <c r="VH3" s="700"/>
      <c r="VI3" s="700"/>
      <c r="VJ3" s="700"/>
      <c r="VK3" s="700"/>
      <c r="VL3" s="700"/>
      <c r="VM3" s="700"/>
      <c r="VN3" s="700"/>
      <c r="VO3" s="700"/>
      <c r="VP3" s="700"/>
      <c r="VQ3" s="700"/>
      <c r="VR3" s="700"/>
      <c r="VS3" s="700"/>
      <c r="VT3" s="700"/>
      <c r="VU3" s="700"/>
      <c r="VV3" s="700"/>
      <c r="VW3" s="700"/>
      <c r="VX3" s="700"/>
      <c r="VY3" s="700"/>
      <c r="VZ3" s="700"/>
      <c r="WA3" s="700"/>
      <c r="WB3" s="700"/>
      <c r="WC3" s="700"/>
      <c r="WD3" s="700"/>
      <c r="WE3" s="700"/>
      <c r="WF3" s="700"/>
      <c r="WG3" s="700"/>
      <c r="WH3" s="700"/>
      <c r="WI3" s="700"/>
      <c r="WJ3" s="700"/>
      <c r="WK3" s="700"/>
      <c r="WL3" s="700"/>
      <c r="WM3" s="700"/>
      <c r="WN3" s="700"/>
      <c r="WO3" s="700"/>
      <c r="WP3" s="700"/>
      <c r="WQ3" s="700"/>
      <c r="WR3" s="700"/>
      <c r="WS3" s="700"/>
      <c r="WT3" s="700"/>
      <c r="WU3" s="700"/>
      <c r="WV3" s="700"/>
      <c r="WW3" s="700"/>
      <c r="WX3" s="700"/>
      <c r="WY3" s="700"/>
      <c r="WZ3" s="700"/>
      <c r="XA3" s="700"/>
      <c r="XB3" s="700"/>
      <c r="XC3" s="700"/>
      <c r="XD3" s="700"/>
      <c r="XE3" s="700"/>
      <c r="XF3" s="700"/>
      <c r="XG3" s="700"/>
      <c r="XH3" s="700"/>
      <c r="XI3" s="700"/>
      <c r="XJ3" s="700"/>
      <c r="XK3" s="700"/>
      <c r="XL3" s="700"/>
      <c r="XM3" s="700"/>
      <c r="XN3" s="700"/>
      <c r="XO3" s="700"/>
      <c r="XP3" s="700"/>
      <c r="XQ3" s="700"/>
      <c r="XR3" s="700"/>
      <c r="XS3" s="700"/>
      <c r="XT3" s="700"/>
      <c r="XU3" s="700"/>
      <c r="XV3" s="700"/>
      <c r="XW3" s="700"/>
      <c r="XX3" s="700"/>
      <c r="XY3" s="700"/>
      <c r="XZ3" s="700"/>
      <c r="YA3" s="700"/>
      <c r="YB3" s="700"/>
      <c r="YC3" s="700"/>
      <c r="YD3" s="700"/>
      <c r="YE3" s="700"/>
      <c r="YF3" s="700"/>
      <c r="YG3" s="700"/>
      <c r="YH3" s="700"/>
      <c r="YI3" s="700"/>
      <c r="YJ3" s="700"/>
      <c r="YK3" s="700"/>
      <c r="YL3" s="700"/>
      <c r="YM3" s="700"/>
      <c r="YN3" s="700"/>
      <c r="YO3" s="700"/>
      <c r="YP3" s="700"/>
      <c r="YQ3" s="700"/>
      <c r="YR3" s="700"/>
      <c r="YS3" s="700"/>
      <c r="YT3" s="700"/>
      <c r="YU3" s="700"/>
      <c r="YV3" s="700"/>
      <c r="YW3" s="700"/>
      <c r="YX3" s="700"/>
      <c r="YY3" s="700"/>
      <c r="YZ3" s="700"/>
      <c r="ZA3" s="700"/>
      <c r="ZB3" s="700"/>
      <c r="ZC3" s="700"/>
      <c r="ZD3" s="700"/>
      <c r="ZE3" s="700"/>
      <c r="ZF3" s="700"/>
      <c r="ZG3" s="700"/>
      <c r="ZH3" s="700"/>
      <c r="ZI3" s="700"/>
      <c r="ZJ3" s="700"/>
      <c r="ZK3" s="700"/>
      <c r="ZL3" s="700"/>
      <c r="ZM3" s="700"/>
      <c r="ZN3" s="700"/>
      <c r="ZO3" s="700"/>
      <c r="ZP3" s="700"/>
      <c r="ZQ3" s="700"/>
      <c r="ZR3" s="700"/>
      <c r="ZS3" s="700"/>
      <c r="ZT3" s="700"/>
      <c r="ZU3" s="700"/>
      <c r="ZV3" s="700"/>
      <c r="ZW3" s="700"/>
      <c r="ZX3" s="700"/>
      <c r="ZY3" s="700"/>
      <c r="ZZ3" s="700"/>
      <c r="AAA3" s="700"/>
      <c r="AAB3" s="700"/>
      <c r="AAC3" s="700"/>
      <c r="AAD3" s="700"/>
      <c r="AAE3" s="700"/>
      <c r="AAF3" s="700"/>
      <c r="AAG3" s="700"/>
      <c r="AAH3" s="700"/>
      <c r="AAI3" s="700"/>
      <c r="AAJ3" s="700"/>
      <c r="AAK3" s="700"/>
      <c r="AAL3" s="700"/>
      <c r="AAM3" s="700"/>
      <c r="AAN3" s="700"/>
      <c r="AAO3" s="700"/>
      <c r="AAP3" s="700"/>
      <c r="AAQ3" s="700"/>
      <c r="AAR3" s="700"/>
      <c r="AAS3" s="700"/>
      <c r="AAT3" s="700"/>
      <c r="AAU3" s="700"/>
      <c r="AAV3" s="700"/>
      <c r="AAW3" s="700"/>
      <c r="AAX3" s="700"/>
      <c r="AAY3" s="700"/>
      <c r="AAZ3" s="700"/>
      <c r="ABA3" s="700"/>
      <c r="ABB3" s="700"/>
      <c r="ABC3" s="700"/>
      <c r="ABD3" s="700"/>
      <c r="ABE3" s="700"/>
      <c r="ABF3" s="700"/>
      <c r="ABG3" s="700"/>
      <c r="ABH3" s="700"/>
      <c r="ABI3" s="700"/>
      <c r="ABJ3" s="700"/>
      <c r="ABK3" s="700"/>
      <c r="ABL3" s="700"/>
      <c r="ABM3" s="700"/>
      <c r="ABN3" s="700"/>
      <c r="ABO3" s="700"/>
      <c r="ABP3" s="700"/>
      <c r="ABQ3" s="700"/>
      <c r="ABR3" s="700"/>
      <c r="ABS3" s="700"/>
      <c r="ABT3" s="700"/>
      <c r="ABU3" s="700"/>
      <c r="ABV3" s="700"/>
      <c r="ABW3" s="700"/>
      <c r="ABX3" s="700"/>
      <c r="ABY3" s="700"/>
      <c r="ABZ3" s="700"/>
      <c r="ACA3" s="700"/>
      <c r="ACB3" s="700"/>
      <c r="ACC3" s="700"/>
      <c r="ACD3" s="700"/>
      <c r="ACE3" s="700"/>
      <c r="ACF3" s="700"/>
      <c r="ACG3" s="700"/>
      <c r="ACH3" s="700"/>
      <c r="ACI3" s="700"/>
      <c r="ACJ3" s="700"/>
      <c r="ACK3" s="700"/>
      <c r="ACL3" s="700"/>
      <c r="ACM3" s="700"/>
      <c r="ACN3" s="700"/>
      <c r="ACO3" s="700"/>
      <c r="ACP3" s="700"/>
      <c r="ACQ3" s="700"/>
      <c r="ACR3" s="700"/>
      <c r="ACS3" s="700"/>
      <c r="ACT3" s="700"/>
      <c r="ACU3" s="700"/>
      <c r="ACV3" s="700"/>
      <c r="ACW3" s="700"/>
      <c r="ACX3" s="700"/>
      <c r="ACY3" s="700"/>
      <c r="ACZ3" s="700"/>
      <c r="ADA3" s="700"/>
      <c r="ADB3" s="700"/>
      <c r="ADC3" s="700"/>
      <c r="ADD3" s="700"/>
      <c r="ADE3" s="700"/>
      <c r="ADF3" s="700"/>
      <c r="ADG3" s="700"/>
      <c r="ADH3" s="700"/>
      <c r="ADI3" s="700"/>
      <c r="ADJ3" s="700"/>
      <c r="ADK3" s="700"/>
      <c r="ADL3" s="700"/>
      <c r="ADM3" s="700"/>
      <c r="ADN3" s="700"/>
      <c r="ADO3" s="700"/>
      <c r="ADP3" s="700"/>
      <c r="ADQ3" s="700"/>
      <c r="ADR3" s="700"/>
      <c r="ADS3" s="700"/>
      <c r="ADT3" s="700"/>
      <c r="ADU3" s="700"/>
      <c r="ADV3" s="700"/>
      <c r="ADW3" s="700"/>
      <c r="ADX3" s="700"/>
      <c r="ADY3" s="700"/>
      <c r="ADZ3" s="700"/>
      <c r="AEA3" s="700"/>
      <c r="AEB3" s="700"/>
      <c r="AEC3" s="700"/>
      <c r="AED3" s="700"/>
      <c r="AEE3" s="700"/>
      <c r="AEF3" s="700"/>
      <c r="AEG3" s="700"/>
      <c r="AEH3" s="700"/>
      <c r="AEI3" s="700"/>
      <c r="AEJ3" s="700"/>
      <c r="AEK3" s="700"/>
      <c r="AEL3" s="700"/>
      <c r="AEM3" s="700"/>
      <c r="AEN3" s="700"/>
      <c r="AEO3" s="700"/>
      <c r="AEP3" s="700"/>
      <c r="AEQ3" s="700"/>
      <c r="AER3" s="700"/>
      <c r="AES3" s="700"/>
      <c r="AET3" s="700"/>
      <c r="AEU3" s="700"/>
      <c r="AEV3" s="700"/>
      <c r="AEW3" s="700"/>
      <c r="AEX3" s="700"/>
      <c r="AEY3" s="700"/>
      <c r="AEZ3" s="700"/>
      <c r="AFA3" s="700"/>
      <c r="AFB3" s="700"/>
      <c r="AFC3" s="700"/>
      <c r="AFD3" s="700"/>
      <c r="AFE3" s="700"/>
      <c r="AFF3" s="700"/>
      <c r="AFG3" s="700"/>
      <c r="AFH3" s="700"/>
      <c r="AFI3" s="700"/>
      <c r="AFJ3" s="700"/>
      <c r="AFK3" s="700"/>
      <c r="AFL3" s="700"/>
      <c r="AFM3" s="700"/>
      <c r="AFN3" s="700"/>
      <c r="AFO3" s="700"/>
      <c r="AFP3" s="700"/>
      <c r="AFQ3" s="700"/>
      <c r="AFR3" s="700"/>
      <c r="AFS3" s="700"/>
      <c r="AFT3" s="700"/>
      <c r="AFU3" s="700"/>
      <c r="AFV3" s="700"/>
      <c r="AFW3" s="700"/>
      <c r="AFX3" s="700"/>
      <c r="AFY3" s="700"/>
      <c r="AFZ3" s="700"/>
      <c r="AGA3" s="700"/>
      <c r="AGB3" s="700"/>
      <c r="AGC3" s="700"/>
      <c r="AGD3" s="700"/>
      <c r="AGE3" s="700"/>
      <c r="AGF3" s="700"/>
      <c r="AGG3" s="700"/>
      <c r="AGH3" s="700"/>
      <c r="AGI3" s="700"/>
      <c r="AGJ3" s="700"/>
      <c r="AGK3" s="700"/>
      <c r="AGL3" s="700"/>
      <c r="AGM3" s="700"/>
      <c r="AGN3" s="700"/>
      <c r="AGO3" s="700"/>
      <c r="AGP3" s="700"/>
      <c r="AGQ3" s="700"/>
      <c r="AGR3" s="700"/>
      <c r="AGS3" s="700"/>
      <c r="AGT3" s="700"/>
      <c r="AGU3" s="700"/>
      <c r="AGV3" s="700"/>
      <c r="AGW3" s="700"/>
      <c r="AGX3" s="700"/>
      <c r="AGY3" s="700"/>
      <c r="AGZ3" s="700"/>
      <c r="AHA3" s="700"/>
      <c r="AHB3" s="700"/>
      <c r="AHC3" s="700"/>
      <c r="AHD3" s="700"/>
      <c r="AHE3" s="700"/>
      <c r="AHF3" s="700"/>
      <c r="AHG3" s="700"/>
      <c r="AHH3" s="700"/>
      <c r="AHI3" s="700"/>
      <c r="AHJ3" s="700"/>
      <c r="AHK3" s="700"/>
      <c r="AHL3" s="700"/>
      <c r="AHM3" s="700"/>
      <c r="AHN3" s="700"/>
      <c r="AHO3" s="700"/>
      <c r="AHP3" s="700"/>
      <c r="AHQ3" s="700"/>
      <c r="AHR3" s="700"/>
      <c r="AHS3" s="700"/>
      <c r="AHT3" s="700"/>
      <c r="AHU3" s="700"/>
      <c r="AHV3" s="700"/>
      <c r="AHW3" s="700"/>
      <c r="AHX3" s="700"/>
      <c r="AHY3" s="700"/>
      <c r="AHZ3" s="700"/>
      <c r="AIA3" s="700"/>
      <c r="AIB3" s="700"/>
      <c r="AIC3" s="700"/>
      <c r="AID3" s="700"/>
      <c r="AIE3" s="700"/>
      <c r="AIF3" s="700"/>
      <c r="AIG3" s="700"/>
      <c r="AIH3" s="700"/>
      <c r="AII3" s="700"/>
      <c r="AIJ3" s="700"/>
      <c r="AIK3" s="700"/>
      <c r="AIL3" s="700"/>
      <c r="AIM3" s="700"/>
      <c r="AIN3" s="700"/>
      <c r="AIO3" s="700"/>
      <c r="AIP3" s="700"/>
      <c r="AIQ3" s="700"/>
      <c r="AIR3" s="700"/>
      <c r="AIS3" s="700"/>
      <c r="AIT3" s="700"/>
      <c r="AIU3" s="700"/>
      <c r="AIV3" s="700"/>
      <c r="AIW3" s="700"/>
      <c r="AIX3" s="700"/>
      <c r="AIY3" s="700"/>
      <c r="AIZ3" s="700"/>
      <c r="AJA3" s="700"/>
      <c r="AJB3" s="700"/>
      <c r="AJC3" s="700"/>
      <c r="AJD3" s="700"/>
      <c r="AJE3" s="700"/>
      <c r="AJF3" s="700"/>
      <c r="AJG3" s="700"/>
      <c r="AJH3" s="700"/>
      <c r="AJI3" s="700"/>
      <c r="AJJ3" s="700"/>
      <c r="AJK3" s="700"/>
      <c r="AJL3" s="700"/>
      <c r="AJM3" s="700"/>
      <c r="AJN3" s="700"/>
      <c r="AJO3" s="700"/>
      <c r="AJP3" s="700"/>
      <c r="AJQ3" s="700"/>
      <c r="AJR3" s="700"/>
      <c r="AJS3" s="700"/>
      <c r="AJT3" s="700"/>
      <c r="AJU3" s="700"/>
      <c r="AJV3" s="700"/>
      <c r="AJW3" s="700"/>
      <c r="AJX3" s="700"/>
      <c r="AJY3" s="700"/>
      <c r="AJZ3" s="700"/>
      <c r="AKA3" s="700"/>
      <c r="AKB3" s="700"/>
      <c r="AKC3" s="700"/>
      <c r="AKD3" s="700"/>
      <c r="AKE3" s="700"/>
      <c r="AKF3" s="700"/>
      <c r="AKG3" s="700"/>
      <c r="AKH3" s="700"/>
      <c r="AKI3" s="700"/>
      <c r="AKJ3" s="700"/>
      <c r="AKK3" s="700"/>
      <c r="AKL3" s="700"/>
      <c r="AKM3" s="700"/>
      <c r="AKN3" s="700"/>
      <c r="AKO3" s="700"/>
      <c r="AKP3" s="700"/>
      <c r="AKQ3" s="700"/>
      <c r="AKR3" s="700"/>
      <c r="AKS3" s="700"/>
      <c r="AKT3" s="700"/>
      <c r="AKU3" s="700"/>
      <c r="AKV3" s="700"/>
      <c r="AKW3" s="700"/>
      <c r="AKX3" s="700"/>
      <c r="AKY3" s="700"/>
      <c r="AKZ3" s="700"/>
      <c r="ALA3" s="700"/>
      <c r="ALB3" s="700"/>
      <c r="ALC3" s="700"/>
      <c r="ALD3" s="700"/>
      <c r="ALE3" s="700"/>
      <c r="ALF3" s="700"/>
      <c r="ALG3" s="700"/>
      <c r="ALH3" s="700"/>
      <c r="ALI3" s="700"/>
      <c r="ALJ3" s="700"/>
      <c r="ALK3" s="700"/>
      <c r="ALL3" s="700"/>
      <c r="ALM3" s="700"/>
      <c r="ALN3" s="700"/>
      <c r="ALO3" s="700"/>
      <c r="ALP3" s="700"/>
      <c r="ALQ3" s="700"/>
      <c r="ALR3" s="700"/>
      <c r="ALS3" s="700"/>
      <c r="ALT3" s="700"/>
      <c r="ALU3" s="700"/>
      <c r="ALV3" s="700"/>
      <c r="ALW3" s="700"/>
      <c r="ALX3" s="700"/>
      <c r="ALY3" s="700"/>
      <c r="ALZ3" s="700"/>
      <c r="AMA3" s="700"/>
      <c r="AMB3" s="700"/>
      <c r="AMC3" s="700"/>
      <c r="AMD3" s="700"/>
      <c r="AME3" s="700"/>
      <c r="AMF3" s="700"/>
      <c r="AMG3" s="700"/>
      <c r="AMH3" s="700"/>
      <c r="AMI3" s="700"/>
      <c r="AMJ3" s="700"/>
      <c r="AMK3" s="700"/>
      <c r="AML3" s="700"/>
      <c r="AMM3" s="700"/>
      <c r="AMN3" s="700"/>
      <c r="AMO3" s="700"/>
      <c r="AMP3" s="700"/>
      <c r="AMQ3" s="700"/>
      <c r="AMR3" s="700"/>
      <c r="AMS3" s="700"/>
      <c r="AMT3" s="700"/>
      <c r="AMU3" s="700"/>
      <c r="AMV3" s="700"/>
      <c r="AMW3" s="700"/>
      <c r="AMX3" s="700"/>
      <c r="AMY3" s="700"/>
      <c r="AMZ3" s="700"/>
      <c r="ANA3" s="700"/>
      <c r="ANB3" s="700"/>
      <c r="ANC3" s="700"/>
      <c r="AND3" s="700"/>
      <c r="ANE3" s="700"/>
      <c r="ANF3" s="700"/>
      <c r="ANG3" s="700"/>
      <c r="ANH3" s="700"/>
      <c r="ANI3" s="700"/>
      <c r="ANJ3" s="700"/>
      <c r="ANK3" s="700"/>
      <c r="ANL3" s="700"/>
      <c r="ANM3" s="700"/>
      <c r="ANN3" s="700"/>
      <c r="ANO3" s="700"/>
      <c r="ANP3" s="700"/>
      <c r="ANQ3" s="700"/>
      <c r="ANR3" s="700"/>
      <c r="ANS3" s="700"/>
      <c r="ANT3" s="700"/>
      <c r="ANU3" s="700"/>
      <c r="ANV3" s="700"/>
      <c r="ANW3" s="700"/>
      <c r="ANX3" s="700"/>
      <c r="ANY3" s="700"/>
      <c r="ANZ3" s="700"/>
      <c r="AOA3" s="700"/>
      <c r="AOB3" s="700"/>
      <c r="AOC3" s="700"/>
      <c r="AOD3" s="700"/>
      <c r="AOE3" s="700"/>
      <c r="AOF3" s="700"/>
      <c r="AOG3" s="700"/>
      <c r="AOH3" s="700"/>
      <c r="AOI3" s="700"/>
      <c r="AOJ3" s="700"/>
      <c r="AOK3" s="700"/>
      <c r="AOL3" s="700"/>
      <c r="AOM3" s="700"/>
      <c r="AON3" s="700"/>
      <c r="AOO3" s="700"/>
      <c r="AOP3" s="700"/>
      <c r="AOQ3" s="700"/>
      <c r="AOR3" s="700"/>
      <c r="AOS3" s="700"/>
      <c r="AOT3" s="700"/>
      <c r="AOU3" s="700"/>
      <c r="AOV3" s="700"/>
      <c r="AOW3" s="700"/>
      <c r="AOX3" s="700"/>
      <c r="AOY3" s="700"/>
      <c r="AOZ3" s="700"/>
      <c r="APA3" s="700"/>
      <c r="APB3" s="700"/>
      <c r="APC3" s="700"/>
      <c r="APD3" s="700"/>
      <c r="APE3" s="700"/>
      <c r="APF3" s="700"/>
      <c r="APG3" s="700"/>
      <c r="APH3" s="700"/>
      <c r="API3" s="700"/>
      <c r="APJ3" s="700"/>
      <c r="APK3" s="700"/>
      <c r="APL3" s="700"/>
      <c r="APM3" s="700"/>
      <c r="APN3" s="700"/>
      <c r="APO3" s="700"/>
      <c r="APP3" s="700"/>
      <c r="APQ3" s="700"/>
      <c r="APR3" s="700"/>
      <c r="APS3" s="700"/>
      <c r="APT3" s="700"/>
      <c r="APU3" s="700"/>
      <c r="APV3" s="700"/>
      <c r="APW3" s="700"/>
      <c r="APX3" s="700"/>
      <c r="APY3" s="700"/>
      <c r="APZ3" s="700"/>
      <c r="AQA3" s="700"/>
      <c r="AQB3" s="700"/>
      <c r="AQC3" s="700"/>
      <c r="AQD3" s="700"/>
      <c r="AQE3" s="700"/>
      <c r="AQF3" s="700"/>
      <c r="AQG3" s="700"/>
      <c r="AQH3" s="700"/>
      <c r="AQI3" s="700"/>
      <c r="AQJ3" s="700"/>
      <c r="AQK3" s="700"/>
      <c r="AQL3" s="700"/>
      <c r="AQM3" s="700"/>
      <c r="AQN3" s="700"/>
      <c r="AQO3" s="700"/>
      <c r="AQP3" s="700"/>
      <c r="AQQ3" s="700"/>
      <c r="AQR3" s="700"/>
      <c r="AQS3" s="700"/>
      <c r="AQT3" s="700"/>
      <c r="AQU3" s="700"/>
      <c r="AQV3" s="700"/>
      <c r="AQW3" s="700"/>
      <c r="AQX3" s="700"/>
      <c r="AQY3" s="700"/>
      <c r="AQZ3" s="700"/>
      <c r="ARA3" s="700"/>
      <c r="ARB3" s="700"/>
      <c r="ARC3" s="700"/>
      <c r="ARD3" s="700"/>
      <c r="ARE3" s="700"/>
      <c r="ARF3" s="700"/>
      <c r="ARG3" s="700"/>
      <c r="ARH3" s="700"/>
      <c r="ARI3" s="700"/>
      <c r="ARJ3" s="700"/>
      <c r="ARK3" s="700"/>
      <c r="ARL3" s="700"/>
      <c r="ARM3" s="700"/>
      <c r="ARN3" s="700"/>
      <c r="ARO3" s="700"/>
      <c r="ARP3" s="700"/>
      <c r="ARQ3" s="700"/>
      <c r="ARR3" s="700"/>
      <c r="ARS3" s="700"/>
      <c r="ART3" s="700"/>
      <c r="ARU3" s="700"/>
      <c r="ARV3" s="700"/>
      <c r="ARW3" s="700"/>
      <c r="ARX3" s="700"/>
      <c r="ARY3" s="700"/>
      <c r="ARZ3" s="700"/>
      <c r="ASA3" s="700"/>
      <c r="ASB3" s="700"/>
      <c r="ASC3" s="700"/>
      <c r="ASD3" s="700"/>
      <c r="ASE3" s="700"/>
      <c r="ASF3" s="700"/>
      <c r="ASG3" s="700"/>
      <c r="ASH3" s="700"/>
      <c r="ASI3" s="700"/>
      <c r="ASJ3" s="700"/>
      <c r="ASK3" s="700"/>
      <c r="ASL3" s="700"/>
      <c r="ASM3" s="700"/>
      <c r="ASN3" s="700"/>
      <c r="ASO3" s="700"/>
      <c r="ASP3" s="700"/>
      <c r="ASQ3" s="700"/>
      <c r="ASR3" s="700"/>
      <c r="ASS3" s="700"/>
      <c r="AST3" s="700"/>
      <c r="ASU3" s="700"/>
      <c r="ASV3" s="700"/>
      <c r="ASW3" s="700"/>
      <c r="ASX3" s="700"/>
      <c r="ASY3" s="700"/>
      <c r="ASZ3" s="700"/>
      <c r="ATA3" s="700"/>
      <c r="ATB3" s="700"/>
      <c r="ATC3" s="700"/>
      <c r="ATD3" s="700"/>
      <c r="ATE3" s="700"/>
      <c r="ATF3" s="700"/>
      <c r="ATG3" s="700"/>
      <c r="ATH3" s="700"/>
      <c r="ATI3" s="700"/>
      <c r="ATJ3" s="700"/>
      <c r="ATK3" s="700"/>
      <c r="ATL3" s="700"/>
      <c r="ATM3" s="700"/>
      <c r="ATN3" s="700"/>
      <c r="ATO3" s="700"/>
      <c r="ATP3" s="700"/>
      <c r="ATQ3" s="700"/>
      <c r="ATR3" s="700"/>
      <c r="ATS3" s="700"/>
      <c r="ATT3" s="700"/>
      <c r="ATU3" s="700"/>
      <c r="ATV3" s="700"/>
      <c r="ATW3" s="700"/>
      <c r="ATX3" s="700"/>
      <c r="ATY3" s="700"/>
      <c r="ATZ3" s="700"/>
      <c r="AUA3" s="700"/>
      <c r="AUB3" s="700"/>
      <c r="AUC3" s="700"/>
      <c r="AUD3" s="700"/>
      <c r="AUE3" s="700"/>
      <c r="AUF3" s="700"/>
      <c r="AUG3" s="700"/>
      <c r="AUH3" s="700"/>
      <c r="AUI3" s="700"/>
      <c r="AUJ3" s="700"/>
      <c r="AUK3" s="700"/>
      <c r="AUL3" s="700"/>
      <c r="AUM3" s="700"/>
      <c r="AUN3" s="700"/>
      <c r="AUO3" s="700"/>
      <c r="AUP3" s="700"/>
      <c r="AUQ3" s="700"/>
      <c r="AUR3" s="700"/>
      <c r="AUS3" s="700"/>
      <c r="AUT3" s="700"/>
      <c r="AUU3" s="700"/>
      <c r="AUV3" s="700"/>
      <c r="AUW3" s="700"/>
      <c r="AUX3" s="700"/>
      <c r="AUY3" s="700"/>
      <c r="AUZ3" s="700"/>
      <c r="AVA3" s="700"/>
      <c r="AVB3" s="700"/>
      <c r="AVC3" s="700"/>
      <c r="AVD3" s="700"/>
      <c r="AVE3" s="700"/>
      <c r="AVF3" s="700"/>
      <c r="AVG3" s="700"/>
      <c r="AVH3" s="700"/>
      <c r="AVI3" s="700"/>
      <c r="AVJ3" s="700"/>
      <c r="AVK3" s="700"/>
      <c r="AVL3" s="700"/>
      <c r="AVM3" s="700"/>
      <c r="AVN3" s="700"/>
      <c r="AVO3" s="700"/>
      <c r="AVP3" s="700"/>
      <c r="AVQ3" s="700"/>
      <c r="AVR3" s="700"/>
      <c r="AVS3" s="700"/>
      <c r="AVT3" s="700"/>
      <c r="AVU3" s="700"/>
      <c r="AVV3" s="700"/>
      <c r="AVW3" s="700"/>
      <c r="AVX3" s="700"/>
      <c r="AVY3" s="700"/>
      <c r="AVZ3" s="700"/>
      <c r="AWA3" s="700"/>
      <c r="AWB3" s="700"/>
      <c r="AWC3" s="700"/>
      <c r="AWD3" s="700"/>
      <c r="AWE3" s="700"/>
      <c r="AWF3" s="700"/>
      <c r="AWG3" s="700"/>
      <c r="AWH3" s="700"/>
      <c r="AWI3" s="700"/>
      <c r="AWJ3" s="700"/>
      <c r="AWK3" s="700"/>
      <c r="AWL3" s="700"/>
      <c r="AWM3" s="700"/>
      <c r="AWN3" s="700"/>
      <c r="AWO3" s="700"/>
      <c r="AWP3" s="700"/>
      <c r="AWQ3" s="700"/>
      <c r="AWR3" s="700"/>
      <c r="AWS3" s="700"/>
      <c r="AWT3" s="700"/>
      <c r="AWU3" s="700"/>
      <c r="AWV3" s="700"/>
      <c r="AWW3" s="700"/>
      <c r="AWX3" s="700"/>
      <c r="AWY3" s="700"/>
      <c r="AWZ3" s="700"/>
      <c r="AXA3" s="700"/>
      <c r="AXB3" s="700"/>
      <c r="AXC3" s="700"/>
      <c r="AXD3" s="700"/>
      <c r="AXE3" s="700"/>
      <c r="AXF3" s="700"/>
      <c r="AXG3" s="700"/>
      <c r="AXH3" s="700"/>
      <c r="AXI3" s="700"/>
      <c r="AXJ3" s="700"/>
      <c r="AXK3" s="700"/>
      <c r="AXL3" s="700"/>
      <c r="AXM3" s="700"/>
      <c r="AXN3" s="700"/>
      <c r="AXO3" s="700"/>
      <c r="AXP3" s="700"/>
      <c r="AXQ3" s="700"/>
      <c r="AXR3" s="700"/>
      <c r="AXS3" s="700"/>
      <c r="AXT3" s="700"/>
      <c r="AXU3" s="700"/>
      <c r="AXV3" s="700"/>
      <c r="AXW3" s="700"/>
      <c r="AXX3" s="700"/>
      <c r="AXY3" s="700"/>
      <c r="AXZ3" s="700"/>
      <c r="AYA3" s="700"/>
      <c r="AYB3" s="700"/>
      <c r="AYC3" s="700"/>
      <c r="AYD3" s="700"/>
      <c r="AYE3" s="700"/>
      <c r="AYF3" s="700"/>
      <c r="AYG3" s="700"/>
      <c r="AYH3" s="700"/>
      <c r="AYI3" s="700"/>
      <c r="AYJ3" s="700"/>
      <c r="AYK3" s="700"/>
      <c r="AYL3" s="700"/>
      <c r="AYM3" s="700"/>
      <c r="AYN3" s="700"/>
      <c r="AYO3" s="700"/>
      <c r="AYP3" s="700"/>
      <c r="AYQ3" s="700"/>
      <c r="AYR3" s="700"/>
      <c r="AYS3" s="700"/>
      <c r="AYT3" s="700"/>
      <c r="AYU3" s="700"/>
      <c r="AYV3" s="700"/>
      <c r="AYW3" s="700"/>
      <c r="AYX3" s="700"/>
      <c r="AYY3" s="700"/>
      <c r="AYZ3" s="700"/>
      <c r="AZA3" s="700"/>
      <c r="AZB3" s="700"/>
      <c r="AZC3" s="700"/>
      <c r="AZD3" s="700"/>
      <c r="AZE3" s="700"/>
      <c r="AZF3" s="700"/>
      <c r="AZG3" s="700"/>
      <c r="AZH3" s="700"/>
      <c r="AZI3" s="700"/>
      <c r="AZJ3" s="700"/>
      <c r="AZK3" s="700"/>
      <c r="AZL3" s="700"/>
      <c r="AZM3" s="700"/>
      <c r="AZN3" s="700"/>
      <c r="AZO3" s="700"/>
      <c r="AZP3" s="700"/>
      <c r="AZQ3" s="700"/>
      <c r="AZR3" s="700"/>
      <c r="AZS3" s="700"/>
      <c r="AZT3" s="700"/>
      <c r="AZU3" s="700"/>
      <c r="AZV3" s="700"/>
      <c r="AZW3" s="700"/>
      <c r="AZX3" s="700"/>
      <c r="AZY3" s="700"/>
      <c r="AZZ3" s="700"/>
      <c r="BAA3" s="700"/>
      <c r="BAB3" s="700"/>
      <c r="BAC3" s="700"/>
      <c r="BAD3" s="700"/>
      <c r="BAE3" s="700"/>
      <c r="BAF3" s="700"/>
      <c r="BAG3" s="700"/>
      <c r="BAH3" s="700"/>
      <c r="BAI3" s="700"/>
      <c r="BAJ3" s="700"/>
      <c r="BAK3" s="700"/>
      <c r="BAL3" s="700"/>
      <c r="BAM3" s="700"/>
      <c r="BAN3" s="700"/>
      <c r="BAO3" s="700"/>
      <c r="BAP3" s="700"/>
      <c r="BAQ3" s="700"/>
      <c r="BAR3" s="700"/>
      <c r="BAS3" s="700"/>
      <c r="BAT3" s="700"/>
      <c r="BAU3" s="700"/>
      <c r="BAV3" s="700"/>
      <c r="BAW3" s="700"/>
      <c r="BAX3" s="700"/>
      <c r="BAY3" s="700"/>
      <c r="BAZ3" s="700"/>
      <c r="BBA3" s="700"/>
      <c r="BBB3" s="700"/>
      <c r="BBC3" s="700"/>
      <c r="BBD3" s="700"/>
      <c r="BBE3" s="700"/>
      <c r="BBF3" s="700"/>
      <c r="BBG3" s="700"/>
      <c r="BBH3" s="700"/>
      <c r="BBI3" s="700"/>
      <c r="BBJ3" s="700"/>
      <c r="BBK3" s="700"/>
      <c r="BBL3" s="700"/>
      <c r="BBM3" s="700"/>
      <c r="BBN3" s="700"/>
      <c r="BBO3" s="700"/>
      <c r="BBP3" s="700"/>
      <c r="BBQ3" s="700"/>
      <c r="BBR3" s="700"/>
      <c r="BBS3" s="700"/>
      <c r="BBT3" s="700"/>
      <c r="BBU3" s="700"/>
      <c r="BBV3" s="700"/>
      <c r="BBW3" s="700"/>
      <c r="BBX3" s="700"/>
      <c r="BBY3" s="700"/>
      <c r="BBZ3" s="700"/>
      <c r="BCA3" s="700"/>
      <c r="BCB3" s="700"/>
      <c r="BCC3" s="700"/>
      <c r="BCD3" s="700"/>
      <c r="BCE3" s="700"/>
      <c r="BCF3" s="700"/>
      <c r="BCG3" s="700"/>
      <c r="BCH3" s="700"/>
      <c r="BCI3" s="700"/>
      <c r="BCJ3" s="700"/>
      <c r="BCK3" s="700"/>
      <c r="BCL3" s="700"/>
      <c r="BCM3" s="700"/>
      <c r="BCN3" s="700"/>
      <c r="BCO3" s="700"/>
      <c r="BCP3" s="700"/>
      <c r="BCQ3" s="700"/>
      <c r="BCR3" s="700"/>
      <c r="BCS3" s="700"/>
      <c r="BCT3" s="700"/>
      <c r="BCU3" s="700"/>
      <c r="BCV3" s="700"/>
      <c r="BCW3" s="700"/>
      <c r="BCX3" s="700"/>
      <c r="BCY3" s="700"/>
      <c r="BCZ3" s="700"/>
      <c r="BDA3" s="700"/>
      <c r="BDB3" s="700"/>
      <c r="BDC3" s="700"/>
      <c r="BDD3" s="700"/>
      <c r="BDE3" s="700"/>
      <c r="BDF3" s="700"/>
      <c r="BDG3" s="700"/>
      <c r="BDH3" s="700"/>
      <c r="BDI3" s="700"/>
      <c r="BDJ3" s="700"/>
      <c r="BDK3" s="700"/>
      <c r="BDL3" s="700"/>
      <c r="BDM3" s="700"/>
      <c r="BDN3" s="700"/>
      <c r="BDO3" s="700"/>
      <c r="BDP3" s="700"/>
      <c r="BDQ3" s="700"/>
      <c r="BDR3" s="700"/>
      <c r="BDS3" s="700"/>
      <c r="BDT3" s="700"/>
      <c r="BDU3" s="700"/>
      <c r="BDV3" s="700"/>
      <c r="BDW3" s="700"/>
      <c r="BDX3" s="700"/>
      <c r="BDY3" s="700"/>
      <c r="BDZ3" s="700"/>
      <c r="BEA3" s="700"/>
      <c r="BEB3" s="700"/>
      <c r="BEC3" s="700"/>
      <c r="BED3" s="700"/>
      <c r="BEE3" s="700"/>
      <c r="BEF3" s="700"/>
      <c r="BEG3" s="700"/>
      <c r="BEH3" s="700"/>
      <c r="BEI3" s="700"/>
      <c r="BEJ3" s="700"/>
      <c r="BEK3" s="700"/>
      <c r="BEL3" s="700"/>
      <c r="BEM3" s="700"/>
      <c r="BEN3" s="700"/>
      <c r="BEO3" s="700"/>
      <c r="BEP3" s="700"/>
      <c r="BEQ3" s="700"/>
      <c r="BER3" s="700"/>
      <c r="BES3" s="700"/>
      <c r="BET3" s="700"/>
      <c r="BEU3" s="700"/>
      <c r="BEV3" s="700"/>
      <c r="BEW3" s="700"/>
      <c r="BEX3" s="700"/>
      <c r="BEY3" s="700"/>
      <c r="BEZ3" s="700"/>
      <c r="BFA3" s="700"/>
      <c r="BFB3" s="700"/>
      <c r="BFC3" s="700"/>
      <c r="BFD3" s="700"/>
      <c r="BFE3" s="700"/>
      <c r="BFF3" s="700"/>
      <c r="BFG3" s="700"/>
      <c r="BFH3" s="700"/>
      <c r="BFI3" s="700"/>
      <c r="BFJ3" s="700"/>
      <c r="BFK3" s="700"/>
      <c r="BFL3" s="700"/>
      <c r="BFM3" s="700"/>
      <c r="BFN3" s="700"/>
      <c r="BFO3" s="700"/>
      <c r="BFP3" s="700"/>
      <c r="BFQ3" s="700"/>
      <c r="BFR3" s="700"/>
      <c r="BFS3" s="700"/>
      <c r="BFT3" s="700"/>
      <c r="BFU3" s="700"/>
      <c r="BFV3" s="700"/>
      <c r="BFW3" s="700"/>
      <c r="BFX3" s="700"/>
      <c r="BFY3" s="700"/>
      <c r="BFZ3" s="700"/>
      <c r="BGA3" s="700"/>
      <c r="BGB3" s="700"/>
      <c r="BGC3" s="700"/>
      <c r="BGD3" s="700"/>
      <c r="BGE3" s="700"/>
      <c r="BGF3" s="700"/>
      <c r="BGG3" s="700"/>
      <c r="BGH3" s="700"/>
      <c r="BGI3" s="700"/>
      <c r="BGJ3" s="700"/>
      <c r="BGK3" s="700"/>
      <c r="BGL3" s="700"/>
      <c r="BGM3" s="700"/>
      <c r="BGN3" s="700"/>
      <c r="BGO3" s="700"/>
      <c r="BGP3" s="700"/>
      <c r="BGQ3" s="700"/>
      <c r="BGR3" s="700"/>
      <c r="BGS3" s="700"/>
      <c r="BGT3" s="700"/>
      <c r="BGU3" s="700"/>
      <c r="BGV3" s="700"/>
      <c r="BGW3" s="700"/>
      <c r="BGX3" s="700"/>
      <c r="BGY3" s="700"/>
      <c r="BGZ3" s="700"/>
      <c r="BHA3" s="700"/>
      <c r="BHB3" s="700"/>
      <c r="BHC3" s="700"/>
      <c r="BHD3" s="700"/>
      <c r="BHE3" s="700"/>
      <c r="BHF3" s="700"/>
      <c r="BHG3" s="700"/>
      <c r="BHH3" s="700"/>
      <c r="BHI3" s="700"/>
      <c r="BHJ3" s="700"/>
      <c r="BHK3" s="700"/>
      <c r="BHL3" s="700"/>
      <c r="BHM3" s="700"/>
      <c r="BHN3" s="700"/>
      <c r="BHO3" s="700"/>
      <c r="BHP3" s="700"/>
      <c r="BHQ3" s="700"/>
      <c r="BHR3" s="700"/>
      <c r="BHS3" s="700"/>
      <c r="BHT3" s="700"/>
      <c r="BHU3" s="700"/>
      <c r="BHV3" s="700"/>
      <c r="BHW3" s="700"/>
      <c r="BHX3" s="700"/>
      <c r="BHY3" s="700"/>
      <c r="BHZ3" s="700"/>
      <c r="BIA3" s="700"/>
      <c r="BIB3" s="700"/>
      <c r="BIC3" s="700"/>
      <c r="BID3" s="700"/>
      <c r="BIE3" s="700"/>
      <c r="BIF3" s="700"/>
      <c r="BIG3" s="700"/>
      <c r="BIH3" s="700"/>
      <c r="BII3" s="700"/>
      <c r="BIJ3" s="700"/>
      <c r="BIK3" s="700"/>
      <c r="BIL3" s="700"/>
      <c r="BIM3" s="700"/>
      <c r="BIN3" s="700"/>
      <c r="BIO3" s="700"/>
      <c r="BIP3" s="700"/>
      <c r="BIQ3" s="700"/>
      <c r="BIR3" s="700"/>
      <c r="BIS3" s="700"/>
      <c r="BIT3" s="700"/>
      <c r="BIU3" s="700"/>
      <c r="BIV3" s="700"/>
      <c r="BIW3" s="700"/>
      <c r="BIX3" s="700"/>
      <c r="BIY3" s="700"/>
      <c r="BIZ3" s="700"/>
      <c r="BJA3" s="700"/>
      <c r="BJB3" s="700"/>
      <c r="BJC3" s="700"/>
      <c r="BJD3" s="700"/>
      <c r="BJE3" s="700"/>
      <c r="BJF3" s="700"/>
      <c r="BJG3" s="700"/>
      <c r="BJH3" s="700"/>
      <c r="BJI3" s="700"/>
      <c r="BJJ3" s="700"/>
      <c r="BJK3" s="700"/>
      <c r="BJL3" s="700"/>
      <c r="BJM3" s="700"/>
      <c r="BJN3" s="700"/>
      <c r="BJO3" s="700"/>
      <c r="BJP3" s="700"/>
      <c r="BJQ3" s="700"/>
      <c r="BJR3" s="700"/>
      <c r="BJS3" s="700"/>
      <c r="BJT3" s="700"/>
      <c r="BJU3" s="700"/>
      <c r="BJV3" s="700"/>
      <c r="BJW3" s="700"/>
      <c r="BJX3" s="700"/>
      <c r="BJY3" s="700"/>
      <c r="BJZ3" s="700"/>
      <c r="BKA3" s="700"/>
      <c r="BKB3" s="700"/>
      <c r="BKC3" s="700"/>
      <c r="BKD3" s="700"/>
      <c r="BKE3" s="700"/>
      <c r="BKF3" s="700"/>
      <c r="BKG3" s="700"/>
      <c r="BKH3" s="700"/>
      <c r="BKI3" s="700"/>
      <c r="BKJ3" s="700"/>
      <c r="BKK3" s="700"/>
      <c r="BKL3" s="700"/>
      <c r="BKM3" s="700"/>
      <c r="BKN3" s="700"/>
      <c r="BKO3" s="700"/>
      <c r="BKP3" s="700"/>
      <c r="BKQ3" s="700"/>
      <c r="BKR3" s="700"/>
      <c r="BKS3" s="700"/>
      <c r="BKT3" s="700"/>
      <c r="BKU3" s="700"/>
      <c r="BKV3" s="700"/>
      <c r="BKW3" s="700"/>
      <c r="BKX3" s="700"/>
      <c r="BKY3" s="700"/>
      <c r="BKZ3" s="700"/>
      <c r="BLA3" s="700"/>
      <c r="BLB3" s="700"/>
      <c r="BLC3" s="700"/>
      <c r="BLD3" s="700"/>
      <c r="BLE3" s="700"/>
      <c r="BLF3" s="700"/>
      <c r="BLG3" s="700"/>
      <c r="BLH3" s="700"/>
      <c r="BLI3" s="700"/>
      <c r="BLJ3" s="700"/>
      <c r="BLK3" s="700"/>
      <c r="BLL3" s="700"/>
      <c r="BLM3" s="700"/>
      <c r="BLN3" s="700"/>
      <c r="BLO3" s="700"/>
      <c r="BLP3" s="700"/>
      <c r="BLQ3" s="700"/>
      <c r="BLR3" s="700"/>
      <c r="BLS3" s="700"/>
      <c r="BLT3" s="700"/>
      <c r="BLU3" s="700"/>
      <c r="BLV3" s="700"/>
      <c r="BLW3" s="700"/>
      <c r="BLX3" s="700"/>
      <c r="BLY3" s="700"/>
      <c r="BLZ3" s="700"/>
      <c r="BMA3" s="700"/>
      <c r="BMB3" s="700"/>
      <c r="BMC3" s="700"/>
      <c r="BMD3" s="700"/>
      <c r="BME3" s="700"/>
      <c r="BMF3" s="700"/>
      <c r="BMG3" s="700"/>
      <c r="BMH3" s="700"/>
      <c r="BMI3" s="700"/>
      <c r="BMJ3" s="700"/>
      <c r="BMK3" s="700"/>
      <c r="BML3" s="700"/>
      <c r="BMM3" s="700"/>
      <c r="BMN3" s="700"/>
      <c r="BMO3" s="700"/>
      <c r="BMP3" s="700"/>
      <c r="BMQ3" s="700"/>
      <c r="BMR3" s="700"/>
      <c r="BMS3" s="700"/>
      <c r="BMT3" s="700"/>
      <c r="BMU3" s="700"/>
      <c r="BMV3" s="700"/>
      <c r="BMW3" s="700"/>
      <c r="BMX3" s="700"/>
      <c r="BMY3" s="700"/>
      <c r="BMZ3" s="700"/>
      <c r="BNA3" s="700"/>
      <c r="BNB3" s="700"/>
      <c r="BNC3" s="700"/>
      <c r="BND3" s="700"/>
      <c r="BNE3" s="700"/>
      <c r="BNF3" s="700"/>
      <c r="BNG3" s="700"/>
      <c r="BNH3" s="700"/>
      <c r="BNI3" s="700"/>
      <c r="BNJ3" s="700"/>
      <c r="BNK3" s="700"/>
      <c r="BNL3" s="700"/>
      <c r="BNM3" s="700"/>
      <c r="BNN3" s="700"/>
      <c r="BNO3" s="700"/>
      <c r="BNP3" s="700"/>
      <c r="BNQ3" s="700"/>
      <c r="BNR3" s="700"/>
      <c r="BNS3" s="700"/>
      <c r="BNT3" s="700"/>
      <c r="BNU3" s="700"/>
      <c r="BNV3" s="700"/>
      <c r="BNW3" s="700"/>
      <c r="BNX3" s="700"/>
      <c r="BNY3" s="700"/>
      <c r="BNZ3" s="700"/>
      <c r="BOA3" s="700"/>
      <c r="BOB3" s="700"/>
      <c r="BOC3" s="700"/>
      <c r="BOD3" s="700"/>
      <c r="BOE3" s="700"/>
      <c r="BOF3" s="700"/>
      <c r="BOG3" s="700"/>
      <c r="BOH3" s="700"/>
      <c r="BOI3" s="700"/>
      <c r="BOJ3" s="700"/>
      <c r="BOK3" s="700"/>
      <c r="BOL3" s="700"/>
      <c r="BOM3" s="700"/>
      <c r="BON3" s="700"/>
      <c r="BOO3" s="700"/>
      <c r="BOP3" s="700"/>
      <c r="BOQ3" s="700"/>
      <c r="BOR3" s="700"/>
      <c r="BOS3" s="700"/>
      <c r="BOT3" s="700"/>
      <c r="BOU3" s="700"/>
      <c r="BOV3" s="700"/>
      <c r="BOW3" s="700"/>
      <c r="BOX3" s="700"/>
      <c r="BOY3" s="700"/>
      <c r="BOZ3" s="700"/>
      <c r="BPA3" s="700"/>
      <c r="BPB3" s="700"/>
      <c r="BPC3" s="700"/>
      <c r="BPD3" s="700"/>
      <c r="BPE3" s="700"/>
      <c r="BPF3" s="700"/>
      <c r="BPG3" s="700"/>
      <c r="BPH3" s="700"/>
      <c r="BPI3" s="700"/>
      <c r="BPJ3" s="700"/>
      <c r="BPK3" s="700"/>
      <c r="BPL3" s="700"/>
      <c r="BPM3" s="700"/>
      <c r="BPN3" s="700"/>
      <c r="BPO3" s="700"/>
      <c r="BPP3" s="700"/>
      <c r="BPQ3" s="700"/>
      <c r="BPR3" s="700"/>
      <c r="BPS3" s="700"/>
      <c r="BPT3" s="700"/>
      <c r="BPU3" s="700"/>
      <c r="BPV3" s="700"/>
      <c r="BPW3" s="700"/>
      <c r="BPX3" s="700"/>
      <c r="BPY3" s="700"/>
      <c r="BPZ3" s="700"/>
      <c r="BQA3" s="700"/>
      <c r="BQB3" s="700"/>
      <c r="BQC3" s="700"/>
      <c r="BQD3" s="700"/>
      <c r="BQE3" s="700"/>
      <c r="BQF3" s="700"/>
      <c r="BQG3" s="700"/>
      <c r="BQH3" s="700"/>
      <c r="BQI3" s="700"/>
      <c r="BQJ3" s="700"/>
      <c r="BQK3" s="700"/>
      <c r="BQL3" s="700"/>
      <c r="BQM3" s="700"/>
      <c r="BQN3" s="700"/>
      <c r="BQO3" s="700"/>
      <c r="BQP3" s="700"/>
      <c r="BQQ3" s="700"/>
      <c r="BQR3" s="700"/>
      <c r="BQS3" s="700"/>
      <c r="BQT3" s="700"/>
      <c r="BQU3" s="700"/>
      <c r="BQV3" s="700"/>
      <c r="BQW3" s="700"/>
      <c r="BQX3" s="700"/>
      <c r="BQY3" s="700"/>
      <c r="BQZ3" s="700"/>
      <c r="BRA3" s="700"/>
      <c r="BRB3" s="700"/>
      <c r="BRC3" s="700"/>
      <c r="BRD3" s="700"/>
      <c r="BRE3" s="700"/>
      <c r="BRF3" s="700"/>
      <c r="BRG3" s="700"/>
      <c r="BRH3" s="700"/>
      <c r="BRI3" s="700"/>
      <c r="BRJ3" s="700"/>
      <c r="BRK3" s="700"/>
      <c r="BRL3" s="700"/>
      <c r="BRM3" s="700"/>
      <c r="BRN3" s="700"/>
      <c r="BRO3" s="700"/>
      <c r="BRP3" s="700"/>
      <c r="BRQ3" s="700"/>
      <c r="BRR3" s="700"/>
      <c r="BRS3" s="700"/>
      <c r="BRT3" s="700"/>
      <c r="BRU3" s="700"/>
      <c r="BRV3" s="700"/>
      <c r="BRW3" s="700"/>
      <c r="BRX3" s="700"/>
      <c r="BRY3" s="700"/>
      <c r="BRZ3" s="700"/>
      <c r="BSA3" s="700"/>
      <c r="BSB3" s="700"/>
      <c r="BSC3" s="700"/>
      <c r="BSD3" s="700"/>
      <c r="BSE3" s="700"/>
      <c r="BSF3" s="700"/>
      <c r="BSG3" s="700"/>
      <c r="BSH3" s="700"/>
      <c r="BSI3" s="700"/>
      <c r="BSJ3" s="700"/>
      <c r="BSK3" s="700"/>
      <c r="BSL3" s="700"/>
      <c r="BSM3" s="700"/>
      <c r="BSN3" s="700"/>
      <c r="BSO3" s="700"/>
      <c r="BSP3" s="700"/>
      <c r="BSQ3" s="700"/>
      <c r="BSR3" s="700"/>
      <c r="BSS3" s="700"/>
      <c r="BST3" s="700"/>
      <c r="BSU3" s="700"/>
      <c r="BSV3" s="700"/>
      <c r="BSW3" s="700"/>
      <c r="BSX3" s="700"/>
      <c r="BSY3" s="700"/>
      <c r="BSZ3" s="700"/>
      <c r="BTA3" s="700"/>
      <c r="BTB3" s="700"/>
      <c r="BTC3" s="700"/>
      <c r="BTD3" s="700"/>
      <c r="BTE3" s="700"/>
      <c r="BTF3" s="700"/>
      <c r="BTG3" s="700"/>
      <c r="BTH3" s="700"/>
      <c r="BTI3" s="700"/>
      <c r="BTJ3" s="700"/>
      <c r="BTK3" s="700"/>
      <c r="BTL3" s="700"/>
      <c r="BTM3" s="700"/>
      <c r="BTN3" s="700"/>
      <c r="BTO3" s="700"/>
      <c r="BTP3" s="700"/>
      <c r="BTQ3" s="700"/>
      <c r="BTR3" s="700"/>
      <c r="BTS3" s="700"/>
      <c r="BTT3" s="700"/>
      <c r="BTU3" s="700"/>
      <c r="BTV3" s="700"/>
      <c r="BTW3" s="700"/>
      <c r="BTX3" s="700"/>
      <c r="BTY3" s="700"/>
      <c r="BTZ3" s="700"/>
      <c r="BUA3" s="700"/>
      <c r="BUB3" s="700"/>
      <c r="BUC3" s="700"/>
      <c r="BUD3" s="700"/>
      <c r="BUE3" s="700"/>
      <c r="BUF3" s="700"/>
      <c r="BUG3" s="700"/>
      <c r="BUH3" s="700"/>
      <c r="BUI3" s="700"/>
      <c r="BUJ3" s="700"/>
      <c r="BUK3" s="700"/>
      <c r="BUL3" s="700"/>
      <c r="BUM3" s="700"/>
      <c r="BUN3" s="700"/>
      <c r="BUO3" s="700"/>
      <c r="BUP3" s="700"/>
      <c r="BUQ3" s="700"/>
      <c r="BUR3" s="700"/>
      <c r="BUS3" s="700"/>
      <c r="BUT3" s="700"/>
      <c r="BUU3" s="700"/>
      <c r="BUV3" s="700"/>
      <c r="BUW3" s="700"/>
      <c r="BUX3" s="700"/>
      <c r="BUY3" s="700"/>
      <c r="BUZ3" s="700"/>
      <c r="BVA3" s="700"/>
      <c r="BVB3" s="700"/>
      <c r="BVC3" s="700"/>
      <c r="BVD3" s="700"/>
      <c r="BVE3" s="700"/>
      <c r="BVF3" s="700"/>
      <c r="BVG3" s="700"/>
      <c r="BVH3" s="700"/>
      <c r="BVI3" s="700"/>
      <c r="BVJ3" s="700"/>
      <c r="BVK3" s="700"/>
      <c r="BVL3" s="700"/>
      <c r="BVM3" s="700"/>
      <c r="BVN3" s="700"/>
      <c r="BVO3" s="700"/>
      <c r="BVP3" s="700"/>
      <c r="BVQ3" s="700"/>
      <c r="BVR3" s="700"/>
      <c r="BVS3" s="700"/>
      <c r="BVT3" s="700"/>
      <c r="BVU3" s="700"/>
      <c r="BVV3" s="700"/>
      <c r="BVW3" s="700"/>
      <c r="BVX3" s="700"/>
      <c r="BVY3" s="700"/>
      <c r="BVZ3" s="700"/>
      <c r="BWA3" s="700"/>
      <c r="BWB3" s="700"/>
      <c r="BWC3" s="700"/>
      <c r="BWD3" s="700"/>
      <c r="BWE3" s="700"/>
      <c r="BWF3" s="700"/>
      <c r="BWG3" s="700"/>
      <c r="BWH3" s="700"/>
      <c r="BWI3" s="700"/>
      <c r="BWJ3" s="700"/>
      <c r="BWK3" s="700"/>
      <c r="BWL3" s="700"/>
      <c r="BWM3" s="700"/>
      <c r="BWN3" s="700"/>
      <c r="BWO3" s="700"/>
      <c r="BWP3" s="700"/>
      <c r="BWQ3" s="700"/>
      <c r="BWR3" s="700"/>
      <c r="BWS3" s="700"/>
      <c r="BWT3" s="700"/>
      <c r="BWU3" s="700"/>
      <c r="BWV3" s="700"/>
      <c r="BWW3" s="700"/>
      <c r="BWX3" s="700"/>
      <c r="BWY3" s="700"/>
      <c r="BWZ3" s="700"/>
      <c r="BXA3" s="700"/>
      <c r="BXB3" s="700"/>
      <c r="BXC3" s="700"/>
      <c r="BXD3" s="700"/>
      <c r="BXE3" s="700"/>
      <c r="BXF3" s="700"/>
      <c r="BXG3" s="700"/>
      <c r="BXH3" s="700"/>
      <c r="BXI3" s="700"/>
      <c r="BXJ3" s="700"/>
      <c r="BXK3" s="700"/>
      <c r="BXL3" s="700"/>
      <c r="BXM3" s="700"/>
      <c r="BXN3" s="700"/>
      <c r="BXO3" s="700"/>
      <c r="BXP3" s="700"/>
      <c r="BXQ3" s="700"/>
      <c r="BXR3" s="700"/>
      <c r="BXS3" s="700"/>
      <c r="BXT3" s="700"/>
      <c r="BXU3" s="700"/>
      <c r="BXV3" s="700"/>
      <c r="BXW3" s="700"/>
      <c r="BXX3" s="700"/>
      <c r="BXY3" s="700"/>
      <c r="BXZ3" s="700"/>
    </row>
    <row r="4" spans="1:2002" ht="15">
      <c r="A4" s="717"/>
      <c r="B4" s="706"/>
      <c r="C4" s="718" t="s">
        <v>24</v>
      </c>
      <c r="D4" s="708"/>
      <c r="E4" s="708"/>
      <c r="F4" s="708"/>
      <c r="G4" s="708"/>
      <c r="H4" s="708"/>
      <c r="I4" s="708"/>
      <c r="J4" s="708"/>
      <c r="K4" s="708"/>
      <c r="L4" s="708"/>
      <c r="M4" s="708"/>
      <c r="N4" s="708"/>
      <c r="O4" s="708"/>
      <c r="P4" s="708"/>
      <c r="Q4" s="708"/>
      <c r="R4" s="708"/>
      <c r="S4" s="712"/>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c r="BT4" s="700"/>
      <c r="BU4" s="700"/>
      <c r="BV4" s="700"/>
      <c r="BW4" s="700"/>
      <c r="BX4" s="700"/>
      <c r="BY4" s="700"/>
      <c r="BZ4" s="700"/>
      <c r="CA4" s="700"/>
      <c r="CB4" s="700"/>
      <c r="CC4" s="700"/>
      <c r="CD4" s="700"/>
      <c r="CE4" s="700"/>
      <c r="CF4" s="700"/>
      <c r="CG4" s="700"/>
      <c r="CH4" s="700"/>
      <c r="CI4" s="700"/>
      <c r="CJ4" s="700"/>
      <c r="CK4" s="700"/>
      <c r="CL4" s="700"/>
      <c r="CM4" s="700"/>
      <c r="CN4" s="700"/>
      <c r="CO4" s="700"/>
      <c r="CP4" s="700"/>
      <c r="CQ4" s="700"/>
      <c r="CR4" s="700"/>
      <c r="CS4" s="700"/>
      <c r="CT4" s="700"/>
      <c r="CU4" s="700"/>
      <c r="CV4" s="700"/>
      <c r="CW4" s="700"/>
      <c r="CX4" s="700"/>
      <c r="CY4" s="700"/>
      <c r="CZ4" s="700"/>
      <c r="DA4" s="700"/>
      <c r="DB4" s="700"/>
      <c r="DC4" s="700"/>
      <c r="DD4" s="700"/>
      <c r="DE4" s="700"/>
      <c r="DF4" s="700"/>
      <c r="DG4" s="700"/>
      <c r="DH4" s="700"/>
      <c r="DI4" s="700"/>
      <c r="DJ4" s="700"/>
      <c r="DK4" s="700"/>
      <c r="DL4" s="700"/>
      <c r="DM4" s="700"/>
      <c r="DN4" s="700"/>
      <c r="DO4" s="700"/>
      <c r="DP4" s="700"/>
      <c r="DQ4" s="700"/>
      <c r="DR4" s="700"/>
      <c r="DS4" s="700"/>
      <c r="DT4" s="700"/>
      <c r="DU4" s="700"/>
      <c r="DV4" s="700"/>
      <c r="DW4" s="700"/>
      <c r="DX4" s="700"/>
      <c r="DY4" s="700"/>
      <c r="DZ4" s="700"/>
      <c r="EA4" s="700"/>
      <c r="EB4" s="700"/>
      <c r="EC4" s="700"/>
      <c r="ED4" s="700"/>
      <c r="EE4" s="700"/>
      <c r="EF4" s="700"/>
      <c r="EG4" s="700"/>
      <c r="EH4" s="700"/>
      <c r="EI4" s="700"/>
      <c r="EJ4" s="700"/>
      <c r="EK4" s="700"/>
      <c r="EL4" s="700"/>
      <c r="EM4" s="700"/>
      <c r="EN4" s="700"/>
      <c r="EO4" s="700"/>
      <c r="EP4" s="700"/>
      <c r="EQ4" s="700"/>
      <c r="ER4" s="700"/>
      <c r="ES4" s="700"/>
      <c r="ET4" s="700"/>
      <c r="EU4" s="700"/>
      <c r="EV4" s="700"/>
      <c r="EW4" s="700"/>
      <c r="EX4" s="700"/>
      <c r="EY4" s="700"/>
      <c r="EZ4" s="700"/>
      <c r="FA4" s="700"/>
      <c r="FB4" s="700"/>
      <c r="FC4" s="700"/>
      <c r="FD4" s="700"/>
      <c r="FE4" s="700"/>
      <c r="FF4" s="700"/>
      <c r="FG4" s="700"/>
      <c r="FH4" s="700"/>
      <c r="FI4" s="700"/>
      <c r="FJ4" s="700"/>
      <c r="FK4" s="700"/>
      <c r="FL4" s="700"/>
      <c r="FM4" s="700"/>
      <c r="FN4" s="700"/>
      <c r="FO4" s="700"/>
      <c r="FP4" s="700"/>
      <c r="FQ4" s="700"/>
      <c r="FR4" s="700"/>
      <c r="FS4" s="700"/>
      <c r="FT4" s="700"/>
      <c r="FU4" s="700"/>
      <c r="FV4" s="700"/>
      <c r="FW4" s="700"/>
      <c r="FX4" s="700"/>
      <c r="FY4" s="700"/>
      <c r="FZ4" s="700"/>
      <c r="GA4" s="700"/>
      <c r="GB4" s="700"/>
      <c r="GC4" s="700"/>
      <c r="GD4" s="700"/>
      <c r="GE4" s="700"/>
      <c r="GF4" s="700"/>
      <c r="GG4" s="700"/>
      <c r="GH4" s="700"/>
      <c r="GI4" s="700"/>
      <c r="GJ4" s="700"/>
      <c r="GK4" s="700"/>
      <c r="GL4" s="700"/>
      <c r="GM4" s="700"/>
      <c r="GN4" s="700"/>
      <c r="GO4" s="700"/>
      <c r="GP4" s="700"/>
      <c r="GQ4" s="700"/>
      <c r="GR4" s="700"/>
      <c r="GS4" s="700"/>
      <c r="GT4" s="700"/>
      <c r="GU4" s="700"/>
      <c r="GV4" s="700"/>
      <c r="GW4" s="700"/>
      <c r="GX4" s="700"/>
      <c r="GY4" s="700"/>
      <c r="GZ4" s="700"/>
      <c r="HA4" s="700"/>
      <c r="HB4" s="700"/>
      <c r="HC4" s="700"/>
      <c r="HD4" s="700"/>
      <c r="HE4" s="700"/>
      <c r="HF4" s="700"/>
      <c r="HG4" s="700"/>
      <c r="HH4" s="700"/>
      <c r="HI4" s="700"/>
      <c r="HJ4" s="700"/>
      <c r="HK4" s="700"/>
      <c r="HL4" s="700"/>
      <c r="HM4" s="700"/>
      <c r="HN4" s="700"/>
      <c r="HO4" s="700"/>
      <c r="HP4" s="700"/>
      <c r="HQ4" s="700"/>
      <c r="HR4" s="700"/>
      <c r="HS4" s="700"/>
      <c r="HT4" s="700"/>
      <c r="HU4" s="700"/>
      <c r="HV4" s="700"/>
      <c r="HW4" s="700"/>
      <c r="HX4" s="700"/>
      <c r="HY4" s="700"/>
      <c r="HZ4" s="700"/>
      <c r="IA4" s="700"/>
      <c r="IB4" s="700"/>
      <c r="IC4" s="700"/>
      <c r="ID4" s="700"/>
      <c r="IE4" s="700"/>
      <c r="IF4" s="700"/>
      <c r="IG4" s="700"/>
      <c r="IH4" s="700"/>
      <c r="II4" s="700"/>
      <c r="IJ4" s="700"/>
      <c r="IK4" s="700"/>
      <c r="IL4" s="700"/>
      <c r="IM4" s="700"/>
      <c r="IN4" s="700"/>
      <c r="IO4" s="700"/>
      <c r="IP4" s="700"/>
      <c r="IQ4" s="700"/>
      <c r="IR4" s="700"/>
      <c r="IS4" s="700"/>
      <c r="IT4" s="700"/>
      <c r="IU4" s="700"/>
      <c r="IV4" s="700"/>
      <c r="IW4" s="700"/>
      <c r="IX4" s="700"/>
      <c r="IY4" s="700"/>
      <c r="IZ4" s="700"/>
      <c r="JA4" s="700"/>
      <c r="JB4" s="700"/>
      <c r="JC4" s="700"/>
      <c r="JD4" s="700"/>
      <c r="JE4" s="700"/>
      <c r="JF4" s="700"/>
      <c r="JG4" s="700"/>
      <c r="JH4" s="700"/>
      <c r="JI4" s="700"/>
      <c r="JJ4" s="700"/>
      <c r="JK4" s="700"/>
      <c r="JL4" s="700"/>
      <c r="JM4" s="700"/>
      <c r="JN4" s="700"/>
      <c r="JO4" s="700"/>
      <c r="JP4" s="700"/>
      <c r="JQ4" s="700"/>
      <c r="JR4" s="700"/>
      <c r="JS4" s="700"/>
      <c r="JT4" s="700"/>
      <c r="JU4" s="700"/>
      <c r="JV4" s="700"/>
      <c r="JW4" s="700"/>
      <c r="JX4" s="700"/>
      <c r="JY4" s="700"/>
      <c r="JZ4" s="700"/>
      <c r="KA4" s="700"/>
      <c r="KB4" s="700"/>
      <c r="KC4" s="700"/>
      <c r="KD4" s="700"/>
      <c r="KE4" s="700"/>
      <c r="KF4" s="700"/>
      <c r="KG4" s="700"/>
      <c r="KH4" s="700"/>
      <c r="KI4" s="700"/>
      <c r="KJ4" s="700"/>
      <c r="KK4" s="700"/>
      <c r="KL4" s="700"/>
      <c r="KM4" s="700"/>
      <c r="KN4" s="700"/>
      <c r="KO4" s="700"/>
      <c r="KP4" s="700"/>
      <c r="KQ4" s="700"/>
      <c r="KR4" s="700"/>
      <c r="KS4" s="700"/>
      <c r="KT4" s="700"/>
      <c r="KU4" s="700"/>
      <c r="KV4" s="700"/>
      <c r="KW4" s="700"/>
      <c r="KX4" s="700"/>
      <c r="KY4" s="700"/>
      <c r="KZ4" s="700"/>
      <c r="LA4" s="700"/>
      <c r="LB4" s="700"/>
      <c r="LC4" s="700"/>
      <c r="LD4" s="700"/>
      <c r="LE4" s="700"/>
      <c r="LF4" s="700"/>
      <c r="LG4" s="700"/>
      <c r="LH4" s="700"/>
      <c r="LI4" s="700"/>
      <c r="LJ4" s="700"/>
      <c r="LK4" s="700"/>
      <c r="LL4" s="700"/>
      <c r="LM4" s="700"/>
      <c r="LN4" s="700"/>
      <c r="LO4" s="700"/>
      <c r="LP4" s="700"/>
      <c r="LQ4" s="700"/>
      <c r="LR4" s="700"/>
      <c r="LS4" s="700"/>
      <c r="LT4" s="700"/>
      <c r="LU4" s="700"/>
      <c r="LV4" s="700"/>
      <c r="LW4" s="700"/>
      <c r="LX4" s="700"/>
      <c r="LY4" s="700"/>
      <c r="LZ4" s="700"/>
      <c r="MA4" s="700"/>
      <c r="MB4" s="700"/>
      <c r="MC4" s="700"/>
      <c r="MD4" s="700"/>
      <c r="ME4" s="700"/>
      <c r="MF4" s="700"/>
      <c r="MG4" s="700"/>
      <c r="MH4" s="700"/>
      <c r="MI4" s="700"/>
      <c r="MJ4" s="700"/>
      <c r="MK4" s="700"/>
      <c r="ML4" s="700"/>
      <c r="MM4" s="700"/>
      <c r="MN4" s="700"/>
      <c r="MO4" s="700"/>
      <c r="MP4" s="700"/>
      <c r="MQ4" s="700"/>
      <c r="MR4" s="700"/>
      <c r="MS4" s="700"/>
      <c r="MT4" s="700"/>
      <c r="MU4" s="700"/>
      <c r="MV4" s="700"/>
      <c r="MW4" s="700"/>
      <c r="MX4" s="700"/>
      <c r="MY4" s="700"/>
      <c r="MZ4" s="700"/>
      <c r="NA4" s="700"/>
      <c r="NB4" s="700"/>
      <c r="NC4" s="700"/>
      <c r="ND4" s="700"/>
      <c r="NE4" s="700"/>
      <c r="NF4" s="700"/>
      <c r="NG4" s="700"/>
      <c r="NH4" s="700"/>
      <c r="NI4" s="700"/>
      <c r="NJ4" s="700"/>
      <c r="NK4" s="700"/>
      <c r="NL4" s="700"/>
      <c r="NM4" s="700"/>
      <c r="NN4" s="700"/>
      <c r="NO4" s="700"/>
      <c r="NP4" s="700"/>
      <c r="NQ4" s="700"/>
      <c r="NR4" s="700"/>
      <c r="NS4" s="700"/>
      <c r="NT4" s="700"/>
      <c r="NU4" s="700"/>
      <c r="NV4" s="700"/>
      <c r="NW4" s="700"/>
      <c r="NX4" s="700"/>
      <c r="NY4" s="700"/>
      <c r="NZ4" s="700"/>
      <c r="OA4" s="700"/>
      <c r="OB4" s="700"/>
      <c r="OC4" s="700"/>
      <c r="OD4" s="700"/>
      <c r="OE4" s="700"/>
      <c r="OF4" s="700"/>
      <c r="OG4" s="700"/>
      <c r="OH4" s="700"/>
      <c r="OI4" s="700"/>
      <c r="OJ4" s="700"/>
      <c r="OK4" s="700"/>
      <c r="OL4" s="700"/>
      <c r="OM4" s="700"/>
      <c r="ON4" s="700"/>
      <c r="OO4" s="700"/>
      <c r="OP4" s="700"/>
      <c r="OQ4" s="700"/>
      <c r="OR4" s="700"/>
      <c r="OS4" s="700"/>
      <c r="OT4" s="700"/>
      <c r="OU4" s="700"/>
      <c r="OV4" s="700"/>
      <c r="OW4" s="700"/>
      <c r="OX4" s="700"/>
      <c r="OY4" s="700"/>
      <c r="OZ4" s="700"/>
      <c r="PA4" s="700"/>
      <c r="PB4" s="700"/>
      <c r="PC4" s="700"/>
      <c r="PD4" s="700"/>
      <c r="PE4" s="700"/>
      <c r="PF4" s="700"/>
      <c r="PG4" s="700"/>
      <c r="PH4" s="700"/>
      <c r="PI4" s="700"/>
      <c r="PJ4" s="700"/>
      <c r="PK4" s="700"/>
      <c r="PL4" s="700"/>
      <c r="PM4" s="700"/>
      <c r="PN4" s="700"/>
      <c r="PO4" s="700"/>
      <c r="PP4" s="700"/>
      <c r="PQ4" s="700"/>
      <c r="PR4" s="700"/>
      <c r="PS4" s="700"/>
      <c r="PT4" s="700"/>
      <c r="PU4" s="700"/>
      <c r="PV4" s="700"/>
      <c r="PW4" s="700"/>
      <c r="PX4" s="700"/>
      <c r="PY4" s="700"/>
      <c r="PZ4" s="700"/>
      <c r="QA4" s="700"/>
      <c r="QB4" s="700"/>
      <c r="QC4" s="700"/>
      <c r="QD4" s="700"/>
      <c r="QE4" s="700"/>
      <c r="QF4" s="700"/>
      <c r="QG4" s="700"/>
      <c r="QH4" s="700"/>
      <c r="QI4" s="700"/>
      <c r="QJ4" s="700"/>
      <c r="QK4" s="700"/>
      <c r="QL4" s="700"/>
      <c r="QM4" s="700"/>
      <c r="QN4" s="700"/>
      <c r="QO4" s="700"/>
      <c r="QP4" s="700"/>
      <c r="QQ4" s="700"/>
      <c r="QR4" s="700"/>
      <c r="QS4" s="700"/>
      <c r="QT4" s="700"/>
      <c r="QU4" s="700"/>
      <c r="QV4" s="700"/>
      <c r="QW4" s="700"/>
      <c r="QX4" s="700"/>
      <c r="QY4" s="700"/>
      <c r="QZ4" s="700"/>
      <c r="RA4" s="700"/>
      <c r="RB4" s="700"/>
      <c r="RC4" s="700"/>
      <c r="RD4" s="700"/>
      <c r="RE4" s="700"/>
      <c r="RF4" s="700"/>
      <c r="RG4" s="700"/>
      <c r="RH4" s="700"/>
      <c r="RI4" s="700"/>
      <c r="RJ4" s="700"/>
      <c r="RK4" s="700"/>
      <c r="RL4" s="700"/>
      <c r="RM4" s="700"/>
      <c r="RN4" s="700"/>
      <c r="RO4" s="700"/>
      <c r="RP4" s="700"/>
      <c r="RQ4" s="700"/>
      <c r="RR4" s="700"/>
      <c r="RS4" s="700"/>
      <c r="RT4" s="700"/>
      <c r="RU4" s="700"/>
      <c r="RV4" s="700"/>
      <c r="RW4" s="700"/>
      <c r="RX4" s="700"/>
      <c r="RY4" s="700"/>
      <c r="RZ4" s="700"/>
      <c r="SA4" s="700"/>
      <c r="SB4" s="700"/>
      <c r="SC4" s="700"/>
      <c r="SD4" s="700"/>
      <c r="SE4" s="700"/>
      <c r="SF4" s="700"/>
      <c r="SG4" s="700"/>
      <c r="SH4" s="700"/>
      <c r="SI4" s="700"/>
      <c r="SJ4" s="700"/>
      <c r="SK4" s="700"/>
      <c r="SL4" s="700"/>
      <c r="SM4" s="700"/>
      <c r="SN4" s="700"/>
      <c r="SO4" s="700"/>
      <c r="SP4" s="700"/>
      <c r="SQ4" s="700"/>
      <c r="SR4" s="700"/>
      <c r="SS4" s="700"/>
      <c r="ST4" s="700"/>
      <c r="SU4" s="700"/>
      <c r="SV4" s="700"/>
      <c r="SW4" s="700"/>
      <c r="SX4" s="700"/>
      <c r="SY4" s="700"/>
      <c r="SZ4" s="700"/>
      <c r="TA4" s="700"/>
      <c r="TB4" s="700"/>
      <c r="TC4" s="700"/>
      <c r="TD4" s="700"/>
      <c r="TE4" s="700"/>
      <c r="TF4" s="700"/>
      <c r="TG4" s="700"/>
      <c r="TH4" s="700"/>
      <c r="TI4" s="700"/>
      <c r="TJ4" s="700"/>
      <c r="TK4" s="700"/>
      <c r="TL4" s="700"/>
      <c r="TM4" s="700"/>
      <c r="TN4" s="700"/>
      <c r="TO4" s="700"/>
      <c r="TP4" s="700"/>
      <c r="TQ4" s="700"/>
      <c r="TR4" s="700"/>
      <c r="TS4" s="700"/>
      <c r="TT4" s="700"/>
      <c r="TU4" s="700"/>
      <c r="TV4" s="700"/>
      <c r="TW4" s="700"/>
      <c r="TX4" s="700"/>
      <c r="TY4" s="700"/>
      <c r="TZ4" s="700"/>
      <c r="UA4" s="700"/>
      <c r="UB4" s="700"/>
      <c r="UC4" s="700"/>
      <c r="UD4" s="700"/>
      <c r="UE4" s="700"/>
      <c r="UF4" s="700"/>
      <c r="UG4" s="700"/>
      <c r="UH4" s="700"/>
      <c r="UI4" s="700"/>
      <c r="UJ4" s="700"/>
      <c r="UK4" s="700"/>
      <c r="UL4" s="700"/>
      <c r="UM4" s="700"/>
      <c r="UN4" s="700"/>
      <c r="UO4" s="700"/>
      <c r="UP4" s="700"/>
      <c r="UQ4" s="700"/>
      <c r="UR4" s="700"/>
      <c r="US4" s="700"/>
      <c r="UT4" s="700"/>
      <c r="UU4" s="700"/>
      <c r="UV4" s="700"/>
      <c r="UW4" s="700"/>
      <c r="UX4" s="700"/>
      <c r="UY4" s="700"/>
      <c r="UZ4" s="700"/>
      <c r="VA4" s="700"/>
      <c r="VB4" s="700"/>
      <c r="VC4" s="700"/>
      <c r="VD4" s="700"/>
      <c r="VE4" s="700"/>
      <c r="VF4" s="700"/>
      <c r="VG4" s="700"/>
      <c r="VH4" s="700"/>
      <c r="VI4" s="700"/>
      <c r="VJ4" s="700"/>
      <c r="VK4" s="700"/>
      <c r="VL4" s="700"/>
      <c r="VM4" s="700"/>
      <c r="VN4" s="700"/>
      <c r="VO4" s="700"/>
      <c r="VP4" s="700"/>
      <c r="VQ4" s="700"/>
      <c r="VR4" s="700"/>
      <c r="VS4" s="700"/>
      <c r="VT4" s="700"/>
      <c r="VU4" s="700"/>
      <c r="VV4" s="700"/>
      <c r="VW4" s="700"/>
      <c r="VX4" s="700"/>
      <c r="VY4" s="700"/>
      <c r="VZ4" s="700"/>
      <c r="WA4" s="700"/>
      <c r="WB4" s="700"/>
      <c r="WC4" s="700"/>
      <c r="WD4" s="700"/>
      <c r="WE4" s="700"/>
      <c r="WF4" s="700"/>
      <c r="WG4" s="700"/>
      <c r="WH4" s="700"/>
      <c r="WI4" s="700"/>
      <c r="WJ4" s="700"/>
      <c r="WK4" s="700"/>
      <c r="WL4" s="700"/>
      <c r="WM4" s="700"/>
      <c r="WN4" s="700"/>
      <c r="WO4" s="700"/>
      <c r="WP4" s="700"/>
      <c r="WQ4" s="700"/>
      <c r="WR4" s="700"/>
      <c r="WS4" s="700"/>
      <c r="WT4" s="700"/>
      <c r="WU4" s="700"/>
      <c r="WV4" s="700"/>
      <c r="WW4" s="700"/>
      <c r="WX4" s="700"/>
      <c r="WY4" s="700"/>
      <c r="WZ4" s="700"/>
      <c r="XA4" s="700"/>
      <c r="XB4" s="700"/>
      <c r="XC4" s="700"/>
      <c r="XD4" s="700"/>
      <c r="XE4" s="700"/>
      <c r="XF4" s="700"/>
      <c r="XG4" s="700"/>
      <c r="XH4" s="700"/>
      <c r="XI4" s="700"/>
      <c r="XJ4" s="700"/>
      <c r="XK4" s="700"/>
      <c r="XL4" s="700"/>
      <c r="XM4" s="700"/>
      <c r="XN4" s="700"/>
      <c r="XO4" s="700"/>
      <c r="XP4" s="700"/>
      <c r="XQ4" s="700"/>
      <c r="XR4" s="700"/>
      <c r="XS4" s="700"/>
      <c r="XT4" s="700"/>
      <c r="XU4" s="700"/>
      <c r="XV4" s="700"/>
      <c r="XW4" s="700"/>
      <c r="XX4" s="700"/>
      <c r="XY4" s="700"/>
      <c r="XZ4" s="700"/>
      <c r="YA4" s="700"/>
      <c r="YB4" s="700"/>
      <c r="YC4" s="700"/>
      <c r="YD4" s="700"/>
      <c r="YE4" s="700"/>
      <c r="YF4" s="700"/>
      <c r="YG4" s="700"/>
      <c r="YH4" s="700"/>
      <c r="YI4" s="700"/>
      <c r="YJ4" s="700"/>
      <c r="YK4" s="700"/>
      <c r="YL4" s="700"/>
      <c r="YM4" s="700"/>
      <c r="YN4" s="700"/>
      <c r="YO4" s="700"/>
      <c r="YP4" s="700"/>
      <c r="YQ4" s="700"/>
      <c r="YR4" s="700"/>
      <c r="YS4" s="700"/>
      <c r="YT4" s="700"/>
      <c r="YU4" s="700"/>
      <c r="YV4" s="700"/>
      <c r="YW4" s="700"/>
      <c r="YX4" s="700"/>
      <c r="YY4" s="700"/>
      <c r="YZ4" s="700"/>
      <c r="ZA4" s="700"/>
      <c r="ZB4" s="700"/>
      <c r="ZC4" s="700"/>
      <c r="ZD4" s="700"/>
      <c r="ZE4" s="700"/>
      <c r="ZF4" s="700"/>
      <c r="ZG4" s="700"/>
      <c r="ZH4" s="700"/>
      <c r="ZI4" s="700"/>
      <c r="ZJ4" s="700"/>
      <c r="ZK4" s="700"/>
      <c r="ZL4" s="700"/>
      <c r="ZM4" s="700"/>
      <c r="ZN4" s="700"/>
      <c r="ZO4" s="700"/>
      <c r="ZP4" s="700"/>
      <c r="ZQ4" s="700"/>
      <c r="ZR4" s="700"/>
      <c r="ZS4" s="700"/>
      <c r="ZT4" s="700"/>
      <c r="ZU4" s="700"/>
      <c r="ZV4" s="700"/>
      <c r="ZW4" s="700"/>
      <c r="ZX4" s="700"/>
      <c r="ZY4" s="700"/>
      <c r="ZZ4" s="700"/>
      <c r="AAA4" s="700"/>
      <c r="AAB4" s="700"/>
      <c r="AAC4" s="700"/>
      <c r="AAD4" s="700"/>
      <c r="AAE4" s="700"/>
      <c r="AAF4" s="700"/>
      <c r="AAG4" s="700"/>
      <c r="AAH4" s="700"/>
      <c r="AAI4" s="700"/>
      <c r="AAJ4" s="700"/>
      <c r="AAK4" s="700"/>
      <c r="AAL4" s="700"/>
      <c r="AAM4" s="700"/>
      <c r="AAN4" s="700"/>
      <c r="AAO4" s="700"/>
      <c r="AAP4" s="700"/>
      <c r="AAQ4" s="700"/>
      <c r="AAR4" s="700"/>
      <c r="AAS4" s="700"/>
      <c r="AAT4" s="700"/>
      <c r="AAU4" s="700"/>
      <c r="AAV4" s="700"/>
      <c r="AAW4" s="700"/>
      <c r="AAX4" s="700"/>
      <c r="AAY4" s="700"/>
      <c r="AAZ4" s="700"/>
      <c r="ABA4" s="700"/>
      <c r="ABB4" s="700"/>
      <c r="ABC4" s="700"/>
      <c r="ABD4" s="700"/>
      <c r="ABE4" s="700"/>
      <c r="ABF4" s="700"/>
      <c r="ABG4" s="700"/>
      <c r="ABH4" s="700"/>
      <c r="ABI4" s="700"/>
      <c r="ABJ4" s="700"/>
      <c r="ABK4" s="700"/>
      <c r="ABL4" s="700"/>
      <c r="ABM4" s="700"/>
      <c r="ABN4" s="700"/>
      <c r="ABO4" s="700"/>
      <c r="ABP4" s="700"/>
      <c r="ABQ4" s="700"/>
      <c r="ABR4" s="700"/>
      <c r="ABS4" s="700"/>
      <c r="ABT4" s="700"/>
      <c r="ABU4" s="700"/>
      <c r="ABV4" s="700"/>
      <c r="ABW4" s="700"/>
      <c r="ABX4" s="700"/>
      <c r="ABY4" s="700"/>
      <c r="ABZ4" s="700"/>
      <c r="ACA4" s="700"/>
      <c r="ACB4" s="700"/>
      <c r="ACC4" s="700"/>
      <c r="ACD4" s="700"/>
      <c r="ACE4" s="700"/>
      <c r="ACF4" s="700"/>
      <c r="ACG4" s="700"/>
      <c r="ACH4" s="700"/>
      <c r="ACI4" s="700"/>
      <c r="ACJ4" s="700"/>
      <c r="ACK4" s="700"/>
      <c r="ACL4" s="700"/>
      <c r="ACM4" s="700"/>
      <c r="ACN4" s="700"/>
      <c r="ACO4" s="700"/>
      <c r="ACP4" s="700"/>
      <c r="ACQ4" s="700"/>
      <c r="ACR4" s="700"/>
      <c r="ACS4" s="700"/>
      <c r="ACT4" s="700"/>
      <c r="ACU4" s="700"/>
      <c r="ACV4" s="700"/>
      <c r="ACW4" s="700"/>
      <c r="ACX4" s="700"/>
      <c r="ACY4" s="700"/>
      <c r="ACZ4" s="700"/>
      <c r="ADA4" s="700"/>
      <c r="ADB4" s="700"/>
      <c r="ADC4" s="700"/>
      <c r="ADD4" s="700"/>
      <c r="ADE4" s="700"/>
      <c r="ADF4" s="700"/>
      <c r="ADG4" s="700"/>
      <c r="ADH4" s="700"/>
      <c r="ADI4" s="700"/>
      <c r="ADJ4" s="700"/>
      <c r="ADK4" s="700"/>
      <c r="ADL4" s="700"/>
      <c r="ADM4" s="700"/>
      <c r="ADN4" s="700"/>
      <c r="ADO4" s="700"/>
      <c r="ADP4" s="700"/>
      <c r="ADQ4" s="700"/>
      <c r="ADR4" s="700"/>
      <c r="ADS4" s="700"/>
      <c r="ADT4" s="700"/>
      <c r="ADU4" s="700"/>
      <c r="ADV4" s="700"/>
      <c r="ADW4" s="700"/>
      <c r="ADX4" s="700"/>
      <c r="ADY4" s="700"/>
      <c r="ADZ4" s="700"/>
      <c r="AEA4" s="700"/>
      <c r="AEB4" s="700"/>
      <c r="AEC4" s="700"/>
      <c r="AED4" s="700"/>
      <c r="AEE4" s="700"/>
      <c r="AEF4" s="700"/>
      <c r="AEG4" s="700"/>
      <c r="AEH4" s="700"/>
      <c r="AEI4" s="700"/>
      <c r="AEJ4" s="700"/>
      <c r="AEK4" s="700"/>
      <c r="AEL4" s="700"/>
      <c r="AEM4" s="700"/>
      <c r="AEN4" s="700"/>
      <c r="AEO4" s="700"/>
      <c r="AEP4" s="700"/>
      <c r="AEQ4" s="700"/>
      <c r="AER4" s="700"/>
      <c r="AES4" s="700"/>
      <c r="AET4" s="700"/>
      <c r="AEU4" s="700"/>
      <c r="AEV4" s="700"/>
      <c r="AEW4" s="700"/>
      <c r="AEX4" s="700"/>
      <c r="AEY4" s="700"/>
      <c r="AEZ4" s="700"/>
      <c r="AFA4" s="700"/>
      <c r="AFB4" s="700"/>
      <c r="AFC4" s="700"/>
      <c r="AFD4" s="700"/>
      <c r="AFE4" s="700"/>
      <c r="AFF4" s="700"/>
      <c r="AFG4" s="700"/>
      <c r="AFH4" s="700"/>
      <c r="AFI4" s="700"/>
      <c r="AFJ4" s="700"/>
      <c r="AFK4" s="700"/>
      <c r="AFL4" s="700"/>
      <c r="AFM4" s="700"/>
      <c r="AFN4" s="700"/>
      <c r="AFO4" s="700"/>
      <c r="AFP4" s="700"/>
      <c r="AFQ4" s="700"/>
      <c r="AFR4" s="700"/>
      <c r="AFS4" s="700"/>
      <c r="AFT4" s="700"/>
      <c r="AFU4" s="700"/>
      <c r="AFV4" s="700"/>
      <c r="AFW4" s="700"/>
      <c r="AFX4" s="700"/>
      <c r="AFY4" s="700"/>
      <c r="AFZ4" s="700"/>
      <c r="AGA4" s="700"/>
      <c r="AGB4" s="700"/>
      <c r="AGC4" s="700"/>
      <c r="AGD4" s="700"/>
      <c r="AGE4" s="700"/>
      <c r="AGF4" s="700"/>
      <c r="AGG4" s="700"/>
      <c r="AGH4" s="700"/>
      <c r="AGI4" s="700"/>
      <c r="AGJ4" s="700"/>
      <c r="AGK4" s="700"/>
      <c r="AGL4" s="700"/>
      <c r="AGM4" s="700"/>
      <c r="AGN4" s="700"/>
      <c r="AGO4" s="700"/>
      <c r="AGP4" s="700"/>
      <c r="AGQ4" s="700"/>
      <c r="AGR4" s="700"/>
      <c r="AGS4" s="700"/>
      <c r="AGT4" s="700"/>
      <c r="AGU4" s="700"/>
      <c r="AGV4" s="700"/>
      <c r="AGW4" s="700"/>
      <c r="AGX4" s="700"/>
      <c r="AGY4" s="700"/>
      <c r="AGZ4" s="700"/>
      <c r="AHA4" s="700"/>
      <c r="AHB4" s="700"/>
      <c r="AHC4" s="700"/>
      <c r="AHD4" s="700"/>
      <c r="AHE4" s="700"/>
      <c r="AHF4" s="700"/>
      <c r="AHG4" s="700"/>
      <c r="AHH4" s="700"/>
      <c r="AHI4" s="700"/>
      <c r="AHJ4" s="700"/>
      <c r="AHK4" s="700"/>
      <c r="AHL4" s="700"/>
      <c r="AHM4" s="700"/>
      <c r="AHN4" s="700"/>
      <c r="AHO4" s="700"/>
      <c r="AHP4" s="700"/>
      <c r="AHQ4" s="700"/>
      <c r="AHR4" s="700"/>
      <c r="AHS4" s="700"/>
      <c r="AHT4" s="700"/>
      <c r="AHU4" s="700"/>
      <c r="AHV4" s="700"/>
      <c r="AHW4" s="700"/>
      <c r="AHX4" s="700"/>
      <c r="AHY4" s="700"/>
      <c r="AHZ4" s="700"/>
      <c r="AIA4" s="700"/>
      <c r="AIB4" s="700"/>
      <c r="AIC4" s="700"/>
      <c r="AID4" s="700"/>
      <c r="AIE4" s="700"/>
      <c r="AIF4" s="700"/>
      <c r="AIG4" s="700"/>
      <c r="AIH4" s="700"/>
      <c r="AII4" s="700"/>
      <c r="AIJ4" s="700"/>
      <c r="AIK4" s="700"/>
      <c r="AIL4" s="700"/>
      <c r="AIM4" s="700"/>
      <c r="AIN4" s="700"/>
      <c r="AIO4" s="700"/>
      <c r="AIP4" s="700"/>
      <c r="AIQ4" s="700"/>
      <c r="AIR4" s="700"/>
      <c r="AIS4" s="700"/>
      <c r="AIT4" s="700"/>
      <c r="AIU4" s="700"/>
      <c r="AIV4" s="700"/>
      <c r="AIW4" s="700"/>
      <c r="AIX4" s="700"/>
      <c r="AIY4" s="700"/>
      <c r="AIZ4" s="700"/>
      <c r="AJA4" s="700"/>
      <c r="AJB4" s="700"/>
      <c r="AJC4" s="700"/>
      <c r="AJD4" s="700"/>
      <c r="AJE4" s="700"/>
      <c r="AJF4" s="700"/>
      <c r="AJG4" s="700"/>
      <c r="AJH4" s="700"/>
      <c r="AJI4" s="700"/>
      <c r="AJJ4" s="700"/>
      <c r="AJK4" s="700"/>
      <c r="AJL4" s="700"/>
      <c r="AJM4" s="700"/>
      <c r="AJN4" s="700"/>
      <c r="AJO4" s="700"/>
      <c r="AJP4" s="700"/>
      <c r="AJQ4" s="700"/>
      <c r="AJR4" s="700"/>
      <c r="AJS4" s="700"/>
      <c r="AJT4" s="700"/>
      <c r="AJU4" s="700"/>
      <c r="AJV4" s="700"/>
      <c r="AJW4" s="700"/>
      <c r="AJX4" s="700"/>
      <c r="AJY4" s="700"/>
      <c r="AJZ4" s="700"/>
      <c r="AKA4" s="700"/>
      <c r="AKB4" s="700"/>
      <c r="AKC4" s="700"/>
      <c r="AKD4" s="700"/>
      <c r="AKE4" s="700"/>
      <c r="AKF4" s="700"/>
      <c r="AKG4" s="700"/>
      <c r="AKH4" s="700"/>
      <c r="AKI4" s="700"/>
      <c r="AKJ4" s="700"/>
      <c r="AKK4" s="700"/>
      <c r="AKL4" s="700"/>
      <c r="AKM4" s="700"/>
      <c r="AKN4" s="700"/>
      <c r="AKO4" s="700"/>
      <c r="AKP4" s="700"/>
      <c r="AKQ4" s="700"/>
      <c r="AKR4" s="700"/>
      <c r="AKS4" s="700"/>
      <c r="AKT4" s="700"/>
      <c r="AKU4" s="700"/>
      <c r="AKV4" s="700"/>
      <c r="AKW4" s="700"/>
      <c r="AKX4" s="700"/>
      <c r="AKY4" s="700"/>
      <c r="AKZ4" s="700"/>
      <c r="ALA4" s="700"/>
      <c r="ALB4" s="700"/>
      <c r="ALC4" s="700"/>
      <c r="ALD4" s="700"/>
      <c r="ALE4" s="700"/>
      <c r="ALF4" s="700"/>
      <c r="ALG4" s="700"/>
      <c r="ALH4" s="700"/>
      <c r="ALI4" s="700"/>
      <c r="ALJ4" s="700"/>
      <c r="ALK4" s="700"/>
      <c r="ALL4" s="700"/>
      <c r="ALM4" s="700"/>
      <c r="ALN4" s="700"/>
      <c r="ALO4" s="700"/>
      <c r="ALP4" s="700"/>
      <c r="ALQ4" s="700"/>
      <c r="ALR4" s="700"/>
      <c r="ALS4" s="700"/>
      <c r="ALT4" s="700"/>
      <c r="ALU4" s="700"/>
      <c r="ALV4" s="700"/>
      <c r="ALW4" s="700"/>
      <c r="ALX4" s="700"/>
      <c r="ALY4" s="700"/>
      <c r="ALZ4" s="700"/>
      <c r="AMA4" s="700"/>
      <c r="AMB4" s="700"/>
      <c r="AMC4" s="700"/>
      <c r="AMD4" s="700"/>
      <c r="AME4" s="700"/>
      <c r="AMF4" s="700"/>
      <c r="AMG4" s="700"/>
      <c r="AMH4" s="700"/>
      <c r="AMI4" s="700"/>
      <c r="AMJ4" s="700"/>
      <c r="AMK4" s="700"/>
      <c r="AML4" s="700"/>
      <c r="AMM4" s="700"/>
      <c r="AMN4" s="700"/>
      <c r="AMO4" s="700"/>
      <c r="AMP4" s="700"/>
      <c r="AMQ4" s="700"/>
      <c r="AMR4" s="700"/>
      <c r="AMS4" s="700"/>
      <c r="AMT4" s="700"/>
      <c r="AMU4" s="700"/>
      <c r="AMV4" s="700"/>
      <c r="AMW4" s="700"/>
      <c r="AMX4" s="700"/>
      <c r="AMY4" s="700"/>
      <c r="AMZ4" s="700"/>
      <c r="ANA4" s="700"/>
      <c r="ANB4" s="700"/>
      <c r="ANC4" s="700"/>
      <c r="AND4" s="700"/>
      <c r="ANE4" s="700"/>
      <c r="ANF4" s="700"/>
      <c r="ANG4" s="700"/>
      <c r="ANH4" s="700"/>
      <c r="ANI4" s="700"/>
      <c r="ANJ4" s="700"/>
      <c r="ANK4" s="700"/>
      <c r="ANL4" s="700"/>
      <c r="ANM4" s="700"/>
      <c r="ANN4" s="700"/>
      <c r="ANO4" s="700"/>
      <c r="ANP4" s="700"/>
      <c r="ANQ4" s="700"/>
      <c r="ANR4" s="700"/>
      <c r="ANS4" s="700"/>
      <c r="ANT4" s="700"/>
      <c r="ANU4" s="700"/>
      <c r="ANV4" s="700"/>
      <c r="ANW4" s="700"/>
      <c r="ANX4" s="700"/>
      <c r="ANY4" s="700"/>
      <c r="ANZ4" s="700"/>
      <c r="AOA4" s="700"/>
      <c r="AOB4" s="700"/>
      <c r="AOC4" s="700"/>
      <c r="AOD4" s="700"/>
      <c r="AOE4" s="700"/>
      <c r="AOF4" s="700"/>
      <c r="AOG4" s="700"/>
      <c r="AOH4" s="700"/>
      <c r="AOI4" s="700"/>
      <c r="AOJ4" s="700"/>
      <c r="AOK4" s="700"/>
      <c r="AOL4" s="700"/>
      <c r="AOM4" s="700"/>
      <c r="AON4" s="700"/>
      <c r="AOO4" s="700"/>
      <c r="AOP4" s="700"/>
      <c r="AOQ4" s="700"/>
      <c r="AOR4" s="700"/>
      <c r="AOS4" s="700"/>
      <c r="AOT4" s="700"/>
      <c r="AOU4" s="700"/>
      <c r="AOV4" s="700"/>
      <c r="AOW4" s="700"/>
      <c r="AOX4" s="700"/>
      <c r="AOY4" s="700"/>
      <c r="AOZ4" s="700"/>
      <c r="APA4" s="700"/>
      <c r="APB4" s="700"/>
      <c r="APC4" s="700"/>
      <c r="APD4" s="700"/>
      <c r="APE4" s="700"/>
      <c r="APF4" s="700"/>
      <c r="APG4" s="700"/>
      <c r="APH4" s="700"/>
      <c r="API4" s="700"/>
      <c r="APJ4" s="700"/>
      <c r="APK4" s="700"/>
      <c r="APL4" s="700"/>
      <c r="APM4" s="700"/>
      <c r="APN4" s="700"/>
      <c r="APO4" s="700"/>
      <c r="APP4" s="700"/>
      <c r="APQ4" s="700"/>
      <c r="APR4" s="700"/>
      <c r="APS4" s="700"/>
      <c r="APT4" s="700"/>
      <c r="APU4" s="700"/>
      <c r="APV4" s="700"/>
      <c r="APW4" s="700"/>
      <c r="APX4" s="700"/>
      <c r="APY4" s="700"/>
      <c r="APZ4" s="700"/>
      <c r="AQA4" s="700"/>
      <c r="AQB4" s="700"/>
      <c r="AQC4" s="700"/>
      <c r="AQD4" s="700"/>
      <c r="AQE4" s="700"/>
      <c r="AQF4" s="700"/>
      <c r="AQG4" s="700"/>
      <c r="AQH4" s="700"/>
      <c r="AQI4" s="700"/>
      <c r="AQJ4" s="700"/>
      <c r="AQK4" s="700"/>
      <c r="AQL4" s="700"/>
      <c r="AQM4" s="700"/>
      <c r="AQN4" s="700"/>
      <c r="AQO4" s="700"/>
      <c r="AQP4" s="700"/>
      <c r="AQQ4" s="700"/>
      <c r="AQR4" s="700"/>
      <c r="AQS4" s="700"/>
      <c r="AQT4" s="700"/>
      <c r="AQU4" s="700"/>
      <c r="AQV4" s="700"/>
      <c r="AQW4" s="700"/>
      <c r="AQX4" s="700"/>
      <c r="AQY4" s="700"/>
      <c r="AQZ4" s="700"/>
      <c r="ARA4" s="700"/>
      <c r="ARB4" s="700"/>
      <c r="ARC4" s="700"/>
      <c r="ARD4" s="700"/>
      <c r="ARE4" s="700"/>
      <c r="ARF4" s="700"/>
      <c r="ARG4" s="700"/>
      <c r="ARH4" s="700"/>
      <c r="ARI4" s="700"/>
      <c r="ARJ4" s="700"/>
      <c r="ARK4" s="700"/>
      <c r="ARL4" s="700"/>
      <c r="ARM4" s="700"/>
      <c r="ARN4" s="700"/>
      <c r="ARO4" s="700"/>
      <c r="ARP4" s="700"/>
      <c r="ARQ4" s="700"/>
      <c r="ARR4" s="700"/>
      <c r="ARS4" s="700"/>
      <c r="ART4" s="700"/>
      <c r="ARU4" s="700"/>
      <c r="ARV4" s="700"/>
      <c r="ARW4" s="700"/>
      <c r="ARX4" s="700"/>
      <c r="ARY4" s="700"/>
      <c r="ARZ4" s="700"/>
      <c r="ASA4" s="700"/>
      <c r="ASB4" s="700"/>
      <c r="ASC4" s="700"/>
      <c r="ASD4" s="700"/>
      <c r="ASE4" s="700"/>
      <c r="ASF4" s="700"/>
      <c r="ASG4" s="700"/>
      <c r="ASH4" s="700"/>
      <c r="ASI4" s="700"/>
      <c r="ASJ4" s="700"/>
      <c r="ASK4" s="700"/>
      <c r="ASL4" s="700"/>
      <c r="ASM4" s="700"/>
      <c r="ASN4" s="700"/>
      <c r="ASO4" s="700"/>
      <c r="ASP4" s="700"/>
      <c r="ASQ4" s="700"/>
      <c r="ASR4" s="700"/>
      <c r="ASS4" s="700"/>
      <c r="AST4" s="700"/>
      <c r="ASU4" s="700"/>
      <c r="ASV4" s="700"/>
      <c r="ASW4" s="700"/>
      <c r="ASX4" s="700"/>
      <c r="ASY4" s="700"/>
      <c r="ASZ4" s="700"/>
      <c r="ATA4" s="700"/>
      <c r="ATB4" s="700"/>
      <c r="ATC4" s="700"/>
      <c r="ATD4" s="700"/>
      <c r="ATE4" s="700"/>
      <c r="ATF4" s="700"/>
      <c r="ATG4" s="700"/>
      <c r="ATH4" s="700"/>
      <c r="ATI4" s="700"/>
      <c r="ATJ4" s="700"/>
      <c r="ATK4" s="700"/>
      <c r="ATL4" s="700"/>
      <c r="ATM4" s="700"/>
      <c r="ATN4" s="700"/>
      <c r="ATO4" s="700"/>
      <c r="ATP4" s="700"/>
      <c r="ATQ4" s="700"/>
      <c r="ATR4" s="700"/>
      <c r="ATS4" s="700"/>
      <c r="ATT4" s="700"/>
      <c r="ATU4" s="700"/>
      <c r="ATV4" s="700"/>
      <c r="ATW4" s="700"/>
      <c r="ATX4" s="700"/>
      <c r="ATY4" s="700"/>
      <c r="ATZ4" s="700"/>
      <c r="AUA4" s="700"/>
      <c r="AUB4" s="700"/>
      <c r="AUC4" s="700"/>
      <c r="AUD4" s="700"/>
      <c r="AUE4" s="700"/>
      <c r="AUF4" s="700"/>
      <c r="AUG4" s="700"/>
      <c r="AUH4" s="700"/>
      <c r="AUI4" s="700"/>
      <c r="AUJ4" s="700"/>
      <c r="AUK4" s="700"/>
      <c r="AUL4" s="700"/>
      <c r="AUM4" s="700"/>
      <c r="AUN4" s="700"/>
      <c r="AUO4" s="700"/>
      <c r="AUP4" s="700"/>
      <c r="AUQ4" s="700"/>
      <c r="AUR4" s="700"/>
      <c r="AUS4" s="700"/>
      <c r="AUT4" s="700"/>
      <c r="AUU4" s="700"/>
      <c r="AUV4" s="700"/>
      <c r="AUW4" s="700"/>
      <c r="AUX4" s="700"/>
      <c r="AUY4" s="700"/>
      <c r="AUZ4" s="700"/>
      <c r="AVA4" s="700"/>
      <c r="AVB4" s="700"/>
      <c r="AVC4" s="700"/>
      <c r="AVD4" s="700"/>
      <c r="AVE4" s="700"/>
      <c r="AVF4" s="700"/>
      <c r="AVG4" s="700"/>
      <c r="AVH4" s="700"/>
      <c r="AVI4" s="700"/>
      <c r="AVJ4" s="700"/>
      <c r="AVK4" s="700"/>
      <c r="AVL4" s="700"/>
      <c r="AVM4" s="700"/>
      <c r="AVN4" s="700"/>
      <c r="AVO4" s="700"/>
      <c r="AVP4" s="700"/>
      <c r="AVQ4" s="700"/>
      <c r="AVR4" s="700"/>
      <c r="AVS4" s="700"/>
      <c r="AVT4" s="700"/>
      <c r="AVU4" s="700"/>
      <c r="AVV4" s="700"/>
      <c r="AVW4" s="700"/>
      <c r="AVX4" s="700"/>
      <c r="AVY4" s="700"/>
      <c r="AVZ4" s="700"/>
      <c r="AWA4" s="700"/>
      <c r="AWB4" s="700"/>
      <c r="AWC4" s="700"/>
      <c r="AWD4" s="700"/>
      <c r="AWE4" s="700"/>
      <c r="AWF4" s="700"/>
      <c r="AWG4" s="700"/>
      <c r="AWH4" s="700"/>
      <c r="AWI4" s="700"/>
      <c r="AWJ4" s="700"/>
      <c r="AWK4" s="700"/>
      <c r="AWL4" s="700"/>
      <c r="AWM4" s="700"/>
      <c r="AWN4" s="700"/>
      <c r="AWO4" s="700"/>
      <c r="AWP4" s="700"/>
      <c r="AWQ4" s="700"/>
      <c r="AWR4" s="700"/>
      <c r="AWS4" s="700"/>
      <c r="AWT4" s="700"/>
      <c r="AWU4" s="700"/>
      <c r="AWV4" s="700"/>
      <c r="AWW4" s="700"/>
      <c r="AWX4" s="700"/>
      <c r="AWY4" s="700"/>
      <c r="AWZ4" s="700"/>
      <c r="AXA4" s="700"/>
      <c r="AXB4" s="700"/>
      <c r="AXC4" s="700"/>
      <c r="AXD4" s="700"/>
      <c r="AXE4" s="700"/>
      <c r="AXF4" s="700"/>
      <c r="AXG4" s="700"/>
      <c r="AXH4" s="700"/>
      <c r="AXI4" s="700"/>
      <c r="AXJ4" s="700"/>
      <c r="AXK4" s="700"/>
      <c r="AXL4" s="700"/>
      <c r="AXM4" s="700"/>
      <c r="AXN4" s="700"/>
      <c r="AXO4" s="700"/>
      <c r="AXP4" s="700"/>
      <c r="AXQ4" s="700"/>
      <c r="AXR4" s="700"/>
      <c r="AXS4" s="700"/>
      <c r="AXT4" s="700"/>
      <c r="AXU4" s="700"/>
      <c r="AXV4" s="700"/>
      <c r="AXW4" s="700"/>
      <c r="AXX4" s="700"/>
      <c r="AXY4" s="700"/>
      <c r="AXZ4" s="700"/>
      <c r="AYA4" s="700"/>
      <c r="AYB4" s="700"/>
      <c r="AYC4" s="700"/>
      <c r="AYD4" s="700"/>
      <c r="AYE4" s="700"/>
      <c r="AYF4" s="700"/>
      <c r="AYG4" s="700"/>
      <c r="AYH4" s="700"/>
      <c r="AYI4" s="700"/>
      <c r="AYJ4" s="700"/>
      <c r="AYK4" s="700"/>
      <c r="AYL4" s="700"/>
      <c r="AYM4" s="700"/>
      <c r="AYN4" s="700"/>
      <c r="AYO4" s="700"/>
      <c r="AYP4" s="700"/>
      <c r="AYQ4" s="700"/>
      <c r="AYR4" s="700"/>
      <c r="AYS4" s="700"/>
      <c r="AYT4" s="700"/>
      <c r="AYU4" s="700"/>
      <c r="AYV4" s="700"/>
      <c r="AYW4" s="700"/>
      <c r="AYX4" s="700"/>
      <c r="AYY4" s="700"/>
      <c r="AYZ4" s="700"/>
      <c r="AZA4" s="700"/>
      <c r="AZB4" s="700"/>
      <c r="AZC4" s="700"/>
      <c r="AZD4" s="700"/>
      <c r="AZE4" s="700"/>
      <c r="AZF4" s="700"/>
      <c r="AZG4" s="700"/>
      <c r="AZH4" s="700"/>
      <c r="AZI4" s="700"/>
      <c r="AZJ4" s="700"/>
      <c r="AZK4" s="700"/>
      <c r="AZL4" s="700"/>
      <c r="AZM4" s="700"/>
      <c r="AZN4" s="700"/>
      <c r="AZO4" s="700"/>
      <c r="AZP4" s="700"/>
      <c r="AZQ4" s="700"/>
      <c r="AZR4" s="700"/>
      <c r="AZS4" s="700"/>
      <c r="AZT4" s="700"/>
      <c r="AZU4" s="700"/>
      <c r="AZV4" s="700"/>
      <c r="AZW4" s="700"/>
      <c r="AZX4" s="700"/>
      <c r="AZY4" s="700"/>
      <c r="AZZ4" s="700"/>
      <c r="BAA4" s="700"/>
      <c r="BAB4" s="700"/>
      <c r="BAC4" s="700"/>
      <c r="BAD4" s="700"/>
      <c r="BAE4" s="700"/>
      <c r="BAF4" s="700"/>
      <c r="BAG4" s="700"/>
      <c r="BAH4" s="700"/>
      <c r="BAI4" s="700"/>
      <c r="BAJ4" s="700"/>
      <c r="BAK4" s="700"/>
      <c r="BAL4" s="700"/>
      <c r="BAM4" s="700"/>
      <c r="BAN4" s="700"/>
      <c r="BAO4" s="700"/>
      <c r="BAP4" s="700"/>
      <c r="BAQ4" s="700"/>
      <c r="BAR4" s="700"/>
      <c r="BAS4" s="700"/>
      <c r="BAT4" s="700"/>
      <c r="BAU4" s="700"/>
      <c r="BAV4" s="700"/>
      <c r="BAW4" s="700"/>
      <c r="BAX4" s="700"/>
      <c r="BAY4" s="700"/>
      <c r="BAZ4" s="700"/>
      <c r="BBA4" s="700"/>
      <c r="BBB4" s="700"/>
      <c r="BBC4" s="700"/>
      <c r="BBD4" s="700"/>
      <c r="BBE4" s="700"/>
      <c r="BBF4" s="700"/>
      <c r="BBG4" s="700"/>
      <c r="BBH4" s="700"/>
      <c r="BBI4" s="700"/>
      <c r="BBJ4" s="700"/>
      <c r="BBK4" s="700"/>
      <c r="BBL4" s="700"/>
      <c r="BBM4" s="700"/>
      <c r="BBN4" s="700"/>
      <c r="BBO4" s="700"/>
      <c r="BBP4" s="700"/>
      <c r="BBQ4" s="700"/>
      <c r="BBR4" s="700"/>
      <c r="BBS4" s="700"/>
      <c r="BBT4" s="700"/>
      <c r="BBU4" s="700"/>
      <c r="BBV4" s="700"/>
      <c r="BBW4" s="700"/>
      <c r="BBX4" s="700"/>
      <c r="BBY4" s="700"/>
      <c r="BBZ4" s="700"/>
      <c r="BCA4" s="700"/>
      <c r="BCB4" s="700"/>
      <c r="BCC4" s="700"/>
      <c r="BCD4" s="700"/>
      <c r="BCE4" s="700"/>
      <c r="BCF4" s="700"/>
      <c r="BCG4" s="700"/>
      <c r="BCH4" s="700"/>
      <c r="BCI4" s="700"/>
      <c r="BCJ4" s="700"/>
      <c r="BCK4" s="700"/>
      <c r="BCL4" s="700"/>
      <c r="BCM4" s="700"/>
      <c r="BCN4" s="700"/>
      <c r="BCO4" s="700"/>
      <c r="BCP4" s="700"/>
      <c r="BCQ4" s="700"/>
      <c r="BCR4" s="700"/>
      <c r="BCS4" s="700"/>
      <c r="BCT4" s="700"/>
      <c r="BCU4" s="700"/>
      <c r="BCV4" s="700"/>
      <c r="BCW4" s="700"/>
      <c r="BCX4" s="700"/>
      <c r="BCY4" s="700"/>
      <c r="BCZ4" s="700"/>
      <c r="BDA4" s="700"/>
      <c r="BDB4" s="700"/>
      <c r="BDC4" s="700"/>
      <c r="BDD4" s="700"/>
      <c r="BDE4" s="700"/>
      <c r="BDF4" s="700"/>
      <c r="BDG4" s="700"/>
      <c r="BDH4" s="700"/>
      <c r="BDI4" s="700"/>
      <c r="BDJ4" s="700"/>
      <c r="BDK4" s="700"/>
      <c r="BDL4" s="700"/>
      <c r="BDM4" s="700"/>
      <c r="BDN4" s="700"/>
      <c r="BDO4" s="700"/>
      <c r="BDP4" s="700"/>
      <c r="BDQ4" s="700"/>
      <c r="BDR4" s="700"/>
      <c r="BDS4" s="700"/>
      <c r="BDT4" s="700"/>
      <c r="BDU4" s="700"/>
      <c r="BDV4" s="700"/>
      <c r="BDW4" s="700"/>
      <c r="BDX4" s="700"/>
      <c r="BDY4" s="700"/>
      <c r="BDZ4" s="700"/>
      <c r="BEA4" s="700"/>
      <c r="BEB4" s="700"/>
      <c r="BEC4" s="700"/>
      <c r="BED4" s="700"/>
      <c r="BEE4" s="700"/>
      <c r="BEF4" s="700"/>
      <c r="BEG4" s="700"/>
      <c r="BEH4" s="700"/>
      <c r="BEI4" s="700"/>
      <c r="BEJ4" s="700"/>
      <c r="BEK4" s="700"/>
      <c r="BEL4" s="700"/>
      <c r="BEM4" s="700"/>
      <c r="BEN4" s="700"/>
      <c r="BEO4" s="700"/>
      <c r="BEP4" s="700"/>
      <c r="BEQ4" s="700"/>
      <c r="BER4" s="700"/>
      <c r="BES4" s="700"/>
      <c r="BET4" s="700"/>
      <c r="BEU4" s="700"/>
      <c r="BEV4" s="700"/>
      <c r="BEW4" s="700"/>
      <c r="BEX4" s="700"/>
      <c r="BEY4" s="700"/>
      <c r="BEZ4" s="700"/>
      <c r="BFA4" s="700"/>
      <c r="BFB4" s="700"/>
      <c r="BFC4" s="700"/>
      <c r="BFD4" s="700"/>
      <c r="BFE4" s="700"/>
      <c r="BFF4" s="700"/>
      <c r="BFG4" s="700"/>
      <c r="BFH4" s="700"/>
      <c r="BFI4" s="700"/>
      <c r="BFJ4" s="700"/>
      <c r="BFK4" s="700"/>
      <c r="BFL4" s="700"/>
      <c r="BFM4" s="700"/>
      <c r="BFN4" s="700"/>
      <c r="BFO4" s="700"/>
      <c r="BFP4" s="700"/>
      <c r="BFQ4" s="700"/>
      <c r="BFR4" s="700"/>
      <c r="BFS4" s="700"/>
      <c r="BFT4" s="700"/>
      <c r="BFU4" s="700"/>
      <c r="BFV4" s="700"/>
      <c r="BFW4" s="700"/>
      <c r="BFX4" s="700"/>
      <c r="BFY4" s="700"/>
      <c r="BFZ4" s="700"/>
      <c r="BGA4" s="700"/>
      <c r="BGB4" s="700"/>
      <c r="BGC4" s="700"/>
      <c r="BGD4" s="700"/>
      <c r="BGE4" s="700"/>
      <c r="BGF4" s="700"/>
      <c r="BGG4" s="700"/>
      <c r="BGH4" s="700"/>
      <c r="BGI4" s="700"/>
      <c r="BGJ4" s="700"/>
      <c r="BGK4" s="700"/>
      <c r="BGL4" s="700"/>
      <c r="BGM4" s="700"/>
      <c r="BGN4" s="700"/>
      <c r="BGO4" s="700"/>
      <c r="BGP4" s="700"/>
      <c r="BGQ4" s="700"/>
      <c r="BGR4" s="700"/>
      <c r="BGS4" s="700"/>
      <c r="BGT4" s="700"/>
      <c r="BGU4" s="700"/>
      <c r="BGV4" s="700"/>
      <c r="BGW4" s="700"/>
      <c r="BGX4" s="700"/>
      <c r="BGY4" s="700"/>
      <c r="BGZ4" s="700"/>
      <c r="BHA4" s="700"/>
      <c r="BHB4" s="700"/>
      <c r="BHC4" s="700"/>
      <c r="BHD4" s="700"/>
      <c r="BHE4" s="700"/>
      <c r="BHF4" s="700"/>
      <c r="BHG4" s="700"/>
      <c r="BHH4" s="700"/>
      <c r="BHI4" s="700"/>
      <c r="BHJ4" s="700"/>
      <c r="BHK4" s="700"/>
      <c r="BHL4" s="700"/>
      <c r="BHM4" s="700"/>
      <c r="BHN4" s="700"/>
      <c r="BHO4" s="700"/>
      <c r="BHP4" s="700"/>
      <c r="BHQ4" s="700"/>
      <c r="BHR4" s="700"/>
      <c r="BHS4" s="700"/>
      <c r="BHT4" s="700"/>
      <c r="BHU4" s="700"/>
      <c r="BHV4" s="700"/>
      <c r="BHW4" s="700"/>
      <c r="BHX4" s="700"/>
      <c r="BHY4" s="700"/>
      <c r="BHZ4" s="700"/>
      <c r="BIA4" s="700"/>
      <c r="BIB4" s="700"/>
      <c r="BIC4" s="700"/>
      <c r="BID4" s="700"/>
      <c r="BIE4" s="700"/>
      <c r="BIF4" s="700"/>
      <c r="BIG4" s="700"/>
      <c r="BIH4" s="700"/>
      <c r="BII4" s="700"/>
      <c r="BIJ4" s="700"/>
      <c r="BIK4" s="700"/>
      <c r="BIL4" s="700"/>
      <c r="BIM4" s="700"/>
      <c r="BIN4" s="700"/>
      <c r="BIO4" s="700"/>
      <c r="BIP4" s="700"/>
      <c r="BIQ4" s="700"/>
      <c r="BIR4" s="700"/>
      <c r="BIS4" s="700"/>
      <c r="BIT4" s="700"/>
      <c r="BIU4" s="700"/>
      <c r="BIV4" s="700"/>
      <c r="BIW4" s="700"/>
      <c r="BIX4" s="700"/>
      <c r="BIY4" s="700"/>
      <c r="BIZ4" s="700"/>
      <c r="BJA4" s="700"/>
      <c r="BJB4" s="700"/>
      <c r="BJC4" s="700"/>
      <c r="BJD4" s="700"/>
      <c r="BJE4" s="700"/>
      <c r="BJF4" s="700"/>
      <c r="BJG4" s="700"/>
      <c r="BJH4" s="700"/>
      <c r="BJI4" s="700"/>
      <c r="BJJ4" s="700"/>
      <c r="BJK4" s="700"/>
      <c r="BJL4" s="700"/>
      <c r="BJM4" s="700"/>
      <c r="BJN4" s="700"/>
      <c r="BJO4" s="700"/>
      <c r="BJP4" s="700"/>
      <c r="BJQ4" s="700"/>
      <c r="BJR4" s="700"/>
      <c r="BJS4" s="700"/>
      <c r="BJT4" s="700"/>
      <c r="BJU4" s="700"/>
      <c r="BJV4" s="700"/>
      <c r="BJW4" s="700"/>
      <c r="BJX4" s="700"/>
      <c r="BJY4" s="700"/>
      <c r="BJZ4" s="700"/>
      <c r="BKA4" s="700"/>
      <c r="BKB4" s="700"/>
      <c r="BKC4" s="700"/>
      <c r="BKD4" s="700"/>
      <c r="BKE4" s="700"/>
      <c r="BKF4" s="700"/>
      <c r="BKG4" s="700"/>
      <c r="BKH4" s="700"/>
      <c r="BKI4" s="700"/>
      <c r="BKJ4" s="700"/>
      <c r="BKK4" s="700"/>
      <c r="BKL4" s="700"/>
      <c r="BKM4" s="700"/>
      <c r="BKN4" s="700"/>
      <c r="BKO4" s="700"/>
      <c r="BKP4" s="700"/>
      <c r="BKQ4" s="700"/>
      <c r="BKR4" s="700"/>
      <c r="BKS4" s="700"/>
      <c r="BKT4" s="700"/>
      <c r="BKU4" s="700"/>
      <c r="BKV4" s="700"/>
      <c r="BKW4" s="700"/>
      <c r="BKX4" s="700"/>
      <c r="BKY4" s="700"/>
      <c r="BKZ4" s="700"/>
      <c r="BLA4" s="700"/>
      <c r="BLB4" s="700"/>
      <c r="BLC4" s="700"/>
      <c r="BLD4" s="700"/>
      <c r="BLE4" s="700"/>
      <c r="BLF4" s="700"/>
      <c r="BLG4" s="700"/>
      <c r="BLH4" s="700"/>
      <c r="BLI4" s="700"/>
      <c r="BLJ4" s="700"/>
      <c r="BLK4" s="700"/>
      <c r="BLL4" s="700"/>
      <c r="BLM4" s="700"/>
      <c r="BLN4" s="700"/>
      <c r="BLO4" s="700"/>
      <c r="BLP4" s="700"/>
      <c r="BLQ4" s="700"/>
      <c r="BLR4" s="700"/>
      <c r="BLS4" s="700"/>
      <c r="BLT4" s="700"/>
      <c r="BLU4" s="700"/>
      <c r="BLV4" s="700"/>
      <c r="BLW4" s="700"/>
      <c r="BLX4" s="700"/>
      <c r="BLY4" s="700"/>
      <c r="BLZ4" s="700"/>
      <c r="BMA4" s="700"/>
      <c r="BMB4" s="700"/>
      <c r="BMC4" s="700"/>
      <c r="BMD4" s="700"/>
      <c r="BME4" s="700"/>
      <c r="BMF4" s="700"/>
      <c r="BMG4" s="700"/>
      <c r="BMH4" s="700"/>
      <c r="BMI4" s="700"/>
      <c r="BMJ4" s="700"/>
      <c r="BMK4" s="700"/>
      <c r="BML4" s="700"/>
      <c r="BMM4" s="700"/>
      <c r="BMN4" s="700"/>
      <c r="BMO4" s="700"/>
      <c r="BMP4" s="700"/>
      <c r="BMQ4" s="700"/>
      <c r="BMR4" s="700"/>
      <c r="BMS4" s="700"/>
      <c r="BMT4" s="700"/>
      <c r="BMU4" s="700"/>
      <c r="BMV4" s="700"/>
      <c r="BMW4" s="700"/>
      <c r="BMX4" s="700"/>
      <c r="BMY4" s="700"/>
      <c r="BMZ4" s="700"/>
      <c r="BNA4" s="700"/>
      <c r="BNB4" s="700"/>
      <c r="BNC4" s="700"/>
      <c r="BND4" s="700"/>
      <c r="BNE4" s="700"/>
      <c r="BNF4" s="700"/>
      <c r="BNG4" s="700"/>
      <c r="BNH4" s="700"/>
      <c r="BNI4" s="700"/>
      <c r="BNJ4" s="700"/>
      <c r="BNK4" s="700"/>
      <c r="BNL4" s="700"/>
      <c r="BNM4" s="700"/>
      <c r="BNN4" s="700"/>
      <c r="BNO4" s="700"/>
      <c r="BNP4" s="700"/>
      <c r="BNQ4" s="700"/>
      <c r="BNR4" s="700"/>
      <c r="BNS4" s="700"/>
      <c r="BNT4" s="700"/>
      <c r="BNU4" s="700"/>
      <c r="BNV4" s="700"/>
      <c r="BNW4" s="700"/>
      <c r="BNX4" s="700"/>
      <c r="BNY4" s="700"/>
      <c r="BNZ4" s="700"/>
      <c r="BOA4" s="700"/>
      <c r="BOB4" s="700"/>
      <c r="BOC4" s="700"/>
      <c r="BOD4" s="700"/>
      <c r="BOE4" s="700"/>
      <c r="BOF4" s="700"/>
      <c r="BOG4" s="700"/>
      <c r="BOH4" s="700"/>
      <c r="BOI4" s="700"/>
      <c r="BOJ4" s="700"/>
      <c r="BOK4" s="700"/>
      <c r="BOL4" s="700"/>
      <c r="BOM4" s="700"/>
      <c r="BON4" s="700"/>
      <c r="BOO4" s="700"/>
      <c r="BOP4" s="700"/>
      <c r="BOQ4" s="700"/>
      <c r="BOR4" s="700"/>
      <c r="BOS4" s="700"/>
      <c r="BOT4" s="700"/>
      <c r="BOU4" s="700"/>
      <c r="BOV4" s="700"/>
      <c r="BOW4" s="700"/>
      <c r="BOX4" s="700"/>
      <c r="BOY4" s="700"/>
      <c r="BOZ4" s="700"/>
      <c r="BPA4" s="700"/>
      <c r="BPB4" s="700"/>
      <c r="BPC4" s="700"/>
      <c r="BPD4" s="700"/>
      <c r="BPE4" s="700"/>
      <c r="BPF4" s="700"/>
      <c r="BPG4" s="700"/>
      <c r="BPH4" s="700"/>
      <c r="BPI4" s="700"/>
      <c r="BPJ4" s="700"/>
      <c r="BPK4" s="700"/>
      <c r="BPL4" s="700"/>
      <c r="BPM4" s="700"/>
      <c r="BPN4" s="700"/>
      <c r="BPO4" s="700"/>
      <c r="BPP4" s="700"/>
      <c r="BPQ4" s="700"/>
      <c r="BPR4" s="700"/>
      <c r="BPS4" s="700"/>
      <c r="BPT4" s="700"/>
      <c r="BPU4" s="700"/>
      <c r="BPV4" s="700"/>
      <c r="BPW4" s="700"/>
      <c r="BPX4" s="700"/>
      <c r="BPY4" s="700"/>
      <c r="BPZ4" s="700"/>
      <c r="BQA4" s="700"/>
      <c r="BQB4" s="700"/>
      <c r="BQC4" s="700"/>
      <c r="BQD4" s="700"/>
      <c r="BQE4" s="700"/>
      <c r="BQF4" s="700"/>
      <c r="BQG4" s="700"/>
      <c r="BQH4" s="700"/>
      <c r="BQI4" s="700"/>
      <c r="BQJ4" s="700"/>
      <c r="BQK4" s="700"/>
      <c r="BQL4" s="700"/>
      <c r="BQM4" s="700"/>
      <c r="BQN4" s="700"/>
      <c r="BQO4" s="700"/>
      <c r="BQP4" s="700"/>
      <c r="BQQ4" s="700"/>
      <c r="BQR4" s="700"/>
      <c r="BQS4" s="700"/>
      <c r="BQT4" s="700"/>
      <c r="BQU4" s="700"/>
      <c r="BQV4" s="700"/>
      <c r="BQW4" s="700"/>
      <c r="BQX4" s="700"/>
      <c r="BQY4" s="700"/>
      <c r="BQZ4" s="700"/>
      <c r="BRA4" s="700"/>
      <c r="BRB4" s="700"/>
      <c r="BRC4" s="700"/>
      <c r="BRD4" s="700"/>
      <c r="BRE4" s="700"/>
      <c r="BRF4" s="700"/>
      <c r="BRG4" s="700"/>
      <c r="BRH4" s="700"/>
      <c r="BRI4" s="700"/>
      <c r="BRJ4" s="700"/>
      <c r="BRK4" s="700"/>
      <c r="BRL4" s="700"/>
      <c r="BRM4" s="700"/>
      <c r="BRN4" s="700"/>
      <c r="BRO4" s="700"/>
      <c r="BRP4" s="700"/>
      <c r="BRQ4" s="700"/>
      <c r="BRR4" s="700"/>
      <c r="BRS4" s="700"/>
      <c r="BRT4" s="700"/>
      <c r="BRU4" s="700"/>
      <c r="BRV4" s="700"/>
      <c r="BRW4" s="700"/>
      <c r="BRX4" s="700"/>
      <c r="BRY4" s="700"/>
      <c r="BRZ4" s="700"/>
      <c r="BSA4" s="700"/>
      <c r="BSB4" s="700"/>
      <c r="BSC4" s="700"/>
      <c r="BSD4" s="700"/>
      <c r="BSE4" s="700"/>
      <c r="BSF4" s="700"/>
      <c r="BSG4" s="700"/>
      <c r="BSH4" s="700"/>
      <c r="BSI4" s="700"/>
      <c r="BSJ4" s="700"/>
      <c r="BSK4" s="700"/>
      <c r="BSL4" s="700"/>
      <c r="BSM4" s="700"/>
      <c r="BSN4" s="700"/>
      <c r="BSO4" s="700"/>
      <c r="BSP4" s="700"/>
      <c r="BSQ4" s="700"/>
      <c r="BSR4" s="700"/>
      <c r="BSS4" s="700"/>
      <c r="BST4" s="700"/>
      <c r="BSU4" s="700"/>
      <c r="BSV4" s="700"/>
      <c r="BSW4" s="700"/>
      <c r="BSX4" s="700"/>
      <c r="BSY4" s="700"/>
      <c r="BSZ4" s="700"/>
      <c r="BTA4" s="700"/>
      <c r="BTB4" s="700"/>
      <c r="BTC4" s="700"/>
      <c r="BTD4" s="700"/>
      <c r="BTE4" s="700"/>
      <c r="BTF4" s="700"/>
      <c r="BTG4" s="700"/>
      <c r="BTH4" s="700"/>
      <c r="BTI4" s="700"/>
      <c r="BTJ4" s="700"/>
      <c r="BTK4" s="700"/>
      <c r="BTL4" s="700"/>
      <c r="BTM4" s="700"/>
      <c r="BTN4" s="700"/>
      <c r="BTO4" s="700"/>
      <c r="BTP4" s="700"/>
      <c r="BTQ4" s="700"/>
      <c r="BTR4" s="700"/>
      <c r="BTS4" s="700"/>
      <c r="BTT4" s="700"/>
      <c r="BTU4" s="700"/>
      <c r="BTV4" s="700"/>
      <c r="BTW4" s="700"/>
      <c r="BTX4" s="700"/>
      <c r="BTY4" s="700"/>
      <c r="BTZ4" s="700"/>
      <c r="BUA4" s="700"/>
      <c r="BUB4" s="700"/>
      <c r="BUC4" s="700"/>
      <c r="BUD4" s="700"/>
      <c r="BUE4" s="700"/>
      <c r="BUF4" s="700"/>
      <c r="BUG4" s="700"/>
      <c r="BUH4" s="700"/>
      <c r="BUI4" s="700"/>
      <c r="BUJ4" s="700"/>
      <c r="BUK4" s="700"/>
      <c r="BUL4" s="700"/>
      <c r="BUM4" s="700"/>
      <c r="BUN4" s="700"/>
      <c r="BUO4" s="700"/>
      <c r="BUP4" s="700"/>
      <c r="BUQ4" s="700"/>
      <c r="BUR4" s="700"/>
      <c r="BUS4" s="700"/>
      <c r="BUT4" s="700"/>
      <c r="BUU4" s="700"/>
      <c r="BUV4" s="700"/>
      <c r="BUW4" s="700"/>
      <c r="BUX4" s="700"/>
      <c r="BUY4" s="700"/>
      <c r="BUZ4" s="700"/>
      <c r="BVA4" s="700"/>
      <c r="BVB4" s="700"/>
      <c r="BVC4" s="700"/>
      <c r="BVD4" s="700"/>
      <c r="BVE4" s="700"/>
      <c r="BVF4" s="700"/>
      <c r="BVG4" s="700"/>
      <c r="BVH4" s="700"/>
      <c r="BVI4" s="700"/>
      <c r="BVJ4" s="700"/>
      <c r="BVK4" s="700"/>
      <c r="BVL4" s="700"/>
      <c r="BVM4" s="700"/>
      <c r="BVN4" s="700"/>
      <c r="BVO4" s="700"/>
      <c r="BVP4" s="700"/>
      <c r="BVQ4" s="700"/>
      <c r="BVR4" s="700"/>
      <c r="BVS4" s="700"/>
      <c r="BVT4" s="700"/>
      <c r="BVU4" s="700"/>
      <c r="BVV4" s="700"/>
      <c r="BVW4" s="700"/>
      <c r="BVX4" s="700"/>
      <c r="BVY4" s="700"/>
      <c r="BVZ4" s="700"/>
      <c r="BWA4" s="700"/>
      <c r="BWB4" s="700"/>
      <c r="BWC4" s="700"/>
      <c r="BWD4" s="700"/>
      <c r="BWE4" s="700"/>
      <c r="BWF4" s="700"/>
      <c r="BWG4" s="700"/>
      <c r="BWH4" s="700"/>
      <c r="BWI4" s="700"/>
      <c r="BWJ4" s="700"/>
      <c r="BWK4" s="700"/>
      <c r="BWL4" s="700"/>
      <c r="BWM4" s="700"/>
      <c r="BWN4" s="700"/>
      <c r="BWO4" s="700"/>
      <c r="BWP4" s="700"/>
      <c r="BWQ4" s="700"/>
      <c r="BWR4" s="700"/>
      <c r="BWS4" s="700"/>
      <c r="BWT4" s="700"/>
      <c r="BWU4" s="700"/>
      <c r="BWV4" s="700"/>
      <c r="BWW4" s="700"/>
      <c r="BWX4" s="700"/>
      <c r="BWY4" s="700"/>
      <c r="BWZ4" s="700"/>
      <c r="BXA4" s="700"/>
      <c r="BXB4" s="700"/>
      <c r="BXC4" s="700"/>
      <c r="BXD4" s="700"/>
      <c r="BXE4" s="700"/>
      <c r="BXF4" s="700"/>
      <c r="BXG4" s="700"/>
      <c r="BXH4" s="700"/>
      <c r="BXI4" s="700"/>
      <c r="BXJ4" s="700"/>
      <c r="BXK4" s="700"/>
      <c r="BXL4" s="700"/>
      <c r="BXM4" s="700"/>
      <c r="BXN4" s="700"/>
      <c r="BXO4" s="700"/>
      <c r="BXP4" s="700"/>
      <c r="BXQ4" s="700"/>
      <c r="BXR4" s="700"/>
      <c r="BXS4" s="700"/>
      <c r="BXT4" s="700"/>
      <c r="BXU4" s="700"/>
      <c r="BXV4" s="700"/>
      <c r="BXW4" s="700"/>
      <c r="BXX4" s="700"/>
      <c r="BXY4" s="700"/>
      <c r="BXZ4" s="700"/>
    </row>
    <row r="5" spans="1:2002" ht="22.5" customHeight="1">
      <c r="A5" s="719"/>
      <c r="B5" s="720"/>
      <c r="C5" s="721" t="s">
        <v>25</v>
      </c>
      <c r="D5" s="798">
        <f>IS!Q13</f>
        <v>675000</v>
      </c>
      <c r="E5" s="722">
        <f>IS!P13</f>
        <v>1433000</v>
      </c>
      <c r="F5" s="722">
        <f>IS!O13</f>
        <v>2359000</v>
      </c>
      <c r="G5" s="722">
        <f>IS!N13</f>
        <v>2797000</v>
      </c>
      <c r="H5" s="722">
        <f>IS!M13</f>
        <v>3370000</v>
      </c>
      <c r="I5" s="722">
        <f>H5*(1+I55)</f>
        <v>4077700</v>
      </c>
      <c r="J5" s="722">
        <f>I5*(1+J55)</f>
        <v>4852463</v>
      </c>
      <c r="K5" s="722">
        <f>J5*(1+K55)</f>
        <v>5677381.71</v>
      </c>
      <c r="L5" s="722">
        <f>K5*(1+L55)</f>
        <v>6528988.9664999992</v>
      </c>
      <c r="M5" s="722">
        <f>L5*(1+M55)</f>
        <v>7377757.5321449982</v>
      </c>
      <c r="N5" s="722">
        <f>M5*(1+N55)</f>
        <v>8115533.285359499</v>
      </c>
      <c r="O5" s="722">
        <f>N5*(1+O55)</f>
        <v>8845931.281041855</v>
      </c>
      <c r="P5" s="722">
        <f>O5*(1+P55)</f>
        <v>9642065.0963356234</v>
      </c>
      <c r="Q5" s="722">
        <f>P5*(1+Q55)</f>
        <v>10413430.304042473</v>
      </c>
      <c r="R5" s="722">
        <f>Q5*(1+R55)</f>
        <v>11142370.425325448</v>
      </c>
      <c r="S5" s="723"/>
      <c r="T5" s="724"/>
      <c r="U5" s="724"/>
      <c r="V5" s="724"/>
      <c r="W5" s="724"/>
      <c r="X5" s="724"/>
      <c r="Y5" s="724"/>
      <c r="Z5" s="724"/>
      <c r="AA5" s="724"/>
      <c r="AB5" s="724"/>
      <c r="AC5" s="724"/>
      <c r="AD5" s="724"/>
      <c r="AE5" s="724"/>
      <c r="AF5" s="724"/>
      <c r="AG5" s="724"/>
      <c r="AH5" s="724"/>
      <c r="AI5" s="724"/>
      <c r="AJ5" s="724"/>
      <c r="AK5" s="724"/>
      <c r="AL5" s="724"/>
      <c r="AM5" s="724"/>
      <c r="AN5" s="724"/>
      <c r="AO5" s="724"/>
      <c r="AP5" s="724"/>
      <c r="AQ5" s="724"/>
      <c r="AR5" s="724"/>
      <c r="AS5" s="724"/>
      <c r="AT5" s="724"/>
      <c r="AU5" s="724"/>
      <c r="AV5" s="724"/>
      <c r="AW5" s="724"/>
      <c r="AX5" s="724"/>
      <c r="AY5" s="724"/>
      <c r="AZ5" s="724"/>
      <c r="BA5" s="724"/>
      <c r="BB5" s="724"/>
      <c r="BC5" s="724"/>
      <c r="BD5" s="724"/>
      <c r="BE5" s="724"/>
      <c r="BF5" s="724"/>
      <c r="BG5" s="724"/>
      <c r="BH5" s="724"/>
      <c r="BI5" s="724"/>
      <c r="BJ5" s="724"/>
      <c r="BK5" s="724"/>
      <c r="BL5" s="724"/>
      <c r="BM5" s="724"/>
      <c r="BN5" s="724"/>
      <c r="BO5" s="724"/>
      <c r="BP5" s="724"/>
      <c r="BQ5" s="724"/>
      <c r="BR5" s="724"/>
      <c r="BS5" s="724"/>
      <c r="BT5" s="724"/>
      <c r="BU5" s="724"/>
      <c r="BV5" s="724"/>
      <c r="BW5" s="724"/>
      <c r="BX5" s="724"/>
      <c r="BY5" s="724"/>
      <c r="BZ5" s="724"/>
      <c r="CA5" s="724"/>
      <c r="CB5" s="724"/>
      <c r="CC5" s="724"/>
      <c r="CD5" s="724"/>
      <c r="CE5" s="724"/>
      <c r="CF5" s="724"/>
      <c r="CG5" s="724"/>
      <c r="CH5" s="724"/>
      <c r="CI5" s="724"/>
      <c r="CJ5" s="724"/>
      <c r="CK5" s="724"/>
      <c r="CL5" s="724"/>
      <c r="CM5" s="724"/>
      <c r="CN5" s="724"/>
      <c r="CO5" s="724"/>
      <c r="CP5" s="724"/>
      <c r="CQ5" s="724"/>
      <c r="CR5" s="724"/>
      <c r="CS5" s="724"/>
      <c r="CT5" s="724"/>
      <c r="CU5" s="724"/>
      <c r="CV5" s="724"/>
      <c r="CW5" s="724"/>
      <c r="CX5" s="724"/>
      <c r="CY5" s="724"/>
      <c r="CZ5" s="724"/>
      <c r="DA5" s="724"/>
      <c r="DB5" s="724"/>
      <c r="DC5" s="724"/>
      <c r="DD5" s="724"/>
      <c r="DE5" s="724"/>
      <c r="DF5" s="724"/>
      <c r="DG5" s="724"/>
      <c r="DH5" s="724"/>
      <c r="DI5" s="724"/>
      <c r="DJ5" s="724"/>
      <c r="DK5" s="724"/>
      <c r="DL5" s="724"/>
      <c r="DM5" s="724"/>
      <c r="DN5" s="724"/>
      <c r="DO5" s="724"/>
      <c r="DP5" s="724"/>
      <c r="DQ5" s="724"/>
      <c r="DR5" s="724"/>
      <c r="DS5" s="724"/>
      <c r="DT5" s="724"/>
      <c r="DU5" s="724"/>
      <c r="DV5" s="724"/>
      <c r="DW5" s="724"/>
      <c r="DX5" s="724"/>
      <c r="DY5" s="724"/>
      <c r="DZ5" s="724"/>
      <c r="EA5" s="724"/>
      <c r="EB5" s="724"/>
      <c r="EC5" s="724"/>
      <c r="ED5" s="724"/>
      <c r="EE5" s="724"/>
      <c r="EF5" s="724"/>
      <c r="EG5" s="724"/>
      <c r="EH5" s="724"/>
      <c r="EI5" s="724"/>
      <c r="EJ5" s="724"/>
      <c r="EK5" s="724"/>
      <c r="EL5" s="724"/>
      <c r="EM5" s="724"/>
      <c r="EN5" s="724"/>
      <c r="EO5" s="724"/>
      <c r="EP5" s="724"/>
      <c r="EQ5" s="724"/>
      <c r="ER5" s="724"/>
      <c r="ES5" s="724"/>
      <c r="ET5" s="724"/>
      <c r="EU5" s="724"/>
      <c r="EV5" s="724"/>
      <c r="EW5" s="724"/>
      <c r="EX5" s="724"/>
      <c r="EY5" s="724"/>
      <c r="EZ5" s="724"/>
      <c r="FA5" s="724"/>
      <c r="FB5" s="724"/>
      <c r="FC5" s="724"/>
      <c r="FD5" s="724"/>
      <c r="FE5" s="724"/>
      <c r="FF5" s="724"/>
      <c r="FG5" s="724"/>
      <c r="FH5" s="724"/>
      <c r="FI5" s="724"/>
      <c r="FJ5" s="724"/>
      <c r="FK5" s="724"/>
      <c r="FL5" s="724"/>
      <c r="FM5" s="724"/>
      <c r="FN5" s="724"/>
      <c r="FO5" s="724"/>
      <c r="FP5" s="724"/>
      <c r="FQ5" s="724"/>
      <c r="FR5" s="724"/>
      <c r="FS5" s="724"/>
      <c r="FT5" s="724"/>
      <c r="FU5" s="724"/>
      <c r="FV5" s="724"/>
      <c r="FW5" s="724"/>
      <c r="FX5" s="724"/>
      <c r="FY5" s="724"/>
      <c r="FZ5" s="724"/>
      <c r="GA5" s="724"/>
      <c r="GB5" s="724"/>
      <c r="GC5" s="724"/>
      <c r="GD5" s="724"/>
      <c r="GE5" s="724"/>
      <c r="GF5" s="724"/>
      <c r="GG5" s="724"/>
      <c r="GH5" s="724"/>
      <c r="GI5" s="724"/>
      <c r="GJ5" s="724"/>
      <c r="GK5" s="724"/>
      <c r="GL5" s="724"/>
      <c r="GM5" s="724"/>
      <c r="GN5" s="724"/>
      <c r="GO5" s="724"/>
      <c r="GP5" s="724"/>
      <c r="GQ5" s="724"/>
      <c r="GR5" s="724"/>
      <c r="GS5" s="724"/>
      <c r="GT5" s="724"/>
      <c r="GU5" s="724"/>
      <c r="GV5" s="724"/>
      <c r="GW5" s="724"/>
      <c r="GX5" s="724"/>
      <c r="GY5" s="724"/>
      <c r="GZ5" s="724"/>
      <c r="HA5" s="724"/>
      <c r="HB5" s="724"/>
      <c r="HC5" s="724"/>
      <c r="HD5" s="724"/>
      <c r="HE5" s="724"/>
      <c r="HF5" s="724"/>
      <c r="HG5" s="724"/>
      <c r="HH5" s="724"/>
      <c r="HI5" s="724"/>
      <c r="HJ5" s="724"/>
      <c r="HK5" s="724"/>
      <c r="HL5" s="724"/>
      <c r="HM5" s="724"/>
      <c r="HN5" s="724"/>
      <c r="HO5" s="724"/>
      <c r="HP5" s="724"/>
      <c r="HQ5" s="724"/>
      <c r="HR5" s="724"/>
      <c r="HS5" s="724"/>
      <c r="HT5" s="724"/>
      <c r="HU5" s="724"/>
      <c r="HV5" s="724"/>
      <c r="HW5" s="724"/>
      <c r="HX5" s="724"/>
      <c r="HY5" s="724"/>
      <c r="HZ5" s="724"/>
      <c r="IA5" s="724"/>
      <c r="IB5" s="724"/>
      <c r="IC5" s="724"/>
      <c r="ID5" s="724"/>
      <c r="IE5" s="724"/>
      <c r="IF5" s="724"/>
      <c r="IG5" s="724"/>
      <c r="IH5" s="724"/>
      <c r="II5" s="724"/>
      <c r="IJ5" s="724"/>
      <c r="IK5" s="724"/>
      <c r="IL5" s="724"/>
      <c r="IM5" s="724"/>
      <c r="IN5" s="724"/>
      <c r="IO5" s="724"/>
      <c r="IP5" s="724"/>
      <c r="IQ5" s="724"/>
      <c r="IR5" s="724"/>
      <c r="IS5" s="724"/>
      <c r="IT5" s="724"/>
      <c r="IU5" s="724"/>
      <c r="IV5" s="724"/>
      <c r="IW5" s="724"/>
      <c r="IX5" s="724"/>
      <c r="IY5" s="724"/>
      <c r="IZ5" s="724"/>
      <c r="JA5" s="724"/>
      <c r="JB5" s="724"/>
      <c r="JC5" s="724"/>
      <c r="JD5" s="724"/>
      <c r="JE5" s="724"/>
      <c r="JF5" s="724"/>
      <c r="JG5" s="724"/>
      <c r="JH5" s="724"/>
      <c r="JI5" s="724"/>
      <c r="JJ5" s="724"/>
      <c r="JK5" s="724"/>
      <c r="JL5" s="724"/>
      <c r="JM5" s="724"/>
      <c r="JN5" s="724"/>
      <c r="JO5" s="724"/>
      <c r="JP5" s="724"/>
      <c r="JQ5" s="724"/>
      <c r="JR5" s="724"/>
      <c r="JS5" s="724"/>
      <c r="JT5" s="724"/>
      <c r="JU5" s="724"/>
      <c r="JV5" s="724"/>
      <c r="JW5" s="724"/>
      <c r="JX5" s="724"/>
      <c r="JY5" s="724"/>
      <c r="JZ5" s="724"/>
      <c r="KA5" s="724"/>
      <c r="KB5" s="724"/>
      <c r="KC5" s="724"/>
      <c r="KD5" s="724"/>
      <c r="KE5" s="724"/>
      <c r="KF5" s="724"/>
      <c r="KG5" s="724"/>
      <c r="KH5" s="724"/>
      <c r="KI5" s="724"/>
      <c r="KJ5" s="724"/>
      <c r="KK5" s="724"/>
      <c r="KL5" s="724"/>
      <c r="KM5" s="724"/>
      <c r="KN5" s="724"/>
      <c r="KO5" s="724"/>
      <c r="KP5" s="724"/>
      <c r="KQ5" s="724"/>
      <c r="KR5" s="724"/>
      <c r="KS5" s="724"/>
      <c r="KT5" s="724"/>
      <c r="KU5" s="724"/>
      <c r="KV5" s="724"/>
      <c r="KW5" s="724"/>
      <c r="KX5" s="724"/>
      <c r="KY5" s="724"/>
      <c r="KZ5" s="724"/>
      <c r="LA5" s="724"/>
      <c r="LB5" s="724"/>
      <c r="LC5" s="724"/>
      <c r="LD5" s="724"/>
      <c r="LE5" s="724"/>
      <c r="LF5" s="724"/>
      <c r="LG5" s="724"/>
      <c r="LH5" s="724"/>
      <c r="LI5" s="724"/>
      <c r="LJ5" s="724"/>
      <c r="LK5" s="724"/>
      <c r="LL5" s="724"/>
      <c r="LM5" s="724"/>
      <c r="LN5" s="724"/>
      <c r="LO5" s="724"/>
      <c r="LP5" s="724"/>
      <c r="LQ5" s="724"/>
      <c r="LR5" s="724"/>
      <c r="LS5" s="724"/>
      <c r="LT5" s="724"/>
      <c r="LU5" s="724"/>
      <c r="LV5" s="724"/>
      <c r="LW5" s="724"/>
      <c r="LX5" s="724"/>
      <c r="LY5" s="724"/>
      <c r="LZ5" s="724"/>
      <c r="MA5" s="724"/>
      <c r="MB5" s="724"/>
      <c r="MC5" s="724"/>
      <c r="MD5" s="724"/>
      <c r="ME5" s="724"/>
      <c r="MF5" s="724"/>
      <c r="MG5" s="724"/>
      <c r="MH5" s="724"/>
      <c r="MI5" s="724"/>
      <c r="MJ5" s="724"/>
      <c r="MK5" s="724"/>
      <c r="ML5" s="724"/>
      <c r="MM5" s="724"/>
      <c r="MN5" s="724"/>
      <c r="MO5" s="724"/>
      <c r="MP5" s="724"/>
      <c r="MQ5" s="724"/>
      <c r="MR5" s="724"/>
      <c r="MS5" s="724"/>
      <c r="MT5" s="724"/>
      <c r="MU5" s="724"/>
      <c r="MV5" s="724"/>
      <c r="MW5" s="724"/>
      <c r="MX5" s="724"/>
      <c r="MY5" s="724"/>
      <c r="MZ5" s="724"/>
      <c r="NA5" s="724"/>
      <c r="NB5" s="724"/>
      <c r="NC5" s="724"/>
      <c r="ND5" s="724"/>
      <c r="NE5" s="724"/>
      <c r="NF5" s="724"/>
      <c r="NG5" s="724"/>
      <c r="NH5" s="724"/>
      <c r="NI5" s="724"/>
      <c r="NJ5" s="724"/>
      <c r="NK5" s="724"/>
      <c r="NL5" s="724"/>
      <c r="NM5" s="724"/>
      <c r="NN5" s="724"/>
      <c r="NO5" s="724"/>
      <c r="NP5" s="724"/>
      <c r="NQ5" s="724"/>
      <c r="NR5" s="724"/>
      <c r="NS5" s="724"/>
      <c r="NT5" s="724"/>
      <c r="NU5" s="724"/>
      <c r="NV5" s="724"/>
      <c r="NW5" s="724"/>
      <c r="NX5" s="724"/>
      <c r="NY5" s="724"/>
      <c r="NZ5" s="724"/>
      <c r="OA5" s="724"/>
      <c r="OB5" s="724"/>
      <c r="OC5" s="724"/>
      <c r="OD5" s="724"/>
      <c r="OE5" s="724"/>
      <c r="OF5" s="724"/>
      <c r="OG5" s="724"/>
      <c r="OH5" s="724"/>
      <c r="OI5" s="724"/>
      <c r="OJ5" s="724"/>
      <c r="OK5" s="724"/>
      <c r="OL5" s="724"/>
      <c r="OM5" s="724"/>
      <c r="ON5" s="724"/>
      <c r="OO5" s="724"/>
      <c r="OP5" s="724"/>
      <c r="OQ5" s="724"/>
      <c r="OR5" s="724"/>
      <c r="OS5" s="724"/>
      <c r="OT5" s="724"/>
      <c r="OU5" s="724"/>
      <c r="OV5" s="724"/>
      <c r="OW5" s="724"/>
      <c r="OX5" s="724"/>
      <c r="OY5" s="724"/>
      <c r="OZ5" s="724"/>
      <c r="PA5" s="724"/>
      <c r="PB5" s="724"/>
      <c r="PC5" s="724"/>
      <c r="PD5" s="724"/>
      <c r="PE5" s="724"/>
      <c r="PF5" s="724"/>
      <c r="PG5" s="724"/>
      <c r="PH5" s="724"/>
      <c r="PI5" s="724"/>
      <c r="PJ5" s="724"/>
      <c r="PK5" s="724"/>
      <c r="PL5" s="724"/>
      <c r="PM5" s="724"/>
      <c r="PN5" s="724"/>
      <c r="PO5" s="724"/>
      <c r="PP5" s="724"/>
      <c r="PQ5" s="724"/>
      <c r="PR5" s="724"/>
      <c r="PS5" s="724"/>
      <c r="PT5" s="724"/>
      <c r="PU5" s="724"/>
      <c r="PV5" s="724"/>
      <c r="PW5" s="724"/>
      <c r="PX5" s="724"/>
      <c r="PY5" s="724"/>
      <c r="PZ5" s="724"/>
      <c r="QA5" s="724"/>
      <c r="QB5" s="724"/>
      <c r="QC5" s="724"/>
      <c r="QD5" s="724"/>
      <c r="QE5" s="724"/>
      <c r="QF5" s="724"/>
      <c r="QG5" s="724"/>
      <c r="QH5" s="724"/>
      <c r="QI5" s="724"/>
      <c r="QJ5" s="724"/>
      <c r="QK5" s="724"/>
      <c r="QL5" s="724"/>
      <c r="QM5" s="724"/>
      <c r="QN5" s="724"/>
      <c r="QO5" s="724"/>
      <c r="QP5" s="724"/>
      <c r="QQ5" s="724"/>
      <c r="QR5" s="724"/>
      <c r="QS5" s="724"/>
      <c r="QT5" s="724"/>
      <c r="QU5" s="724"/>
      <c r="QV5" s="724"/>
      <c r="QW5" s="724"/>
      <c r="QX5" s="724"/>
      <c r="QY5" s="724"/>
      <c r="QZ5" s="724"/>
      <c r="RA5" s="724"/>
      <c r="RB5" s="724"/>
      <c r="RC5" s="724"/>
      <c r="RD5" s="724"/>
      <c r="RE5" s="724"/>
      <c r="RF5" s="724"/>
      <c r="RG5" s="724"/>
      <c r="RH5" s="724"/>
      <c r="RI5" s="724"/>
      <c r="RJ5" s="724"/>
      <c r="RK5" s="724"/>
      <c r="RL5" s="724"/>
      <c r="RM5" s="724"/>
      <c r="RN5" s="724"/>
      <c r="RO5" s="724"/>
      <c r="RP5" s="724"/>
      <c r="RQ5" s="724"/>
      <c r="RR5" s="724"/>
      <c r="RS5" s="724"/>
      <c r="RT5" s="724"/>
      <c r="RU5" s="724"/>
      <c r="RV5" s="724"/>
      <c r="RW5" s="724"/>
      <c r="RX5" s="724"/>
      <c r="RY5" s="724"/>
      <c r="RZ5" s="724"/>
      <c r="SA5" s="724"/>
      <c r="SB5" s="724"/>
      <c r="SC5" s="724"/>
      <c r="SD5" s="724"/>
      <c r="SE5" s="724"/>
      <c r="SF5" s="724"/>
      <c r="SG5" s="724"/>
      <c r="SH5" s="724"/>
      <c r="SI5" s="724"/>
      <c r="SJ5" s="724"/>
      <c r="SK5" s="724"/>
      <c r="SL5" s="724"/>
      <c r="SM5" s="724"/>
      <c r="SN5" s="724"/>
      <c r="SO5" s="724"/>
      <c r="SP5" s="724"/>
      <c r="SQ5" s="724"/>
      <c r="SR5" s="724"/>
      <c r="SS5" s="724"/>
      <c r="ST5" s="724"/>
      <c r="SU5" s="724"/>
      <c r="SV5" s="724"/>
      <c r="SW5" s="724"/>
      <c r="SX5" s="724"/>
      <c r="SY5" s="724"/>
      <c r="SZ5" s="724"/>
      <c r="TA5" s="724"/>
      <c r="TB5" s="724"/>
      <c r="TC5" s="724"/>
      <c r="TD5" s="724"/>
      <c r="TE5" s="724"/>
      <c r="TF5" s="724"/>
      <c r="TG5" s="724"/>
      <c r="TH5" s="724"/>
      <c r="TI5" s="724"/>
      <c r="TJ5" s="724"/>
      <c r="TK5" s="724"/>
      <c r="TL5" s="724"/>
      <c r="TM5" s="724"/>
      <c r="TN5" s="724"/>
      <c r="TO5" s="724"/>
      <c r="TP5" s="724"/>
      <c r="TQ5" s="724"/>
      <c r="TR5" s="724"/>
      <c r="TS5" s="724"/>
      <c r="TT5" s="724"/>
      <c r="TU5" s="724"/>
      <c r="TV5" s="724"/>
      <c r="TW5" s="724"/>
      <c r="TX5" s="724"/>
      <c r="TY5" s="724"/>
      <c r="TZ5" s="724"/>
      <c r="UA5" s="724"/>
      <c r="UB5" s="724"/>
      <c r="UC5" s="724"/>
      <c r="UD5" s="724"/>
      <c r="UE5" s="724"/>
      <c r="UF5" s="724"/>
      <c r="UG5" s="724"/>
      <c r="UH5" s="724"/>
      <c r="UI5" s="724"/>
      <c r="UJ5" s="724"/>
      <c r="UK5" s="724"/>
      <c r="UL5" s="724"/>
      <c r="UM5" s="724"/>
      <c r="UN5" s="724"/>
      <c r="UO5" s="724"/>
      <c r="UP5" s="724"/>
      <c r="UQ5" s="724"/>
      <c r="UR5" s="724"/>
      <c r="US5" s="724"/>
      <c r="UT5" s="724"/>
      <c r="UU5" s="724"/>
      <c r="UV5" s="724"/>
      <c r="UW5" s="724"/>
      <c r="UX5" s="724"/>
      <c r="UY5" s="724"/>
      <c r="UZ5" s="724"/>
      <c r="VA5" s="724"/>
      <c r="VB5" s="724"/>
      <c r="VC5" s="724"/>
      <c r="VD5" s="724"/>
      <c r="VE5" s="724"/>
      <c r="VF5" s="724"/>
      <c r="VG5" s="724"/>
      <c r="VH5" s="724"/>
      <c r="VI5" s="724"/>
      <c r="VJ5" s="724"/>
      <c r="VK5" s="724"/>
      <c r="VL5" s="724"/>
      <c r="VM5" s="724"/>
      <c r="VN5" s="724"/>
      <c r="VO5" s="724"/>
      <c r="VP5" s="724"/>
      <c r="VQ5" s="724"/>
      <c r="VR5" s="724"/>
      <c r="VS5" s="724"/>
      <c r="VT5" s="724"/>
      <c r="VU5" s="724"/>
      <c r="VV5" s="724"/>
      <c r="VW5" s="724"/>
      <c r="VX5" s="724"/>
      <c r="VY5" s="724"/>
      <c r="VZ5" s="724"/>
      <c r="WA5" s="724"/>
      <c r="WB5" s="724"/>
      <c r="WC5" s="724"/>
      <c r="WD5" s="724"/>
      <c r="WE5" s="724"/>
      <c r="WF5" s="724"/>
      <c r="WG5" s="724"/>
      <c r="WH5" s="724"/>
      <c r="WI5" s="724"/>
      <c r="WJ5" s="724"/>
      <c r="WK5" s="724"/>
      <c r="WL5" s="724"/>
      <c r="WM5" s="724"/>
      <c r="WN5" s="724"/>
      <c r="WO5" s="724"/>
      <c r="WP5" s="724"/>
      <c r="WQ5" s="724"/>
      <c r="WR5" s="724"/>
      <c r="WS5" s="724"/>
      <c r="WT5" s="724"/>
      <c r="WU5" s="724"/>
      <c r="WV5" s="724"/>
      <c r="WW5" s="724"/>
      <c r="WX5" s="724"/>
      <c r="WY5" s="724"/>
      <c r="WZ5" s="724"/>
      <c r="XA5" s="724"/>
      <c r="XB5" s="724"/>
      <c r="XC5" s="724"/>
      <c r="XD5" s="724"/>
      <c r="XE5" s="724"/>
      <c r="XF5" s="724"/>
      <c r="XG5" s="724"/>
      <c r="XH5" s="724"/>
      <c r="XI5" s="724"/>
      <c r="XJ5" s="724"/>
      <c r="XK5" s="724"/>
      <c r="XL5" s="724"/>
      <c r="XM5" s="724"/>
      <c r="XN5" s="724"/>
      <c r="XO5" s="724"/>
      <c r="XP5" s="724"/>
      <c r="XQ5" s="724"/>
      <c r="XR5" s="724"/>
      <c r="XS5" s="724"/>
      <c r="XT5" s="724"/>
      <c r="XU5" s="724"/>
      <c r="XV5" s="724"/>
      <c r="XW5" s="724"/>
      <c r="XX5" s="724"/>
      <c r="XY5" s="724"/>
      <c r="XZ5" s="724"/>
      <c r="YA5" s="724"/>
      <c r="YB5" s="724"/>
      <c r="YC5" s="724"/>
      <c r="YD5" s="724"/>
      <c r="YE5" s="724"/>
      <c r="YF5" s="724"/>
      <c r="YG5" s="724"/>
      <c r="YH5" s="724"/>
      <c r="YI5" s="724"/>
      <c r="YJ5" s="724"/>
      <c r="YK5" s="724"/>
      <c r="YL5" s="724"/>
      <c r="YM5" s="724"/>
      <c r="YN5" s="724"/>
      <c r="YO5" s="724"/>
      <c r="YP5" s="724"/>
      <c r="YQ5" s="724"/>
      <c r="YR5" s="724"/>
      <c r="YS5" s="724"/>
      <c r="YT5" s="724"/>
      <c r="YU5" s="724"/>
      <c r="YV5" s="724"/>
      <c r="YW5" s="724"/>
      <c r="YX5" s="724"/>
      <c r="YY5" s="724"/>
      <c r="YZ5" s="724"/>
      <c r="ZA5" s="724"/>
      <c r="ZB5" s="724"/>
      <c r="ZC5" s="724"/>
      <c r="ZD5" s="724"/>
      <c r="ZE5" s="724"/>
      <c r="ZF5" s="724"/>
      <c r="ZG5" s="724"/>
      <c r="ZH5" s="724"/>
      <c r="ZI5" s="724"/>
      <c r="ZJ5" s="724"/>
      <c r="ZK5" s="724"/>
      <c r="ZL5" s="724"/>
      <c r="ZM5" s="724"/>
      <c r="ZN5" s="724"/>
      <c r="ZO5" s="724"/>
      <c r="ZP5" s="724"/>
      <c r="ZQ5" s="724"/>
      <c r="ZR5" s="724"/>
      <c r="ZS5" s="724"/>
      <c r="ZT5" s="724"/>
      <c r="ZU5" s="724"/>
      <c r="ZV5" s="724"/>
      <c r="ZW5" s="724"/>
      <c r="ZX5" s="724"/>
      <c r="ZY5" s="724"/>
      <c r="ZZ5" s="724"/>
      <c r="AAA5" s="724"/>
      <c r="AAB5" s="724"/>
      <c r="AAC5" s="724"/>
      <c r="AAD5" s="724"/>
      <c r="AAE5" s="724"/>
      <c r="AAF5" s="724"/>
      <c r="AAG5" s="724"/>
      <c r="AAH5" s="724"/>
      <c r="AAI5" s="724"/>
      <c r="AAJ5" s="724"/>
      <c r="AAK5" s="724"/>
      <c r="AAL5" s="724"/>
      <c r="AAM5" s="724"/>
      <c r="AAN5" s="724"/>
      <c r="AAO5" s="724"/>
      <c r="AAP5" s="724"/>
      <c r="AAQ5" s="724"/>
      <c r="AAR5" s="724"/>
      <c r="AAS5" s="724"/>
      <c r="AAT5" s="724"/>
      <c r="AAU5" s="724"/>
      <c r="AAV5" s="724"/>
      <c r="AAW5" s="724"/>
      <c r="AAX5" s="724"/>
      <c r="AAY5" s="724"/>
      <c r="AAZ5" s="724"/>
      <c r="ABA5" s="724"/>
      <c r="ABB5" s="724"/>
      <c r="ABC5" s="724"/>
      <c r="ABD5" s="724"/>
      <c r="ABE5" s="724"/>
      <c r="ABF5" s="724"/>
      <c r="ABG5" s="724"/>
      <c r="ABH5" s="724"/>
      <c r="ABI5" s="724"/>
      <c r="ABJ5" s="724"/>
      <c r="ABK5" s="724"/>
      <c r="ABL5" s="724"/>
      <c r="ABM5" s="724"/>
      <c r="ABN5" s="724"/>
      <c r="ABO5" s="724"/>
      <c r="ABP5" s="724"/>
      <c r="ABQ5" s="724"/>
      <c r="ABR5" s="724"/>
      <c r="ABS5" s="724"/>
      <c r="ABT5" s="724"/>
      <c r="ABU5" s="724"/>
      <c r="ABV5" s="724"/>
      <c r="ABW5" s="724"/>
      <c r="ABX5" s="724"/>
      <c r="ABY5" s="724"/>
      <c r="ABZ5" s="724"/>
      <c r="ACA5" s="724"/>
      <c r="ACB5" s="724"/>
      <c r="ACC5" s="724"/>
      <c r="ACD5" s="724"/>
      <c r="ACE5" s="724"/>
      <c r="ACF5" s="724"/>
      <c r="ACG5" s="724"/>
      <c r="ACH5" s="724"/>
      <c r="ACI5" s="724"/>
      <c r="ACJ5" s="724"/>
      <c r="ACK5" s="724"/>
      <c r="ACL5" s="724"/>
      <c r="ACM5" s="724"/>
      <c r="ACN5" s="724"/>
      <c r="ACO5" s="724"/>
      <c r="ACP5" s="724"/>
      <c r="ACQ5" s="724"/>
      <c r="ACR5" s="724"/>
      <c r="ACS5" s="724"/>
      <c r="ACT5" s="724"/>
      <c r="ACU5" s="724"/>
      <c r="ACV5" s="724"/>
      <c r="ACW5" s="724"/>
      <c r="ACX5" s="724"/>
      <c r="ACY5" s="724"/>
      <c r="ACZ5" s="724"/>
      <c r="ADA5" s="724"/>
      <c r="ADB5" s="724"/>
      <c r="ADC5" s="724"/>
      <c r="ADD5" s="724"/>
      <c r="ADE5" s="724"/>
      <c r="ADF5" s="724"/>
      <c r="ADG5" s="724"/>
      <c r="ADH5" s="724"/>
      <c r="ADI5" s="724"/>
      <c r="ADJ5" s="724"/>
      <c r="ADK5" s="724"/>
      <c r="ADL5" s="724"/>
      <c r="ADM5" s="724"/>
      <c r="ADN5" s="724"/>
      <c r="ADO5" s="724"/>
      <c r="ADP5" s="724"/>
      <c r="ADQ5" s="724"/>
      <c r="ADR5" s="724"/>
      <c r="ADS5" s="724"/>
      <c r="ADT5" s="724"/>
      <c r="ADU5" s="724"/>
      <c r="ADV5" s="724"/>
      <c r="ADW5" s="724"/>
      <c r="ADX5" s="724"/>
      <c r="ADY5" s="724"/>
      <c r="ADZ5" s="724"/>
      <c r="AEA5" s="724"/>
      <c r="AEB5" s="724"/>
      <c r="AEC5" s="724"/>
      <c r="AED5" s="724"/>
      <c r="AEE5" s="724"/>
      <c r="AEF5" s="724"/>
      <c r="AEG5" s="724"/>
      <c r="AEH5" s="724"/>
      <c r="AEI5" s="724"/>
      <c r="AEJ5" s="724"/>
      <c r="AEK5" s="724"/>
      <c r="AEL5" s="724"/>
      <c r="AEM5" s="724"/>
      <c r="AEN5" s="724"/>
      <c r="AEO5" s="724"/>
      <c r="AEP5" s="724"/>
      <c r="AEQ5" s="724"/>
      <c r="AER5" s="724"/>
      <c r="AES5" s="724"/>
      <c r="AET5" s="724"/>
      <c r="AEU5" s="724"/>
      <c r="AEV5" s="724"/>
      <c r="AEW5" s="724"/>
      <c r="AEX5" s="724"/>
      <c r="AEY5" s="724"/>
      <c r="AEZ5" s="724"/>
      <c r="AFA5" s="724"/>
      <c r="AFB5" s="724"/>
      <c r="AFC5" s="724"/>
      <c r="AFD5" s="724"/>
      <c r="AFE5" s="724"/>
      <c r="AFF5" s="724"/>
      <c r="AFG5" s="724"/>
      <c r="AFH5" s="724"/>
      <c r="AFI5" s="724"/>
      <c r="AFJ5" s="724"/>
      <c r="AFK5" s="724"/>
      <c r="AFL5" s="724"/>
      <c r="AFM5" s="724"/>
      <c r="AFN5" s="724"/>
      <c r="AFO5" s="724"/>
      <c r="AFP5" s="724"/>
      <c r="AFQ5" s="724"/>
      <c r="AFR5" s="724"/>
      <c r="AFS5" s="724"/>
      <c r="AFT5" s="724"/>
      <c r="AFU5" s="724"/>
      <c r="AFV5" s="724"/>
      <c r="AFW5" s="724"/>
      <c r="AFX5" s="724"/>
      <c r="AFY5" s="724"/>
      <c r="AFZ5" s="724"/>
      <c r="AGA5" s="724"/>
      <c r="AGB5" s="724"/>
      <c r="AGC5" s="724"/>
      <c r="AGD5" s="724"/>
      <c r="AGE5" s="724"/>
      <c r="AGF5" s="724"/>
      <c r="AGG5" s="724"/>
      <c r="AGH5" s="724"/>
      <c r="AGI5" s="724"/>
      <c r="AGJ5" s="724"/>
      <c r="AGK5" s="724"/>
      <c r="AGL5" s="724"/>
      <c r="AGM5" s="724"/>
      <c r="AGN5" s="724"/>
      <c r="AGO5" s="724"/>
      <c r="AGP5" s="724"/>
      <c r="AGQ5" s="724"/>
      <c r="AGR5" s="724"/>
      <c r="AGS5" s="724"/>
      <c r="AGT5" s="724"/>
      <c r="AGU5" s="724"/>
      <c r="AGV5" s="724"/>
      <c r="AGW5" s="724"/>
      <c r="AGX5" s="724"/>
      <c r="AGY5" s="724"/>
      <c r="AGZ5" s="724"/>
      <c r="AHA5" s="724"/>
      <c r="AHB5" s="724"/>
      <c r="AHC5" s="724"/>
      <c r="AHD5" s="724"/>
      <c r="AHE5" s="724"/>
      <c r="AHF5" s="724"/>
      <c r="AHG5" s="724"/>
      <c r="AHH5" s="724"/>
      <c r="AHI5" s="724"/>
      <c r="AHJ5" s="724"/>
      <c r="AHK5" s="724"/>
      <c r="AHL5" s="724"/>
      <c r="AHM5" s="724"/>
      <c r="AHN5" s="724"/>
      <c r="AHO5" s="724"/>
      <c r="AHP5" s="724"/>
      <c r="AHQ5" s="724"/>
      <c r="AHR5" s="724"/>
      <c r="AHS5" s="724"/>
      <c r="AHT5" s="724"/>
      <c r="AHU5" s="724"/>
      <c r="AHV5" s="724"/>
      <c r="AHW5" s="724"/>
      <c r="AHX5" s="724"/>
      <c r="AHY5" s="724"/>
      <c r="AHZ5" s="724"/>
      <c r="AIA5" s="724"/>
      <c r="AIB5" s="724"/>
      <c r="AIC5" s="724"/>
      <c r="AID5" s="724"/>
      <c r="AIE5" s="724"/>
      <c r="AIF5" s="724"/>
      <c r="AIG5" s="724"/>
      <c r="AIH5" s="724"/>
      <c r="AII5" s="724"/>
      <c r="AIJ5" s="724"/>
      <c r="AIK5" s="724"/>
      <c r="AIL5" s="724"/>
      <c r="AIM5" s="724"/>
      <c r="AIN5" s="724"/>
      <c r="AIO5" s="724"/>
      <c r="AIP5" s="724"/>
      <c r="AIQ5" s="724"/>
      <c r="AIR5" s="724"/>
      <c r="AIS5" s="724"/>
      <c r="AIT5" s="724"/>
      <c r="AIU5" s="724"/>
      <c r="AIV5" s="724"/>
      <c r="AIW5" s="724"/>
      <c r="AIX5" s="724"/>
      <c r="AIY5" s="724"/>
      <c r="AIZ5" s="724"/>
      <c r="AJA5" s="724"/>
      <c r="AJB5" s="724"/>
      <c r="AJC5" s="724"/>
      <c r="AJD5" s="724"/>
      <c r="AJE5" s="724"/>
      <c r="AJF5" s="724"/>
      <c r="AJG5" s="724"/>
      <c r="AJH5" s="724"/>
      <c r="AJI5" s="724"/>
      <c r="AJJ5" s="724"/>
      <c r="AJK5" s="724"/>
      <c r="AJL5" s="724"/>
      <c r="AJM5" s="724"/>
      <c r="AJN5" s="724"/>
      <c r="AJO5" s="724"/>
      <c r="AJP5" s="724"/>
      <c r="AJQ5" s="724"/>
      <c r="AJR5" s="724"/>
      <c r="AJS5" s="724"/>
      <c r="AJT5" s="724"/>
      <c r="AJU5" s="724"/>
      <c r="AJV5" s="724"/>
      <c r="AJW5" s="724"/>
      <c r="AJX5" s="724"/>
      <c r="AJY5" s="724"/>
      <c r="AJZ5" s="724"/>
      <c r="AKA5" s="724"/>
      <c r="AKB5" s="724"/>
      <c r="AKC5" s="724"/>
      <c r="AKD5" s="724"/>
      <c r="AKE5" s="724"/>
      <c r="AKF5" s="724"/>
      <c r="AKG5" s="724"/>
      <c r="AKH5" s="724"/>
      <c r="AKI5" s="724"/>
      <c r="AKJ5" s="724"/>
      <c r="AKK5" s="724"/>
      <c r="AKL5" s="724"/>
      <c r="AKM5" s="724"/>
      <c r="AKN5" s="724"/>
      <c r="AKO5" s="724"/>
      <c r="AKP5" s="724"/>
      <c r="AKQ5" s="724"/>
      <c r="AKR5" s="724"/>
      <c r="AKS5" s="724"/>
      <c r="AKT5" s="724"/>
      <c r="AKU5" s="724"/>
      <c r="AKV5" s="724"/>
      <c r="AKW5" s="724"/>
      <c r="AKX5" s="724"/>
      <c r="AKY5" s="724"/>
      <c r="AKZ5" s="724"/>
      <c r="ALA5" s="724"/>
      <c r="ALB5" s="724"/>
      <c r="ALC5" s="724"/>
      <c r="ALD5" s="724"/>
      <c r="ALE5" s="724"/>
      <c r="ALF5" s="724"/>
      <c r="ALG5" s="724"/>
      <c r="ALH5" s="724"/>
      <c r="ALI5" s="724"/>
      <c r="ALJ5" s="724"/>
      <c r="ALK5" s="724"/>
      <c r="ALL5" s="724"/>
      <c r="ALM5" s="724"/>
      <c r="ALN5" s="724"/>
      <c r="ALO5" s="724"/>
      <c r="ALP5" s="724"/>
      <c r="ALQ5" s="724"/>
      <c r="ALR5" s="724"/>
      <c r="ALS5" s="724"/>
      <c r="ALT5" s="724"/>
      <c r="ALU5" s="724"/>
      <c r="ALV5" s="724"/>
      <c r="ALW5" s="724"/>
      <c r="ALX5" s="724"/>
      <c r="ALY5" s="724"/>
      <c r="ALZ5" s="724"/>
      <c r="AMA5" s="724"/>
      <c r="AMB5" s="724"/>
      <c r="AMC5" s="724"/>
      <c r="AMD5" s="724"/>
      <c r="AME5" s="724"/>
      <c r="AMF5" s="724"/>
      <c r="AMG5" s="724"/>
      <c r="AMH5" s="724"/>
      <c r="AMI5" s="724"/>
      <c r="AMJ5" s="724"/>
      <c r="AMK5" s="724"/>
      <c r="AML5" s="724"/>
      <c r="AMM5" s="724"/>
      <c r="AMN5" s="724"/>
      <c r="AMO5" s="724"/>
      <c r="AMP5" s="724"/>
      <c r="AMQ5" s="724"/>
      <c r="AMR5" s="724"/>
      <c r="AMS5" s="724"/>
      <c r="AMT5" s="724"/>
      <c r="AMU5" s="724"/>
      <c r="AMV5" s="724"/>
      <c r="AMW5" s="724"/>
      <c r="AMX5" s="724"/>
      <c r="AMY5" s="724"/>
      <c r="AMZ5" s="724"/>
      <c r="ANA5" s="724"/>
      <c r="ANB5" s="724"/>
      <c r="ANC5" s="724"/>
      <c r="AND5" s="724"/>
      <c r="ANE5" s="724"/>
      <c r="ANF5" s="724"/>
      <c r="ANG5" s="724"/>
      <c r="ANH5" s="724"/>
      <c r="ANI5" s="724"/>
      <c r="ANJ5" s="724"/>
      <c r="ANK5" s="724"/>
      <c r="ANL5" s="724"/>
      <c r="ANM5" s="724"/>
      <c r="ANN5" s="724"/>
      <c r="ANO5" s="724"/>
      <c r="ANP5" s="724"/>
      <c r="ANQ5" s="724"/>
      <c r="ANR5" s="724"/>
      <c r="ANS5" s="724"/>
      <c r="ANT5" s="724"/>
      <c r="ANU5" s="724"/>
      <c r="ANV5" s="724"/>
      <c r="ANW5" s="724"/>
      <c r="ANX5" s="724"/>
      <c r="ANY5" s="724"/>
      <c r="ANZ5" s="724"/>
      <c r="AOA5" s="724"/>
      <c r="AOB5" s="724"/>
      <c r="AOC5" s="724"/>
      <c r="AOD5" s="724"/>
      <c r="AOE5" s="724"/>
      <c r="AOF5" s="724"/>
      <c r="AOG5" s="724"/>
      <c r="AOH5" s="724"/>
      <c r="AOI5" s="724"/>
      <c r="AOJ5" s="724"/>
      <c r="AOK5" s="724"/>
      <c r="AOL5" s="724"/>
      <c r="AOM5" s="724"/>
      <c r="AON5" s="724"/>
      <c r="AOO5" s="724"/>
      <c r="AOP5" s="724"/>
      <c r="AOQ5" s="724"/>
      <c r="AOR5" s="724"/>
      <c r="AOS5" s="724"/>
      <c r="AOT5" s="724"/>
      <c r="AOU5" s="724"/>
      <c r="AOV5" s="724"/>
      <c r="AOW5" s="724"/>
      <c r="AOX5" s="724"/>
      <c r="AOY5" s="724"/>
      <c r="AOZ5" s="724"/>
      <c r="APA5" s="724"/>
      <c r="APB5" s="724"/>
      <c r="APC5" s="724"/>
      <c r="APD5" s="724"/>
      <c r="APE5" s="724"/>
      <c r="APF5" s="724"/>
      <c r="APG5" s="724"/>
      <c r="APH5" s="724"/>
      <c r="API5" s="724"/>
      <c r="APJ5" s="724"/>
      <c r="APK5" s="724"/>
      <c r="APL5" s="724"/>
      <c r="APM5" s="724"/>
      <c r="APN5" s="724"/>
      <c r="APO5" s="724"/>
      <c r="APP5" s="724"/>
      <c r="APQ5" s="724"/>
      <c r="APR5" s="724"/>
      <c r="APS5" s="724"/>
      <c r="APT5" s="724"/>
      <c r="APU5" s="724"/>
      <c r="APV5" s="724"/>
      <c r="APW5" s="724"/>
      <c r="APX5" s="724"/>
      <c r="APY5" s="724"/>
      <c r="APZ5" s="724"/>
      <c r="AQA5" s="724"/>
      <c r="AQB5" s="724"/>
      <c r="AQC5" s="724"/>
      <c r="AQD5" s="724"/>
      <c r="AQE5" s="724"/>
      <c r="AQF5" s="724"/>
      <c r="AQG5" s="724"/>
      <c r="AQH5" s="724"/>
      <c r="AQI5" s="724"/>
      <c r="AQJ5" s="724"/>
      <c r="AQK5" s="724"/>
      <c r="AQL5" s="724"/>
      <c r="AQM5" s="724"/>
      <c r="AQN5" s="724"/>
      <c r="AQO5" s="724"/>
      <c r="AQP5" s="724"/>
      <c r="AQQ5" s="724"/>
      <c r="AQR5" s="724"/>
      <c r="AQS5" s="724"/>
      <c r="AQT5" s="724"/>
      <c r="AQU5" s="724"/>
      <c r="AQV5" s="724"/>
      <c r="AQW5" s="724"/>
      <c r="AQX5" s="724"/>
      <c r="AQY5" s="724"/>
      <c r="AQZ5" s="724"/>
      <c r="ARA5" s="724"/>
      <c r="ARB5" s="724"/>
      <c r="ARC5" s="724"/>
      <c r="ARD5" s="724"/>
      <c r="ARE5" s="724"/>
      <c r="ARF5" s="724"/>
      <c r="ARG5" s="724"/>
      <c r="ARH5" s="724"/>
      <c r="ARI5" s="724"/>
      <c r="ARJ5" s="724"/>
      <c r="ARK5" s="724"/>
      <c r="ARL5" s="724"/>
      <c r="ARM5" s="724"/>
      <c r="ARN5" s="724"/>
      <c r="ARO5" s="724"/>
      <c r="ARP5" s="724"/>
      <c r="ARQ5" s="724"/>
      <c r="ARR5" s="724"/>
      <c r="ARS5" s="724"/>
      <c r="ART5" s="724"/>
      <c r="ARU5" s="724"/>
      <c r="ARV5" s="724"/>
      <c r="ARW5" s="724"/>
      <c r="ARX5" s="724"/>
      <c r="ARY5" s="724"/>
      <c r="ARZ5" s="724"/>
      <c r="ASA5" s="724"/>
      <c r="ASB5" s="724"/>
      <c r="ASC5" s="724"/>
      <c r="ASD5" s="724"/>
      <c r="ASE5" s="724"/>
      <c r="ASF5" s="724"/>
      <c r="ASG5" s="724"/>
      <c r="ASH5" s="724"/>
      <c r="ASI5" s="724"/>
      <c r="ASJ5" s="724"/>
      <c r="ASK5" s="724"/>
      <c r="ASL5" s="724"/>
      <c r="ASM5" s="724"/>
      <c r="ASN5" s="724"/>
      <c r="ASO5" s="724"/>
      <c r="ASP5" s="724"/>
      <c r="ASQ5" s="724"/>
      <c r="ASR5" s="724"/>
      <c r="ASS5" s="724"/>
      <c r="AST5" s="724"/>
      <c r="ASU5" s="724"/>
      <c r="ASV5" s="724"/>
      <c r="ASW5" s="724"/>
      <c r="ASX5" s="724"/>
      <c r="ASY5" s="724"/>
      <c r="ASZ5" s="724"/>
      <c r="ATA5" s="724"/>
      <c r="ATB5" s="724"/>
      <c r="ATC5" s="724"/>
      <c r="ATD5" s="724"/>
      <c r="ATE5" s="724"/>
      <c r="ATF5" s="724"/>
      <c r="ATG5" s="724"/>
      <c r="ATH5" s="724"/>
      <c r="ATI5" s="724"/>
      <c r="ATJ5" s="724"/>
      <c r="ATK5" s="724"/>
      <c r="ATL5" s="724"/>
      <c r="ATM5" s="724"/>
      <c r="ATN5" s="724"/>
      <c r="ATO5" s="724"/>
      <c r="ATP5" s="724"/>
      <c r="ATQ5" s="724"/>
      <c r="ATR5" s="724"/>
      <c r="ATS5" s="724"/>
      <c r="ATT5" s="724"/>
      <c r="ATU5" s="724"/>
      <c r="ATV5" s="724"/>
      <c r="ATW5" s="724"/>
      <c r="ATX5" s="724"/>
      <c r="ATY5" s="724"/>
      <c r="ATZ5" s="724"/>
      <c r="AUA5" s="724"/>
      <c r="AUB5" s="724"/>
      <c r="AUC5" s="724"/>
      <c r="AUD5" s="724"/>
      <c r="AUE5" s="724"/>
      <c r="AUF5" s="724"/>
      <c r="AUG5" s="724"/>
      <c r="AUH5" s="724"/>
      <c r="AUI5" s="724"/>
      <c r="AUJ5" s="724"/>
      <c r="AUK5" s="724"/>
      <c r="AUL5" s="724"/>
      <c r="AUM5" s="724"/>
      <c r="AUN5" s="724"/>
      <c r="AUO5" s="724"/>
      <c r="AUP5" s="724"/>
      <c r="AUQ5" s="724"/>
      <c r="AUR5" s="724"/>
      <c r="AUS5" s="724"/>
      <c r="AUT5" s="724"/>
      <c r="AUU5" s="724"/>
      <c r="AUV5" s="724"/>
      <c r="AUW5" s="724"/>
      <c r="AUX5" s="724"/>
      <c r="AUY5" s="724"/>
      <c r="AUZ5" s="724"/>
      <c r="AVA5" s="724"/>
      <c r="AVB5" s="724"/>
      <c r="AVC5" s="724"/>
      <c r="AVD5" s="724"/>
      <c r="AVE5" s="724"/>
      <c r="AVF5" s="724"/>
      <c r="AVG5" s="724"/>
      <c r="AVH5" s="724"/>
      <c r="AVI5" s="724"/>
      <c r="AVJ5" s="724"/>
      <c r="AVK5" s="724"/>
      <c r="AVL5" s="724"/>
      <c r="AVM5" s="724"/>
      <c r="AVN5" s="724"/>
      <c r="AVO5" s="724"/>
      <c r="AVP5" s="724"/>
      <c r="AVQ5" s="724"/>
      <c r="AVR5" s="724"/>
      <c r="AVS5" s="724"/>
      <c r="AVT5" s="724"/>
      <c r="AVU5" s="724"/>
      <c r="AVV5" s="724"/>
      <c r="AVW5" s="724"/>
      <c r="AVX5" s="724"/>
      <c r="AVY5" s="724"/>
      <c r="AVZ5" s="724"/>
      <c r="AWA5" s="724"/>
      <c r="AWB5" s="724"/>
      <c r="AWC5" s="724"/>
      <c r="AWD5" s="724"/>
      <c r="AWE5" s="724"/>
      <c r="AWF5" s="724"/>
      <c r="AWG5" s="724"/>
      <c r="AWH5" s="724"/>
      <c r="AWI5" s="724"/>
      <c r="AWJ5" s="724"/>
      <c r="AWK5" s="724"/>
      <c r="AWL5" s="724"/>
      <c r="AWM5" s="724"/>
      <c r="AWN5" s="724"/>
      <c r="AWO5" s="724"/>
      <c r="AWP5" s="724"/>
      <c r="AWQ5" s="724"/>
      <c r="AWR5" s="724"/>
      <c r="AWS5" s="724"/>
      <c r="AWT5" s="724"/>
      <c r="AWU5" s="724"/>
      <c r="AWV5" s="724"/>
      <c r="AWW5" s="724"/>
      <c r="AWX5" s="724"/>
      <c r="AWY5" s="724"/>
      <c r="AWZ5" s="724"/>
      <c r="AXA5" s="724"/>
      <c r="AXB5" s="724"/>
      <c r="AXC5" s="724"/>
      <c r="AXD5" s="724"/>
      <c r="AXE5" s="724"/>
      <c r="AXF5" s="724"/>
      <c r="AXG5" s="724"/>
      <c r="AXH5" s="724"/>
      <c r="AXI5" s="724"/>
      <c r="AXJ5" s="724"/>
      <c r="AXK5" s="724"/>
      <c r="AXL5" s="724"/>
      <c r="AXM5" s="724"/>
      <c r="AXN5" s="724"/>
      <c r="AXO5" s="724"/>
      <c r="AXP5" s="724"/>
      <c r="AXQ5" s="724"/>
      <c r="AXR5" s="724"/>
      <c r="AXS5" s="724"/>
      <c r="AXT5" s="724"/>
      <c r="AXU5" s="724"/>
      <c r="AXV5" s="724"/>
      <c r="AXW5" s="724"/>
      <c r="AXX5" s="724"/>
      <c r="AXY5" s="724"/>
      <c r="AXZ5" s="724"/>
      <c r="AYA5" s="724"/>
      <c r="AYB5" s="724"/>
      <c r="AYC5" s="724"/>
      <c r="AYD5" s="724"/>
      <c r="AYE5" s="724"/>
      <c r="AYF5" s="724"/>
      <c r="AYG5" s="724"/>
      <c r="AYH5" s="724"/>
      <c r="AYI5" s="724"/>
      <c r="AYJ5" s="724"/>
      <c r="AYK5" s="724"/>
      <c r="AYL5" s="724"/>
      <c r="AYM5" s="724"/>
      <c r="AYN5" s="724"/>
      <c r="AYO5" s="724"/>
      <c r="AYP5" s="724"/>
      <c r="AYQ5" s="724"/>
      <c r="AYR5" s="724"/>
      <c r="AYS5" s="724"/>
      <c r="AYT5" s="724"/>
      <c r="AYU5" s="724"/>
      <c r="AYV5" s="724"/>
      <c r="AYW5" s="724"/>
      <c r="AYX5" s="724"/>
      <c r="AYY5" s="724"/>
      <c r="AYZ5" s="724"/>
      <c r="AZA5" s="724"/>
      <c r="AZB5" s="724"/>
      <c r="AZC5" s="724"/>
      <c r="AZD5" s="724"/>
      <c r="AZE5" s="724"/>
      <c r="AZF5" s="724"/>
      <c r="AZG5" s="724"/>
      <c r="AZH5" s="724"/>
      <c r="AZI5" s="724"/>
      <c r="AZJ5" s="724"/>
      <c r="AZK5" s="724"/>
      <c r="AZL5" s="724"/>
      <c r="AZM5" s="724"/>
      <c r="AZN5" s="724"/>
      <c r="AZO5" s="724"/>
      <c r="AZP5" s="724"/>
      <c r="AZQ5" s="724"/>
      <c r="AZR5" s="724"/>
      <c r="AZS5" s="724"/>
      <c r="AZT5" s="724"/>
      <c r="AZU5" s="724"/>
      <c r="AZV5" s="724"/>
      <c r="AZW5" s="724"/>
      <c r="AZX5" s="724"/>
      <c r="AZY5" s="724"/>
      <c r="AZZ5" s="724"/>
      <c r="BAA5" s="724"/>
      <c r="BAB5" s="724"/>
      <c r="BAC5" s="724"/>
      <c r="BAD5" s="724"/>
      <c r="BAE5" s="724"/>
      <c r="BAF5" s="724"/>
      <c r="BAG5" s="724"/>
      <c r="BAH5" s="724"/>
      <c r="BAI5" s="724"/>
      <c r="BAJ5" s="724"/>
      <c r="BAK5" s="724"/>
      <c r="BAL5" s="724"/>
      <c r="BAM5" s="724"/>
      <c r="BAN5" s="724"/>
      <c r="BAO5" s="724"/>
      <c r="BAP5" s="724"/>
      <c r="BAQ5" s="724"/>
      <c r="BAR5" s="724"/>
      <c r="BAS5" s="724"/>
      <c r="BAT5" s="724"/>
      <c r="BAU5" s="724"/>
      <c r="BAV5" s="724"/>
      <c r="BAW5" s="724"/>
      <c r="BAX5" s="724"/>
      <c r="BAY5" s="724"/>
      <c r="BAZ5" s="724"/>
      <c r="BBA5" s="724"/>
      <c r="BBB5" s="724"/>
      <c r="BBC5" s="724"/>
      <c r="BBD5" s="724"/>
      <c r="BBE5" s="724"/>
      <c r="BBF5" s="724"/>
      <c r="BBG5" s="724"/>
      <c r="BBH5" s="724"/>
      <c r="BBI5" s="724"/>
      <c r="BBJ5" s="724"/>
      <c r="BBK5" s="724"/>
      <c r="BBL5" s="724"/>
      <c r="BBM5" s="724"/>
      <c r="BBN5" s="724"/>
      <c r="BBO5" s="724"/>
      <c r="BBP5" s="724"/>
      <c r="BBQ5" s="724"/>
      <c r="BBR5" s="724"/>
      <c r="BBS5" s="724"/>
      <c r="BBT5" s="724"/>
      <c r="BBU5" s="724"/>
      <c r="BBV5" s="724"/>
      <c r="BBW5" s="724"/>
      <c r="BBX5" s="724"/>
      <c r="BBY5" s="724"/>
      <c r="BBZ5" s="724"/>
      <c r="BCA5" s="724"/>
      <c r="BCB5" s="724"/>
      <c r="BCC5" s="724"/>
      <c r="BCD5" s="724"/>
      <c r="BCE5" s="724"/>
      <c r="BCF5" s="724"/>
      <c r="BCG5" s="724"/>
      <c r="BCH5" s="724"/>
      <c r="BCI5" s="724"/>
      <c r="BCJ5" s="724"/>
      <c r="BCK5" s="724"/>
      <c r="BCL5" s="724"/>
      <c r="BCM5" s="724"/>
      <c r="BCN5" s="724"/>
      <c r="BCO5" s="724"/>
      <c r="BCP5" s="724"/>
      <c r="BCQ5" s="724"/>
      <c r="BCR5" s="724"/>
      <c r="BCS5" s="724"/>
      <c r="BCT5" s="724"/>
      <c r="BCU5" s="724"/>
      <c r="BCV5" s="724"/>
      <c r="BCW5" s="724"/>
      <c r="BCX5" s="724"/>
      <c r="BCY5" s="724"/>
      <c r="BCZ5" s="724"/>
      <c r="BDA5" s="724"/>
      <c r="BDB5" s="724"/>
      <c r="BDC5" s="724"/>
      <c r="BDD5" s="724"/>
      <c r="BDE5" s="724"/>
      <c r="BDF5" s="724"/>
      <c r="BDG5" s="724"/>
      <c r="BDH5" s="724"/>
      <c r="BDI5" s="724"/>
      <c r="BDJ5" s="724"/>
      <c r="BDK5" s="724"/>
      <c r="BDL5" s="724"/>
      <c r="BDM5" s="724"/>
      <c r="BDN5" s="724"/>
      <c r="BDO5" s="724"/>
      <c r="BDP5" s="724"/>
      <c r="BDQ5" s="724"/>
      <c r="BDR5" s="724"/>
      <c r="BDS5" s="724"/>
      <c r="BDT5" s="724"/>
      <c r="BDU5" s="724"/>
      <c r="BDV5" s="724"/>
      <c r="BDW5" s="724"/>
      <c r="BDX5" s="724"/>
      <c r="BDY5" s="724"/>
      <c r="BDZ5" s="724"/>
      <c r="BEA5" s="724"/>
      <c r="BEB5" s="724"/>
      <c r="BEC5" s="724"/>
      <c r="BED5" s="724"/>
      <c r="BEE5" s="724"/>
      <c r="BEF5" s="724"/>
      <c r="BEG5" s="724"/>
      <c r="BEH5" s="724"/>
      <c r="BEI5" s="724"/>
      <c r="BEJ5" s="724"/>
      <c r="BEK5" s="724"/>
      <c r="BEL5" s="724"/>
      <c r="BEM5" s="724"/>
      <c r="BEN5" s="724"/>
      <c r="BEO5" s="724"/>
      <c r="BEP5" s="724"/>
      <c r="BEQ5" s="724"/>
      <c r="BER5" s="724"/>
      <c r="BES5" s="724"/>
      <c r="BET5" s="724"/>
      <c r="BEU5" s="724"/>
      <c r="BEV5" s="724"/>
      <c r="BEW5" s="724"/>
      <c r="BEX5" s="724"/>
      <c r="BEY5" s="724"/>
      <c r="BEZ5" s="724"/>
      <c r="BFA5" s="724"/>
      <c r="BFB5" s="724"/>
      <c r="BFC5" s="724"/>
      <c r="BFD5" s="724"/>
      <c r="BFE5" s="724"/>
      <c r="BFF5" s="724"/>
      <c r="BFG5" s="724"/>
      <c r="BFH5" s="724"/>
      <c r="BFI5" s="724"/>
      <c r="BFJ5" s="724"/>
      <c r="BFK5" s="724"/>
      <c r="BFL5" s="724"/>
      <c r="BFM5" s="724"/>
      <c r="BFN5" s="724"/>
      <c r="BFO5" s="724"/>
      <c r="BFP5" s="724"/>
      <c r="BFQ5" s="724"/>
      <c r="BFR5" s="724"/>
      <c r="BFS5" s="724"/>
      <c r="BFT5" s="724"/>
      <c r="BFU5" s="724"/>
      <c r="BFV5" s="724"/>
      <c r="BFW5" s="724"/>
      <c r="BFX5" s="724"/>
      <c r="BFY5" s="724"/>
      <c r="BFZ5" s="724"/>
      <c r="BGA5" s="724"/>
      <c r="BGB5" s="724"/>
      <c r="BGC5" s="724"/>
      <c r="BGD5" s="724"/>
      <c r="BGE5" s="724"/>
      <c r="BGF5" s="724"/>
      <c r="BGG5" s="724"/>
      <c r="BGH5" s="724"/>
      <c r="BGI5" s="724"/>
      <c r="BGJ5" s="724"/>
      <c r="BGK5" s="724"/>
      <c r="BGL5" s="724"/>
      <c r="BGM5" s="724"/>
      <c r="BGN5" s="724"/>
      <c r="BGO5" s="724"/>
      <c r="BGP5" s="724"/>
      <c r="BGQ5" s="724"/>
      <c r="BGR5" s="724"/>
      <c r="BGS5" s="724"/>
      <c r="BGT5" s="724"/>
      <c r="BGU5" s="724"/>
      <c r="BGV5" s="724"/>
      <c r="BGW5" s="724"/>
      <c r="BGX5" s="724"/>
      <c r="BGY5" s="724"/>
      <c r="BGZ5" s="724"/>
      <c r="BHA5" s="724"/>
      <c r="BHB5" s="724"/>
      <c r="BHC5" s="724"/>
      <c r="BHD5" s="724"/>
      <c r="BHE5" s="724"/>
      <c r="BHF5" s="724"/>
      <c r="BHG5" s="724"/>
      <c r="BHH5" s="724"/>
      <c r="BHI5" s="724"/>
      <c r="BHJ5" s="724"/>
      <c r="BHK5" s="724"/>
      <c r="BHL5" s="724"/>
      <c r="BHM5" s="724"/>
      <c r="BHN5" s="724"/>
      <c r="BHO5" s="724"/>
      <c r="BHP5" s="724"/>
      <c r="BHQ5" s="724"/>
      <c r="BHR5" s="724"/>
      <c r="BHS5" s="724"/>
      <c r="BHT5" s="724"/>
      <c r="BHU5" s="724"/>
      <c r="BHV5" s="724"/>
      <c r="BHW5" s="724"/>
      <c r="BHX5" s="724"/>
      <c r="BHY5" s="724"/>
      <c r="BHZ5" s="724"/>
      <c r="BIA5" s="724"/>
      <c r="BIB5" s="724"/>
      <c r="BIC5" s="724"/>
      <c r="BID5" s="724"/>
      <c r="BIE5" s="724"/>
      <c r="BIF5" s="724"/>
      <c r="BIG5" s="724"/>
      <c r="BIH5" s="724"/>
      <c r="BII5" s="724"/>
      <c r="BIJ5" s="724"/>
      <c r="BIK5" s="724"/>
      <c r="BIL5" s="724"/>
      <c r="BIM5" s="724"/>
      <c r="BIN5" s="724"/>
      <c r="BIO5" s="724"/>
      <c r="BIP5" s="724"/>
      <c r="BIQ5" s="724"/>
      <c r="BIR5" s="724"/>
      <c r="BIS5" s="724"/>
      <c r="BIT5" s="724"/>
      <c r="BIU5" s="724"/>
      <c r="BIV5" s="724"/>
      <c r="BIW5" s="724"/>
      <c r="BIX5" s="724"/>
      <c r="BIY5" s="724"/>
      <c r="BIZ5" s="724"/>
      <c r="BJA5" s="724"/>
      <c r="BJB5" s="724"/>
      <c r="BJC5" s="724"/>
      <c r="BJD5" s="724"/>
      <c r="BJE5" s="724"/>
      <c r="BJF5" s="724"/>
      <c r="BJG5" s="724"/>
      <c r="BJH5" s="724"/>
      <c r="BJI5" s="724"/>
      <c r="BJJ5" s="724"/>
      <c r="BJK5" s="724"/>
      <c r="BJL5" s="724"/>
      <c r="BJM5" s="724"/>
      <c r="BJN5" s="724"/>
      <c r="BJO5" s="724"/>
      <c r="BJP5" s="724"/>
      <c r="BJQ5" s="724"/>
      <c r="BJR5" s="724"/>
      <c r="BJS5" s="724"/>
      <c r="BJT5" s="724"/>
      <c r="BJU5" s="724"/>
      <c r="BJV5" s="724"/>
      <c r="BJW5" s="724"/>
      <c r="BJX5" s="724"/>
      <c r="BJY5" s="724"/>
      <c r="BJZ5" s="724"/>
      <c r="BKA5" s="724"/>
      <c r="BKB5" s="724"/>
      <c r="BKC5" s="724"/>
      <c r="BKD5" s="724"/>
      <c r="BKE5" s="724"/>
      <c r="BKF5" s="724"/>
      <c r="BKG5" s="724"/>
      <c r="BKH5" s="724"/>
      <c r="BKI5" s="724"/>
      <c r="BKJ5" s="724"/>
      <c r="BKK5" s="724"/>
      <c r="BKL5" s="724"/>
      <c r="BKM5" s="724"/>
      <c r="BKN5" s="724"/>
      <c r="BKO5" s="724"/>
      <c r="BKP5" s="724"/>
      <c r="BKQ5" s="724"/>
      <c r="BKR5" s="724"/>
      <c r="BKS5" s="724"/>
      <c r="BKT5" s="724"/>
      <c r="BKU5" s="724"/>
      <c r="BKV5" s="724"/>
      <c r="BKW5" s="724"/>
      <c r="BKX5" s="724"/>
      <c r="BKY5" s="724"/>
      <c r="BKZ5" s="724"/>
      <c r="BLA5" s="724"/>
      <c r="BLB5" s="724"/>
      <c r="BLC5" s="724"/>
      <c r="BLD5" s="724"/>
      <c r="BLE5" s="724"/>
      <c r="BLF5" s="724"/>
      <c r="BLG5" s="724"/>
      <c r="BLH5" s="724"/>
      <c r="BLI5" s="724"/>
      <c r="BLJ5" s="724"/>
      <c r="BLK5" s="724"/>
      <c r="BLL5" s="724"/>
      <c r="BLM5" s="724"/>
      <c r="BLN5" s="724"/>
      <c r="BLO5" s="724"/>
      <c r="BLP5" s="724"/>
      <c r="BLQ5" s="724"/>
      <c r="BLR5" s="724"/>
      <c r="BLS5" s="724"/>
      <c r="BLT5" s="724"/>
      <c r="BLU5" s="724"/>
      <c r="BLV5" s="724"/>
      <c r="BLW5" s="724"/>
      <c r="BLX5" s="724"/>
      <c r="BLY5" s="724"/>
      <c r="BLZ5" s="724"/>
      <c r="BMA5" s="724"/>
      <c r="BMB5" s="724"/>
      <c r="BMC5" s="724"/>
      <c r="BMD5" s="724"/>
      <c r="BME5" s="724"/>
      <c r="BMF5" s="724"/>
      <c r="BMG5" s="724"/>
      <c r="BMH5" s="724"/>
      <c r="BMI5" s="724"/>
      <c r="BMJ5" s="724"/>
      <c r="BMK5" s="724"/>
      <c r="BML5" s="724"/>
      <c r="BMM5" s="724"/>
      <c r="BMN5" s="724"/>
      <c r="BMO5" s="724"/>
      <c r="BMP5" s="724"/>
      <c r="BMQ5" s="724"/>
      <c r="BMR5" s="724"/>
      <c r="BMS5" s="724"/>
      <c r="BMT5" s="724"/>
      <c r="BMU5" s="724"/>
      <c r="BMV5" s="724"/>
      <c r="BMW5" s="724"/>
      <c r="BMX5" s="724"/>
      <c r="BMY5" s="724"/>
      <c r="BMZ5" s="724"/>
      <c r="BNA5" s="724"/>
      <c r="BNB5" s="724"/>
      <c r="BNC5" s="724"/>
      <c r="BND5" s="724"/>
      <c r="BNE5" s="724"/>
      <c r="BNF5" s="724"/>
      <c r="BNG5" s="724"/>
      <c r="BNH5" s="724"/>
      <c r="BNI5" s="724"/>
      <c r="BNJ5" s="724"/>
      <c r="BNK5" s="724"/>
      <c r="BNL5" s="724"/>
      <c r="BNM5" s="724"/>
      <c r="BNN5" s="724"/>
      <c r="BNO5" s="724"/>
      <c r="BNP5" s="724"/>
      <c r="BNQ5" s="724"/>
      <c r="BNR5" s="724"/>
      <c r="BNS5" s="724"/>
      <c r="BNT5" s="724"/>
      <c r="BNU5" s="724"/>
      <c r="BNV5" s="724"/>
      <c r="BNW5" s="724"/>
      <c r="BNX5" s="724"/>
      <c r="BNY5" s="724"/>
      <c r="BNZ5" s="724"/>
      <c r="BOA5" s="724"/>
      <c r="BOB5" s="724"/>
      <c r="BOC5" s="724"/>
      <c r="BOD5" s="724"/>
      <c r="BOE5" s="724"/>
      <c r="BOF5" s="724"/>
      <c r="BOG5" s="724"/>
      <c r="BOH5" s="724"/>
      <c r="BOI5" s="724"/>
      <c r="BOJ5" s="724"/>
      <c r="BOK5" s="724"/>
      <c r="BOL5" s="724"/>
      <c r="BOM5" s="724"/>
      <c r="BON5" s="724"/>
      <c r="BOO5" s="724"/>
      <c r="BOP5" s="724"/>
      <c r="BOQ5" s="724"/>
      <c r="BOR5" s="724"/>
      <c r="BOS5" s="724"/>
      <c r="BOT5" s="724"/>
      <c r="BOU5" s="724"/>
      <c r="BOV5" s="724"/>
      <c r="BOW5" s="724"/>
      <c r="BOX5" s="724"/>
      <c r="BOY5" s="724"/>
      <c r="BOZ5" s="724"/>
      <c r="BPA5" s="724"/>
      <c r="BPB5" s="724"/>
      <c r="BPC5" s="724"/>
      <c r="BPD5" s="724"/>
      <c r="BPE5" s="724"/>
      <c r="BPF5" s="724"/>
      <c r="BPG5" s="724"/>
      <c r="BPH5" s="724"/>
      <c r="BPI5" s="724"/>
      <c r="BPJ5" s="724"/>
      <c r="BPK5" s="724"/>
      <c r="BPL5" s="724"/>
      <c r="BPM5" s="724"/>
      <c r="BPN5" s="724"/>
      <c r="BPO5" s="724"/>
      <c r="BPP5" s="724"/>
      <c r="BPQ5" s="724"/>
      <c r="BPR5" s="724"/>
      <c r="BPS5" s="724"/>
      <c r="BPT5" s="724"/>
      <c r="BPU5" s="724"/>
      <c r="BPV5" s="724"/>
      <c r="BPW5" s="724"/>
      <c r="BPX5" s="724"/>
      <c r="BPY5" s="724"/>
      <c r="BPZ5" s="724"/>
      <c r="BQA5" s="724"/>
      <c r="BQB5" s="724"/>
      <c r="BQC5" s="724"/>
      <c r="BQD5" s="724"/>
      <c r="BQE5" s="724"/>
      <c r="BQF5" s="724"/>
      <c r="BQG5" s="724"/>
      <c r="BQH5" s="724"/>
      <c r="BQI5" s="724"/>
      <c r="BQJ5" s="724"/>
      <c r="BQK5" s="724"/>
      <c r="BQL5" s="724"/>
      <c r="BQM5" s="724"/>
      <c r="BQN5" s="724"/>
      <c r="BQO5" s="724"/>
      <c r="BQP5" s="724"/>
      <c r="BQQ5" s="724"/>
      <c r="BQR5" s="724"/>
      <c r="BQS5" s="724"/>
      <c r="BQT5" s="724"/>
      <c r="BQU5" s="724"/>
      <c r="BQV5" s="724"/>
      <c r="BQW5" s="724"/>
      <c r="BQX5" s="724"/>
      <c r="BQY5" s="724"/>
      <c r="BQZ5" s="724"/>
      <c r="BRA5" s="724"/>
      <c r="BRB5" s="724"/>
      <c r="BRC5" s="724"/>
      <c r="BRD5" s="724"/>
      <c r="BRE5" s="724"/>
      <c r="BRF5" s="724"/>
      <c r="BRG5" s="724"/>
      <c r="BRH5" s="724"/>
      <c r="BRI5" s="724"/>
      <c r="BRJ5" s="724"/>
      <c r="BRK5" s="724"/>
      <c r="BRL5" s="724"/>
      <c r="BRM5" s="724"/>
      <c r="BRN5" s="724"/>
      <c r="BRO5" s="724"/>
      <c r="BRP5" s="724"/>
      <c r="BRQ5" s="724"/>
      <c r="BRR5" s="724"/>
      <c r="BRS5" s="724"/>
      <c r="BRT5" s="724"/>
      <c r="BRU5" s="724"/>
      <c r="BRV5" s="724"/>
      <c r="BRW5" s="724"/>
      <c r="BRX5" s="724"/>
      <c r="BRY5" s="724"/>
      <c r="BRZ5" s="724"/>
      <c r="BSA5" s="724"/>
      <c r="BSB5" s="724"/>
      <c r="BSC5" s="724"/>
      <c r="BSD5" s="724"/>
      <c r="BSE5" s="724"/>
      <c r="BSF5" s="724"/>
      <c r="BSG5" s="724"/>
      <c r="BSH5" s="724"/>
      <c r="BSI5" s="724"/>
      <c r="BSJ5" s="724"/>
      <c r="BSK5" s="724"/>
      <c r="BSL5" s="724"/>
      <c r="BSM5" s="724"/>
      <c r="BSN5" s="724"/>
      <c r="BSO5" s="724"/>
      <c r="BSP5" s="724"/>
      <c r="BSQ5" s="724"/>
      <c r="BSR5" s="724"/>
      <c r="BSS5" s="724"/>
      <c r="BST5" s="724"/>
      <c r="BSU5" s="724"/>
      <c r="BSV5" s="724"/>
      <c r="BSW5" s="724"/>
      <c r="BSX5" s="724"/>
      <c r="BSY5" s="724"/>
      <c r="BSZ5" s="724"/>
      <c r="BTA5" s="724"/>
      <c r="BTB5" s="724"/>
      <c r="BTC5" s="724"/>
      <c r="BTD5" s="724"/>
      <c r="BTE5" s="724"/>
      <c r="BTF5" s="724"/>
      <c r="BTG5" s="724"/>
      <c r="BTH5" s="724"/>
      <c r="BTI5" s="724"/>
      <c r="BTJ5" s="724"/>
      <c r="BTK5" s="724"/>
      <c r="BTL5" s="724"/>
      <c r="BTM5" s="724"/>
      <c r="BTN5" s="724"/>
      <c r="BTO5" s="724"/>
      <c r="BTP5" s="724"/>
      <c r="BTQ5" s="724"/>
      <c r="BTR5" s="724"/>
      <c r="BTS5" s="724"/>
      <c r="BTT5" s="724"/>
      <c r="BTU5" s="724"/>
      <c r="BTV5" s="724"/>
      <c r="BTW5" s="724"/>
      <c r="BTX5" s="724"/>
      <c r="BTY5" s="724"/>
      <c r="BTZ5" s="724"/>
      <c r="BUA5" s="724"/>
      <c r="BUB5" s="724"/>
      <c r="BUC5" s="724"/>
      <c r="BUD5" s="724"/>
      <c r="BUE5" s="724"/>
      <c r="BUF5" s="724"/>
      <c r="BUG5" s="724"/>
      <c r="BUH5" s="724"/>
      <c r="BUI5" s="724"/>
      <c r="BUJ5" s="724"/>
      <c r="BUK5" s="724"/>
      <c r="BUL5" s="724"/>
      <c r="BUM5" s="724"/>
      <c r="BUN5" s="724"/>
      <c r="BUO5" s="724"/>
      <c r="BUP5" s="724"/>
      <c r="BUQ5" s="724"/>
      <c r="BUR5" s="724"/>
      <c r="BUS5" s="724"/>
      <c r="BUT5" s="724"/>
      <c r="BUU5" s="724"/>
      <c r="BUV5" s="724"/>
      <c r="BUW5" s="724"/>
      <c r="BUX5" s="724"/>
      <c r="BUY5" s="724"/>
      <c r="BUZ5" s="724"/>
      <c r="BVA5" s="724"/>
      <c r="BVB5" s="724"/>
      <c r="BVC5" s="724"/>
      <c r="BVD5" s="724"/>
      <c r="BVE5" s="724"/>
      <c r="BVF5" s="724"/>
      <c r="BVG5" s="724"/>
      <c r="BVH5" s="724"/>
      <c r="BVI5" s="724"/>
      <c r="BVJ5" s="724"/>
      <c r="BVK5" s="724"/>
      <c r="BVL5" s="724"/>
      <c r="BVM5" s="724"/>
      <c r="BVN5" s="724"/>
      <c r="BVO5" s="724"/>
      <c r="BVP5" s="724"/>
      <c r="BVQ5" s="724"/>
      <c r="BVR5" s="724"/>
      <c r="BVS5" s="724"/>
      <c r="BVT5" s="724"/>
      <c r="BVU5" s="724"/>
      <c r="BVV5" s="724"/>
      <c r="BVW5" s="724"/>
      <c r="BVX5" s="724"/>
      <c r="BVY5" s="724"/>
      <c r="BVZ5" s="724"/>
      <c r="BWA5" s="724"/>
      <c r="BWB5" s="724"/>
      <c r="BWC5" s="724"/>
      <c r="BWD5" s="724"/>
      <c r="BWE5" s="724"/>
      <c r="BWF5" s="724"/>
      <c r="BWG5" s="724"/>
      <c r="BWH5" s="724"/>
      <c r="BWI5" s="724"/>
      <c r="BWJ5" s="724"/>
      <c r="BWK5" s="724"/>
      <c r="BWL5" s="724"/>
      <c r="BWM5" s="724"/>
      <c r="BWN5" s="724"/>
      <c r="BWO5" s="724"/>
      <c r="BWP5" s="724"/>
      <c r="BWQ5" s="724"/>
      <c r="BWR5" s="724"/>
      <c r="BWS5" s="724"/>
      <c r="BWT5" s="724"/>
      <c r="BWU5" s="724"/>
      <c r="BWV5" s="724"/>
      <c r="BWW5" s="724"/>
      <c r="BWX5" s="724"/>
      <c r="BWY5" s="724"/>
      <c r="BWZ5" s="724"/>
      <c r="BXA5" s="724"/>
      <c r="BXB5" s="724"/>
      <c r="BXC5" s="724"/>
      <c r="BXD5" s="724"/>
      <c r="BXE5" s="724"/>
      <c r="BXF5" s="724"/>
      <c r="BXG5" s="724"/>
      <c r="BXH5" s="724"/>
      <c r="BXI5" s="724"/>
      <c r="BXJ5" s="724"/>
      <c r="BXK5" s="724"/>
      <c r="BXL5" s="724"/>
      <c r="BXM5" s="724"/>
      <c r="BXN5" s="724"/>
      <c r="BXO5" s="724"/>
      <c r="BXP5" s="724"/>
      <c r="BXQ5" s="724"/>
      <c r="BXR5" s="724"/>
      <c r="BXS5" s="724"/>
      <c r="BXT5" s="724"/>
      <c r="BXU5" s="724"/>
      <c r="BXV5" s="724"/>
      <c r="BXW5" s="724"/>
      <c r="BXX5" s="724"/>
      <c r="BXY5" s="724"/>
      <c r="BXZ5" s="724"/>
    </row>
    <row r="6" spans="1:2002" ht="15">
      <c r="A6" s="719"/>
      <c r="B6" s="720"/>
      <c r="C6" s="721" t="s">
        <v>26</v>
      </c>
      <c r="D6" s="722">
        <f>IS!Q15</f>
        <v>1070000</v>
      </c>
      <c r="E6" s="722">
        <f>IS!P15</f>
        <v>1356000</v>
      </c>
      <c r="F6" s="722">
        <f>IS!O15</f>
        <v>1499000</v>
      </c>
      <c r="G6" s="722">
        <f>IS!N15</f>
        <v>1623000</v>
      </c>
      <c r="H6" s="722">
        <f>IS!M15</f>
        <v>1914000</v>
      </c>
      <c r="I6" s="722">
        <f>I5*$E$65</f>
        <v>2303900.5</v>
      </c>
      <c r="J6" s="722">
        <f t="shared" ref="J6:L6" si="0">J5*$E$65</f>
        <v>2741641.5949999997</v>
      </c>
      <c r="K6" s="722">
        <f t="shared" si="0"/>
        <v>3207720.6661499995</v>
      </c>
      <c r="L6" s="722">
        <f t="shared" si="0"/>
        <v>3688878.7660724991</v>
      </c>
      <c r="M6" s="722">
        <f>M5*$F$65</f>
        <v>4020877.8550190241</v>
      </c>
      <c r="N6" s="722">
        <f t="shared" ref="N6:Q6" si="1">N5*$F$65</f>
        <v>4422965.6405209275</v>
      </c>
      <c r="O6" s="722">
        <f t="shared" si="1"/>
        <v>4821032.5481678117</v>
      </c>
      <c r="P6" s="722">
        <f t="shared" si="1"/>
        <v>5254925.4775029151</v>
      </c>
      <c r="Q6" s="722">
        <f t="shared" si="1"/>
        <v>5675319.5157031482</v>
      </c>
      <c r="R6" s="722">
        <f>R5*G65</f>
        <v>5961168.1775491145</v>
      </c>
      <c r="S6" s="723"/>
      <c r="T6" s="724"/>
      <c r="U6" s="724"/>
      <c r="V6" s="724"/>
      <c r="W6" s="724"/>
      <c r="X6" s="724"/>
      <c r="Y6" s="724"/>
      <c r="Z6" s="724"/>
      <c r="AA6" s="724"/>
      <c r="AB6" s="724"/>
      <c r="AC6" s="724"/>
      <c r="AD6" s="724"/>
      <c r="AE6" s="724"/>
      <c r="AF6" s="724"/>
      <c r="AG6" s="724"/>
      <c r="AH6" s="724"/>
      <c r="AI6" s="724"/>
      <c r="AJ6" s="724"/>
      <c r="AK6" s="724"/>
      <c r="AL6" s="724"/>
      <c r="AM6" s="724"/>
      <c r="AN6" s="724"/>
      <c r="AO6" s="724"/>
      <c r="AP6" s="724"/>
      <c r="AQ6" s="724"/>
      <c r="AR6" s="724"/>
      <c r="AS6" s="724"/>
      <c r="AT6" s="724"/>
      <c r="AU6" s="724"/>
      <c r="AV6" s="724"/>
      <c r="AW6" s="724"/>
      <c r="AX6" s="724"/>
      <c r="AY6" s="724"/>
      <c r="AZ6" s="724"/>
      <c r="BA6" s="724"/>
      <c r="BB6" s="724"/>
      <c r="BC6" s="724"/>
      <c r="BD6" s="724"/>
      <c r="BE6" s="724"/>
      <c r="BF6" s="724"/>
      <c r="BG6" s="724"/>
      <c r="BH6" s="724"/>
      <c r="BI6" s="724"/>
      <c r="BJ6" s="724"/>
      <c r="BK6" s="724"/>
      <c r="BL6" s="724"/>
      <c r="BM6" s="724"/>
      <c r="BN6" s="724"/>
      <c r="BO6" s="724"/>
      <c r="BP6" s="724"/>
      <c r="BQ6" s="724"/>
      <c r="BR6" s="724"/>
      <c r="BS6" s="724"/>
      <c r="BT6" s="724"/>
      <c r="BU6" s="724"/>
      <c r="BV6" s="724"/>
      <c r="BW6" s="724"/>
      <c r="BX6" s="724"/>
      <c r="BY6" s="724"/>
      <c r="BZ6" s="724"/>
      <c r="CA6" s="724"/>
      <c r="CB6" s="724"/>
      <c r="CC6" s="724"/>
      <c r="CD6" s="724"/>
      <c r="CE6" s="724"/>
      <c r="CF6" s="724"/>
      <c r="CG6" s="724"/>
      <c r="CH6" s="724"/>
      <c r="CI6" s="724"/>
      <c r="CJ6" s="724"/>
      <c r="CK6" s="724"/>
      <c r="CL6" s="724"/>
      <c r="CM6" s="724"/>
      <c r="CN6" s="724"/>
      <c r="CO6" s="724"/>
      <c r="CP6" s="724"/>
      <c r="CQ6" s="724"/>
      <c r="CR6" s="724"/>
      <c r="CS6" s="724"/>
      <c r="CT6" s="724"/>
      <c r="CU6" s="724"/>
      <c r="CV6" s="724"/>
      <c r="CW6" s="724"/>
      <c r="CX6" s="724"/>
      <c r="CY6" s="724"/>
      <c r="CZ6" s="724"/>
      <c r="DA6" s="724"/>
      <c r="DB6" s="724"/>
      <c r="DC6" s="724"/>
      <c r="DD6" s="724"/>
      <c r="DE6" s="724"/>
      <c r="DF6" s="724"/>
      <c r="DG6" s="724"/>
      <c r="DH6" s="724"/>
      <c r="DI6" s="724"/>
      <c r="DJ6" s="724"/>
      <c r="DK6" s="724"/>
      <c r="DL6" s="724"/>
      <c r="DM6" s="724"/>
      <c r="DN6" s="724"/>
      <c r="DO6" s="724"/>
      <c r="DP6" s="724"/>
      <c r="DQ6" s="724"/>
      <c r="DR6" s="724"/>
      <c r="DS6" s="724"/>
      <c r="DT6" s="724"/>
      <c r="DU6" s="724"/>
      <c r="DV6" s="724"/>
      <c r="DW6" s="724"/>
      <c r="DX6" s="724"/>
      <c r="DY6" s="724"/>
      <c r="DZ6" s="724"/>
      <c r="EA6" s="724"/>
      <c r="EB6" s="724"/>
      <c r="EC6" s="724"/>
      <c r="ED6" s="724"/>
      <c r="EE6" s="724"/>
      <c r="EF6" s="724"/>
      <c r="EG6" s="724"/>
      <c r="EH6" s="724"/>
      <c r="EI6" s="724"/>
      <c r="EJ6" s="724"/>
      <c r="EK6" s="724"/>
      <c r="EL6" s="724"/>
      <c r="EM6" s="724"/>
      <c r="EN6" s="724"/>
      <c r="EO6" s="724"/>
      <c r="EP6" s="724"/>
      <c r="EQ6" s="724"/>
      <c r="ER6" s="724"/>
      <c r="ES6" s="724"/>
      <c r="ET6" s="724"/>
      <c r="EU6" s="724"/>
      <c r="EV6" s="724"/>
      <c r="EW6" s="724"/>
      <c r="EX6" s="724"/>
      <c r="EY6" s="724"/>
      <c r="EZ6" s="724"/>
      <c r="FA6" s="724"/>
      <c r="FB6" s="724"/>
      <c r="FC6" s="724"/>
      <c r="FD6" s="724"/>
      <c r="FE6" s="724"/>
      <c r="FF6" s="724"/>
      <c r="FG6" s="724"/>
      <c r="FH6" s="724"/>
      <c r="FI6" s="724"/>
      <c r="FJ6" s="724"/>
      <c r="FK6" s="724"/>
      <c r="FL6" s="724"/>
      <c r="FM6" s="724"/>
      <c r="FN6" s="724"/>
      <c r="FO6" s="724"/>
      <c r="FP6" s="724"/>
      <c r="FQ6" s="724"/>
      <c r="FR6" s="724"/>
      <c r="FS6" s="724"/>
      <c r="FT6" s="724"/>
      <c r="FU6" s="724"/>
      <c r="FV6" s="724"/>
      <c r="FW6" s="724"/>
      <c r="FX6" s="724"/>
      <c r="FY6" s="724"/>
      <c r="FZ6" s="724"/>
      <c r="GA6" s="724"/>
      <c r="GB6" s="724"/>
      <c r="GC6" s="724"/>
      <c r="GD6" s="724"/>
      <c r="GE6" s="724"/>
      <c r="GF6" s="724"/>
      <c r="GG6" s="724"/>
      <c r="GH6" s="724"/>
      <c r="GI6" s="724"/>
      <c r="GJ6" s="724"/>
      <c r="GK6" s="724"/>
      <c r="GL6" s="724"/>
      <c r="GM6" s="724"/>
      <c r="GN6" s="724"/>
      <c r="GO6" s="724"/>
      <c r="GP6" s="724"/>
      <c r="GQ6" s="724"/>
      <c r="GR6" s="724"/>
      <c r="GS6" s="724"/>
      <c r="GT6" s="724"/>
      <c r="GU6" s="724"/>
      <c r="GV6" s="724"/>
      <c r="GW6" s="724"/>
      <c r="GX6" s="724"/>
      <c r="GY6" s="724"/>
      <c r="GZ6" s="724"/>
      <c r="HA6" s="724"/>
      <c r="HB6" s="724"/>
      <c r="HC6" s="724"/>
      <c r="HD6" s="724"/>
      <c r="HE6" s="724"/>
      <c r="HF6" s="724"/>
      <c r="HG6" s="724"/>
      <c r="HH6" s="724"/>
      <c r="HI6" s="724"/>
      <c r="HJ6" s="724"/>
      <c r="HK6" s="724"/>
      <c r="HL6" s="724"/>
      <c r="HM6" s="724"/>
      <c r="HN6" s="724"/>
      <c r="HO6" s="724"/>
      <c r="HP6" s="724"/>
      <c r="HQ6" s="724"/>
      <c r="HR6" s="724"/>
      <c r="HS6" s="724"/>
      <c r="HT6" s="724"/>
      <c r="HU6" s="724"/>
      <c r="HV6" s="724"/>
      <c r="HW6" s="724"/>
      <c r="HX6" s="724"/>
      <c r="HY6" s="724"/>
      <c r="HZ6" s="724"/>
      <c r="IA6" s="724"/>
      <c r="IB6" s="724"/>
      <c r="IC6" s="724"/>
      <c r="ID6" s="724"/>
      <c r="IE6" s="724"/>
      <c r="IF6" s="724"/>
      <c r="IG6" s="724"/>
      <c r="IH6" s="724"/>
      <c r="II6" s="724"/>
      <c r="IJ6" s="724"/>
      <c r="IK6" s="724"/>
      <c r="IL6" s="724"/>
      <c r="IM6" s="724"/>
      <c r="IN6" s="724"/>
      <c r="IO6" s="724"/>
      <c r="IP6" s="724"/>
      <c r="IQ6" s="724"/>
      <c r="IR6" s="724"/>
      <c r="IS6" s="724"/>
      <c r="IT6" s="724"/>
      <c r="IU6" s="724"/>
      <c r="IV6" s="724"/>
      <c r="IW6" s="724"/>
      <c r="IX6" s="724"/>
      <c r="IY6" s="724"/>
      <c r="IZ6" s="724"/>
      <c r="JA6" s="724"/>
      <c r="JB6" s="724"/>
      <c r="JC6" s="724"/>
      <c r="JD6" s="724"/>
      <c r="JE6" s="724"/>
      <c r="JF6" s="724"/>
      <c r="JG6" s="724"/>
      <c r="JH6" s="724"/>
      <c r="JI6" s="724"/>
      <c r="JJ6" s="724"/>
      <c r="JK6" s="724"/>
      <c r="JL6" s="724"/>
      <c r="JM6" s="724"/>
      <c r="JN6" s="724"/>
      <c r="JO6" s="724"/>
      <c r="JP6" s="724"/>
      <c r="JQ6" s="724"/>
      <c r="JR6" s="724"/>
      <c r="JS6" s="724"/>
      <c r="JT6" s="724"/>
      <c r="JU6" s="724"/>
      <c r="JV6" s="724"/>
      <c r="JW6" s="724"/>
      <c r="JX6" s="724"/>
      <c r="JY6" s="724"/>
      <c r="JZ6" s="724"/>
      <c r="KA6" s="724"/>
      <c r="KB6" s="724"/>
      <c r="KC6" s="724"/>
      <c r="KD6" s="724"/>
      <c r="KE6" s="724"/>
      <c r="KF6" s="724"/>
      <c r="KG6" s="724"/>
      <c r="KH6" s="724"/>
      <c r="KI6" s="724"/>
      <c r="KJ6" s="724"/>
      <c r="KK6" s="724"/>
      <c r="KL6" s="724"/>
      <c r="KM6" s="724"/>
      <c r="KN6" s="724"/>
      <c r="KO6" s="724"/>
      <c r="KP6" s="724"/>
      <c r="KQ6" s="724"/>
      <c r="KR6" s="724"/>
      <c r="KS6" s="724"/>
      <c r="KT6" s="724"/>
      <c r="KU6" s="724"/>
      <c r="KV6" s="724"/>
      <c r="KW6" s="724"/>
      <c r="KX6" s="724"/>
      <c r="KY6" s="724"/>
      <c r="KZ6" s="724"/>
      <c r="LA6" s="724"/>
      <c r="LB6" s="724"/>
      <c r="LC6" s="724"/>
      <c r="LD6" s="724"/>
      <c r="LE6" s="724"/>
      <c r="LF6" s="724"/>
      <c r="LG6" s="724"/>
      <c r="LH6" s="724"/>
      <c r="LI6" s="724"/>
      <c r="LJ6" s="724"/>
      <c r="LK6" s="724"/>
      <c r="LL6" s="724"/>
      <c r="LM6" s="724"/>
      <c r="LN6" s="724"/>
      <c r="LO6" s="724"/>
      <c r="LP6" s="724"/>
      <c r="LQ6" s="724"/>
      <c r="LR6" s="724"/>
      <c r="LS6" s="724"/>
      <c r="LT6" s="724"/>
      <c r="LU6" s="724"/>
      <c r="LV6" s="724"/>
      <c r="LW6" s="724"/>
      <c r="LX6" s="724"/>
      <c r="LY6" s="724"/>
      <c r="LZ6" s="724"/>
      <c r="MA6" s="724"/>
      <c r="MB6" s="724"/>
      <c r="MC6" s="724"/>
      <c r="MD6" s="724"/>
      <c r="ME6" s="724"/>
      <c r="MF6" s="724"/>
      <c r="MG6" s="724"/>
      <c r="MH6" s="724"/>
      <c r="MI6" s="724"/>
      <c r="MJ6" s="724"/>
      <c r="MK6" s="724"/>
      <c r="ML6" s="724"/>
      <c r="MM6" s="724"/>
      <c r="MN6" s="724"/>
      <c r="MO6" s="724"/>
      <c r="MP6" s="724"/>
      <c r="MQ6" s="724"/>
      <c r="MR6" s="724"/>
      <c r="MS6" s="724"/>
      <c r="MT6" s="724"/>
      <c r="MU6" s="724"/>
      <c r="MV6" s="724"/>
      <c r="MW6" s="724"/>
      <c r="MX6" s="724"/>
      <c r="MY6" s="724"/>
      <c r="MZ6" s="724"/>
      <c r="NA6" s="724"/>
      <c r="NB6" s="724"/>
      <c r="NC6" s="724"/>
      <c r="ND6" s="724"/>
      <c r="NE6" s="724"/>
      <c r="NF6" s="724"/>
      <c r="NG6" s="724"/>
      <c r="NH6" s="724"/>
      <c r="NI6" s="724"/>
      <c r="NJ6" s="724"/>
      <c r="NK6" s="724"/>
      <c r="NL6" s="724"/>
      <c r="NM6" s="724"/>
      <c r="NN6" s="724"/>
      <c r="NO6" s="724"/>
      <c r="NP6" s="724"/>
      <c r="NQ6" s="724"/>
      <c r="NR6" s="724"/>
      <c r="NS6" s="724"/>
      <c r="NT6" s="724"/>
      <c r="NU6" s="724"/>
      <c r="NV6" s="724"/>
      <c r="NW6" s="724"/>
      <c r="NX6" s="724"/>
      <c r="NY6" s="724"/>
      <c r="NZ6" s="724"/>
      <c r="OA6" s="724"/>
      <c r="OB6" s="724"/>
      <c r="OC6" s="724"/>
      <c r="OD6" s="724"/>
      <c r="OE6" s="724"/>
      <c r="OF6" s="724"/>
      <c r="OG6" s="724"/>
      <c r="OH6" s="724"/>
      <c r="OI6" s="724"/>
      <c r="OJ6" s="724"/>
      <c r="OK6" s="724"/>
      <c r="OL6" s="724"/>
      <c r="OM6" s="724"/>
      <c r="ON6" s="724"/>
      <c r="OO6" s="724"/>
      <c r="OP6" s="724"/>
      <c r="OQ6" s="724"/>
      <c r="OR6" s="724"/>
      <c r="OS6" s="724"/>
      <c r="OT6" s="724"/>
      <c r="OU6" s="724"/>
      <c r="OV6" s="724"/>
      <c r="OW6" s="724"/>
      <c r="OX6" s="724"/>
      <c r="OY6" s="724"/>
      <c r="OZ6" s="724"/>
      <c r="PA6" s="724"/>
      <c r="PB6" s="724"/>
      <c r="PC6" s="724"/>
      <c r="PD6" s="724"/>
      <c r="PE6" s="724"/>
      <c r="PF6" s="724"/>
      <c r="PG6" s="724"/>
      <c r="PH6" s="724"/>
      <c r="PI6" s="724"/>
      <c r="PJ6" s="724"/>
      <c r="PK6" s="724"/>
      <c r="PL6" s="724"/>
      <c r="PM6" s="724"/>
      <c r="PN6" s="724"/>
      <c r="PO6" s="724"/>
      <c r="PP6" s="724"/>
      <c r="PQ6" s="724"/>
      <c r="PR6" s="724"/>
      <c r="PS6" s="724"/>
      <c r="PT6" s="724"/>
      <c r="PU6" s="724"/>
      <c r="PV6" s="724"/>
      <c r="PW6" s="724"/>
      <c r="PX6" s="724"/>
      <c r="PY6" s="724"/>
      <c r="PZ6" s="724"/>
      <c r="QA6" s="724"/>
      <c r="QB6" s="724"/>
      <c r="QC6" s="724"/>
      <c r="QD6" s="724"/>
      <c r="QE6" s="724"/>
      <c r="QF6" s="724"/>
      <c r="QG6" s="724"/>
      <c r="QH6" s="724"/>
      <c r="QI6" s="724"/>
      <c r="QJ6" s="724"/>
      <c r="QK6" s="724"/>
      <c r="QL6" s="724"/>
      <c r="QM6" s="724"/>
      <c r="QN6" s="724"/>
      <c r="QO6" s="724"/>
      <c r="QP6" s="724"/>
      <c r="QQ6" s="724"/>
      <c r="QR6" s="724"/>
      <c r="QS6" s="724"/>
      <c r="QT6" s="724"/>
      <c r="QU6" s="724"/>
      <c r="QV6" s="724"/>
      <c r="QW6" s="724"/>
      <c r="QX6" s="724"/>
      <c r="QY6" s="724"/>
      <c r="QZ6" s="724"/>
      <c r="RA6" s="724"/>
      <c r="RB6" s="724"/>
      <c r="RC6" s="724"/>
      <c r="RD6" s="724"/>
      <c r="RE6" s="724"/>
      <c r="RF6" s="724"/>
      <c r="RG6" s="724"/>
      <c r="RH6" s="724"/>
      <c r="RI6" s="724"/>
      <c r="RJ6" s="724"/>
      <c r="RK6" s="724"/>
      <c r="RL6" s="724"/>
      <c r="RM6" s="724"/>
      <c r="RN6" s="724"/>
      <c r="RO6" s="724"/>
      <c r="RP6" s="724"/>
      <c r="RQ6" s="724"/>
      <c r="RR6" s="724"/>
      <c r="RS6" s="724"/>
      <c r="RT6" s="724"/>
      <c r="RU6" s="724"/>
      <c r="RV6" s="724"/>
      <c r="RW6" s="724"/>
      <c r="RX6" s="724"/>
      <c r="RY6" s="724"/>
      <c r="RZ6" s="724"/>
      <c r="SA6" s="724"/>
      <c r="SB6" s="724"/>
      <c r="SC6" s="724"/>
      <c r="SD6" s="724"/>
      <c r="SE6" s="724"/>
      <c r="SF6" s="724"/>
      <c r="SG6" s="724"/>
      <c r="SH6" s="724"/>
      <c r="SI6" s="724"/>
      <c r="SJ6" s="724"/>
      <c r="SK6" s="724"/>
      <c r="SL6" s="724"/>
      <c r="SM6" s="724"/>
      <c r="SN6" s="724"/>
      <c r="SO6" s="724"/>
      <c r="SP6" s="724"/>
      <c r="SQ6" s="724"/>
      <c r="SR6" s="724"/>
      <c r="SS6" s="724"/>
      <c r="ST6" s="724"/>
      <c r="SU6" s="724"/>
      <c r="SV6" s="724"/>
      <c r="SW6" s="724"/>
      <c r="SX6" s="724"/>
      <c r="SY6" s="724"/>
      <c r="SZ6" s="724"/>
      <c r="TA6" s="724"/>
      <c r="TB6" s="724"/>
      <c r="TC6" s="724"/>
      <c r="TD6" s="724"/>
      <c r="TE6" s="724"/>
      <c r="TF6" s="724"/>
      <c r="TG6" s="724"/>
      <c r="TH6" s="724"/>
      <c r="TI6" s="724"/>
      <c r="TJ6" s="724"/>
      <c r="TK6" s="724"/>
      <c r="TL6" s="724"/>
      <c r="TM6" s="724"/>
      <c r="TN6" s="724"/>
      <c r="TO6" s="724"/>
      <c r="TP6" s="724"/>
      <c r="TQ6" s="724"/>
      <c r="TR6" s="724"/>
      <c r="TS6" s="724"/>
      <c r="TT6" s="724"/>
      <c r="TU6" s="724"/>
      <c r="TV6" s="724"/>
      <c r="TW6" s="724"/>
      <c r="TX6" s="724"/>
      <c r="TY6" s="724"/>
      <c r="TZ6" s="724"/>
      <c r="UA6" s="724"/>
      <c r="UB6" s="724"/>
      <c r="UC6" s="724"/>
      <c r="UD6" s="724"/>
      <c r="UE6" s="724"/>
      <c r="UF6" s="724"/>
      <c r="UG6" s="724"/>
      <c r="UH6" s="724"/>
      <c r="UI6" s="724"/>
      <c r="UJ6" s="724"/>
      <c r="UK6" s="724"/>
      <c r="UL6" s="724"/>
      <c r="UM6" s="724"/>
      <c r="UN6" s="724"/>
      <c r="UO6" s="724"/>
      <c r="UP6" s="724"/>
      <c r="UQ6" s="724"/>
      <c r="UR6" s="724"/>
      <c r="US6" s="724"/>
      <c r="UT6" s="724"/>
      <c r="UU6" s="724"/>
      <c r="UV6" s="724"/>
      <c r="UW6" s="724"/>
      <c r="UX6" s="724"/>
      <c r="UY6" s="724"/>
      <c r="UZ6" s="724"/>
      <c r="VA6" s="724"/>
      <c r="VB6" s="724"/>
      <c r="VC6" s="724"/>
      <c r="VD6" s="724"/>
      <c r="VE6" s="724"/>
      <c r="VF6" s="724"/>
      <c r="VG6" s="724"/>
      <c r="VH6" s="724"/>
      <c r="VI6" s="724"/>
      <c r="VJ6" s="724"/>
      <c r="VK6" s="724"/>
      <c r="VL6" s="724"/>
      <c r="VM6" s="724"/>
      <c r="VN6" s="724"/>
      <c r="VO6" s="724"/>
      <c r="VP6" s="724"/>
      <c r="VQ6" s="724"/>
      <c r="VR6" s="724"/>
      <c r="VS6" s="724"/>
      <c r="VT6" s="724"/>
      <c r="VU6" s="724"/>
      <c r="VV6" s="724"/>
      <c r="VW6" s="724"/>
      <c r="VX6" s="724"/>
      <c r="VY6" s="724"/>
      <c r="VZ6" s="724"/>
      <c r="WA6" s="724"/>
      <c r="WB6" s="724"/>
      <c r="WC6" s="724"/>
      <c r="WD6" s="724"/>
      <c r="WE6" s="724"/>
      <c r="WF6" s="724"/>
      <c r="WG6" s="724"/>
      <c r="WH6" s="724"/>
      <c r="WI6" s="724"/>
      <c r="WJ6" s="724"/>
      <c r="WK6" s="724"/>
      <c r="WL6" s="724"/>
      <c r="WM6" s="724"/>
      <c r="WN6" s="724"/>
      <c r="WO6" s="724"/>
      <c r="WP6" s="724"/>
      <c r="WQ6" s="724"/>
      <c r="WR6" s="724"/>
      <c r="WS6" s="724"/>
      <c r="WT6" s="724"/>
      <c r="WU6" s="724"/>
      <c r="WV6" s="724"/>
      <c r="WW6" s="724"/>
      <c r="WX6" s="724"/>
      <c r="WY6" s="724"/>
      <c r="WZ6" s="724"/>
      <c r="XA6" s="724"/>
      <c r="XB6" s="724"/>
      <c r="XC6" s="724"/>
      <c r="XD6" s="724"/>
      <c r="XE6" s="724"/>
      <c r="XF6" s="724"/>
      <c r="XG6" s="724"/>
      <c r="XH6" s="724"/>
      <c r="XI6" s="724"/>
      <c r="XJ6" s="724"/>
      <c r="XK6" s="724"/>
      <c r="XL6" s="724"/>
      <c r="XM6" s="724"/>
      <c r="XN6" s="724"/>
      <c r="XO6" s="724"/>
      <c r="XP6" s="724"/>
      <c r="XQ6" s="724"/>
      <c r="XR6" s="724"/>
      <c r="XS6" s="724"/>
      <c r="XT6" s="724"/>
      <c r="XU6" s="724"/>
      <c r="XV6" s="724"/>
      <c r="XW6" s="724"/>
      <c r="XX6" s="724"/>
      <c r="XY6" s="724"/>
      <c r="XZ6" s="724"/>
      <c r="YA6" s="724"/>
      <c r="YB6" s="724"/>
      <c r="YC6" s="724"/>
      <c r="YD6" s="724"/>
      <c r="YE6" s="724"/>
      <c r="YF6" s="724"/>
      <c r="YG6" s="724"/>
      <c r="YH6" s="724"/>
      <c r="YI6" s="724"/>
      <c r="YJ6" s="724"/>
      <c r="YK6" s="724"/>
      <c r="YL6" s="724"/>
      <c r="YM6" s="724"/>
      <c r="YN6" s="724"/>
      <c r="YO6" s="724"/>
      <c r="YP6" s="724"/>
      <c r="YQ6" s="724"/>
      <c r="YR6" s="724"/>
      <c r="YS6" s="724"/>
      <c r="YT6" s="724"/>
      <c r="YU6" s="724"/>
      <c r="YV6" s="724"/>
      <c r="YW6" s="724"/>
      <c r="YX6" s="724"/>
      <c r="YY6" s="724"/>
      <c r="YZ6" s="724"/>
      <c r="ZA6" s="724"/>
      <c r="ZB6" s="724"/>
      <c r="ZC6" s="724"/>
      <c r="ZD6" s="724"/>
      <c r="ZE6" s="724"/>
      <c r="ZF6" s="724"/>
      <c r="ZG6" s="724"/>
      <c r="ZH6" s="724"/>
      <c r="ZI6" s="724"/>
      <c r="ZJ6" s="724"/>
      <c r="ZK6" s="724"/>
      <c r="ZL6" s="724"/>
      <c r="ZM6" s="724"/>
      <c r="ZN6" s="724"/>
      <c r="ZO6" s="724"/>
      <c r="ZP6" s="724"/>
      <c r="ZQ6" s="724"/>
      <c r="ZR6" s="724"/>
      <c r="ZS6" s="724"/>
      <c r="ZT6" s="724"/>
      <c r="ZU6" s="724"/>
      <c r="ZV6" s="724"/>
      <c r="ZW6" s="724"/>
      <c r="ZX6" s="724"/>
      <c r="ZY6" s="724"/>
      <c r="ZZ6" s="724"/>
      <c r="AAA6" s="724"/>
      <c r="AAB6" s="724"/>
      <c r="AAC6" s="724"/>
      <c r="AAD6" s="724"/>
      <c r="AAE6" s="724"/>
      <c r="AAF6" s="724"/>
      <c r="AAG6" s="724"/>
      <c r="AAH6" s="724"/>
      <c r="AAI6" s="724"/>
      <c r="AAJ6" s="724"/>
      <c r="AAK6" s="724"/>
      <c r="AAL6" s="724"/>
      <c r="AAM6" s="724"/>
      <c r="AAN6" s="724"/>
      <c r="AAO6" s="724"/>
      <c r="AAP6" s="724"/>
      <c r="AAQ6" s="724"/>
      <c r="AAR6" s="724"/>
      <c r="AAS6" s="724"/>
      <c r="AAT6" s="724"/>
      <c r="AAU6" s="724"/>
      <c r="AAV6" s="724"/>
      <c r="AAW6" s="724"/>
      <c r="AAX6" s="724"/>
      <c r="AAY6" s="724"/>
      <c r="AAZ6" s="724"/>
      <c r="ABA6" s="724"/>
      <c r="ABB6" s="724"/>
      <c r="ABC6" s="724"/>
      <c r="ABD6" s="724"/>
      <c r="ABE6" s="724"/>
      <c r="ABF6" s="724"/>
      <c r="ABG6" s="724"/>
      <c r="ABH6" s="724"/>
      <c r="ABI6" s="724"/>
      <c r="ABJ6" s="724"/>
      <c r="ABK6" s="724"/>
      <c r="ABL6" s="724"/>
      <c r="ABM6" s="724"/>
      <c r="ABN6" s="724"/>
      <c r="ABO6" s="724"/>
      <c r="ABP6" s="724"/>
      <c r="ABQ6" s="724"/>
      <c r="ABR6" s="724"/>
      <c r="ABS6" s="724"/>
      <c r="ABT6" s="724"/>
      <c r="ABU6" s="724"/>
      <c r="ABV6" s="724"/>
      <c r="ABW6" s="724"/>
      <c r="ABX6" s="724"/>
      <c r="ABY6" s="724"/>
      <c r="ABZ6" s="724"/>
      <c r="ACA6" s="724"/>
      <c r="ACB6" s="724"/>
      <c r="ACC6" s="724"/>
      <c r="ACD6" s="724"/>
      <c r="ACE6" s="724"/>
      <c r="ACF6" s="724"/>
      <c r="ACG6" s="724"/>
      <c r="ACH6" s="724"/>
      <c r="ACI6" s="724"/>
      <c r="ACJ6" s="724"/>
      <c r="ACK6" s="724"/>
      <c r="ACL6" s="724"/>
      <c r="ACM6" s="724"/>
      <c r="ACN6" s="724"/>
      <c r="ACO6" s="724"/>
      <c r="ACP6" s="724"/>
      <c r="ACQ6" s="724"/>
      <c r="ACR6" s="724"/>
      <c r="ACS6" s="724"/>
      <c r="ACT6" s="724"/>
      <c r="ACU6" s="724"/>
      <c r="ACV6" s="724"/>
      <c r="ACW6" s="724"/>
      <c r="ACX6" s="724"/>
      <c r="ACY6" s="724"/>
      <c r="ACZ6" s="724"/>
      <c r="ADA6" s="724"/>
      <c r="ADB6" s="724"/>
      <c r="ADC6" s="724"/>
      <c r="ADD6" s="724"/>
      <c r="ADE6" s="724"/>
      <c r="ADF6" s="724"/>
      <c r="ADG6" s="724"/>
      <c r="ADH6" s="724"/>
      <c r="ADI6" s="724"/>
      <c r="ADJ6" s="724"/>
      <c r="ADK6" s="724"/>
      <c r="ADL6" s="724"/>
      <c r="ADM6" s="724"/>
      <c r="ADN6" s="724"/>
      <c r="ADO6" s="724"/>
      <c r="ADP6" s="724"/>
      <c r="ADQ6" s="724"/>
      <c r="ADR6" s="724"/>
      <c r="ADS6" s="724"/>
      <c r="ADT6" s="724"/>
      <c r="ADU6" s="724"/>
      <c r="ADV6" s="724"/>
      <c r="ADW6" s="724"/>
      <c r="ADX6" s="724"/>
      <c r="ADY6" s="724"/>
      <c r="ADZ6" s="724"/>
      <c r="AEA6" s="724"/>
      <c r="AEB6" s="724"/>
      <c r="AEC6" s="724"/>
      <c r="AED6" s="724"/>
      <c r="AEE6" s="724"/>
      <c r="AEF6" s="724"/>
      <c r="AEG6" s="724"/>
      <c r="AEH6" s="724"/>
      <c r="AEI6" s="724"/>
      <c r="AEJ6" s="724"/>
      <c r="AEK6" s="724"/>
      <c r="AEL6" s="724"/>
      <c r="AEM6" s="724"/>
      <c r="AEN6" s="724"/>
      <c r="AEO6" s="724"/>
      <c r="AEP6" s="724"/>
      <c r="AEQ6" s="724"/>
      <c r="AER6" s="724"/>
      <c r="AES6" s="724"/>
      <c r="AET6" s="724"/>
      <c r="AEU6" s="724"/>
      <c r="AEV6" s="724"/>
      <c r="AEW6" s="724"/>
      <c r="AEX6" s="724"/>
      <c r="AEY6" s="724"/>
      <c r="AEZ6" s="724"/>
      <c r="AFA6" s="724"/>
      <c r="AFB6" s="724"/>
      <c r="AFC6" s="724"/>
      <c r="AFD6" s="724"/>
      <c r="AFE6" s="724"/>
      <c r="AFF6" s="724"/>
      <c r="AFG6" s="724"/>
      <c r="AFH6" s="724"/>
      <c r="AFI6" s="724"/>
      <c r="AFJ6" s="724"/>
      <c r="AFK6" s="724"/>
      <c r="AFL6" s="724"/>
      <c r="AFM6" s="724"/>
      <c r="AFN6" s="724"/>
      <c r="AFO6" s="724"/>
      <c r="AFP6" s="724"/>
      <c r="AFQ6" s="724"/>
      <c r="AFR6" s="724"/>
      <c r="AFS6" s="724"/>
      <c r="AFT6" s="724"/>
      <c r="AFU6" s="724"/>
      <c r="AFV6" s="724"/>
      <c r="AFW6" s="724"/>
      <c r="AFX6" s="724"/>
      <c r="AFY6" s="724"/>
      <c r="AFZ6" s="724"/>
      <c r="AGA6" s="724"/>
      <c r="AGB6" s="724"/>
      <c r="AGC6" s="724"/>
      <c r="AGD6" s="724"/>
      <c r="AGE6" s="724"/>
      <c r="AGF6" s="724"/>
      <c r="AGG6" s="724"/>
      <c r="AGH6" s="724"/>
      <c r="AGI6" s="724"/>
      <c r="AGJ6" s="724"/>
      <c r="AGK6" s="724"/>
      <c r="AGL6" s="724"/>
      <c r="AGM6" s="724"/>
      <c r="AGN6" s="724"/>
      <c r="AGO6" s="724"/>
      <c r="AGP6" s="724"/>
      <c r="AGQ6" s="724"/>
      <c r="AGR6" s="724"/>
      <c r="AGS6" s="724"/>
      <c r="AGT6" s="724"/>
      <c r="AGU6" s="724"/>
      <c r="AGV6" s="724"/>
      <c r="AGW6" s="724"/>
      <c r="AGX6" s="724"/>
      <c r="AGY6" s="724"/>
      <c r="AGZ6" s="724"/>
      <c r="AHA6" s="724"/>
      <c r="AHB6" s="724"/>
      <c r="AHC6" s="724"/>
      <c r="AHD6" s="724"/>
      <c r="AHE6" s="724"/>
      <c r="AHF6" s="724"/>
      <c r="AHG6" s="724"/>
      <c r="AHH6" s="724"/>
      <c r="AHI6" s="724"/>
      <c r="AHJ6" s="724"/>
      <c r="AHK6" s="724"/>
      <c r="AHL6" s="724"/>
      <c r="AHM6" s="724"/>
      <c r="AHN6" s="724"/>
      <c r="AHO6" s="724"/>
      <c r="AHP6" s="724"/>
      <c r="AHQ6" s="724"/>
      <c r="AHR6" s="724"/>
      <c r="AHS6" s="724"/>
      <c r="AHT6" s="724"/>
      <c r="AHU6" s="724"/>
      <c r="AHV6" s="724"/>
      <c r="AHW6" s="724"/>
      <c r="AHX6" s="724"/>
      <c r="AHY6" s="724"/>
      <c r="AHZ6" s="724"/>
      <c r="AIA6" s="724"/>
      <c r="AIB6" s="724"/>
      <c r="AIC6" s="724"/>
      <c r="AID6" s="724"/>
      <c r="AIE6" s="724"/>
      <c r="AIF6" s="724"/>
      <c r="AIG6" s="724"/>
      <c r="AIH6" s="724"/>
      <c r="AII6" s="724"/>
      <c r="AIJ6" s="724"/>
      <c r="AIK6" s="724"/>
      <c r="AIL6" s="724"/>
      <c r="AIM6" s="724"/>
      <c r="AIN6" s="724"/>
      <c r="AIO6" s="724"/>
      <c r="AIP6" s="724"/>
      <c r="AIQ6" s="724"/>
      <c r="AIR6" s="724"/>
      <c r="AIS6" s="724"/>
      <c r="AIT6" s="724"/>
      <c r="AIU6" s="724"/>
      <c r="AIV6" s="724"/>
      <c r="AIW6" s="724"/>
      <c r="AIX6" s="724"/>
      <c r="AIY6" s="724"/>
      <c r="AIZ6" s="724"/>
      <c r="AJA6" s="724"/>
      <c r="AJB6" s="724"/>
      <c r="AJC6" s="724"/>
      <c r="AJD6" s="724"/>
      <c r="AJE6" s="724"/>
      <c r="AJF6" s="724"/>
      <c r="AJG6" s="724"/>
      <c r="AJH6" s="724"/>
      <c r="AJI6" s="724"/>
      <c r="AJJ6" s="724"/>
      <c r="AJK6" s="724"/>
      <c r="AJL6" s="724"/>
      <c r="AJM6" s="724"/>
      <c r="AJN6" s="724"/>
      <c r="AJO6" s="724"/>
      <c r="AJP6" s="724"/>
      <c r="AJQ6" s="724"/>
      <c r="AJR6" s="724"/>
      <c r="AJS6" s="724"/>
      <c r="AJT6" s="724"/>
      <c r="AJU6" s="724"/>
      <c r="AJV6" s="724"/>
      <c r="AJW6" s="724"/>
      <c r="AJX6" s="724"/>
      <c r="AJY6" s="724"/>
      <c r="AJZ6" s="724"/>
      <c r="AKA6" s="724"/>
      <c r="AKB6" s="724"/>
      <c r="AKC6" s="724"/>
      <c r="AKD6" s="724"/>
      <c r="AKE6" s="724"/>
      <c r="AKF6" s="724"/>
      <c r="AKG6" s="724"/>
      <c r="AKH6" s="724"/>
      <c r="AKI6" s="724"/>
      <c r="AKJ6" s="724"/>
      <c r="AKK6" s="724"/>
      <c r="AKL6" s="724"/>
      <c r="AKM6" s="724"/>
      <c r="AKN6" s="724"/>
      <c r="AKO6" s="724"/>
      <c r="AKP6" s="724"/>
      <c r="AKQ6" s="724"/>
      <c r="AKR6" s="724"/>
      <c r="AKS6" s="724"/>
      <c r="AKT6" s="724"/>
      <c r="AKU6" s="724"/>
      <c r="AKV6" s="724"/>
      <c r="AKW6" s="724"/>
      <c r="AKX6" s="724"/>
      <c r="AKY6" s="724"/>
      <c r="AKZ6" s="724"/>
      <c r="ALA6" s="724"/>
      <c r="ALB6" s="724"/>
      <c r="ALC6" s="724"/>
      <c r="ALD6" s="724"/>
      <c r="ALE6" s="724"/>
      <c r="ALF6" s="724"/>
      <c r="ALG6" s="724"/>
      <c r="ALH6" s="724"/>
      <c r="ALI6" s="724"/>
      <c r="ALJ6" s="724"/>
      <c r="ALK6" s="724"/>
      <c r="ALL6" s="724"/>
      <c r="ALM6" s="724"/>
      <c r="ALN6" s="724"/>
      <c r="ALO6" s="724"/>
      <c r="ALP6" s="724"/>
      <c r="ALQ6" s="724"/>
      <c r="ALR6" s="724"/>
      <c r="ALS6" s="724"/>
      <c r="ALT6" s="724"/>
      <c r="ALU6" s="724"/>
      <c r="ALV6" s="724"/>
      <c r="ALW6" s="724"/>
      <c r="ALX6" s="724"/>
      <c r="ALY6" s="724"/>
      <c r="ALZ6" s="724"/>
      <c r="AMA6" s="724"/>
      <c r="AMB6" s="724"/>
      <c r="AMC6" s="724"/>
      <c r="AMD6" s="724"/>
      <c r="AME6" s="724"/>
      <c r="AMF6" s="724"/>
      <c r="AMG6" s="724"/>
      <c r="AMH6" s="724"/>
      <c r="AMI6" s="724"/>
      <c r="AMJ6" s="724"/>
      <c r="AMK6" s="724"/>
      <c r="AML6" s="724"/>
      <c r="AMM6" s="724"/>
      <c r="AMN6" s="724"/>
      <c r="AMO6" s="724"/>
      <c r="AMP6" s="724"/>
      <c r="AMQ6" s="724"/>
      <c r="AMR6" s="724"/>
      <c r="AMS6" s="724"/>
      <c r="AMT6" s="724"/>
      <c r="AMU6" s="724"/>
      <c r="AMV6" s="724"/>
      <c r="AMW6" s="724"/>
      <c r="AMX6" s="724"/>
      <c r="AMY6" s="724"/>
      <c r="AMZ6" s="724"/>
      <c r="ANA6" s="724"/>
      <c r="ANB6" s="724"/>
      <c r="ANC6" s="724"/>
      <c r="AND6" s="724"/>
      <c r="ANE6" s="724"/>
      <c r="ANF6" s="724"/>
      <c r="ANG6" s="724"/>
      <c r="ANH6" s="724"/>
      <c r="ANI6" s="724"/>
      <c r="ANJ6" s="724"/>
      <c r="ANK6" s="724"/>
      <c r="ANL6" s="724"/>
      <c r="ANM6" s="724"/>
      <c r="ANN6" s="724"/>
      <c r="ANO6" s="724"/>
      <c r="ANP6" s="724"/>
      <c r="ANQ6" s="724"/>
      <c r="ANR6" s="724"/>
      <c r="ANS6" s="724"/>
      <c r="ANT6" s="724"/>
      <c r="ANU6" s="724"/>
      <c r="ANV6" s="724"/>
      <c r="ANW6" s="724"/>
      <c r="ANX6" s="724"/>
      <c r="ANY6" s="724"/>
      <c r="ANZ6" s="724"/>
      <c r="AOA6" s="724"/>
      <c r="AOB6" s="724"/>
      <c r="AOC6" s="724"/>
      <c r="AOD6" s="724"/>
      <c r="AOE6" s="724"/>
      <c r="AOF6" s="724"/>
      <c r="AOG6" s="724"/>
      <c r="AOH6" s="724"/>
      <c r="AOI6" s="724"/>
      <c r="AOJ6" s="724"/>
      <c r="AOK6" s="724"/>
      <c r="AOL6" s="724"/>
      <c r="AOM6" s="724"/>
      <c r="AON6" s="724"/>
      <c r="AOO6" s="724"/>
      <c r="AOP6" s="724"/>
      <c r="AOQ6" s="724"/>
      <c r="AOR6" s="724"/>
      <c r="AOS6" s="724"/>
      <c r="AOT6" s="724"/>
      <c r="AOU6" s="724"/>
      <c r="AOV6" s="724"/>
      <c r="AOW6" s="724"/>
      <c r="AOX6" s="724"/>
      <c r="AOY6" s="724"/>
      <c r="AOZ6" s="724"/>
      <c r="APA6" s="724"/>
      <c r="APB6" s="724"/>
      <c r="APC6" s="724"/>
      <c r="APD6" s="724"/>
      <c r="APE6" s="724"/>
      <c r="APF6" s="724"/>
      <c r="APG6" s="724"/>
      <c r="APH6" s="724"/>
      <c r="API6" s="724"/>
      <c r="APJ6" s="724"/>
      <c r="APK6" s="724"/>
      <c r="APL6" s="724"/>
      <c r="APM6" s="724"/>
      <c r="APN6" s="724"/>
      <c r="APO6" s="724"/>
      <c r="APP6" s="724"/>
      <c r="APQ6" s="724"/>
      <c r="APR6" s="724"/>
      <c r="APS6" s="724"/>
      <c r="APT6" s="724"/>
      <c r="APU6" s="724"/>
      <c r="APV6" s="724"/>
      <c r="APW6" s="724"/>
      <c r="APX6" s="724"/>
      <c r="APY6" s="724"/>
      <c r="APZ6" s="724"/>
      <c r="AQA6" s="724"/>
      <c r="AQB6" s="724"/>
      <c r="AQC6" s="724"/>
      <c r="AQD6" s="724"/>
      <c r="AQE6" s="724"/>
      <c r="AQF6" s="724"/>
      <c r="AQG6" s="724"/>
      <c r="AQH6" s="724"/>
      <c r="AQI6" s="724"/>
      <c r="AQJ6" s="724"/>
      <c r="AQK6" s="724"/>
      <c r="AQL6" s="724"/>
      <c r="AQM6" s="724"/>
      <c r="AQN6" s="724"/>
      <c r="AQO6" s="724"/>
      <c r="AQP6" s="724"/>
      <c r="AQQ6" s="724"/>
      <c r="AQR6" s="724"/>
      <c r="AQS6" s="724"/>
      <c r="AQT6" s="724"/>
      <c r="AQU6" s="724"/>
      <c r="AQV6" s="724"/>
      <c r="AQW6" s="724"/>
      <c r="AQX6" s="724"/>
      <c r="AQY6" s="724"/>
      <c r="AQZ6" s="724"/>
      <c r="ARA6" s="724"/>
      <c r="ARB6" s="724"/>
      <c r="ARC6" s="724"/>
      <c r="ARD6" s="724"/>
      <c r="ARE6" s="724"/>
      <c r="ARF6" s="724"/>
      <c r="ARG6" s="724"/>
      <c r="ARH6" s="724"/>
      <c r="ARI6" s="724"/>
      <c r="ARJ6" s="724"/>
      <c r="ARK6" s="724"/>
      <c r="ARL6" s="724"/>
      <c r="ARM6" s="724"/>
      <c r="ARN6" s="724"/>
      <c r="ARO6" s="724"/>
      <c r="ARP6" s="724"/>
      <c r="ARQ6" s="724"/>
      <c r="ARR6" s="724"/>
      <c r="ARS6" s="724"/>
      <c r="ART6" s="724"/>
      <c r="ARU6" s="724"/>
      <c r="ARV6" s="724"/>
      <c r="ARW6" s="724"/>
      <c r="ARX6" s="724"/>
      <c r="ARY6" s="724"/>
      <c r="ARZ6" s="724"/>
      <c r="ASA6" s="724"/>
      <c r="ASB6" s="724"/>
      <c r="ASC6" s="724"/>
      <c r="ASD6" s="724"/>
      <c r="ASE6" s="724"/>
      <c r="ASF6" s="724"/>
      <c r="ASG6" s="724"/>
      <c r="ASH6" s="724"/>
      <c r="ASI6" s="724"/>
      <c r="ASJ6" s="724"/>
      <c r="ASK6" s="724"/>
      <c r="ASL6" s="724"/>
      <c r="ASM6" s="724"/>
      <c r="ASN6" s="724"/>
      <c r="ASO6" s="724"/>
      <c r="ASP6" s="724"/>
      <c r="ASQ6" s="724"/>
      <c r="ASR6" s="724"/>
      <c r="ASS6" s="724"/>
      <c r="AST6" s="724"/>
      <c r="ASU6" s="724"/>
      <c r="ASV6" s="724"/>
      <c r="ASW6" s="724"/>
      <c r="ASX6" s="724"/>
      <c r="ASY6" s="724"/>
      <c r="ASZ6" s="724"/>
      <c r="ATA6" s="724"/>
      <c r="ATB6" s="724"/>
      <c r="ATC6" s="724"/>
      <c r="ATD6" s="724"/>
      <c r="ATE6" s="724"/>
      <c r="ATF6" s="724"/>
      <c r="ATG6" s="724"/>
      <c r="ATH6" s="724"/>
      <c r="ATI6" s="724"/>
      <c r="ATJ6" s="724"/>
      <c r="ATK6" s="724"/>
      <c r="ATL6" s="724"/>
      <c r="ATM6" s="724"/>
      <c r="ATN6" s="724"/>
      <c r="ATO6" s="724"/>
      <c r="ATP6" s="724"/>
      <c r="ATQ6" s="724"/>
      <c r="ATR6" s="724"/>
      <c r="ATS6" s="724"/>
      <c r="ATT6" s="724"/>
      <c r="ATU6" s="724"/>
      <c r="ATV6" s="724"/>
      <c r="ATW6" s="724"/>
      <c r="ATX6" s="724"/>
      <c r="ATY6" s="724"/>
      <c r="ATZ6" s="724"/>
      <c r="AUA6" s="724"/>
      <c r="AUB6" s="724"/>
      <c r="AUC6" s="724"/>
      <c r="AUD6" s="724"/>
      <c r="AUE6" s="724"/>
      <c r="AUF6" s="724"/>
      <c r="AUG6" s="724"/>
      <c r="AUH6" s="724"/>
      <c r="AUI6" s="724"/>
      <c r="AUJ6" s="724"/>
      <c r="AUK6" s="724"/>
      <c r="AUL6" s="724"/>
      <c r="AUM6" s="724"/>
      <c r="AUN6" s="724"/>
      <c r="AUO6" s="724"/>
      <c r="AUP6" s="724"/>
      <c r="AUQ6" s="724"/>
      <c r="AUR6" s="724"/>
      <c r="AUS6" s="724"/>
      <c r="AUT6" s="724"/>
      <c r="AUU6" s="724"/>
      <c r="AUV6" s="724"/>
      <c r="AUW6" s="724"/>
      <c r="AUX6" s="724"/>
      <c r="AUY6" s="724"/>
      <c r="AUZ6" s="724"/>
      <c r="AVA6" s="724"/>
      <c r="AVB6" s="724"/>
      <c r="AVC6" s="724"/>
      <c r="AVD6" s="724"/>
      <c r="AVE6" s="724"/>
      <c r="AVF6" s="724"/>
      <c r="AVG6" s="724"/>
      <c r="AVH6" s="724"/>
      <c r="AVI6" s="724"/>
      <c r="AVJ6" s="724"/>
      <c r="AVK6" s="724"/>
      <c r="AVL6" s="724"/>
      <c r="AVM6" s="724"/>
      <c r="AVN6" s="724"/>
      <c r="AVO6" s="724"/>
      <c r="AVP6" s="724"/>
      <c r="AVQ6" s="724"/>
      <c r="AVR6" s="724"/>
      <c r="AVS6" s="724"/>
      <c r="AVT6" s="724"/>
      <c r="AVU6" s="724"/>
      <c r="AVV6" s="724"/>
      <c r="AVW6" s="724"/>
      <c r="AVX6" s="724"/>
      <c r="AVY6" s="724"/>
      <c r="AVZ6" s="724"/>
      <c r="AWA6" s="724"/>
      <c r="AWB6" s="724"/>
      <c r="AWC6" s="724"/>
      <c r="AWD6" s="724"/>
      <c r="AWE6" s="724"/>
      <c r="AWF6" s="724"/>
      <c r="AWG6" s="724"/>
      <c r="AWH6" s="724"/>
      <c r="AWI6" s="724"/>
      <c r="AWJ6" s="724"/>
      <c r="AWK6" s="724"/>
      <c r="AWL6" s="724"/>
      <c r="AWM6" s="724"/>
      <c r="AWN6" s="724"/>
      <c r="AWO6" s="724"/>
      <c r="AWP6" s="724"/>
      <c r="AWQ6" s="724"/>
      <c r="AWR6" s="724"/>
      <c r="AWS6" s="724"/>
      <c r="AWT6" s="724"/>
      <c r="AWU6" s="724"/>
      <c r="AWV6" s="724"/>
      <c r="AWW6" s="724"/>
      <c r="AWX6" s="724"/>
      <c r="AWY6" s="724"/>
      <c r="AWZ6" s="724"/>
      <c r="AXA6" s="724"/>
      <c r="AXB6" s="724"/>
      <c r="AXC6" s="724"/>
      <c r="AXD6" s="724"/>
      <c r="AXE6" s="724"/>
      <c r="AXF6" s="724"/>
      <c r="AXG6" s="724"/>
      <c r="AXH6" s="724"/>
      <c r="AXI6" s="724"/>
      <c r="AXJ6" s="724"/>
      <c r="AXK6" s="724"/>
      <c r="AXL6" s="724"/>
      <c r="AXM6" s="724"/>
      <c r="AXN6" s="724"/>
      <c r="AXO6" s="724"/>
      <c r="AXP6" s="724"/>
      <c r="AXQ6" s="724"/>
      <c r="AXR6" s="724"/>
      <c r="AXS6" s="724"/>
      <c r="AXT6" s="724"/>
      <c r="AXU6" s="724"/>
      <c r="AXV6" s="724"/>
      <c r="AXW6" s="724"/>
      <c r="AXX6" s="724"/>
      <c r="AXY6" s="724"/>
      <c r="AXZ6" s="724"/>
      <c r="AYA6" s="724"/>
      <c r="AYB6" s="724"/>
      <c r="AYC6" s="724"/>
      <c r="AYD6" s="724"/>
      <c r="AYE6" s="724"/>
      <c r="AYF6" s="724"/>
      <c r="AYG6" s="724"/>
      <c r="AYH6" s="724"/>
      <c r="AYI6" s="724"/>
      <c r="AYJ6" s="724"/>
      <c r="AYK6" s="724"/>
      <c r="AYL6" s="724"/>
      <c r="AYM6" s="724"/>
      <c r="AYN6" s="724"/>
      <c r="AYO6" s="724"/>
      <c r="AYP6" s="724"/>
      <c r="AYQ6" s="724"/>
      <c r="AYR6" s="724"/>
      <c r="AYS6" s="724"/>
      <c r="AYT6" s="724"/>
      <c r="AYU6" s="724"/>
      <c r="AYV6" s="724"/>
      <c r="AYW6" s="724"/>
      <c r="AYX6" s="724"/>
      <c r="AYY6" s="724"/>
      <c r="AYZ6" s="724"/>
      <c r="AZA6" s="724"/>
      <c r="AZB6" s="724"/>
      <c r="AZC6" s="724"/>
      <c r="AZD6" s="724"/>
      <c r="AZE6" s="724"/>
      <c r="AZF6" s="724"/>
      <c r="AZG6" s="724"/>
      <c r="AZH6" s="724"/>
      <c r="AZI6" s="724"/>
      <c r="AZJ6" s="724"/>
      <c r="AZK6" s="724"/>
      <c r="AZL6" s="724"/>
      <c r="AZM6" s="724"/>
      <c r="AZN6" s="724"/>
      <c r="AZO6" s="724"/>
      <c r="AZP6" s="724"/>
      <c r="AZQ6" s="724"/>
      <c r="AZR6" s="724"/>
      <c r="AZS6" s="724"/>
      <c r="AZT6" s="724"/>
      <c r="AZU6" s="724"/>
      <c r="AZV6" s="724"/>
      <c r="AZW6" s="724"/>
      <c r="AZX6" s="724"/>
      <c r="AZY6" s="724"/>
      <c r="AZZ6" s="724"/>
      <c r="BAA6" s="724"/>
      <c r="BAB6" s="724"/>
      <c r="BAC6" s="724"/>
      <c r="BAD6" s="724"/>
      <c r="BAE6" s="724"/>
      <c r="BAF6" s="724"/>
      <c r="BAG6" s="724"/>
      <c r="BAH6" s="724"/>
      <c r="BAI6" s="724"/>
      <c r="BAJ6" s="724"/>
      <c r="BAK6" s="724"/>
      <c r="BAL6" s="724"/>
      <c r="BAM6" s="724"/>
      <c r="BAN6" s="724"/>
      <c r="BAO6" s="724"/>
      <c r="BAP6" s="724"/>
      <c r="BAQ6" s="724"/>
      <c r="BAR6" s="724"/>
      <c r="BAS6" s="724"/>
      <c r="BAT6" s="724"/>
      <c r="BAU6" s="724"/>
      <c r="BAV6" s="724"/>
      <c r="BAW6" s="724"/>
      <c r="BAX6" s="724"/>
      <c r="BAY6" s="724"/>
      <c r="BAZ6" s="724"/>
      <c r="BBA6" s="724"/>
      <c r="BBB6" s="724"/>
      <c r="BBC6" s="724"/>
      <c r="BBD6" s="724"/>
      <c r="BBE6" s="724"/>
      <c r="BBF6" s="724"/>
      <c r="BBG6" s="724"/>
      <c r="BBH6" s="724"/>
      <c r="BBI6" s="724"/>
      <c r="BBJ6" s="724"/>
      <c r="BBK6" s="724"/>
      <c r="BBL6" s="724"/>
      <c r="BBM6" s="724"/>
      <c r="BBN6" s="724"/>
      <c r="BBO6" s="724"/>
      <c r="BBP6" s="724"/>
      <c r="BBQ6" s="724"/>
      <c r="BBR6" s="724"/>
      <c r="BBS6" s="724"/>
      <c r="BBT6" s="724"/>
      <c r="BBU6" s="724"/>
      <c r="BBV6" s="724"/>
      <c r="BBW6" s="724"/>
      <c r="BBX6" s="724"/>
      <c r="BBY6" s="724"/>
      <c r="BBZ6" s="724"/>
      <c r="BCA6" s="724"/>
      <c r="BCB6" s="724"/>
      <c r="BCC6" s="724"/>
      <c r="BCD6" s="724"/>
      <c r="BCE6" s="724"/>
      <c r="BCF6" s="724"/>
      <c r="BCG6" s="724"/>
      <c r="BCH6" s="724"/>
      <c r="BCI6" s="724"/>
      <c r="BCJ6" s="724"/>
      <c r="BCK6" s="724"/>
      <c r="BCL6" s="724"/>
      <c r="BCM6" s="724"/>
      <c r="BCN6" s="724"/>
      <c r="BCO6" s="724"/>
      <c r="BCP6" s="724"/>
      <c r="BCQ6" s="724"/>
      <c r="BCR6" s="724"/>
      <c r="BCS6" s="724"/>
      <c r="BCT6" s="724"/>
      <c r="BCU6" s="724"/>
      <c r="BCV6" s="724"/>
      <c r="BCW6" s="724"/>
      <c r="BCX6" s="724"/>
      <c r="BCY6" s="724"/>
      <c r="BCZ6" s="724"/>
      <c r="BDA6" s="724"/>
      <c r="BDB6" s="724"/>
      <c r="BDC6" s="724"/>
      <c r="BDD6" s="724"/>
      <c r="BDE6" s="724"/>
      <c r="BDF6" s="724"/>
      <c r="BDG6" s="724"/>
      <c r="BDH6" s="724"/>
      <c r="BDI6" s="724"/>
      <c r="BDJ6" s="724"/>
      <c r="BDK6" s="724"/>
      <c r="BDL6" s="724"/>
      <c r="BDM6" s="724"/>
      <c r="BDN6" s="724"/>
      <c r="BDO6" s="724"/>
      <c r="BDP6" s="724"/>
      <c r="BDQ6" s="724"/>
      <c r="BDR6" s="724"/>
      <c r="BDS6" s="724"/>
      <c r="BDT6" s="724"/>
      <c r="BDU6" s="724"/>
      <c r="BDV6" s="724"/>
      <c r="BDW6" s="724"/>
      <c r="BDX6" s="724"/>
      <c r="BDY6" s="724"/>
      <c r="BDZ6" s="724"/>
      <c r="BEA6" s="724"/>
      <c r="BEB6" s="724"/>
      <c r="BEC6" s="724"/>
      <c r="BED6" s="724"/>
      <c r="BEE6" s="724"/>
      <c r="BEF6" s="724"/>
      <c r="BEG6" s="724"/>
      <c r="BEH6" s="724"/>
      <c r="BEI6" s="724"/>
      <c r="BEJ6" s="724"/>
      <c r="BEK6" s="724"/>
      <c r="BEL6" s="724"/>
      <c r="BEM6" s="724"/>
      <c r="BEN6" s="724"/>
      <c r="BEO6" s="724"/>
      <c r="BEP6" s="724"/>
      <c r="BEQ6" s="724"/>
      <c r="BER6" s="724"/>
      <c r="BES6" s="724"/>
      <c r="BET6" s="724"/>
      <c r="BEU6" s="724"/>
      <c r="BEV6" s="724"/>
      <c r="BEW6" s="724"/>
      <c r="BEX6" s="724"/>
      <c r="BEY6" s="724"/>
      <c r="BEZ6" s="724"/>
      <c r="BFA6" s="724"/>
      <c r="BFB6" s="724"/>
      <c r="BFC6" s="724"/>
      <c r="BFD6" s="724"/>
      <c r="BFE6" s="724"/>
      <c r="BFF6" s="724"/>
      <c r="BFG6" s="724"/>
      <c r="BFH6" s="724"/>
      <c r="BFI6" s="724"/>
      <c r="BFJ6" s="724"/>
      <c r="BFK6" s="724"/>
      <c r="BFL6" s="724"/>
      <c r="BFM6" s="724"/>
      <c r="BFN6" s="724"/>
      <c r="BFO6" s="724"/>
      <c r="BFP6" s="724"/>
      <c r="BFQ6" s="724"/>
      <c r="BFR6" s="724"/>
      <c r="BFS6" s="724"/>
      <c r="BFT6" s="724"/>
      <c r="BFU6" s="724"/>
      <c r="BFV6" s="724"/>
      <c r="BFW6" s="724"/>
      <c r="BFX6" s="724"/>
      <c r="BFY6" s="724"/>
      <c r="BFZ6" s="724"/>
      <c r="BGA6" s="724"/>
      <c r="BGB6" s="724"/>
      <c r="BGC6" s="724"/>
      <c r="BGD6" s="724"/>
      <c r="BGE6" s="724"/>
      <c r="BGF6" s="724"/>
      <c r="BGG6" s="724"/>
      <c r="BGH6" s="724"/>
      <c r="BGI6" s="724"/>
      <c r="BGJ6" s="724"/>
      <c r="BGK6" s="724"/>
      <c r="BGL6" s="724"/>
      <c r="BGM6" s="724"/>
      <c r="BGN6" s="724"/>
      <c r="BGO6" s="724"/>
      <c r="BGP6" s="724"/>
      <c r="BGQ6" s="724"/>
      <c r="BGR6" s="724"/>
      <c r="BGS6" s="724"/>
      <c r="BGT6" s="724"/>
      <c r="BGU6" s="724"/>
      <c r="BGV6" s="724"/>
      <c r="BGW6" s="724"/>
      <c r="BGX6" s="724"/>
      <c r="BGY6" s="724"/>
      <c r="BGZ6" s="724"/>
      <c r="BHA6" s="724"/>
      <c r="BHB6" s="724"/>
      <c r="BHC6" s="724"/>
      <c r="BHD6" s="724"/>
      <c r="BHE6" s="724"/>
      <c r="BHF6" s="724"/>
      <c r="BHG6" s="724"/>
      <c r="BHH6" s="724"/>
      <c r="BHI6" s="724"/>
      <c r="BHJ6" s="724"/>
      <c r="BHK6" s="724"/>
      <c r="BHL6" s="724"/>
      <c r="BHM6" s="724"/>
      <c r="BHN6" s="724"/>
      <c r="BHO6" s="724"/>
      <c r="BHP6" s="724"/>
      <c r="BHQ6" s="724"/>
      <c r="BHR6" s="724"/>
      <c r="BHS6" s="724"/>
      <c r="BHT6" s="724"/>
      <c r="BHU6" s="724"/>
      <c r="BHV6" s="724"/>
      <c r="BHW6" s="724"/>
      <c r="BHX6" s="724"/>
      <c r="BHY6" s="724"/>
      <c r="BHZ6" s="724"/>
      <c r="BIA6" s="724"/>
      <c r="BIB6" s="724"/>
      <c r="BIC6" s="724"/>
      <c r="BID6" s="724"/>
      <c r="BIE6" s="724"/>
      <c r="BIF6" s="724"/>
      <c r="BIG6" s="724"/>
      <c r="BIH6" s="724"/>
      <c r="BII6" s="724"/>
      <c r="BIJ6" s="724"/>
      <c r="BIK6" s="724"/>
      <c r="BIL6" s="724"/>
      <c r="BIM6" s="724"/>
      <c r="BIN6" s="724"/>
      <c r="BIO6" s="724"/>
      <c r="BIP6" s="724"/>
      <c r="BIQ6" s="724"/>
      <c r="BIR6" s="724"/>
      <c r="BIS6" s="724"/>
      <c r="BIT6" s="724"/>
      <c r="BIU6" s="724"/>
      <c r="BIV6" s="724"/>
      <c r="BIW6" s="724"/>
      <c r="BIX6" s="724"/>
      <c r="BIY6" s="724"/>
      <c r="BIZ6" s="724"/>
      <c r="BJA6" s="724"/>
      <c r="BJB6" s="724"/>
      <c r="BJC6" s="724"/>
      <c r="BJD6" s="724"/>
      <c r="BJE6" s="724"/>
      <c r="BJF6" s="724"/>
      <c r="BJG6" s="724"/>
      <c r="BJH6" s="724"/>
      <c r="BJI6" s="724"/>
      <c r="BJJ6" s="724"/>
      <c r="BJK6" s="724"/>
      <c r="BJL6" s="724"/>
      <c r="BJM6" s="724"/>
      <c r="BJN6" s="724"/>
      <c r="BJO6" s="724"/>
      <c r="BJP6" s="724"/>
      <c r="BJQ6" s="724"/>
      <c r="BJR6" s="724"/>
      <c r="BJS6" s="724"/>
      <c r="BJT6" s="724"/>
      <c r="BJU6" s="724"/>
      <c r="BJV6" s="724"/>
      <c r="BJW6" s="724"/>
      <c r="BJX6" s="724"/>
      <c r="BJY6" s="724"/>
      <c r="BJZ6" s="724"/>
      <c r="BKA6" s="724"/>
      <c r="BKB6" s="724"/>
      <c r="BKC6" s="724"/>
      <c r="BKD6" s="724"/>
      <c r="BKE6" s="724"/>
      <c r="BKF6" s="724"/>
      <c r="BKG6" s="724"/>
      <c r="BKH6" s="724"/>
      <c r="BKI6" s="724"/>
      <c r="BKJ6" s="724"/>
      <c r="BKK6" s="724"/>
      <c r="BKL6" s="724"/>
      <c r="BKM6" s="724"/>
      <c r="BKN6" s="724"/>
      <c r="BKO6" s="724"/>
      <c r="BKP6" s="724"/>
      <c r="BKQ6" s="724"/>
      <c r="BKR6" s="724"/>
      <c r="BKS6" s="724"/>
      <c r="BKT6" s="724"/>
      <c r="BKU6" s="724"/>
      <c r="BKV6" s="724"/>
      <c r="BKW6" s="724"/>
      <c r="BKX6" s="724"/>
      <c r="BKY6" s="724"/>
      <c r="BKZ6" s="724"/>
      <c r="BLA6" s="724"/>
      <c r="BLB6" s="724"/>
      <c r="BLC6" s="724"/>
      <c r="BLD6" s="724"/>
      <c r="BLE6" s="724"/>
      <c r="BLF6" s="724"/>
      <c r="BLG6" s="724"/>
      <c r="BLH6" s="724"/>
      <c r="BLI6" s="724"/>
      <c r="BLJ6" s="724"/>
      <c r="BLK6" s="724"/>
      <c r="BLL6" s="724"/>
      <c r="BLM6" s="724"/>
      <c r="BLN6" s="724"/>
      <c r="BLO6" s="724"/>
      <c r="BLP6" s="724"/>
      <c r="BLQ6" s="724"/>
      <c r="BLR6" s="724"/>
      <c r="BLS6" s="724"/>
      <c r="BLT6" s="724"/>
      <c r="BLU6" s="724"/>
      <c r="BLV6" s="724"/>
      <c r="BLW6" s="724"/>
      <c r="BLX6" s="724"/>
      <c r="BLY6" s="724"/>
      <c r="BLZ6" s="724"/>
      <c r="BMA6" s="724"/>
      <c r="BMB6" s="724"/>
      <c r="BMC6" s="724"/>
      <c r="BMD6" s="724"/>
      <c r="BME6" s="724"/>
      <c r="BMF6" s="724"/>
      <c r="BMG6" s="724"/>
      <c r="BMH6" s="724"/>
      <c r="BMI6" s="724"/>
      <c r="BMJ6" s="724"/>
      <c r="BMK6" s="724"/>
      <c r="BML6" s="724"/>
      <c r="BMM6" s="724"/>
      <c r="BMN6" s="724"/>
      <c r="BMO6" s="724"/>
      <c r="BMP6" s="724"/>
      <c r="BMQ6" s="724"/>
      <c r="BMR6" s="724"/>
      <c r="BMS6" s="724"/>
      <c r="BMT6" s="724"/>
      <c r="BMU6" s="724"/>
      <c r="BMV6" s="724"/>
      <c r="BMW6" s="724"/>
      <c r="BMX6" s="724"/>
      <c r="BMY6" s="724"/>
      <c r="BMZ6" s="724"/>
      <c r="BNA6" s="724"/>
      <c r="BNB6" s="724"/>
      <c r="BNC6" s="724"/>
      <c r="BND6" s="724"/>
      <c r="BNE6" s="724"/>
      <c r="BNF6" s="724"/>
      <c r="BNG6" s="724"/>
      <c r="BNH6" s="724"/>
      <c r="BNI6" s="724"/>
      <c r="BNJ6" s="724"/>
      <c r="BNK6" s="724"/>
      <c r="BNL6" s="724"/>
      <c r="BNM6" s="724"/>
      <c r="BNN6" s="724"/>
      <c r="BNO6" s="724"/>
      <c r="BNP6" s="724"/>
      <c r="BNQ6" s="724"/>
      <c r="BNR6" s="724"/>
      <c r="BNS6" s="724"/>
      <c r="BNT6" s="724"/>
      <c r="BNU6" s="724"/>
      <c r="BNV6" s="724"/>
      <c r="BNW6" s="724"/>
      <c r="BNX6" s="724"/>
      <c r="BNY6" s="724"/>
      <c r="BNZ6" s="724"/>
      <c r="BOA6" s="724"/>
      <c r="BOB6" s="724"/>
      <c r="BOC6" s="724"/>
      <c r="BOD6" s="724"/>
      <c r="BOE6" s="724"/>
      <c r="BOF6" s="724"/>
      <c r="BOG6" s="724"/>
      <c r="BOH6" s="724"/>
      <c r="BOI6" s="724"/>
      <c r="BOJ6" s="724"/>
      <c r="BOK6" s="724"/>
      <c r="BOL6" s="724"/>
      <c r="BOM6" s="724"/>
      <c r="BON6" s="724"/>
      <c r="BOO6" s="724"/>
      <c r="BOP6" s="724"/>
      <c r="BOQ6" s="724"/>
      <c r="BOR6" s="724"/>
      <c r="BOS6" s="724"/>
      <c r="BOT6" s="724"/>
      <c r="BOU6" s="724"/>
      <c r="BOV6" s="724"/>
      <c r="BOW6" s="724"/>
      <c r="BOX6" s="724"/>
      <c r="BOY6" s="724"/>
      <c r="BOZ6" s="724"/>
      <c r="BPA6" s="724"/>
      <c r="BPB6" s="724"/>
      <c r="BPC6" s="724"/>
      <c r="BPD6" s="724"/>
      <c r="BPE6" s="724"/>
      <c r="BPF6" s="724"/>
      <c r="BPG6" s="724"/>
      <c r="BPH6" s="724"/>
      <c r="BPI6" s="724"/>
      <c r="BPJ6" s="724"/>
      <c r="BPK6" s="724"/>
      <c r="BPL6" s="724"/>
      <c r="BPM6" s="724"/>
      <c r="BPN6" s="724"/>
      <c r="BPO6" s="724"/>
      <c r="BPP6" s="724"/>
      <c r="BPQ6" s="724"/>
      <c r="BPR6" s="724"/>
      <c r="BPS6" s="724"/>
      <c r="BPT6" s="724"/>
      <c r="BPU6" s="724"/>
      <c r="BPV6" s="724"/>
      <c r="BPW6" s="724"/>
      <c r="BPX6" s="724"/>
      <c r="BPY6" s="724"/>
      <c r="BPZ6" s="724"/>
      <c r="BQA6" s="724"/>
      <c r="BQB6" s="724"/>
      <c r="BQC6" s="724"/>
      <c r="BQD6" s="724"/>
      <c r="BQE6" s="724"/>
      <c r="BQF6" s="724"/>
      <c r="BQG6" s="724"/>
      <c r="BQH6" s="724"/>
      <c r="BQI6" s="724"/>
      <c r="BQJ6" s="724"/>
      <c r="BQK6" s="724"/>
      <c r="BQL6" s="724"/>
      <c r="BQM6" s="724"/>
      <c r="BQN6" s="724"/>
      <c r="BQO6" s="724"/>
      <c r="BQP6" s="724"/>
      <c r="BQQ6" s="724"/>
      <c r="BQR6" s="724"/>
      <c r="BQS6" s="724"/>
      <c r="BQT6" s="724"/>
      <c r="BQU6" s="724"/>
      <c r="BQV6" s="724"/>
      <c r="BQW6" s="724"/>
      <c r="BQX6" s="724"/>
      <c r="BQY6" s="724"/>
      <c r="BQZ6" s="724"/>
      <c r="BRA6" s="724"/>
      <c r="BRB6" s="724"/>
      <c r="BRC6" s="724"/>
      <c r="BRD6" s="724"/>
      <c r="BRE6" s="724"/>
      <c r="BRF6" s="724"/>
      <c r="BRG6" s="724"/>
      <c r="BRH6" s="724"/>
      <c r="BRI6" s="724"/>
      <c r="BRJ6" s="724"/>
      <c r="BRK6" s="724"/>
      <c r="BRL6" s="724"/>
      <c r="BRM6" s="724"/>
      <c r="BRN6" s="724"/>
      <c r="BRO6" s="724"/>
      <c r="BRP6" s="724"/>
      <c r="BRQ6" s="724"/>
      <c r="BRR6" s="724"/>
      <c r="BRS6" s="724"/>
      <c r="BRT6" s="724"/>
      <c r="BRU6" s="724"/>
      <c r="BRV6" s="724"/>
      <c r="BRW6" s="724"/>
      <c r="BRX6" s="724"/>
      <c r="BRY6" s="724"/>
      <c r="BRZ6" s="724"/>
      <c r="BSA6" s="724"/>
      <c r="BSB6" s="724"/>
      <c r="BSC6" s="724"/>
      <c r="BSD6" s="724"/>
      <c r="BSE6" s="724"/>
      <c r="BSF6" s="724"/>
      <c r="BSG6" s="724"/>
      <c r="BSH6" s="724"/>
      <c r="BSI6" s="724"/>
      <c r="BSJ6" s="724"/>
      <c r="BSK6" s="724"/>
      <c r="BSL6" s="724"/>
      <c r="BSM6" s="724"/>
      <c r="BSN6" s="724"/>
      <c r="BSO6" s="724"/>
      <c r="BSP6" s="724"/>
      <c r="BSQ6" s="724"/>
      <c r="BSR6" s="724"/>
      <c r="BSS6" s="724"/>
      <c r="BST6" s="724"/>
      <c r="BSU6" s="724"/>
      <c r="BSV6" s="724"/>
      <c r="BSW6" s="724"/>
      <c r="BSX6" s="724"/>
      <c r="BSY6" s="724"/>
      <c r="BSZ6" s="724"/>
      <c r="BTA6" s="724"/>
      <c r="BTB6" s="724"/>
      <c r="BTC6" s="724"/>
      <c r="BTD6" s="724"/>
      <c r="BTE6" s="724"/>
      <c r="BTF6" s="724"/>
      <c r="BTG6" s="724"/>
      <c r="BTH6" s="724"/>
      <c r="BTI6" s="724"/>
      <c r="BTJ6" s="724"/>
      <c r="BTK6" s="724"/>
      <c r="BTL6" s="724"/>
      <c r="BTM6" s="724"/>
      <c r="BTN6" s="724"/>
      <c r="BTO6" s="724"/>
      <c r="BTP6" s="724"/>
      <c r="BTQ6" s="724"/>
      <c r="BTR6" s="724"/>
      <c r="BTS6" s="724"/>
      <c r="BTT6" s="724"/>
      <c r="BTU6" s="724"/>
      <c r="BTV6" s="724"/>
      <c r="BTW6" s="724"/>
      <c r="BTX6" s="724"/>
      <c r="BTY6" s="724"/>
      <c r="BTZ6" s="724"/>
      <c r="BUA6" s="724"/>
      <c r="BUB6" s="724"/>
      <c r="BUC6" s="724"/>
      <c r="BUD6" s="724"/>
      <c r="BUE6" s="724"/>
      <c r="BUF6" s="724"/>
      <c r="BUG6" s="724"/>
      <c r="BUH6" s="724"/>
      <c r="BUI6" s="724"/>
      <c r="BUJ6" s="724"/>
      <c r="BUK6" s="724"/>
      <c r="BUL6" s="724"/>
      <c r="BUM6" s="724"/>
      <c r="BUN6" s="724"/>
      <c r="BUO6" s="724"/>
      <c r="BUP6" s="724"/>
      <c r="BUQ6" s="724"/>
      <c r="BUR6" s="724"/>
      <c r="BUS6" s="724"/>
      <c r="BUT6" s="724"/>
      <c r="BUU6" s="724"/>
      <c r="BUV6" s="724"/>
      <c r="BUW6" s="724"/>
      <c r="BUX6" s="724"/>
      <c r="BUY6" s="724"/>
      <c r="BUZ6" s="724"/>
      <c r="BVA6" s="724"/>
      <c r="BVB6" s="724"/>
      <c r="BVC6" s="724"/>
      <c r="BVD6" s="724"/>
      <c r="BVE6" s="724"/>
      <c r="BVF6" s="724"/>
      <c r="BVG6" s="724"/>
      <c r="BVH6" s="724"/>
      <c r="BVI6" s="724"/>
      <c r="BVJ6" s="724"/>
      <c r="BVK6" s="724"/>
      <c r="BVL6" s="724"/>
      <c r="BVM6" s="724"/>
      <c r="BVN6" s="724"/>
      <c r="BVO6" s="724"/>
      <c r="BVP6" s="724"/>
      <c r="BVQ6" s="724"/>
      <c r="BVR6" s="724"/>
      <c r="BVS6" s="724"/>
      <c r="BVT6" s="724"/>
      <c r="BVU6" s="724"/>
      <c r="BVV6" s="724"/>
      <c r="BVW6" s="724"/>
      <c r="BVX6" s="724"/>
      <c r="BVY6" s="724"/>
      <c r="BVZ6" s="724"/>
      <c r="BWA6" s="724"/>
      <c r="BWB6" s="724"/>
      <c r="BWC6" s="724"/>
      <c r="BWD6" s="724"/>
      <c r="BWE6" s="724"/>
      <c r="BWF6" s="724"/>
      <c r="BWG6" s="724"/>
      <c r="BWH6" s="724"/>
      <c r="BWI6" s="724"/>
      <c r="BWJ6" s="724"/>
      <c r="BWK6" s="724"/>
      <c r="BWL6" s="724"/>
      <c r="BWM6" s="724"/>
      <c r="BWN6" s="724"/>
      <c r="BWO6" s="724"/>
      <c r="BWP6" s="724"/>
      <c r="BWQ6" s="724"/>
      <c r="BWR6" s="724"/>
      <c r="BWS6" s="724"/>
      <c r="BWT6" s="724"/>
      <c r="BWU6" s="724"/>
      <c r="BWV6" s="724"/>
      <c r="BWW6" s="724"/>
      <c r="BWX6" s="724"/>
      <c r="BWY6" s="724"/>
      <c r="BWZ6" s="724"/>
      <c r="BXA6" s="724"/>
      <c r="BXB6" s="724"/>
      <c r="BXC6" s="724"/>
      <c r="BXD6" s="724"/>
      <c r="BXE6" s="724"/>
      <c r="BXF6" s="724"/>
      <c r="BXG6" s="724"/>
      <c r="BXH6" s="724"/>
      <c r="BXI6" s="724"/>
      <c r="BXJ6" s="724"/>
      <c r="BXK6" s="724"/>
      <c r="BXL6" s="724"/>
      <c r="BXM6" s="724"/>
      <c r="BXN6" s="724"/>
      <c r="BXO6" s="724"/>
      <c r="BXP6" s="724"/>
      <c r="BXQ6" s="724"/>
      <c r="BXR6" s="724"/>
      <c r="BXS6" s="724"/>
      <c r="BXT6" s="724"/>
      <c r="BXU6" s="724"/>
      <c r="BXV6" s="724"/>
      <c r="BXW6" s="724"/>
      <c r="BXX6" s="724"/>
      <c r="BXY6" s="724"/>
      <c r="BXZ6" s="724"/>
    </row>
    <row r="7" spans="1:2002" ht="15">
      <c r="A7" s="717"/>
      <c r="B7" s="706"/>
      <c r="C7" s="725" t="s">
        <v>27</v>
      </c>
      <c r="D7" s="726">
        <f>D5-D6</f>
        <v>-395000</v>
      </c>
      <c r="E7" s="726">
        <f>E5-E6</f>
        <v>77000</v>
      </c>
      <c r="F7" s="726">
        <f>F5-F6</f>
        <v>860000</v>
      </c>
      <c r="G7" s="726">
        <f t="shared" ref="G7:R7" si="2">G5-G6</f>
        <v>1174000</v>
      </c>
      <c r="H7" s="726">
        <f t="shared" si="2"/>
        <v>1456000</v>
      </c>
      <c r="I7" s="726">
        <f t="shared" si="2"/>
        <v>1773799.5</v>
      </c>
      <c r="J7" s="726">
        <f t="shared" si="2"/>
        <v>2110821.4050000003</v>
      </c>
      <c r="K7" s="726">
        <f t="shared" si="2"/>
        <v>2469661.0438500005</v>
      </c>
      <c r="L7" s="726">
        <f t="shared" si="2"/>
        <v>2840110.2004275001</v>
      </c>
      <c r="M7" s="726">
        <f t="shared" si="2"/>
        <v>3356879.6771259741</v>
      </c>
      <c r="N7" s="726">
        <f t="shared" si="2"/>
        <v>3692567.6448385715</v>
      </c>
      <c r="O7" s="726">
        <f t="shared" si="2"/>
        <v>4024898.7328740433</v>
      </c>
      <c r="P7" s="726">
        <f t="shared" si="2"/>
        <v>4387139.6188327083</v>
      </c>
      <c r="Q7" s="726">
        <f t="shared" si="2"/>
        <v>4738110.7883393252</v>
      </c>
      <c r="R7" s="726">
        <f t="shared" si="2"/>
        <v>5181202.2477763332</v>
      </c>
      <c r="S7" s="712"/>
      <c r="T7" s="700"/>
      <c r="U7" s="700"/>
      <c r="V7" s="700"/>
      <c r="W7" s="700"/>
      <c r="X7" s="700"/>
      <c r="Y7" s="700"/>
      <c r="Z7" s="700"/>
      <c r="AA7" s="700"/>
      <c r="AB7" s="700"/>
      <c r="AC7" s="700"/>
      <c r="AD7" s="700"/>
      <c r="AE7" s="700"/>
      <c r="AF7" s="700"/>
      <c r="AG7" s="700"/>
      <c r="AH7" s="700"/>
      <c r="AI7" s="700"/>
      <c r="AJ7" s="700"/>
      <c r="AK7" s="700"/>
      <c r="AL7" s="700"/>
      <c r="AM7" s="700"/>
      <c r="AN7" s="700"/>
      <c r="AO7" s="700"/>
      <c r="AP7" s="700"/>
      <c r="AQ7" s="700"/>
      <c r="AR7" s="700"/>
      <c r="AS7" s="700"/>
      <c r="AT7" s="700"/>
      <c r="AU7" s="700"/>
      <c r="AV7" s="700"/>
      <c r="AW7" s="700"/>
      <c r="AX7" s="700"/>
      <c r="AY7" s="700"/>
      <c r="AZ7" s="700"/>
      <c r="BA7" s="700"/>
      <c r="BB7" s="700"/>
      <c r="BC7" s="700"/>
      <c r="BD7" s="700"/>
      <c r="BE7" s="700"/>
      <c r="BF7" s="700"/>
      <c r="BG7" s="700"/>
      <c r="BH7" s="700"/>
      <c r="BI7" s="700"/>
      <c r="BJ7" s="700"/>
      <c r="BK7" s="700"/>
      <c r="BL7" s="700"/>
      <c r="BM7" s="700"/>
      <c r="BN7" s="700"/>
      <c r="BO7" s="700"/>
      <c r="BP7" s="700"/>
      <c r="BQ7" s="700"/>
      <c r="BR7" s="700"/>
      <c r="BS7" s="700"/>
      <c r="BT7" s="700"/>
      <c r="BU7" s="700"/>
      <c r="BV7" s="700"/>
      <c r="BW7" s="700"/>
      <c r="BX7" s="700"/>
      <c r="BY7" s="700"/>
      <c r="BZ7" s="700"/>
      <c r="CA7" s="700"/>
      <c r="CB7" s="700"/>
      <c r="CC7" s="700"/>
      <c r="CD7" s="700"/>
      <c r="CE7" s="700"/>
      <c r="CF7" s="700"/>
      <c r="CG7" s="700"/>
      <c r="CH7" s="700"/>
      <c r="CI7" s="700"/>
      <c r="CJ7" s="700"/>
      <c r="CK7" s="700"/>
      <c r="CL7" s="700"/>
      <c r="CM7" s="700"/>
      <c r="CN7" s="700"/>
      <c r="CO7" s="700"/>
      <c r="CP7" s="700"/>
      <c r="CQ7" s="700"/>
      <c r="CR7" s="700"/>
      <c r="CS7" s="700"/>
      <c r="CT7" s="700"/>
      <c r="CU7" s="700"/>
      <c r="CV7" s="700"/>
      <c r="CW7" s="700"/>
      <c r="CX7" s="700"/>
      <c r="CY7" s="700"/>
      <c r="CZ7" s="700"/>
      <c r="DA7" s="700"/>
      <c r="DB7" s="700"/>
      <c r="DC7" s="700"/>
      <c r="DD7" s="700"/>
      <c r="DE7" s="700"/>
      <c r="DF7" s="700"/>
      <c r="DG7" s="700"/>
      <c r="DH7" s="700"/>
      <c r="DI7" s="700"/>
      <c r="DJ7" s="700"/>
      <c r="DK7" s="700"/>
      <c r="DL7" s="700"/>
      <c r="DM7" s="700"/>
      <c r="DN7" s="700"/>
      <c r="DO7" s="700"/>
      <c r="DP7" s="700"/>
      <c r="DQ7" s="700"/>
      <c r="DR7" s="700"/>
      <c r="DS7" s="700"/>
      <c r="DT7" s="700"/>
      <c r="DU7" s="700"/>
      <c r="DV7" s="700"/>
      <c r="DW7" s="700"/>
      <c r="DX7" s="700"/>
      <c r="DY7" s="700"/>
      <c r="DZ7" s="700"/>
      <c r="EA7" s="700"/>
      <c r="EB7" s="700"/>
      <c r="EC7" s="700"/>
      <c r="ED7" s="700"/>
      <c r="EE7" s="700"/>
      <c r="EF7" s="700"/>
      <c r="EG7" s="700"/>
      <c r="EH7" s="700"/>
      <c r="EI7" s="700"/>
      <c r="EJ7" s="700"/>
      <c r="EK7" s="700"/>
      <c r="EL7" s="700"/>
      <c r="EM7" s="700"/>
      <c r="EN7" s="700"/>
      <c r="EO7" s="700"/>
      <c r="EP7" s="700"/>
      <c r="EQ7" s="700"/>
      <c r="ER7" s="700"/>
      <c r="ES7" s="700"/>
      <c r="ET7" s="700"/>
      <c r="EU7" s="700"/>
      <c r="EV7" s="700"/>
      <c r="EW7" s="700"/>
      <c r="EX7" s="700"/>
      <c r="EY7" s="700"/>
      <c r="EZ7" s="700"/>
      <c r="FA7" s="700"/>
      <c r="FB7" s="700"/>
      <c r="FC7" s="700"/>
      <c r="FD7" s="700"/>
      <c r="FE7" s="700"/>
      <c r="FF7" s="700"/>
      <c r="FG7" s="700"/>
      <c r="FH7" s="700"/>
      <c r="FI7" s="700"/>
      <c r="FJ7" s="700"/>
      <c r="FK7" s="700"/>
      <c r="FL7" s="700"/>
      <c r="FM7" s="700"/>
      <c r="FN7" s="700"/>
      <c r="FO7" s="700"/>
      <c r="FP7" s="700"/>
      <c r="FQ7" s="700"/>
      <c r="FR7" s="700"/>
      <c r="FS7" s="700"/>
      <c r="FT7" s="700"/>
      <c r="FU7" s="700"/>
      <c r="FV7" s="700"/>
      <c r="FW7" s="700"/>
      <c r="FX7" s="700"/>
      <c r="FY7" s="700"/>
      <c r="FZ7" s="700"/>
      <c r="GA7" s="700"/>
      <c r="GB7" s="700"/>
      <c r="GC7" s="700"/>
      <c r="GD7" s="700"/>
      <c r="GE7" s="700"/>
      <c r="GF7" s="700"/>
      <c r="GG7" s="700"/>
      <c r="GH7" s="700"/>
      <c r="GI7" s="700"/>
      <c r="GJ7" s="700"/>
      <c r="GK7" s="700"/>
      <c r="GL7" s="700"/>
      <c r="GM7" s="700"/>
      <c r="GN7" s="700"/>
      <c r="GO7" s="700"/>
      <c r="GP7" s="700"/>
      <c r="GQ7" s="700"/>
      <c r="GR7" s="700"/>
      <c r="GS7" s="700"/>
      <c r="GT7" s="700"/>
      <c r="GU7" s="700"/>
      <c r="GV7" s="700"/>
      <c r="GW7" s="700"/>
      <c r="GX7" s="700"/>
      <c r="GY7" s="700"/>
      <c r="GZ7" s="700"/>
      <c r="HA7" s="700"/>
      <c r="HB7" s="700"/>
      <c r="HC7" s="700"/>
      <c r="HD7" s="700"/>
      <c r="HE7" s="700"/>
      <c r="HF7" s="700"/>
      <c r="HG7" s="700"/>
      <c r="HH7" s="700"/>
      <c r="HI7" s="700"/>
      <c r="HJ7" s="700"/>
      <c r="HK7" s="700"/>
      <c r="HL7" s="700"/>
      <c r="HM7" s="700"/>
      <c r="HN7" s="700"/>
      <c r="HO7" s="700"/>
      <c r="HP7" s="700"/>
      <c r="HQ7" s="700"/>
      <c r="HR7" s="700"/>
      <c r="HS7" s="700"/>
      <c r="HT7" s="700"/>
      <c r="HU7" s="700"/>
      <c r="HV7" s="700"/>
      <c r="HW7" s="700"/>
      <c r="HX7" s="700"/>
      <c r="HY7" s="700"/>
      <c r="HZ7" s="700"/>
      <c r="IA7" s="700"/>
      <c r="IB7" s="700"/>
      <c r="IC7" s="700"/>
      <c r="ID7" s="700"/>
      <c r="IE7" s="700"/>
      <c r="IF7" s="700"/>
      <c r="IG7" s="700"/>
      <c r="IH7" s="700"/>
      <c r="II7" s="700"/>
      <c r="IJ7" s="700"/>
      <c r="IK7" s="700"/>
      <c r="IL7" s="700"/>
      <c r="IM7" s="700"/>
      <c r="IN7" s="700"/>
      <c r="IO7" s="700"/>
      <c r="IP7" s="700"/>
      <c r="IQ7" s="700"/>
      <c r="IR7" s="700"/>
      <c r="IS7" s="700"/>
      <c r="IT7" s="700"/>
      <c r="IU7" s="700"/>
      <c r="IV7" s="700"/>
      <c r="IW7" s="700"/>
      <c r="IX7" s="700"/>
      <c r="IY7" s="700"/>
      <c r="IZ7" s="700"/>
      <c r="JA7" s="700"/>
      <c r="JB7" s="700"/>
      <c r="JC7" s="700"/>
      <c r="JD7" s="700"/>
      <c r="JE7" s="700"/>
      <c r="JF7" s="700"/>
      <c r="JG7" s="700"/>
      <c r="JH7" s="700"/>
      <c r="JI7" s="700"/>
      <c r="JJ7" s="700"/>
      <c r="JK7" s="700"/>
      <c r="JL7" s="700"/>
      <c r="JM7" s="700"/>
      <c r="JN7" s="700"/>
      <c r="JO7" s="700"/>
      <c r="JP7" s="700"/>
      <c r="JQ7" s="700"/>
      <c r="JR7" s="700"/>
      <c r="JS7" s="700"/>
      <c r="JT7" s="700"/>
      <c r="JU7" s="700"/>
      <c r="JV7" s="700"/>
      <c r="JW7" s="700"/>
      <c r="JX7" s="700"/>
      <c r="JY7" s="700"/>
      <c r="JZ7" s="700"/>
      <c r="KA7" s="700"/>
      <c r="KB7" s="700"/>
      <c r="KC7" s="700"/>
      <c r="KD7" s="700"/>
      <c r="KE7" s="700"/>
      <c r="KF7" s="700"/>
      <c r="KG7" s="700"/>
      <c r="KH7" s="700"/>
      <c r="KI7" s="700"/>
      <c r="KJ7" s="700"/>
      <c r="KK7" s="700"/>
      <c r="KL7" s="700"/>
      <c r="KM7" s="700"/>
      <c r="KN7" s="700"/>
      <c r="KO7" s="700"/>
      <c r="KP7" s="700"/>
      <c r="KQ7" s="700"/>
      <c r="KR7" s="700"/>
      <c r="KS7" s="700"/>
      <c r="KT7" s="700"/>
      <c r="KU7" s="700"/>
      <c r="KV7" s="700"/>
      <c r="KW7" s="700"/>
      <c r="KX7" s="700"/>
      <c r="KY7" s="700"/>
      <c r="KZ7" s="700"/>
      <c r="LA7" s="700"/>
      <c r="LB7" s="700"/>
      <c r="LC7" s="700"/>
      <c r="LD7" s="700"/>
      <c r="LE7" s="700"/>
      <c r="LF7" s="700"/>
      <c r="LG7" s="700"/>
      <c r="LH7" s="700"/>
      <c r="LI7" s="700"/>
      <c r="LJ7" s="700"/>
      <c r="LK7" s="700"/>
      <c r="LL7" s="700"/>
      <c r="LM7" s="700"/>
      <c r="LN7" s="700"/>
      <c r="LO7" s="700"/>
      <c r="LP7" s="700"/>
      <c r="LQ7" s="700"/>
      <c r="LR7" s="700"/>
      <c r="LS7" s="700"/>
      <c r="LT7" s="700"/>
      <c r="LU7" s="700"/>
      <c r="LV7" s="700"/>
      <c r="LW7" s="700"/>
      <c r="LX7" s="700"/>
      <c r="LY7" s="700"/>
      <c r="LZ7" s="700"/>
      <c r="MA7" s="700"/>
      <c r="MB7" s="700"/>
      <c r="MC7" s="700"/>
      <c r="MD7" s="700"/>
      <c r="ME7" s="700"/>
      <c r="MF7" s="700"/>
      <c r="MG7" s="700"/>
      <c r="MH7" s="700"/>
      <c r="MI7" s="700"/>
      <c r="MJ7" s="700"/>
      <c r="MK7" s="700"/>
      <c r="ML7" s="700"/>
      <c r="MM7" s="700"/>
      <c r="MN7" s="700"/>
      <c r="MO7" s="700"/>
      <c r="MP7" s="700"/>
      <c r="MQ7" s="700"/>
      <c r="MR7" s="700"/>
      <c r="MS7" s="700"/>
      <c r="MT7" s="700"/>
      <c r="MU7" s="700"/>
      <c r="MV7" s="700"/>
      <c r="MW7" s="700"/>
      <c r="MX7" s="700"/>
      <c r="MY7" s="700"/>
      <c r="MZ7" s="700"/>
      <c r="NA7" s="700"/>
      <c r="NB7" s="700"/>
      <c r="NC7" s="700"/>
      <c r="ND7" s="700"/>
      <c r="NE7" s="700"/>
      <c r="NF7" s="700"/>
      <c r="NG7" s="700"/>
      <c r="NH7" s="700"/>
      <c r="NI7" s="700"/>
      <c r="NJ7" s="700"/>
      <c r="NK7" s="700"/>
      <c r="NL7" s="700"/>
      <c r="NM7" s="700"/>
      <c r="NN7" s="700"/>
      <c r="NO7" s="700"/>
      <c r="NP7" s="700"/>
      <c r="NQ7" s="700"/>
      <c r="NR7" s="700"/>
      <c r="NS7" s="700"/>
      <c r="NT7" s="700"/>
      <c r="NU7" s="700"/>
      <c r="NV7" s="700"/>
      <c r="NW7" s="700"/>
      <c r="NX7" s="700"/>
      <c r="NY7" s="700"/>
      <c r="NZ7" s="700"/>
      <c r="OA7" s="700"/>
      <c r="OB7" s="700"/>
      <c r="OC7" s="700"/>
      <c r="OD7" s="700"/>
      <c r="OE7" s="700"/>
      <c r="OF7" s="700"/>
      <c r="OG7" s="700"/>
      <c r="OH7" s="700"/>
      <c r="OI7" s="700"/>
      <c r="OJ7" s="700"/>
      <c r="OK7" s="700"/>
      <c r="OL7" s="700"/>
      <c r="OM7" s="700"/>
      <c r="ON7" s="700"/>
      <c r="OO7" s="700"/>
      <c r="OP7" s="700"/>
      <c r="OQ7" s="700"/>
      <c r="OR7" s="700"/>
      <c r="OS7" s="700"/>
      <c r="OT7" s="700"/>
      <c r="OU7" s="700"/>
      <c r="OV7" s="700"/>
      <c r="OW7" s="700"/>
      <c r="OX7" s="700"/>
      <c r="OY7" s="700"/>
      <c r="OZ7" s="700"/>
      <c r="PA7" s="700"/>
      <c r="PB7" s="700"/>
      <c r="PC7" s="700"/>
      <c r="PD7" s="700"/>
      <c r="PE7" s="700"/>
      <c r="PF7" s="700"/>
      <c r="PG7" s="700"/>
      <c r="PH7" s="700"/>
      <c r="PI7" s="700"/>
      <c r="PJ7" s="700"/>
      <c r="PK7" s="700"/>
      <c r="PL7" s="700"/>
      <c r="PM7" s="700"/>
      <c r="PN7" s="700"/>
      <c r="PO7" s="700"/>
      <c r="PP7" s="700"/>
      <c r="PQ7" s="700"/>
      <c r="PR7" s="700"/>
      <c r="PS7" s="700"/>
      <c r="PT7" s="700"/>
      <c r="PU7" s="700"/>
      <c r="PV7" s="700"/>
      <c r="PW7" s="700"/>
      <c r="PX7" s="700"/>
      <c r="PY7" s="700"/>
      <c r="PZ7" s="700"/>
      <c r="QA7" s="700"/>
      <c r="QB7" s="700"/>
      <c r="QC7" s="700"/>
      <c r="QD7" s="700"/>
      <c r="QE7" s="700"/>
      <c r="QF7" s="700"/>
      <c r="QG7" s="700"/>
      <c r="QH7" s="700"/>
      <c r="QI7" s="700"/>
      <c r="QJ7" s="700"/>
      <c r="QK7" s="700"/>
      <c r="QL7" s="700"/>
      <c r="QM7" s="700"/>
      <c r="QN7" s="700"/>
      <c r="QO7" s="700"/>
      <c r="QP7" s="700"/>
      <c r="QQ7" s="700"/>
      <c r="QR7" s="700"/>
      <c r="QS7" s="700"/>
      <c r="QT7" s="700"/>
      <c r="QU7" s="700"/>
      <c r="QV7" s="700"/>
      <c r="QW7" s="700"/>
      <c r="QX7" s="700"/>
      <c r="QY7" s="700"/>
      <c r="QZ7" s="700"/>
      <c r="RA7" s="700"/>
      <c r="RB7" s="700"/>
      <c r="RC7" s="700"/>
      <c r="RD7" s="700"/>
      <c r="RE7" s="700"/>
      <c r="RF7" s="700"/>
      <c r="RG7" s="700"/>
      <c r="RH7" s="700"/>
      <c r="RI7" s="700"/>
      <c r="RJ7" s="700"/>
      <c r="RK7" s="700"/>
      <c r="RL7" s="700"/>
      <c r="RM7" s="700"/>
      <c r="RN7" s="700"/>
      <c r="RO7" s="700"/>
      <c r="RP7" s="700"/>
      <c r="RQ7" s="700"/>
      <c r="RR7" s="700"/>
      <c r="RS7" s="700"/>
      <c r="RT7" s="700"/>
      <c r="RU7" s="700"/>
      <c r="RV7" s="700"/>
      <c r="RW7" s="700"/>
      <c r="RX7" s="700"/>
      <c r="RY7" s="700"/>
      <c r="RZ7" s="700"/>
      <c r="SA7" s="700"/>
      <c r="SB7" s="700"/>
      <c r="SC7" s="700"/>
      <c r="SD7" s="700"/>
      <c r="SE7" s="700"/>
      <c r="SF7" s="700"/>
      <c r="SG7" s="700"/>
      <c r="SH7" s="700"/>
      <c r="SI7" s="700"/>
      <c r="SJ7" s="700"/>
      <c r="SK7" s="700"/>
      <c r="SL7" s="700"/>
      <c r="SM7" s="700"/>
      <c r="SN7" s="700"/>
      <c r="SO7" s="700"/>
      <c r="SP7" s="700"/>
      <c r="SQ7" s="700"/>
      <c r="SR7" s="700"/>
      <c r="SS7" s="700"/>
      <c r="ST7" s="700"/>
      <c r="SU7" s="700"/>
      <c r="SV7" s="700"/>
      <c r="SW7" s="700"/>
      <c r="SX7" s="700"/>
      <c r="SY7" s="700"/>
      <c r="SZ7" s="700"/>
      <c r="TA7" s="700"/>
      <c r="TB7" s="700"/>
      <c r="TC7" s="700"/>
      <c r="TD7" s="700"/>
      <c r="TE7" s="700"/>
      <c r="TF7" s="700"/>
      <c r="TG7" s="700"/>
      <c r="TH7" s="700"/>
      <c r="TI7" s="700"/>
      <c r="TJ7" s="700"/>
      <c r="TK7" s="700"/>
      <c r="TL7" s="700"/>
      <c r="TM7" s="700"/>
      <c r="TN7" s="700"/>
      <c r="TO7" s="700"/>
      <c r="TP7" s="700"/>
      <c r="TQ7" s="700"/>
      <c r="TR7" s="700"/>
      <c r="TS7" s="700"/>
      <c r="TT7" s="700"/>
      <c r="TU7" s="700"/>
      <c r="TV7" s="700"/>
      <c r="TW7" s="700"/>
      <c r="TX7" s="700"/>
      <c r="TY7" s="700"/>
      <c r="TZ7" s="700"/>
      <c r="UA7" s="700"/>
      <c r="UB7" s="700"/>
      <c r="UC7" s="700"/>
      <c r="UD7" s="700"/>
      <c r="UE7" s="700"/>
      <c r="UF7" s="700"/>
      <c r="UG7" s="700"/>
      <c r="UH7" s="700"/>
      <c r="UI7" s="700"/>
      <c r="UJ7" s="700"/>
      <c r="UK7" s="700"/>
      <c r="UL7" s="700"/>
      <c r="UM7" s="700"/>
      <c r="UN7" s="700"/>
      <c r="UO7" s="700"/>
      <c r="UP7" s="700"/>
      <c r="UQ7" s="700"/>
      <c r="UR7" s="700"/>
      <c r="US7" s="700"/>
      <c r="UT7" s="700"/>
      <c r="UU7" s="700"/>
      <c r="UV7" s="700"/>
      <c r="UW7" s="700"/>
      <c r="UX7" s="700"/>
      <c r="UY7" s="700"/>
      <c r="UZ7" s="700"/>
      <c r="VA7" s="700"/>
      <c r="VB7" s="700"/>
      <c r="VC7" s="700"/>
      <c r="VD7" s="700"/>
      <c r="VE7" s="700"/>
      <c r="VF7" s="700"/>
      <c r="VG7" s="700"/>
      <c r="VH7" s="700"/>
      <c r="VI7" s="700"/>
      <c r="VJ7" s="700"/>
      <c r="VK7" s="700"/>
      <c r="VL7" s="700"/>
      <c r="VM7" s="700"/>
      <c r="VN7" s="700"/>
      <c r="VO7" s="700"/>
      <c r="VP7" s="700"/>
      <c r="VQ7" s="700"/>
      <c r="VR7" s="700"/>
      <c r="VS7" s="700"/>
      <c r="VT7" s="700"/>
      <c r="VU7" s="700"/>
      <c r="VV7" s="700"/>
      <c r="VW7" s="700"/>
      <c r="VX7" s="700"/>
      <c r="VY7" s="700"/>
      <c r="VZ7" s="700"/>
      <c r="WA7" s="700"/>
      <c r="WB7" s="700"/>
      <c r="WC7" s="700"/>
      <c r="WD7" s="700"/>
      <c r="WE7" s="700"/>
      <c r="WF7" s="700"/>
      <c r="WG7" s="700"/>
      <c r="WH7" s="700"/>
      <c r="WI7" s="700"/>
      <c r="WJ7" s="700"/>
      <c r="WK7" s="700"/>
      <c r="WL7" s="700"/>
      <c r="WM7" s="700"/>
      <c r="WN7" s="700"/>
      <c r="WO7" s="700"/>
      <c r="WP7" s="700"/>
      <c r="WQ7" s="700"/>
      <c r="WR7" s="700"/>
      <c r="WS7" s="700"/>
      <c r="WT7" s="700"/>
      <c r="WU7" s="700"/>
      <c r="WV7" s="700"/>
      <c r="WW7" s="700"/>
      <c r="WX7" s="700"/>
      <c r="WY7" s="700"/>
      <c r="WZ7" s="700"/>
      <c r="XA7" s="700"/>
      <c r="XB7" s="700"/>
      <c r="XC7" s="700"/>
      <c r="XD7" s="700"/>
      <c r="XE7" s="700"/>
      <c r="XF7" s="700"/>
      <c r="XG7" s="700"/>
      <c r="XH7" s="700"/>
      <c r="XI7" s="700"/>
      <c r="XJ7" s="700"/>
      <c r="XK7" s="700"/>
      <c r="XL7" s="700"/>
      <c r="XM7" s="700"/>
      <c r="XN7" s="700"/>
      <c r="XO7" s="700"/>
      <c r="XP7" s="700"/>
      <c r="XQ7" s="700"/>
      <c r="XR7" s="700"/>
      <c r="XS7" s="700"/>
      <c r="XT7" s="700"/>
      <c r="XU7" s="700"/>
      <c r="XV7" s="700"/>
      <c r="XW7" s="700"/>
      <c r="XX7" s="700"/>
      <c r="XY7" s="700"/>
      <c r="XZ7" s="700"/>
      <c r="YA7" s="700"/>
      <c r="YB7" s="700"/>
      <c r="YC7" s="700"/>
      <c r="YD7" s="700"/>
      <c r="YE7" s="700"/>
      <c r="YF7" s="700"/>
      <c r="YG7" s="700"/>
      <c r="YH7" s="700"/>
      <c r="YI7" s="700"/>
      <c r="YJ7" s="700"/>
      <c r="YK7" s="700"/>
      <c r="YL7" s="700"/>
      <c r="YM7" s="700"/>
      <c r="YN7" s="700"/>
      <c r="YO7" s="700"/>
      <c r="YP7" s="700"/>
      <c r="YQ7" s="700"/>
      <c r="YR7" s="700"/>
      <c r="YS7" s="700"/>
      <c r="YT7" s="700"/>
      <c r="YU7" s="700"/>
      <c r="YV7" s="700"/>
      <c r="YW7" s="700"/>
      <c r="YX7" s="700"/>
      <c r="YY7" s="700"/>
      <c r="YZ7" s="700"/>
      <c r="ZA7" s="700"/>
      <c r="ZB7" s="700"/>
      <c r="ZC7" s="700"/>
      <c r="ZD7" s="700"/>
      <c r="ZE7" s="700"/>
      <c r="ZF7" s="700"/>
      <c r="ZG7" s="700"/>
      <c r="ZH7" s="700"/>
      <c r="ZI7" s="700"/>
      <c r="ZJ7" s="700"/>
      <c r="ZK7" s="700"/>
      <c r="ZL7" s="700"/>
      <c r="ZM7" s="700"/>
      <c r="ZN7" s="700"/>
      <c r="ZO7" s="700"/>
      <c r="ZP7" s="700"/>
      <c r="ZQ7" s="700"/>
      <c r="ZR7" s="700"/>
      <c r="ZS7" s="700"/>
      <c r="ZT7" s="700"/>
      <c r="ZU7" s="700"/>
      <c r="ZV7" s="700"/>
      <c r="ZW7" s="700"/>
      <c r="ZX7" s="700"/>
      <c r="ZY7" s="700"/>
      <c r="ZZ7" s="700"/>
      <c r="AAA7" s="700"/>
      <c r="AAB7" s="700"/>
      <c r="AAC7" s="700"/>
      <c r="AAD7" s="700"/>
      <c r="AAE7" s="700"/>
      <c r="AAF7" s="700"/>
      <c r="AAG7" s="700"/>
      <c r="AAH7" s="700"/>
      <c r="AAI7" s="700"/>
      <c r="AAJ7" s="700"/>
      <c r="AAK7" s="700"/>
      <c r="AAL7" s="700"/>
      <c r="AAM7" s="700"/>
      <c r="AAN7" s="700"/>
      <c r="AAO7" s="700"/>
      <c r="AAP7" s="700"/>
      <c r="AAQ7" s="700"/>
      <c r="AAR7" s="700"/>
      <c r="AAS7" s="700"/>
      <c r="AAT7" s="700"/>
      <c r="AAU7" s="700"/>
      <c r="AAV7" s="700"/>
      <c r="AAW7" s="700"/>
      <c r="AAX7" s="700"/>
      <c r="AAY7" s="700"/>
      <c r="AAZ7" s="700"/>
      <c r="ABA7" s="700"/>
      <c r="ABB7" s="700"/>
      <c r="ABC7" s="700"/>
      <c r="ABD7" s="700"/>
      <c r="ABE7" s="700"/>
      <c r="ABF7" s="700"/>
      <c r="ABG7" s="700"/>
      <c r="ABH7" s="700"/>
      <c r="ABI7" s="700"/>
      <c r="ABJ7" s="700"/>
      <c r="ABK7" s="700"/>
      <c r="ABL7" s="700"/>
      <c r="ABM7" s="700"/>
      <c r="ABN7" s="700"/>
      <c r="ABO7" s="700"/>
      <c r="ABP7" s="700"/>
      <c r="ABQ7" s="700"/>
      <c r="ABR7" s="700"/>
      <c r="ABS7" s="700"/>
      <c r="ABT7" s="700"/>
      <c r="ABU7" s="700"/>
      <c r="ABV7" s="700"/>
      <c r="ABW7" s="700"/>
      <c r="ABX7" s="700"/>
      <c r="ABY7" s="700"/>
      <c r="ABZ7" s="700"/>
      <c r="ACA7" s="700"/>
      <c r="ACB7" s="700"/>
      <c r="ACC7" s="700"/>
      <c r="ACD7" s="700"/>
      <c r="ACE7" s="700"/>
      <c r="ACF7" s="700"/>
      <c r="ACG7" s="700"/>
      <c r="ACH7" s="700"/>
      <c r="ACI7" s="700"/>
      <c r="ACJ7" s="700"/>
      <c r="ACK7" s="700"/>
      <c r="ACL7" s="700"/>
      <c r="ACM7" s="700"/>
      <c r="ACN7" s="700"/>
      <c r="ACO7" s="700"/>
      <c r="ACP7" s="700"/>
      <c r="ACQ7" s="700"/>
      <c r="ACR7" s="700"/>
      <c r="ACS7" s="700"/>
      <c r="ACT7" s="700"/>
      <c r="ACU7" s="700"/>
      <c r="ACV7" s="700"/>
      <c r="ACW7" s="700"/>
      <c r="ACX7" s="700"/>
      <c r="ACY7" s="700"/>
      <c r="ACZ7" s="700"/>
      <c r="ADA7" s="700"/>
      <c r="ADB7" s="700"/>
      <c r="ADC7" s="700"/>
      <c r="ADD7" s="700"/>
      <c r="ADE7" s="700"/>
      <c r="ADF7" s="700"/>
      <c r="ADG7" s="700"/>
      <c r="ADH7" s="700"/>
      <c r="ADI7" s="700"/>
      <c r="ADJ7" s="700"/>
      <c r="ADK7" s="700"/>
      <c r="ADL7" s="700"/>
      <c r="ADM7" s="700"/>
      <c r="ADN7" s="700"/>
      <c r="ADO7" s="700"/>
      <c r="ADP7" s="700"/>
      <c r="ADQ7" s="700"/>
      <c r="ADR7" s="700"/>
      <c r="ADS7" s="700"/>
      <c r="ADT7" s="700"/>
      <c r="ADU7" s="700"/>
      <c r="ADV7" s="700"/>
      <c r="ADW7" s="700"/>
      <c r="ADX7" s="700"/>
      <c r="ADY7" s="700"/>
      <c r="ADZ7" s="700"/>
      <c r="AEA7" s="700"/>
      <c r="AEB7" s="700"/>
      <c r="AEC7" s="700"/>
      <c r="AED7" s="700"/>
      <c r="AEE7" s="700"/>
      <c r="AEF7" s="700"/>
      <c r="AEG7" s="700"/>
      <c r="AEH7" s="700"/>
      <c r="AEI7" s="700"/>
      <c r="AEJ7" s="700"/>
      <c r="AEK7" s="700"/>
      <c r="AEL7" s="700"/>
      <c r="AEM7" s="700"/>
      <c r="AEN7" s="700"/>
      <c r="AEO7" s="700"/>
      <c r="AEP7" s="700"/>
      <c r="AEQ7" s="700"/>
      <c r="AER7" s="700"/>
      <c r="AES7" s="700"/>
      <c r="AET7" s="700"/>
      <c r="AEU7" s="700"/>
      <c r="AEV7" s="700"/>
      <c r="AEW7" s="700"/>
      <c r="AEX7" s="700"/>
      <c r="AEY7" s="700"/>
      <c r="AEZ7" s="700"/>
      <c r="AFA7" s="700"/>
      <c r="AFB7" s="700"/>
      <c r="AFC7" s="700"/>
      <c r="AFD7" s="700"/>
      <c r="AFE7" s="700"/>
      <c r="AFF7" s="700"/>
      <c r="AFG7" s="700"/>
      <c r="AFH7" s="700"/>
      <c r="AFI7" s="700"/>
      <c r="AFJ7" s="700"/>
      <c r="AFK7" s="700"/>
      <c r="AFL7" s="700"/>
      <c r="AFM7" s="700"/>
      <c r="AFN7" s="700"/>
      <c r="AFO7" s="700"/>
      <c r="AFP7" s="700"/>
      <c r="AFQ7" s="700"/>
      <c r="AFR7" s="700"/>
      <c r="AFS7" s="700"/>
      <c r="AFT7" s="700"/>
      <c r="AFU7" s="700"/>
      <c r="AFV7" s="700"/>
      <c r="AFW7" s="700"/>
      <c r="AFX7" s="700"/>
      <c r="AFY7" s="700"/>
      <c r="AFZ7" s="700"/>
      <c r="AGA7" s="700"/>
      <c r="AGB7" s="700"/>
      <c r="AGC7" s="700"/>
      <c r="AGD7" s="700"/>
      <c r="AGE7" s="700"/>
      <c r="AGF7" s="700"/>
      <c r="AGG7" s="700"/>
      <c r="AGH7" s="700"/>
      <c r="AGI7" s="700"/>
      <c r="AGJ7" s="700"/>
      <c r="AGK7" s="700"/>
      <c r="AGL7" s="700"/>
      <c r="AGM7" s="700"/>
      <c r="AGN7" s="700"/>
      <c r="AGO7" s="700"/>
      <c r="AGP7" s="700"/>
      <c r="AGQ7" s="700"/>
      <c r="AGR7" s="700"/>
      <c r="AGS7" s="700"/>
      <c r="AGT7" s="700"/>
      <c r="AGU7" s="700"/>
      <c r="AGV7" s="700"/>
      <c r="AGW7" s="700"/>
      <c r="AGX7" s="700"/>
      <c r="AGY7" s="700"/>
      <c r="AGZ7" s="700"/>
      <c r="AHA7" s="700"/>
      <c r="AHB7" s="700"/>
      <c r="AHC7" s="700"/>
      <c r="AHD7" s="700"/>
      <c r="AHE7" s="700"/>
      <c r="AHF7" s="700"/>
      <c r="AHG7" s="700"/>
      <c r="AHH7" s="700"/>
      <c r="AHI7" s="700"/>
      <c r="AHJ7" s="700"/>
      <c r="AHK7" s="700"/>
      <c r="AHL7" s="700"/>
      <c r="AHM7" s="700"/>
      <c r="AHN7" s="700"/>
      <c r="AHO7" s="700"/>
      <c r="AHP7" s="700"/>
      <c r="AHQ7" s="700"/>
      <c r="AHR7" s="700"/>
      <c r="AHS7" s="700"/>
      <c r="AHT7" s="700"/>
      <c r="AHU7" s="700"/>
      <c r="AHV7" s="700"/>
      <c r="AHW7" s="700"/>
      <c r="AHX7" s="700"/>
      <c r="AHY7" s="700"/>
      <c r="AHZ7" s="700"/>
      <c r="AIA7" s="700"/>
      <c r="AIB7" s="700"/>
      <c r="AIC7" s="700"/>
      <c r="AID7" s="700"/>
      <c r="AIE7" s="700"/>
      <c r="AIF7" s="700"/>
      <c r="AIG7" s="700"/>
      <c r="AIH7" s="700"/>
      <c r="AII7" s="700"/>
      <c r="AIJ7" s="700"/>
      <c r="AIK7" s="700"/>
      <c r="AIL7" s="700"/>
      <c r="AIM7" s="700"/>
      <c r="AIN7" s="700"/>
      <c r="AIO7" s="700"/>
      <c r="AIP7" s="700"/>
      <c r="AIQ7" s="700"/>
      <c r="AIR7" s="700"/>
      <c r="AIS7" s="700"/>
      <c r="AIT7" s="700"/>
      <c r="AIU7" s="700"/>
      <c r="AIV7" s="700"/>
      <c r="AIW7" s="700"/>
      <c r="AIX7" s="700"/>
      <c r="AIY7" s="700"/>
      <c r="AIZ7" s="700"/>
      <c r="AJA7" s="700"/>
      <c r="AJB7" s="700"/>
      <c r="AJC7" s="700"/>
      <c r="AJD7" s="700"/>
      <c r="AJE7" s="700"/>
      <c r="AJF7" s="700"/>
      <c r="AJG7" s="700"/>
      <c r="AJH7" s="700"/>
      <c r="AJI7" s="700"/>
      <c r="AJJ7" s="700"/>
      <c r="AJK7" s="700"/>
      <c r="AJL7" s="700"/>
      <c r="AJM7" s="700"/>
      <c r="AJN7" s="700"/>
      <c r="AJO7" s="700"/>
      <c r="AJP7" s="700"/>
      <c r="AJQ7" s="700"/>
      <c r="AJR7" s="700"/>
      <c r="AJS7" s="700"/>
      <c r="AJT7" s="700"/>
      <c r="AJU7" s="700"/>
      <c r="AJV7" s="700"/>
      <c r="AJW7" s="700"/>
      <c r="AJX7" s="700"/>
      <c r="AJY7" s="700"/>
      <c r="AJZ7" s="700"/>
      <c r="AKA7" s="700"/>
      <c r="AKB7" s="700"/>
      <c r="AKC7" s="700"/>
      <c r="AKD7" s="700"/>
      <c r="AKE7" s="700"/>
      <c r="AKF7" s="700"/>
      <c r="AKG7" s="700"/>
      <c r="AKH7" s="700"/>
      <c r="AKI7" s="700"/>
      <c r="AKJ7" s="700"/>
      <c r="AKK7" s="700"/>
      <c r="AKL7" s="700"/>
      <c r="AKM7" s="700"/>
      <c r="AKN7" s="700"/>
      <c r="AKO7" s="700"/>
      <c r="AKP7" s="700"/>
      <c r="AKQ7" s="700"/>
      <c r="AKR7" s="700"/>
      <c r="AKS7" s="700"/>
      <c r="AKT7" s="700"/>
      <c r="AKU7" s="700"/>
      <c r="AKV7" s="700"/>
      <c r="AKW7" s="700"/>
      <c r="AKX7" s="700"/>
      <c r="AKY7" s="700"/>
      <c r="AKZ7" s="700"/>
      <c r="ALA7" s="700"/>
      <c r="ALB7" s="700"/>
      <c r="ALC7" s="700"/>
      <c r="ALD7" s="700"/>
      <c r="ALE7" s="700"/>
      <c r="ALF7" s="700"/>
      <c r="ALG7" s="700"/>
      <c r="ALH7" s="700"/>
      <c r="ALI7" s="700"/>
      <c r="ALJ7" s="700"/>
      <c r="ALK7" s="700"/>
      <c r="ALL7" s="700"/>
      <c r="ALM7" s="700"/>
      <c r="ALN7" s="700"/>
      <c r="ALO7" s="700"/>
      <c r="ALP7" s="700"/>
      <c r="ALQ7" s="700"/>
      <c r="ALR7" s="700"/>
      <c r="ALS7" s="700"/>
      <c r="ALT7" s="700"/>
      <c r="ALU7" s="700"/>
      <c r="ALV7" s="700"/>
      <c r="ALW7" s="700"/>
      <c r="ALX7" s="700"/>
      <c r="ALY7" s="700"/>
      <c r="ALZ7" s="700"/>
      <c r="AMA7" s="700"/>
      <c r="AMB7" s="700"/>
      <c r="AMC7" s="700"/>
      <c r="AMD7" s="700"/>
      <c r="AME7" s="700"/>
      <c r="AMF7" s="700"/>
      <c r="AMG7" s="700"/>
      <c r="AMH7" s="700"/>
      <c r="AMI7" s="700"/>
      <c r="AMJ7" s="700"/>
      <c r="AMK7" s="700"/>
      <c r="AML7" s="700"/>
      <c r="AMM7" s="700"/>
      <c r="AMN7" s="700"/>
      <c r="AMO7" s="700"/>
      <c r="AMP7" s="700"/>
      <c r="AMQ7" s="700"/>
      <c r="AMR7" s="700"/>
      <c r="AMS7" s="700"/>
      <c r="AMT7" s="700"/>
      <c r="AMU7" s="700"/>
      <c r="AMV7" s="700"/>
      <c r="AMW7" s="700"/>
      <c r="AMX7" s="700"/>
      <c r="AMY7" s="700"/>
      <c r="AMZ7" s="700"/>
      <c r="ANA7" s="700"/>
      <c r="ANB7" s="700"/>
      <c r="ANC7" s="700"/>
      <c r="AND7" s="700"/>
      <c r="ANE7" s="700"/>
      <c r="ANF7" s="700"/>
      <c r="ANG7" s="700"/>
      <c r="ANH7" s="700"/>
      <c r="ANI7" s="700"/>
      <c r="ANJ7" s="700"/>
      <c r="ANK7" s="700"/>
      <c r="ANL7" s="700"/>
      <c r="ANM7" s="700"/>
      <c r="ANN7" s="700"/>
      <c r="ANO7" s="700"/>
      <c r="ANP7" s="700"/>
      <c r="ANQ7" s="700"/>
      <c r="ANR7" s="700"/>
      <c r="ANS7" s="700"/>
      <c r="ANT7" s="700"/>
      <c r="ANU7" s="700"/>
      <c r="ANV7" s="700"/>
      <c r="ANW7" s="700"/>
      <c r="ANX7" s="700"/>
      <c r="ANY7" s="700"/>
      <c r="ANZ7" s="700"/>
      <c r="AOA7" s="700"/>
      <c r="AOB7" s="700"/>
      <c r="AOC7" s="700"/>
      <c r="AOD7" s="700"/>
      <c r="AOE7" s="700"/>
      <c r="AOF7" s="700"/>
      <c r="AOG7" s="700"/>
      <c r="AOH7" s="700"/>
      <c r="AOI7" s="700"/>
      <c r="AOJ7" s="700"/>
      <c r="AOK7" s="700"/>
      <c r="AOL7" s="700"/>
      <c r="AOM7" s="700"/>
      <c r="AON7" s="700"/>
      <c r="AOO7" s="700"/>
      <c r="AOP7" s="700"/>
      <c r="AOQ7" s="700"/>
      <c r="AOR7" s="700"/>
      <c r="AOS7" s="700"/>
      <c r="AOT7" s="700"/>
      <c r="AOU7" s="700"/>
      <c r="AOV7" s="700"/>
      <c r="AOW7" s="700"/>
      <c r="AOX7" s="700"/>
      <c r="AOY7" s="700"/>
      <c r="AOZ7" s="700"/>
      <c r="APA7" s="700"/>
      <c r="APB7" s="700"/>
      <c r="APC7" s="700"/>
      <c r="APD7" s="700"/>
      <c r="APE7" s="700"/>
      <c r="APF7" s="700"/>
      <c r="APG7" s="700"/>
      <c r="APH7" s="700"/>
      <c r="API7" s="700"/>
      <c r="APJ7" s="700"/>
      <c r="APK7" s="700"/>
      <c r="APL7" s="700"/>
      <c r="APM7" s="700"/>
      <c r="APN7" s="700"/>
      <c r="APO7" s="700"/>
      <c r="APP7" s="700"/>
      <c r="APQ7" s="700"/>
      <c r="APR7" s="700"/>
      <c r="APS7" s="700"/>
      <c r="APT7" s="700"/>
      <c r="APU7" s="700"/>
      <c r="APV7" s="700"/>
      <c r="APW7" s="700"/>
      <c r="APX7" s="700"/>
      <c r="APY7" s="700"/>
      <c r="APZ7" s="700"/>
      <c r="AQA7" s="700"/>
      <c r="AQB7" s="700"/>
      <c r="AQC7" s="700"/>
      <c r="AQD7" s="700"/>
      <c r="AQE7" s="700"/>
      <c r="AQF7" s="700"/>
      <c r="AQG7" s="700"/>
      <c r="AQH7" s="700"/>
      <c r="AQI7" s="700"/>
      <c r="AQJ7" s="700"/>
      <c r="AQK7" s="700"/>
      <c r="AQL7" s="700"/>
      <c r="AQM7" s="700"/>
      <c r="AQN7" s="700"/>
      <c r="AQO7" s="700"/>
      <c r="AQP7" s="700"/>
      <c r="AQQ7" s="700"/>
      <c r="AQR7" s="700"/>
      <c r="AQS7" s="700"/>
      <c r="AQT7" s="700"/>
      <c r="AQU7" s="700"/>
      <c r="AQV7" s="700"/>
      <c r="AQW7" s="700"/>
      <c r="AQX7" s="700"/>
      <c r="AQY7" s="700"/>
      <c r="AQZ7" s="700"/>
      <c r="ARA7" s="700"/>
      <c r="ARB7" s="700"/>
      <c r="ARC7" s="700"/>
      <c r="ARD7" s="700"/>
      <c r="ARE7" s="700"/>
      <c r="ARF7" s="700"/>
      <c r="ARG7" s="700"/>
      <c r="ARH7" s="700"/>
      <c r="ARI7" s="700"/>
      <c r="ARJ7" s="700"/>
      <c r="ARK7" s="700"/>
      <c r="ARL7" s="700"/>
      <c r="ARM7" s="700"/>
      <c r="ARN7" s="700"/>
      <c r="ARO7" s="700"/>
      <c r="ARP7" s="700"/>
      <c r="ARQ7" s="700"/>
      <c r="ARR7" s="700"/>
      <c r="ARS7" s="700"/>
      <c r="ART7" s="700"/>
      <c r="ARU7" s="700"/>
      <c r="ARV7" s="700"/>
      <c r="ARW7" s="700"/>
      <c r="ARX7" s="700"/>
      <c r="ARY7" s="700"/>
      <c r="ARZ7" s="700"/>
      <c r="ASA7" s="700"/>
      <c r="ASB7" s="700"/>
      <c r="ASC7" s="700"/>
      <c r="ASD7" s="700"/>
      <c r="ASE7" s="700"/>
      <c r="ASF7" s="700"/>
      <c r="ASG7" s="700"/>
      <c r="ASH7" s="700"/>
      <c r="ASI7" s="700"/>
      <c r="ASJ7" s="700"/>
      <c r="ASK7" s="700"/>
      <c r="ASL7" s="700"/>
      <c r="ASM7" s="700"/>
      <c r="ASN7" s="700"/>
      <c r="ASO7" s="700"/>
      <c r="ASP7" s="700"/>
      <c r="ASQ7" s="700"/>
      <c r="ASR7" s="700"/>
      <c r="ASS7" s="700"/>
      <c r="AST7" s="700"/>
      <c r="ASU7" s="700"/>
      <c r="ASV7" s="700"/>
      <c r="ASW7" s="700"/>
      <c r="ASX7" s="700"/>
      <c r="ASY7" s="700"/>
      <c r="ASZ7" s="700"/>
      <c r="ATA7" s="700"/>
      <c r="ATB7" s="700"/>
      <c r="ATC7" s="700"/>
      <c r="ATD7" s="700"/>
      <c r="ATE7" s="700"/>
      <c r="ATF7" s="700"/>
      <c r="ATG7" s="700"/>
      <c r="ATH7" s="700"/>
      <c r="ATI7" s="700"/>
      <c r="ATJ7" s="700"/>
      <c r="ATK7" s="700"/>
      <c r="ATL7" s="700"/>
      <c r="ATM7" s="700"/>
      <c r="ATN7" s="700"/>
      <c r="ATO7" s="700"/>
      <c r="ATP7" s="700"/>
      <c r="ATQ7" s="700"/>
      <c r="ATR7" s="700"/>
      <c r="ATS7" s="700"/>
      <c r="ATT7" s="700"/>
      <c r="ATU7" s="700"/>
      <c r="ATV7" s="700"/>
      <c r="ATW7" s="700"/>
      <c r="ATX7" s="700"/>
      <c r="ATY7" s="700"/>
      <c r="ATZ7" s="700"/>
      <c r="AUA7" s="700"/>
      <c r="AUB7" s="700"/>
      <c r="AUC7" s="700"/>
      <c r="AUD7" s="700"/>
      <c r="AUE7" s="700"/>
      <c r="AUF7" s="700"/>
      <c r="AUG7" s="700"/>
      <c r="AUH7" s="700"/>
      <c r="AUI7" s="700"/>
      <c r="AUJ7" s="700"/>
      <c r="AUK7" s="700"/>
      <c r="AUL7" s="700"/>
      <c r="AUM7" s="700"/>
      <c r="AUN7" s="700"/>
      <c r="AUO7" s="700"/>
      <c r="AUP7" s="700"/>
      <c r="AUQ7" s="700"/>
      <c r="AUR7" s="700"/>
      <c r="AUS7" s="700"/>
      <c r="AUT7" s="700"/>
      <c r="AUU7" s="700"/>
      <c r="AUV7" s="700"/>
      <c r="AUW7" s="700"/>
      <c r="AUX7" s="700"/>
      <c r="AUY7" s="700"/>
      <c r="AUZ7" s="700"/>
      <c r="AVA7" s="700"/>
      <c r="AVB7" s="700"/>
      <c r="AVC7" s="700"/>
      <c r="AVD7" s="700"/>
      <c r="AVE7" s="700"/>
      <c r="AVF7" s="700"/>
      <c r="AVG7" s="700"/>
      <c r="AVH7" s="700"/>
      <c r="AVI7" s="700"/>
      <c r="AVJ7" s="700"/>
      <c r="AVK7" s="700"/>
      <c r="AVL7" s="700"/>
      <c r="AVM7" s="700"/>
      <c r="AVN7" s="700"/>
      <c r="AVO7" s="700"/>
      <c r="AVP7" s="700"/>
      <c r="AVQ7" s="700"/>
      <c r="AVR7" s="700"/>
      <c r="AVS7" s="700"/>
      <c r="AVT7" s="700"/>
      <c r="AVU7" s="700"/>
      <c r="AVV7" s="700"/>
      <c r="AVW7" s="700"/>
      <c r="AVX7" s="700"/>
      <c r="AVY7" s="700"/>
      <c r="AVZ7" s="700"/>
      <c r="AWA7" s="700"/>
      <c r="AWB7" s="700"/>
      <c r="AWC7" s="700"/>
      <c r="AWD7" s="700"/>
      <c r="AWE7" s="700"/>
      <c r="AWF7" s="700"/>
      <c r="AWG7" s="700"/>
      <c r="AWH7" s="700"/>
      <c r="AWI7" s="700"/>
      <c r="AWJ7" s="700"/>
      <c r="AWK7" s="700"/>
      <c r="AWL7" s="700"/>
      <c r="AWM7" s="700"/>
      <c r="AWN7" s="700"/>
      <c r="AWO7" s="700"/>
      <c r="AWP7" s="700"/>
      <c r="AWQ7" s="700"/>
      <c r="AWR7" s="700"/>
      <c r="AWS7" s="700"/>
      <c r="AWT7" s="700"/>
      <c r="AWU7" s="700"/>
      <c r="AWV7" s="700"/>
      <c r="AWW7" s="700"/>
      <c r="AWX7" s="700"/>
      <c r="AWY7" s="700"/>
      <c r="AWZ7" s="700"/>
      <c r="AXA7" s="700"/>
      <c r="AXB7" s="700"/>
      <c r="AXC7" s="700"/>
      <c r="AXD7" s="700"/>
      <c r="AXE7" s="700"/>
      <c r="AXF7" s="700"/>
      <c r="AXG7" s="700"/>
      <c r="AXH7" s="700"/>
      <c r="AXI7" s="700"/>
      <c r="AXJ7" s="700"/>
      <c r="AXK7" s="700"/>
      <c r="AXL7" s="700"/>
      <c r="AXM7" s="700"/>
      <c r="AXN7" s="700"/>
      <c r="AXO7" s="700"/>
      <c r="AXP7" s="700"/>
      <c r="AXQ7" s="700"/>
      <c r="AXR7" s="700"/>
      <c r="AXS7" s="700"/>
      <c r="AXT7" s="700"/>
      <c r="AXU7" s="700"/>
      <c r="AXV7" s="700"/>
      <c r="AXW7" s="700"/>
      <c r="AXX7" s="700"/>
      <c r="AXY7" s="700"/>
      <c r="AXZ7" s="700"/>
      <c r="AYA7" s="700"/>
      <c r="AYB7" s="700"/>
      <c r="AYC7" s="700"/>
      <c r="AYD7" s="700"/>
      <c r="AYE7" s="700"/>
      <c r="AYF7" s="700"/>
      <c r="AYG7" s="700"/>
      <c r="AYH7" s="700"/>
      <c r="AYI7" s="700"/>
      <c r="AYJ7" s="700"/>
      <c r="AYK7" s="700"/>
      <c r="AYL7" s="700"/>
      <c r="AYM7" s="700"/>
      <c r="AYN7" s="700"/>
      <c r="AYO7" s="700"/>
      <c r="AYP7" s="700"/>
      <c r="AYQ7" s="700"/>
      <c r="AYR7" s="700"/>
      <c r="AYS7" s="700"/>
      <c r="AYT7" s="700"/>
      <c r="AYU7" s="700"/>
      <c r="AYV7" s="700"/>
      <c r="AYW7" s="700"/>
      <c r="AYX7" s="700"/>
      <c r="AYY7" s="700"/>
      <c r="AYZ7" s="700"/>
      <c r="AZA7" s="700"/>
      <c r="AZB7" s="700"/>
      <c r="AZC7" s="700"/>
      <c r="AZD7" s="700"/>
      <c r="AZE7" s="700"/>
      <c r="AZF7" s="700"/>
      <c r="AZG7" s="700"/>
      <c r="AZH7" s="700"/>
      <c r="AZI7" s="700"/>
      <c r="AZJ7" s="700"/>
      <c r="AZK7" s="700"/>
      <c r="AZL7" s="700"/>
      <c r="AZM7" s="700"/>
      <c r="AZN7" s="700"/>
      <c r="AZO7" s="700"/>
      <c r="AZP7" s="700"/>
      <c r="AZQ7" s="700"/>
      <c r="AZR7" s="700"/>
      <c r="AZS7" s="700"/>
      <c r="AZT7" s="700"/>
      <c r="AZU7" s="700"/>
      <c r="AZV7" s="700"/>
      <c r="AZW7" s="700"/>
      <c r="AZX7" s="700"/>
      <c r="AZY7" s="700"/>
      <c r="AZZ7" s="700"/>
      <c r="BAA7" s="700"/>
      <c r="BAB7" s="700"/>
      <c r="BAC7" s="700"/>
      <c r="BAD7" s="700"/>
      <c r="BAE7" s="700"/>
      <c r="BAF7" s="700"/>
      <c r="BAG7" s="700"/>
      <c r="BAH7" s="700"/>
      <c r="BAI7" s="700"/>
      <c r="BAJ7" s="700"/>
      <c r="BAK7" s="700"/>
      <c r="BAL7" s="700"/>
      <c r="BAM7" s="700"/>
      <c r="BAN7" s="700"/>
      <c r="BAO7" s="700"/>
      <c r="BAP7" s="700"/>
      <c r="BAQ7" s="700"/>
      <c r="BAR7" s="700"/>
      <c r="BAS7" s="700"/>
      <c r="BAT7" s="700"/>
      <c r="BAU7" s="700"/>
      <c r="BAV7" s="700"/>
      <c r="BAW7" s="700"/>
      <c r="BAX7" s="700"/>
      <c r="BAY7" s="700"/>
      <c r="BAZ7" s="700"/>
      <c r="BBA7" s="700"/>
      <c r="BBB7" s="700"/>
      <c r="BBC7" s="700"/>
      <c r="BBD7" s="700"/>
      <c r="BBE7" s="700"/>
      <c r="BBF7" s="700"/>
      <c r="BBG7" s="700"/>
      <c r="BBH7" s="700"/>
      <c r="BBI7" s="700"/>
      <c r="BBJ7" s="700"/>
      <c r="BBK7" s="700"/>
      <c r="BBL7" s="700"/>
      <c r="BBM7" s="700"/>
      <c r="BBN7" s="700"/>
      <c r="BBO7" s="700"/>
      <c r="BBP7" s="700"/>
      <c r="BBQ7" s="700"/>
      <c r="BBR7" s="700"/>
      <c r="BBS7" s="700"/>
      <c r="BBT7" s="700"/>
      <c r="BBU7" s="700"/>
      <c r="BBV7" s="700"/>
      <c r="BBW7" s="700"/>
      <c r="BBX7" s="700"/>
      <c r="BBY7" s="700"/>
      <c r="BBZ7" s="700"/>
      <c r="BCA7" s="700"/>
      <c r="BCB7" s="700"/>
      <c r="BCC7" s="700"/>
      <c r="BCD7" s="700"/>
      <c r="BCE7" s="700"/>
      <c r="BCF7" s="700"/>
      <c r="BCG7" s="700"/>
      <c r="BCH7" s="700"/>
      <c r="BCI7" s="700"/>
      <c r="BCJ7" s="700"/>
      <c r="BCK7" s="700"/>
      <c r="BCL7" s="700"/>
      <c r="BCM7" s="700"/>
      <c r="BCN7" s="700"/>
      <c r="BCO7" s="700"/>
      <c r="BCP7" s="700"/>
      <c r="BCQ7" s="700"/>
      <c r="BCR7" s="700"/>
      <c r="BCS7" s="700"/>
      <c r="BCT7" s="700"/>
      <c r="BCU7" s="700"/>
      <c r="BCV7" s="700"/>
      <c r="BCW7" s="700"/>
      <c r="BCX7" s="700"/>
      <c r="BCY7" s="700"/>
      <c r="BCZ7" s="700"/>
      <c r="BDA7" s="700"/>
      <c r="BDB7" s="700"/>
      <c r="BDC7" s="700"/>
      <c r="BDD7" s="700"/>
      <c r="BDE7" s="700"/>
      <c r="BDF7" s="700"/>
      <c r="BDG7" s="700"/>
      <c r="BDH7" s="700"/>
      <c r="BDI7" s="700"/>
      <c r="BDJ7" s="700"/>
      <c r="BDK7" s="700"/>
      <c r="BDL7" s="700"/>
      <c r="BDM7" s="700"/>
      <c r="BDN7" s="700"/>
      <c r="BDO7" s="700"/>
      <c r="BDP7" s="700"/>
      <c r="BDQ7" s="700"/>
      <c r="BDR7" s="700"/>
      <c r="BDS7" s="700"/>
      <c r="BDT7" s="700"/>
      <c r="BDU7" s="700"/>
      <c r="BDV7" s="700"/>
      <c r="BDW7" s="700"/>
      <c r="BDX7" s="700"/>
      <c r="BDY7" s="700"/>
      <c r="BDZ7" s="700"/>
      <c r="BEA7" s="700"/>
      <c r="BEB7" s="700"/>
      <c r="BEC7" s="700"/>
      <c r="BED7" s="700"/>
      <c r="BEE7" s="700"/>
      <c r="BEF7" s="700"/>
      <c r="BEG7" s="700"/>
      <c r="BEH7" s="700"/>
      <c r="BEI7" s="700"/>
      <c r="BEJ7" s="700"/>
      <c r="BEK7" s="700"/>
      <c r="BEL7" s="700"/>
      <c r="BEM7" s="700"/>
      <c r="BEN7" s="700"/>
      <c r="BEO7" s="700"/>
      <c r="BEP7" s="700"/>
      <c r="BEQ7" s="700"/>
      <c r="BER7" s="700"/>
      <c r="BES7" s="700"/>
      <c r="BET7" s="700"/>
      <c r="BEU7" s="700"/>
      <c r="BEV7" s="700"/>
      <c r="BEW7" s="700"/>
      <c r="BEX7" s="700"/>
      <c r="BEY7" s="700"/>
      <c r="BEZ7" s="700"/>
      <c r="BFA7" s="700"/>
      <c r="BFB7" s="700"/>
      <c r="BFC7" s="700"/>
      <c r="BFD7" s="700"/>
      <c r="BFE7" s="700"/>
      <c r="BFF7" s="700"/>
      <c r="BFG7" s="700"/>
      <c r="BFH7" s="700"/>
      <c r="BFI7" s="700"/>
      <c r="BFJ7" s="700"/>
      <c r="BFK7" s="700"/>
      <c r="BFL7" s="700"/>
      <c r="BFM7" s="700"/>
      <c r="BFN7" s="700"/>
      <c r="BFO7" s="700"/>
      <c r="BFP7" s="700"/>
      <c r="BFQ7" s="700"/>
      <c r="BFR7" s="700"/>
      <c r="BFS7" s="700"/>
      <c r="BFT7" s="700"/>
      <c r="BFU7" s="700"/>
      <c r="BFV7" s="700"/>
      <c r="BFW7" s="700"/>
      <c r="BFX7" s="700"/>
      <c r="BFY7" s="700"/>
      <c r="BFZ7" s="700"/>
      <c r="BGA7" s="700"/>
      <c r="BGB7" s="700"/>
      <c r="BGC7" s="700"/>
      <c r="BGD7" s="700"/>
      <c r="BGE7" s="700"/>
      <c r="BGF7" s="700"/>
      <c r="BGG7" s="700"/>
      <c r="BGH7" s="700"/>
      <c r="BGI7" s="700"/>
      <c r="BGJ7" s="700"/>
      <c r="BGK7" s="700"/>
      <c r="BGL7" s="700"/>
      <c r="BGM7" s="700"/>
      <c r="BGN7" s="700"/>
      <c r="BGO7" s="700"/>
      <c r="BGP7" s="700"/>
      <c r="BGQ7" s="700"/>
      <c r="BGR7" s="700"/>
      <c r="BGS7" s="700"/>
      <c r="BGT7" s="700"/>
      <c r="BGU7" s="700"/>
      <c r="BGV7" s="700"/>
      <c r="BGW7" s="700"/>
      <c r="BGX7" s="700"/>
      <c r="BGY7" s="700"/>
      <c r="BGZ7" s="700"/>
      <c r="BHA7" s="700"/>
      <c r="BHB7" s="700"/>
      <c r="BHC7" s="700"/>
      <c r="BHD7" s="700"/>
      <c r="BHE7" s="700"/>
      <c r="BHF7" s="700"/>
      <c r="BHG7" s="700"/>
      <c r="BHH7" s="700"/>
      <c r="BHI7" s="700"/>
      <c r="BHJ7" s="700"/>
      <c r="BHK7" s="700"/>
      <c r="BHL7" s="700"/>
      <c r="BHM7" s="700"/>
      <c r="BHN7" s="700"/>
      <c r="BHO7" s="700"/>
      <c r="BHP7" s="700"/>
      <c r="BHQ7" s="700"/>
      <c r="BHR7" s="700"/>
      <c r="BHS7" s="700"/>
      <c r="BHT7" s="700"/>
      <c r="BHU7" s="700"/>
      <c r="BHV7" s="700"/>
      <c r="BHW7" s="700"/>
      <c r="BHX7" s="700"/>
      <c r="BHY7" s="700"/>
      <c r="BHZ7" s="700"/>
      <c r="BIA7" s="700"/>
      <c r="BIB7" s="700"/>
      <c r="BIC7" s="700"/>
      <c r="BID7" s="700"/>
      <c r="BIE7" s="700"/>
      <c r="BIF7" s="700"/>
      <c r="BIG7" s="700"/>
      <c r="BIH7" s="700"/>
      <c r="BII7" s="700"/>
      <c r="BIJ7" s="700"/>
      <c r="BIK7" s="700"/>
      <c r="BIL7" s="700"/>
      <c r="BIM7" s="700"/>
      <c r="BIN7" s="700"/>
      <c r="BIO7" s="700"/>
      <c r="BIP7" s="700"/>
      <c r="BIQ7" s="700"/>
      <c r="BIR7" s="700"/>
      <c r="BIS7" s="700"/>
      <c r="BIT7" s="700"/>
      <c r="BIU7" s="700"/>
      <c r="BIV7" s="700"/>
      <c r="BIW7" s="700"/>
      <c r="BIX7" s="700"/>
      <c r="BIY7" s="700"/>
      <c r="BIZ7" s="700"/>
      <c r="BJA7" s="700"/>
      <c r="BJB7" s="700"/>
      <c r="BJC7" s="700"/>
      <c r="BJD7" s="700"/>
      <c r="BJE7" s="700"/>
      <c r="BJF7" s="700"/>
      <c r="BJG7" s="700"/>
      <c r="BJH7" s="700"/>
      <c r="BJI7" s="700"/>
      <c r="BJJ7" s="700"/>
      <c r="BJK7" s="700"/>
      <c r="BJL7" s="700"/>
      <c r="BJM7" s="700"/>
      <c r="BJN7" s="700"/>
      <c r="BJO7" s="700"/>
      <c r="BJP7" s="700"/>
      <c r="BJQ7" s="700"/>
      <c r="BJR7" s="700"/>
      <c r="BJS7" s="700"/>
      <c r="BJT7" s="700"/>
      <c r="BJU7" s="700"/>
      <c r="BJV7" s="700"/>
      <c r="BJW7" s="700"/>
      <c r="BJX7" s="700"/>
      <c r="BJY7" s="700"/>
      <c r="BJZ7" s="700"/>
      <c r="BKA7" s="700"/>
      <c r="BKB7" s="700"/>
      <c r="BKC7" s="700"/>
      <c r="BKD7" s="700"/>
      <c r="BKE7" s="700"/>
      <c r="BKF7" s="700"/>
      <c r="BKG7" s="700"/>
      <c r="BKH7" s="700"/>
      <c r="BKI7" s="700"/>
      <c r="BKJ7" s="700"/>
      <c r="BKK7" s="700"/>
      <c r="BKL7" s="700"/>
      <c r="BKM7" s="700"/>
      <c r="BKN7" s="700"/>
      <c r="BKO7" s="700"/>
      <c r="BKP7" s="700"/>
      <c r="BKQ7" s="700"/>
      <c r="BKR7" s="700"/>
      <c r="BKS7" s="700"/>
      <c r="BKT7" s="700"/>
      <c r="BKU7" s="700"/>
      <c r="BKV7" s="700"/>
      <c r="BKW7" s="700"/>
      <c r="BKX7" s="700"/>
      <c r="BKY7" s="700"/>
      <c r="BKZ7" s="700"/>
      <c r="BLA7" s="700"/>
      <c r="BLB7" s="700"/>
      <c r="BLC7" s="700"/>
      <c r="BLD7" s="700"/>
      <c r="BLE7" s="700"/>
      <c r="BLF7" s="700"/>
      <c r="BLG7" s="700"/>
      <c r="BLH7" s="700"/>
      <c r="BLI7" s="700"/>
      <c r="BLJ7" s="700"/>
      <c r="BLK7" s="700"/>
      <c r="BLL7" s="700"/>
      <c r="BLM7" s="700"/>
      <c r="BLN7" s="700"/>
      <c r="BLO7" s="700"/>
      <c r="BLP7" s="700"/>
      <c r="BLQ7" s="700"/>
      <c r="BLR7" s="700"/>
      <c r="BLS7" s="700"/>
      <c r="BLT7" s="700"/>
      <c r="BLU7" s="700"/>
      <c r="BLV7" s="700"/>
      <c r="BLW7" s="700"/>
      <c r="BLX7" s="700"/>
      <c r="BLY7" s="700"/>
      <c r="BLZ7" s="700"/>
      <c r="BMA7" s="700"/>
      <c r="BMB7" s="700"/>
      <c r="BMC7" s="700"/>
      <c r="BMD7" s="700"/>
      <c r="BME7" s="700"/>
      <c r="BMF7" s="700"/>
      <c r="BMG7" s="700"/>
      <c r="BMH7" s="700"/>
      <c r="BMI7" s="700"/>
      <c r="BMJ7" s="700"/>
      <c r="BMK7" s="700"/>
      <c r="BML7" s="700"/>
      <c r="BMM7" s="700"/>
      <c r="BMN7" s="700"/>
      <c r="BMO7" s="700"/>
      <c r="BMP7" s="700"/>
      <c r="BMQ7" s="700"/>
      <c r="BMR7" s="700"/>
      <c r="BMS7" s="700"/>
      <c r="BMT7" s="700"/>
      <c r="BMU7" s="700"/>
      <c r="BMV7" s="700"/>
      <c r="BMW7" s="700"/>
      <c r="BMX7" s="700"/>
      <c r="BMY7" s="700"/>
      <c r="BMZ7" s="700"/>
      <c r="BNA7" s="700"/>
      <c r="BNB7" s="700"/>
      <c r="BNC7" s="700"/>
      <c r="BND7" s="700"/>
      <c r="BNE7" s="700"/>
      <c r="BNF7" s="700"/>
      <c r="BNG7" s="700"/>
      <c r="BNH7" s="700"/>
      <c r="BNI7" s="700"/>
      <c r="BNJ7" s="700"/>
      <c r="BNK7" s="700"/>
      <c r="BNL7" s="700"/>
      <c r="BNM7" s="700"/>
      <c r="BNN7" s="700"/>
      <c r="BNO7" s="700"/>
      <c r="BNP7" s="700"/>
      <c r="BNQ7" s="700"/>
      <c r="BNR7" s="700"/>
      <c r="BNS7" s="700"/>
      <c r="BNT7" s="700"/>
      <c r="BNU7" s="700"/>
      <c r="BNV7" s="700"/>
      <c r="BNW7" s="700"/>
      <c r="BNX7" s="700"/>
      <c r="BNY7" s="700"/>
      <c r="BNZ7" s="700"/>
      <c r="BOA7" s="700"/>
      <c r="BOB7" s="700"/>
      <c r="BOC7" s="700"/>
      <c r="BOD7" s="700"/>
      <c r="BOE7" s="700"/>
      <c r="BOF7" s="700"/>
      <c r="BOG7" s="700"/>
      <c r="BOH7" s="700"/>
      <c r="BOI7" s="700"/>
      <c r="BOJ7" s="700"/>
      <c r="BOK7" s="700"/>
      <c r="BOL7" s="700"/>
      <c r="BOM7" s="700"/>
      <c r="BON7" s="700"/>
      <c r="BOO7" s="700"/>
      <c r="BOP7" s="700"/>
      <c r="BOQ7" s="700"/>
      <c r="BOR7" s="700"/>
      <c r="BOS7" s="700"/>
      <c r="BOT7" s="700"/>
      <c r="BOU7" s="700"/>
      <c r="BOV7" s="700"/>
      <c r="BOW7" s="700"/>
      <c r="BOX7" s="700"/>
      <c r="BOY7" s="700"/>
      <c r="BOZ7" s="700"/>
      <c r="BPA7" s="700"/>
      <c r="BPB7" s="700"/>
      <c r="BPC7" s="700"/>
      <c r="BPD7" s="700"/>
      <c r="BPE7" s="700"/>
      <c r="BPF7" s="700"/>
      <c r="BPG7" s="700"/>
      <c r="BPH7" s="700"/>
      <c r="BPI7" s="700"/>
      <c r="BPJ7" s="700"/>
      <c r="BPK7" s="700"/>
      <c r="BPL7" s="700"/>
      <c r="BPM7" s="700"/>
      <c r="BPN7" s="700"/>
      <c r="BPO7" s="700"/>
      <c r="BPP7" s="700"/>
      <c r="BPQ7" s="700"/>
      <c r="BPR7" s="700"/>
      <c r="BPS7" s="700"/>
      <c r="BPT7" s="700"/>
      <c r="BPU7" s="700"/>
      <c r="BPV7" s="700"/>
      <c r="BPW7" s="700"/>
      <c r="BPX7" s="700"/>
      <c r="BPY7" s="700"/>
      <c r="BPZ7" s="700"/>
      <c r="BQA7" s="700"/>
      <c r="BQB7" s="700"/>
      <c r="BQC7" s="700"/>
      <c r="BQD7" s="700"/>
      <c r="BQE7" s="700"/>
      <c r="BQF7" s="700"/>
      <c r="BQG7" s="700"/>
      <c r="BQH7" s="700"/>
      <c r="BQI7" s="700"/>
      <c r="BQJ7" s="700"/>
      <c r="BQK7" s="700"/>
      <c r="BQL7" s="700"/>
      <c r="BQM7" s="700"/>
      <c r="BQN7" s="700"/>
      <c r="BQO7" s="700"/>
      <c r="BQP7" s="700"/>
      <c r="BQQ7" s="700"/>
      <c r="BQR7" s="700"/>
      <c r="BQS7" s="700"/>
      <c r="BQT7" s="700"/>
      <c r="BQU7" s="700"/>
      <c r="BQV7" s="700"/>
      <c r="BQW7" s="700"/>
      <c r="BQX7" s="700"/>
      <c r="BQY7" s="700"/>
      <c r="BQZ7" s="700"/>
      <c r="BRA7" s="700"/>
      <c r="BRB7" s="700"/>
      <c r="BRC7" s="700"/>
      <c r="BRD7" s="700"/>
      <c r="BRE7" s="700"/>
      <c r="BRF7" s="700"/>
      <c r="BRG7" s="700"/>
      <c r="BRH7" s="700"/>
      <c r="BRI7" s="700"/>
      <c r="BRJ7" s="700"/>
      <c r="BRK7" s="700"/>
      <c r="BRL7" s="700"/>
      <c r="BRM7" s="700"/>
      <c r="BRN7" s="700"/>
      <c r="BRO7" s="700"/>
      <c r="BRP7" s="700"/>
      <c r="BRQ7" s="700"/>
      <c r="BRR7" s="700"/>
      <c r="BRS7" s="700"/>
      <c r="BRT7" s="700"/>
      <c r="BRU7" s="700"/>
      <c r="BRV7" s="700"/>
      <c r="BRW7" s="700"/>
      <c r="BRX7" s="700"/>
      <c r="BRY7" s="700"/>
      <c r="BRZ7" s="700"/>
      <c r="BSA7" s="700"/>
      <c r="BSB7" s="700"/>
      <c r="BSC7" s="700"/>
      <c r="BSD7" s="700"/>
      <c r="BSE7" s="700"/>
      <c r="BSF7" s="700"/>
      <c r="BSG7" s="700"/>
      <c r="BSH7" s="700"/>
      <c r="BSI7" s="700"/>
      <c r="BSJ7" s="700"/>
      <c r="BSK7" s="700"/>
      <c r="BSL7" s="700"/>
      <c r="BSM7" s="700"/>
      <c r="BSN7" s="700"/>
      <c r="BSO7" s="700"/>
      <c r="BSP7" s="700"/>
      <c r="BSQ7" s="700"/>
      <c r="BSR7" s="700"/>
      <c r="BSS7" s="700"/>
      <c r="BST7" s="700"/>
      <c r="BSU7" s="700"/>
      <c r="BSV7" s="700"/>
      <c r="BSW7" s="700"/>
      <c r="BSX7" s="700"/>
      <c r="BSY7" s="700"/>
      <c r="BSZ7" s="700"/>
      <c r="BTA7" s="700"/>
      <c r="BTB7" s="700"/>
      <c r="BTC7" s="700"/>
      <c r="BTD7" s="700"/>
      <c r="BTE7" s="700"/>
      <c r="BTF7" s="700"/>
      <c r="BTG7" s="700"/>
      <c r="BTH7" s="700"/>
      <c r="BTI7" s="700"/>
      <c r="BTJ7" s="700"/>
      <c r="BTK7" s="700"/>
      <c r="BTL7" s="700"/>
      <c r="BTM7" s="700"/>
      <c r="BTN7" s="700"/>
      <c r="BTO7" s="700"/>
      <c r="BTP7" s="700"/>
      <c r="BTQ7" s="700"/>
      <c r="BTR7" s="700"/>
      <c r="BTS7" s="700"/>
      <c r="BTT7" s="700"/>
      <c r="BTU7" s="700"/>
      <c r="BTV7" s="700"/>
      <c r="BTW7" s="700"/>
      <c r="BTX7" s="700"/>
      <c r="BTY7" s="700"/>
      <c r="BTZ7" s="700"/>
      <c r="BUA7" s="700"/>
      <c r="BUB7" s="700"/>
      <c r="BUC7" s="700"/>
      <c r="BUD7" s="700"/>
      <c r="BUE7" s="700"/>
      <c r="BUF7" s="700"/>
      <c r="BUG7" s="700"/>
      <c r="BUH7" s="700"/>
      <c r="BUI7" s="700"/>
      <c r="BUJ7" s="700"/>
      <c r="BUK7" s="700"/>
      <c r="BUL7" s="700"/>
      <c r="BUM7" s="700"/>
      <c r="BUN7" s="700"/>
      <c r="BUO7" s="700"/>
      <c r="BUP7" s="700"/>
      <c r="BUQ7" s="700"/>
      <c r="BUR7" s="700"/>
      <c r="BUS7" s="700"/>
      <c r="BUT7" s="700"/>
      <c r="BUU7" s="700"/>
      <c r="BUV7" s="700"/>
      <c r="BUW7" s="700"/>
      <c r="BUX7" s="700"/>
      <c r="BUY7" s="700"/>
      <c r="BUZ7" s="700"/>
      <c r="BVA7" s="700"/>
      <c r="BVB7" s="700"/>
      <c r="BVC7" s="700"/>
      <c r="BVD7" s="700"/>
      <c r="BVE7" s="700"/>
      <c r="BVF7" s="700"/>
      <c r="BVG7" s="700"/>
      <c r="BVH7" s="700"/>
      <c r="BVI7" s="700"/>
      <c r="BVJ7" s="700"/>
      <c r="BVK7" s="700"/>
      <c r="BVL7" s="700"/>
      <c r="BVM7" s="700"/>
      <c r="BVN7" s="700"/>
      <c r="BVO7" s="700"/>
      <c r="BVP7" s="700"/>
      <c r="BVQ7" s="700"/>
      <c r="BVR7" s="700"/>
      <c r="BVS7" s="700"/>
      <c r="BVT7" s="700"/>
      <c r="BVU7" s="700"/>
      <c r="BVV7" s="700"/>
      <c r="BVW7" s="700"/>
      <c r="BVX7" s="700"/>
      <c r="BVY7" s="700"/>
      <c r="BVZ7" s="700"/>
      <c r="BWA7" s="700"/>
      <c r="BWB7" s="700"/>
      <c r="BWC7" s="700"/>
      <c r="BWD7" s="700"/>
      <c r="BWE7" s="700"/>
      <c r="BWF7" s="700"/>
      <c r="BWG7" s="700"/>
      <c r="BWH7" s="700"/>
      <c r="BWI7" s="700"/>
      <c r="BWJ7" s="700"/>
      <c r="BWK7" s="700"/>
      <c r="BWL7" s="700"/>
      <c r="BWM7" s="700"/>
      <c r="BWN7" s="700"/>
      <c r="BWO7" s="700"/>
      <c r="BWP7" s="700"/>
      <c r="BWQ7" s="700"/>
      <c r="BWR7" s="700"/>
      <c r="BWS7" s="700"/>
      <c r="BWT7" s="700"/>
      <c r="BWU7" s="700"/>
      <c r="BWV7" s="700"/>
      <c r="BWW7" s="700"/>
      <c r="BWX7" s="700"/>
      <c r="BWY7" s="700"/>
      <c r="BWZ7" s="700"/>
      <c r="BXA7" s="700"/>
      <c r="BXB7" s="700"/>
      <c r="BXC7" s="700"/>
      <c r="BXD7" s="700"/>
      <c r="BXE7" s="700"/>
      <c r="BXF7" s="700"/>
      <c r="BXG7" s="700"/>
      <c r="BXH7" s="700"/>
      <c r="BXI7" s="700"/>
      <c r="BXJ7" s="700"/>
      <c r="BXK7" s="700"/>
      <c r="BXL7" s="700"/>
      <c r="BXM7" s="700"/>
      <c r="BXN7" s="700"/>
      <c r="BXO7" s="700"/>
      <c r="BXP7" s="700"/>
      <c r="BXQ7" s="700"/>
      <c r="BXR7" s="700"/>
      <c r="BXS7" s="700"/>
      <c r="BXT7" s="700"/>
      <c r="BXU7" s="700"/>
      <c r="BXV7" s="700"/>
      <c r="BXW7" s="700"/>
      <c r="BXX7" s="700"/>
      <c r="BXY7" s="700"/>
      <c r="BXZ7" s="700"/>
    </row>
    <row r="8" spans="1:2002" ht="15">
      <c r="A8" s="717"/>
      <c r="B8" s="706"/>
      <c r="C8" s="721" t="s">
        <v>28</v>
      </c>
      <c r="D8" s="722">
        <f>IS!Q19</f>
        <v>544000</v>
      </c>
      <c r="E8" s="722">
        <f>IS!P19</f>
        <v>646000</v>
      </c>
      <c r="F8" s="722">
        <f>IS!O19</f>
        <v>550000</v>
      </c>
      <c r="G8" s="722">
        <f>IS!N19</f>
        <v>512000</v>
      </c>
      <c r="H8" s="722">
        <f>IS!M19</f>
        <v>459000</v>
      </c>
      <c r="I8" s="722">
        <f>I5*$E$66</f>
        <v>203885</v>
      </c>
      <c r="J8" s="722">
        <f>J5*$E$66</f>
        <v>242623.15000000002</v>
      </c>
      <c r="K8" s="722">
        <f t="shared" ref="J8:L8" si="3">K5*$E$66</f>
        <v>283869.08549999999</v>
      </c>
      <c r="L8" s="722">
        <f t="shared" si="3"/>
        <v>326449.448325</v>
      </c>
      <c r="M8" s="722">
        <f>M5*$F$66</f>
        <v>302488.05881794496</v>
      </c>
      <c r="N8" s="722">
        <f t="shared" ref="N8:Q8" si="4">N5*$F$66</f>
        <v>332736.8646997395</v>
      </c>
      <c r="O8" s="722">
        <f t="shared" si="4"/>
        <v>362683.18252271606</v>
      </c>
      <c r="P8" s="722">
        <f t="shared" si="4"/>
        <v>395324.66894976055</v>
      </c>
      <c r="Q8" s="722">
        <f t="shared" si="4"/>
        <v>426950.64246574143</v>
      </c>
      <c r="R8" s="722">
        <f>R5*G66</f>
        <v>401125.33531171607</v>
      </c>
      <c r="S8" s="712"/>
      <c r="T8" s="700"/>
      <c r="U8" s="700"/>
      <c r="V8" s="700"/>
      <c r="W8" s="700"/>
      <c r="X8" s="700"/>
      <c r="Y8" s="700"/>
      <c r="Z8" s="700"/>
      <c r="AA8" s="700"/>
      <c r="AB8" s="700"/>
      <c r="AC8" s="700"/>
      <c r="AD8" s="700"/>
      <c r="AE8" s="700"/>
      <c r="AF8" s="700"/>
      <c r="AG8" s="700"/>
      <c r="AH8" s="700"/>
      <c r="AI8" s="700"/>
      <c r="AJ8" s="700"/>
      <c r="AK8" s="700"/>
      <c r="AL8" s="700"/>
      <c r="AM8" s="700"/>
      <c r="AN8" s="700"/>
      <c r="AO8" s="700"/>
      <c r="AP8" s="700"/>
      <c r="AQ8" s="700"/>
      <c r="AR8" s="700"/>
      <c r="AS8" s="700"/>
      <c r="AT8" s="700"/>
      <c r="AU8" s="700"/>
      <c r="AV8" s="700"/>
      <c r="AW8" s="700"/>
      <c r="AX8" s="700"/>
      <c r="AY8" s="700"/>
      <c r="AZ8" s="700"/>
      <c r="BA8" s="700"/>
      <c r="BB8" s="700"/>
      <c r="BC8" s="700"/>
      <c r="BD8" s="700"/>
      <c r="BE8" s="700"/>
      <c r="BF8" s="700"/>
      <c r="BG8" s="700"/>
      <c r="BH8" s="700"/>
      <c r="BI8" s="700"/>
      <c r="BJ8" s="700"/>
      <c r="BK8" s="700"/>
      <c r="BL8" s="700"/>
      <c r="BM8" s="700"/>
      <c r="BN8" s="700"/>
      <c r="BO8" s="700"/>
      <c r="BP8" s="700"/>
      <c r="BQ8" s="700"/>
      <c r="BR8" s="700"/>
      <c r="BS8" s="700"/>
      <c r="BT8" s="700"/>
      <c r="BU8" s="700"/>
      <c r="BV8" s="700"/>
      <c r="BW8" s="700"/>
      <c r="BX8" s="700"/>
      <c r="BY8" s="700"/>
      <c r="BZ8" s="700"/>
      <c r="CA8" s="700"/>
      <c r="CB8" s="700"/>
      <c r="CC8" s="700"/>
      <c r="CD8" s="700"/>
      <c r="CE8" s="700"/>
      <c r="CF8" s="700"/>
      <c r="CG8" s="700"/>
      <c r="CH8" s="700"/>
      <c r="CI8" s="700"/>
      <c r="CJ8" s="700"/>
      <c r="CK8" s="700"/>
      <c r="CL8" s="700"/>
      <c r="CM8" s="700"/>
      <c r="CN8" s="700"/>
      <c r="CO8" s="700"/>
      <c r="CP8" s="700"/>
      <c r="CQ8" s="700"/>
      <c r="CR8" s="700"/>
      <c r="CS8" s="700"/>
      <c r="CT8" s="700"/>
      <c r="CU8" s="700"/>
      <c r="CV8" s="700"/>
      <c r="CW8" s="700"/>
      <c r="CX8" s="700"/>
      <c r="CY8" s="700"/>
      <c r="CZ8" s="700"/>
      <c r="DA8" s="700"/>
      <c r="DB8" s="700"/>
      <c r="DC8" s="700"/>
      <c r="DD8" s="700"/>
      <c r="DE8" s="700"/>
      <c r="DF8" s="700"/>
      <c r="DG8" s="700"/>
      <c r="DH8" s="700"/>
      <c r="DI8" s="700"/>
      <c r="DJ8" s="700"/>
      <c r="DK8" s="700"/>
      <c r="DL8" s="700"/>
      <c r="DM8" s="700"/>
      <c r="DN8" s="700"/>
      <c r="DO8" s="700"/>
      <c r="DP8" s="700"/>
      <c r="DQ8" s="700"/>
      <c r="DR8" s="700"/>
      <c r="DS8" s="700"/>
      <c r="DT8" s="700"/>
      <c r="DU8" s="700"/>
      <c r="DV8" s="700"/>
      <c r="DW8" s="700"/>
      <c r="DX8" s="700"/>
      <c r="DY8" s="700"/>
      <c r="DZ8" s="700"/>
      <c r="EA8" s="700"/>
      <c r="EB8" s="700"/>
      <c r="EC8" s="700"/>
      <c r="ED8" s="700"/>
      <c r="EE8" s="700"/>
      <c r="EF8" s="700"/>
      <c r="EG8" s="700"/>
      <c r="EH8" s="700"/>
      <c r="EI8" s="700"/>
      <c r="EJ8" s="700"/>
      <c r="EK8" s="700"/>
      <c r="EL8" s="700"/>
      <c r="EM8" s="700"/>
      <c r="EN8" s="700"/>
      <c r="EO8" s="700"/>
      <c r="EP8" s="700"/>
      <c r="EQ8" s="700"/>
      <c r="ER8" s="700"/>
      <c r="ES8" s="700"/>
      <c r="ET8" s="700"/>
      <c r="EU8" s="700"/>
      <c r="EV8" s="700"/>
      <c r="EW8" s="700"/>
      <c r="EX8" s="700"/>
      <c r="EY8" s="700"/>
      <c r="EZ8" s="700"/>
      <c r="FA8" s="700"/>
      <c r="FB8" s="700"/>
      <c r="FC8" s="700"/>
      <c r="FD8" s="700"/>
      <c r="FE8" s="700"/>
      <c r="FF8" s="700"/>
      <c r="FG8" s="700"/>
      <c r="FH8" s="700"/>
      <c r="FI8" s="700"/>
      <c r="FJ8" s="700"/>
      <c r="FK8" s="700"/>
      <c r="FL8" s="700"/>
      <c r="FM8" s="700"/>
      <c r="FN8" s="700"/>
      <c r="FO8" s="700"/>
      <c r="FP8" s="700"/>
      <c r="FQ8" s="700"/>
      <c r="FR8" s="700"/>
      <c r="FS8" s="700"/>
      <c r="FT8" s="700"/>
      <c r="FU8" s="700"/>
      <c r="FV8" s="700"/>
      <c r="FW8" s="700"/>
      <c r="FX8" s="700"/>
      <c r="FY8" s="700"/>
      <c r="FZ8" s="700"/>
      <c r="GA8" s="700"/>
      <c r="GB8" s="700"/>
      <c r="GC8" s="700"/>
      <c r="GD8" s="700"/>
      <c r="GE8" s="700"/>
      <c r="GF8" s="700"/>
      <c r="GG8" s="700"/>
      <c r="GH8" s="700"/>
      <c r="GI8" s="700"/>
      <c r="GJ8" s="700"/>
      <c r="GK8" s="700"/>
      <c r="GL8" s="700"/>
      <c r="GM8" s="700"/>
      <c r="GN8" s="700"/>
      <c r="GO8" s="700"/>
      <c r="GP8" s="700"/>
      <c r="GQ8" s="700"/>
      <c r="GR8" s="700"/>
      <c r="GS8" s="700"/>
      <c r="GT8" s="700"/>
      <c r="GU8" s="700"/>
      <c r="GV8" s="700"/>
      <c r="GW8" s="700"/>
      <c r="GX8" s="700"/>
      <c r="GY8" s="700"/>
      <c r="GZ8" s="700"/>
      <c r="HA8" s="700"/>
      <c r="HB8" s="700"/>
      <c r="HC8" s="700"/>
      <c r="HD8" s="700"/>
      <c r="HE8" s="700"/>
      <c r="HF8" s="700"/>
      <c r="HG8" s="700"/>
      <c r="HH8" s="700"/>
      <c r="HI8" s="700"/>
      <c r="HJ8" s="700"/>
      <c r="HK8" s="700"/>
      <c r="HL8" s="700"/>
      <c r="HM8" s="700"/>
      <c r="HN8" s="700"/>
      <c r="HO8" s="700"/>
      <c r="HP8" s="700"/>
      <c r="HQ8" s="700"/>
      <c r="HR8" s="700"/>
      <c r="HS8" s="700"/>
      <c r="HT8" s="700"/>
      <c r="HU8" s="700"/>
      <c r="HV8" s="700"/>
      <c r="HW8" s="700"/>
      <c r="HX8" s="700"/>
      <c r="HY8" s="700"/>
      <c r="HZ8" s="700"/>
      <c r="IA8" s="700"/>
      <c r="IB8" s="700"/>
      <c r="IC8" s="700"/>
      <c r="ID8" s="700"/>
      <c r="IE8" s="700"/>
      <c r="IF8" s="700"/>
      <c r="IG8" s="700"/>
      <c r="IH8" s="700"/>
      <c r="II8" s="700"/>
      <c r="IJ8" s="700"/>
      <c r="IK8" s="700"/>
      <c r="IL8" s="700"/>
      <c r="IM8" s="700"/>
      <c r="IN8" s="700"/>
      <c r="IO8" s="700"/>
      <c r="IP8" s="700"/>
      <c r="IQ8" s="700"/>
      <c r="IR8" s="700"/>
      <c r="IS8" s="700"/>
      <c r="IT8" s="700"/>
      <c r="IU8" s="700"/>
      <c r="IV8" s="700"/>
      <c r="IW8" s="700"/>
      <c r="IX8" s="700"/>
      <c r="IY8" s="700"/>
      <c r="IZ8" s="700"/>
      <c r="JA8" s="700"/>
      <c r="JB8" s="700"/>
      <c r="JC8" s="700"/>
      <c r="JD8" s="700"/>
      <c r="JE8" s="700"/>
      <c r="JF8" s="700"/>
      <c r="JG8" s="700"/>
      <c r="JH8" s="700"/>
      <c r="JI8" s="700"/>
      <c r="JJ8" s="700"/>
      <c r="JK8" s="700"/>
      <c r="JL8" s="700"/>
      <c r="JM8" s="700"/>
      <c r="JN8" s="700"/>
      <c r="JO8" s="700"/>
      <c r="JP8" s="700"/>
      <c r="JQ8" s="700"/>
      <c r="JR8" s="700"/>
      <c r="JS8" s="700"/>
      <c r="JT8" s="700"/>
      <c r="JU8" s="700"/>
      <c r="JV8" s="700"/>
      <c r="JW8" s="700"/>
      <c r="JX8" s="700"/>
      <c r="JY8" s="700"/>
      <c r="JZ8" s="700"/>
      <c r="KA8" s="700"/>
      <c r="KB8" s="700"/>
      <c r="KC8" s="700"/>
      <c r="KD8" s="700"/>
      <c r="KE8" s="700"/>
      <c r="KF8" s="700"/>
      <c r="KG8" s="700"/>
      <c r="KH8" s="700"/>
      <c r="KI8" s="700"/>
      <c r="KJ8" s="700"/>
      <c r="KK8" s="700"/>
      <c r="KL8" s="700"/>
      <c r="KM8" s="700"/>
      <c r="KN8" s="700"/>
      <c r="KO8" s="700"/>
      <c r="KP8" s="700"/>
      <c r="KQ8" s="700"/>
      <c r="KR8" s="700"/>
      <c r="KS8" s="700"/>
      <c r="KT8" s="700"/>
      <c r="KU8" s="700"/>
      <c r="KV8" s="700"/>
      <c r="KW8" s="700"/>
      <c r="KX8" s="700"/>
      <c r="KY8" s="700"/>
      <c r="KZ8" s="700"/>
      <c r="LA8" s="700"/>
      <c r="LB8" s="700"/>
      <c r="LC8" s="700"/>
      <c r="LD8" s="700"/>
      <c r="LE8" s="700"/>
      <c r="LF8" s="700"/>
      <c r="LG8" s="700"/>
      <c r="LH8" s="700"/>
      <c r="LI8" s="700"/>
      <c r="LJ8" s="700"/>
      <c r="LK8" s="700"/>
      <c r="LL8" s="700"/>
      <c r="LM8" s="700"/>
      <c r="LN8" s="700"/>
      <c r="LO8" s="700"/>
      <c r="LP8" s="700"/>
      <c r="LQ8" s="700"/>
      <c r="LR8" s="700"/>
      <c r="LS8" s="700"/>
      <c r="LT8" s="700"/>
      <c r="LU8" s="700"/>
      <c r="LV8" s="700"/>
      <c r="LW8" s="700"/>
      <c r="LX8" s="700"/>
      <c r="LY8" s="700"/>
      <c r="LZ8" s="700"/>
      <c r="MA8" s="700"/>
      <c r="MB8" s="700"/>
      <c r="MC8" s="700"/>
      <c r="MD8" s="700"/>
      <c r="ME8" s="700"/>
      <c r="MF8" s="700"/>
      <c r="MG8" s="700"/>
      <c r="MH8" s="700"/>
      <c r="MI8" s="700"/>
      <c r="MJ8" s="700"/>
      <c r="MK8" s="700"/>
      <c r="ML8" s="700"/>
      <c r="MM8" s="700"/>
      <c r="MN8" s="700"/>
      <c r="MO8" s="700"/>
      <c r="MP8" s="700"/>
      <c r="MQ8" s="700"/>
      <c r="MR8" s="700"/>
      <c r="MS8" s="700"/>
      <c r="MT8" s="700"/>
      <c r="MU8" s="700"/>
      <c r="MV8" s="700"/>
      <c r="MW8" s="700"/>
      <c r="MX8" s="700"/>
      <c r="MY8" s="700"/>
      <c r="MZ8" s="700"/>
      <c r="NA8" s="700"/>
      <c r="NB8" s="700"/>
      <c r="NC8" s="700"/>
      <c r="ND8" s="700"/>
      <c r="NE8" s="700"/>
      <c r="NF8" s="700"/>
      <c r="NG8" s="700"/>
      <c r="NH8" s="700"/>
      <c r="NI8" s="700"/>
      <c r="NJ8" s="700"/>
      <c r="NK8" s="700"/>
      <c r="NL8" s="700"/>
      <c r="NM8" s="700"/>
      <c r="NN8" s="700"/>
      <c r="NO8" s="700"/>
      <c r="NP8" s="700"/>
      <c r="NQ8" s="700"/>
      <c r="NR8" s="700"/>
      <c r="NS8" s="700"/>
      <c r="NT8" s="700"/>
      <c r="NU8" s="700"/>
      <c r="NV8" s="700"/>
      <c r="NW8" s="700"/>
      <c r="NX8" s="700"/>
      <c r="NY8" s="700"/>
      <c r="NZ8" s="700"/>
      <c r="OA8" s="700"/>
      <c r="OB8" s="700"/>
      <c r="OC8" s="700"/>
      <c r="OD8" s="700"/>
      <c r="OE8" s="700"/>
      <c r="OF8" s="700"/>
      <c r="OG8" s="700"/>
      <c r="OH8" s="700"/>
      <c r="OI8" s="700"/>
      <c r="OJ8" s="700"/>
      <c r="OK8" s="700"/>
      <c r="OL8" s="700"/>
      <c r="OM8" s="700"/>
      <c r="ON8" s="700"/>
      <c r="OO8" s="700"/>
      <c r="OP8" s="700"/>
      <c r="OQ8" s="700"/>
      <c r="OR8" s="700"/>
      <c r="OS8" s="700"/>
      <c r="OT8" s="700"/>
      <c r="OU8" s="700"/>
      <c r="OV8" s="700"/>
      <c r="OW8" s="700"/>
      <c r="OX8" s="700"/>
      <c r="OY8" s="700"/>
      <c r="OZ8" s="700"/>
      <c r="PA8" s="700"/>
      <c r="PB8" s="700"/>
      <c r="PC8" s="700"/>
      <c r="PD8" s="700"/>
      <c r="PE8" s="700"/>
      <c r="PF8" s="700"/>
      <c r="PG8" s="700"/>
      <c r="PH8" s="700"/>
      <c r="PI8" s="700"/>
      <c r="PJ8" s="700"/>
      <c r="PK8" s="700"/>
      <c r="PL8" s="700"/>
      <c r="PM8" s="700"/>
      <c r="PN8" s="700"/>
      <c r="PO8" s="700"/>
      <c r="PP8" s="700"/>
      <c r="PQ8" s="700"/>
      <c r="PR8" s="700"/>
      <c r="PS8" s="700"/>
      <c r="PT8" s="700"/>
      <c r="PU8" s="700"/>
      <c r="PV8" s="700"/>
      <c r="PW8" s="700"/>
      <c r="PX8" s="700"/>
      <c r="PY8" s="700"/>
      <c r="PZ8" s="700"/>
      <c r="QA8" s="700"/>
      <c r="QB8" s="700"/>
      <c r="QC8" s="700"/>
      <c r="QD8" s="700"/>
      <c r="QE8" s="700"/>
      <c r="QF8" s="700"/>
      <c r="QG8" s="700"/>
      <c r="QH8" s="700"/>
      <c r="QI8" s="700"/>
      <c r="QJ8" s="700"/>
      <c r="QK8" s="700"/>
      <c r="QL8" s="700"/>
      <c r="QM8" s="700"/>
      <c r="QN8" s="700"/>
      <c r="QO8" s="700"/>
      <c r="QP8" s="700"/>
      <c r="QQ8" s="700"/>
      <c r="QR8" s="700"/>
      <c r="QS8" s="700"/>
      <c r="QT8" s="700"/>
      <c r="QU8" s="700"/>
      <c r="QV8" s="700"/>
      <c r="QW8" s="700"/>
      <c r="QX8" s="700"/>
      <c r="QY8" s="700"/>
      <c r="QZ8" s="700"/>
      <c r="RA8" s="700"/>
      <c r="RB8" s="700"/>
      <c r="RC8" s="700"/>
      <c r="RD8" s="700"/>
      <c r="RE8" s="700"/>
      <c r="RF8" s="700"/>
      <c r="RG8" s="700"/>
      <c r="RH8" s="700"/>
      <c r="RI8" s="700"/>
      <c r="RJ8" s="700"/>
      <c r="RK8" s="700"/>
      <c r="RL8" s="700"/>
      <c r="RM8" s="700"/>
      <c r="RN8" s="700"/>
      <c r="RO8" s="700"/>
      <c r="RP8" s="700"/>
      <c r="RQ8" s="700"/>
      <c r="RR8" s="700"/>
      <c r="RS8" s="700"/>
      <c r="RT8" s="700"/>
      <c r="RU8" s="700"/>
      <c r="RV8" s="700"/>
      <c r="RW8" s="700"/>
      <c r="RX8" s="700"/>
      <c r="RY8" s="700"/>
      <c r="RZ8" s="700"/>
      <c r="SA8" s="700"/>
      <c r="SB8" s="700"/>
      <c r="SC8" s="700"/>
      <c r="SD8" s="700"/>
      <c r="SE8" s="700"/>
      <c r="SF8" s="700"/>
      <c r="SG8" s="700"/>
      <c r="SH8" s="700"/>
      <c r="SI8" s="700"/>
      <c r="SJ8" s="700"/>
      <c r="SK8" s="700"/>
      <c r="SL8" s="700"/>
      <c r="SM8" s="700"/>
      <c r="SN8" s="700"/>
      <c r="SO8" s="700"/>
      <c r="SP8" s="700"/>
      <c r="SQ8" s="700"/>
      <c r="SR8" s="700"/>
      <c r="SS8" s="700"/>
      <c r="ST8" s="700"/>
      <c r="SU8" s="700"/>
      <c r="SV8" s="700"/>
      <c r="SW8" s="700"/>
      <c r="SX8" s="700"/>
      <c r="SY8" s="700"/>
      <c r="SZ8" s="700"/>
      <c r="TA8" s="700"/>
      <c r="TB8" s="700"/>
      <c r="TC8" s="700"/>
      <c r="TD8" s="700"/>
      <c r="TE8" s="700"/>
      <c r="TF8" s="700"/>
      <c r="TG8" s="700"/>
      <c r="TH8" s="700"/>
      <c r="TI8" s="700"/>
      <c r="TJ8" s="700"/>
      <c r="TK8" s="700"/>
      <c r="TL8" s="700"/>
      <c r="TM8" s="700"/>
      <c r="TN8" s="700"/>
      <c r="TO8" s="700"/>
      <c r="TP8" s="700"/>
      <c r="TQ8" s="700"/>
      <c r="TR8" s="700"/>
      <c r="TS8" s="700"/>
      <c r="TT8" s="700"/>
      <c r="TU8" s="700"/>
      <c r="TV8" s="700"/>
      <c r="TW8" s="700"/>
      <c r="TX8" s="700"/>
      <c r="TY8" s="700"/>
      <c r="TZ8" s="700"/>
      <c r="UA8" s="700"/>
      <c r="UB8" s="700"/>
      <c r="UC8" s="700"/>
      <c r="UD8" s="700"/>
      <c r="UE8" s="700"/>
      <c r="UF8" s="700"/>
      <c r="UG8" s="700"/>
      <c r="UH8" s="700"/>
      <c r="UI8" s="700"/>
      <c r="UJ8" s="700"/>
      <c r="UK8" s="700"/>
      <c r="UL8" s="700"/>
      <c r="UM8" s="700"/>
      <c r="UN8" s="700"/>
      <c r="UO8" s="700"/>
      <c r="UP8" s="700"/>
      <c r="UQ8" s="700"/>
      <c r="UR8" s="700"/>
      <c r="US8" s="700"/>
      <c r="UT8" s="700"/>
      <c r="UU8" s="700"/>
      <c r="UV8" s="700"/>
      <c r="UW8" s="700"/>
      <c r="UX8" s="700"/>
      <c r="UY8" s="700"/>
      <c r="UZ8" s="700"/>
      <c r="VA8" s="700"/>
      <c r="VB8" s="700"/>
      <c r="VC8" s="700"/>
      <c r="VD8" s="700"/>
      <c r="VE8" s="700"/>
      <c r="VF8" s="700"/>
      <c r="VG8" s="700"/>
      <c r="VH8" s="700"/>
      <c r="VI8" s="700"/>
      <c r="VJ8" s="700"/>
      <c r="VK8" s="700"/>
      <c r="VL8" s="700"/>
      <c r="VM8" s="700"/>
      <c r="VN8" s="700"/>
      <c r="VO8" s="700"/>
      <c r="VP8" s="700"/>
      <c r="VQ8" s="700"/>
      <c r="VR8" s="700"/>
      <c r="VS8" s="700"/>
      <c r="VT8" s="700"/>
      <c r="VU8" s="700"/>
      <c r="VV8" s="700"/>
      <c r="VW8" s="700"/>
      <c r="VX8" s="700"/>
      <c r="VY8" s="700"/>
      <c r="VZ8" s="700"/>
      <c r="WA8" s="700"/>
      <c r="WB8" s="700"/>
      <c r="WC8" s="700"/>
      <c r="WD8" s="700"/>
      <c r="WE8" s="700"/>
      <c r="WF8" s="700"/>
      <c r="WG8" s="700"/>
      <c r="WH8" s="700"/>
      <c r="WI8" s="700"/>
      <c r="WJ8" s="700"/>
      <c r="WK8" s="700"/>
      <c r="WL8" s="700"/>
      <c r="WM8" s="700"/>
      <c r="WN8" s="700"/>
      <c r="WO8" s="700"/>
      <c r="WP8" s="700"/>
      <c r="WQ8" s="700"/>
      <c r="WR8" s="700"/>
      <c r="WS8" s="700"/>
      <c r="WT8" s="700"/>
      <c r="WU8" s="700"/>
      <c r="WV8" s="700"/>
      <c r="WW8" s="700"/>
      <c r="WX8" s="700"/>
      <c r="WY8" s="700"/>
      <c r="WZ8" s="700"/>
      <c r="XA8" s="700"/>
      <c r="XB8" s="700"/>
      <c r="XC8" s="700"/>
      <c r="XD8" s="700"/>
      <c r="XE8" s="700"/>
      <c r="XF8" s="700"/>
      <c r="XG8" s="700"/>
      <c r="XH8" s="700"/>
      <c r="XI8" s="700"/>
      <c r="XJ8" s="700"/>
      <c r="XK8" s="700"/>
      <c r="XL8" s="700"/>
      <c r="XM8" s="700"/>
      <c r="XN8" s="700"/>
      <c r="XO8" s="700"/>
      <c r="XP8" s="700"/>
      <c r="XQ8" s="700"/>
      <c r="XR8" s="700"/>
      <c r="XS8" s="700"/>
      <c r="XT8" s="700"/>
      <c r="XU8" s="700"/>
      <c r="XV8" s="700"/>
      <c r="XW8" s="700"/>
      <c r="XX8" s="700"/>
      <c r="XY8" s="700"/>
      <c r="XZ8" s="700"/>
      <c r="YA8" s="700"/>
      <c r="YB8" s="700"/>
      <c r="YC8" s="700"/>
      <c r="YD8" s="700"/>
      <c r="YE8" s="700"/>
      <c r="YF8" s="700"/>
      <c r="YG8" s="700"/>
      <c r="YH8" s="700"/>
      <c r="YI8" s="700"/>
      <c r="YJ8" s="700"/>
      <c r="YK8" s="700"/>
      <c r="YL8" s="700"/>
      <c r="YM8" s="700"/>
      <c r="YN8" s="700"/>
      <c r="YO8" s="700"/>
      <c r="YP8" s="700"/>
      <c r="YQ8" s="700"/>
      <c r="YR8" s="700"/>
      <c r="YS8" s="700"/>
      <c r="YT8" s="700"/>
      <c r="YU8" s="700"/>
      <c r="YV8" s="700"/>
      <c r="YW8" s="700"/>
      <c r="YX8" s="700"/>
      <c r="YY8" s="700"/>
      <c r="YZ8" s="700"/>
      <c r="ZA8" s="700"/>
      <c r="ZB8" s="700"/>
      <c r="ZC8" s="700"/>
      <c r="ZD8" s="700"/>
      <c r="ZE8" s="700"/>
      <c r="ZF8" s="700"/>
      <c r="ZG8" s="700"/>
      <c r="ZH8" s="700"/>
      <c r="ZI8" s="700"/>
      <c r="ZJ8" s="700"/>
      <c r="ZK8" s="700"/>
      <c r="ZL8" s="700"/>
      <c r="ZM8" s="700"/>
      <c r="ZN8" s="700"/>
      <c r="ZO8" s="700"/>
      <c r="ZP8" s="700"/>
      <c r="ZQ8" s="700"/>
      <c r="ZR8" s="700"/>
      <c r="ZS8" s="700"/>
      <c r="ZT8" s="700"/>
      <c r="ZU8" s="700"/>
      <c r="ZV8" s="700"/>
      <c r="ZW8" s="700"/>
      <c r="ZX8" s="700"/>
      <c r="ZY8" s="700"/>
      <c r="ZZ8" s="700"/>
      <c r="AAA8" s="700"/>
      <c r="AAB8" s="700"/>
      <c r="AAC8" s="700"/>
      <c r="AAD8" s="700"/>
      <c r="AAE8" s="700"/>
      <c r="AAF8" s="700"/>
      <c r="AAG8" s="700"/>
      <c r="AAH8" s="700"/>
      <c r="AAI8" s="700"/>
      <c r="AAJ8" s="700"/>
      <c r="AAK8" s="700"/>
      <c r="AAL8" s="700"/>
      <c r="AAM8" s="700"/>
      <c r="AAN8" s="700"/>
      <c r="AAO8" s="700"/>
      <c r="AAP8" s="700"/>
      <c r="AAQ8" s="700"/>
      <c r="AAR8" s="700"/>
      <c r="AAS8" s="700"/>
      <c r="AAT8" s="700"/>
      <c r="AAU8" s="700"/>
      <c r="AAV8" s="700"/>
      <c r="AAW8" s="700"/>
      <c r="AAX8" s="700"/>
      <c r="AAY8" s="700"/>
      <c r="AAZ8" s="700"/>
      <c r="ABA8" s="700"/>
      <c r="ABB8" s="700"/>
      <c r="ABC8" s="700"/>
      <c r="ABD8" s="700"/>
      <c r="ABE8" s="700"/>
      <c r="ABF8" s="700"/>
      <c r="ABG8" s="700"/>
      <c r="ABH8" s="700"/>
      <c r="ABI8" s="700"/>
      <c r="ABJ8" s="700"/>
      <c r="ABK8" s="700"/>
      <c r="ABL8" s="700"/>
      <c r="ABM8" s="700"/>
      <c r="ABN8" s="700"/>
      <c r="ABO8" s="700"/>
      <c r="ABP8" s="700"/>
      <c r="ABQ8" s="700"/>
      <c r="ABR8" s="700"/>
      <c r="ABS8" s="700"/>
      <c r="ABT8" s="700"/>
      <c r="ABU8" s="700"/>
      <c r="ABV8" s="700"/>
      <c r="ABW8" s="700"/>
      <c r="ABX8" s="700"/>
      <c r="ABY8" s="700"/>
      <c r="ABZ8" s="700"/>
      <c r="ACA8" s="700"/>
      <c r="ACB8" s="700"/>
      <c r="ACC8" s="700"/>
      <c r="ACD8" s="700"/>
      <c r="ACE8" s="700"/>
      <c r="ACF8" s="700"/>
      <c r="ACG8" s="700"/>
      <c r="ACH8" s="700"/>
      <c r="ACI8" s="700"/>
      <c r="ACJ8" s="700"/>
      <c r="ACK8" s="700"/>
      <c r="ACL8" s="700"/>
      <c r="ACM8" s="700"/>
      <c r="ACN8" s="700"/>
      <c r="ACO8" s="700"/>
      <c r="ACP8" s="700"/>
      <c r="ACQ8" s="700"/>
      <c r="ACR8" s="700"/>
      <c r="ACS8" s="700"/>
      <c r="ACT8" s="700"/>
      <c r="ACU8" s="700"/>
      <c r="ACV8" s="700"/>
      <c r="ACW8" s="700"/>
      <c r="ACX8" s="700"/>
      <c r="ACY8" s="700"/>
      <c r="ACZ8" s="700"/>
      <c r="ADA8" s="700"/>
      <c r="ADB8" s="700"/>
      <c r="ADC8" s="700"/>
      <c r="ADD8" s="700"/>
      <c r="ADE8" s="700"/>
      <c r="ADF8" s="700"/>
      <c r="ADG8" s="700"/>
      <c r="ADH8" s="700"/>
      <c r="ADI8" s="700"/>
      <c r="ADJ8" s="700"/>
      <c r="ADK8" s="700"/>
      <c r="ADL8" s="700"/>
      <c r="ADM8" s="700"/>
      <c r="ADN8" s="700"/>
      <c r="ADO8" s="700"/>
      <c r="ADP8" s="700"/>
      <c r="ADQ8" s="700"/>
      <c r="ADR8" s="700"/>
      <c r="ADS8" s="700"/>
      <c r="ADT8" s="700"/>
      <c r="ADU8" s="700"/>
      <c r="ADV8" s="700"/>
      <c r="ADW8" s="700"/>
      <c r="ADX8" s="700"/>
      <c r="ADY8" s="700"/>
      <c r="ADZ8" s="700"/>
      <c r="AEA8" s="700"/>
      <c r="AEB8" s="700"/>
      <c r="AEC8" s="700"/>
      <c r="AED8" s="700"/>
      <c r="AEE8" s="700"/>
      <c r="AEF8" s="700"/>
      <c r="AEG8" s="700"/>
      <c r="AEH8" s="700"/>
      <c r="AEI8" s="700"/>
      <c r="AEJ8" s="700"/>
      <c r="AEK8" s="700"/>
      <c r="AEL8" s="700"/>
      <c r="AEM8" s="700"/>
      <c r="AEN8" s="700"/>
      <c r="AEO8" s="700"/>
      <c r="AEP8" s="700"/>
      <c r="AEQ8" s="700"/>
      <c r="AER8" s="700"/>
      <c r="AES8" s="700"/>
      <c r="AET8" s="700"/>
      <c r="AEU8" s="700"/>
      <c r="AEV8" s="700"/>
      <c r="AEW8" s="700"/>
      <c r="AEX8" s="700"/>
      <c r="AEY8" s="700"/>
      <c r="AEZ8" s="700"/>
      <c r="AFA8" s="700"/>
      <c r="AFB8" s="700"/>
      <c r="AFC8" s="700"/>
      <c r="AFD8" s="700"/>
      <c r="AFE8" s="700"/>
      <c r="AFF8" s="700"/>
      <c r="AFG8" s="700"/>
      <c r="AFH8" s="700"/>
      <c r="AFI8" s="700"/>
      <c r="AFJ8" s="700"/>
      <c r="AFK8" s="700"/>
      <c r="AFL8" s="700"/>
      <c r="AFM8" s="700"/>
      <c r="AFN8" s="700"/>
      <c r="AFO8" s="700"/>
      <c r="AFP8" s="700"/>
      <c r="AFQ8" s="700"/>
      <c r="AFR8" s="700"/>
      <c r="AFS8" s="700"/>
      <c r="AFT8" s="700"/>
      <c r="AFU8" s="700"/>
      <c r="AFV8" s="700"/>
      <c r="AFW8" s="700"/>
      <c r="AFX8" s="700"/>
      <c r="AFY8" s="700"/>
      <c r="AFZ8" s="700"/>
      <c r="AGA8" s="700"/>
      <c r="AGB8" s="700"/>
      <c r="AGC8" s="700"/>
      <c r="AGD8" s="700"/>
      <c r="AGE8" s="700"/>
      <c r="AGF8" s="700"/>
      <c r="AGG8" s="700"/>
      <c r="AGH8" s="700"/>
      <c r="AGI8" s="700"/>
      <c r="AGJ8" s="700"/>
      <c r="AGK8" s="700"/>
      <c r="AGL8" s="700"/>
      <c r="AGM8" s="700"/>
      <c r="AGN8" s="700"/>
      <c r="AGO8" s="700"/>
      <c r="AGP8" s="700"/>
      <c r="AGQ8" s="700"/>
      <c r="AGR8" s="700"/>
      <c r="AGS8" s="700"/>
      <c r="AGT8" s="700"/>
      <c r="AGU8" s="700"/>
      <c r="AGV8" s="700"/>
      <c r="AGW8" s="700"/>
      <c r="AGX8" s="700"/>
      <c r="AGY8" s="700"/>
      <c r="AGZ8" s="700"/>
      <c r="AHA8" s="700"/>
      <c r="AHB8" s="700"/>
      <c r="AHC8" s="700"/>
      <c r="AHD8" s="700"/>
      <c r="AHE8" s="700"/>
      <c r="AHF8" s="700"/>
      <c r="AHG8" s="700"/>
      <c r="AHH8" s="700"/>
      <c r="AHI8" s="700"/>
      <c r="AHJ8" s="700"/>
      <c r="AHK8" s="700"/>
      <c r="AHL8" s="700"/>
      <c r="AHM8" s="700"/>
      <c r="AHN8" s="700"/>
      <c r="AHO8" s="700"/>
      <c r="AHP8" s="700"/>
      <c r="AHQ8" s="700"/>
      <c r="AHR8" s="700"/>
      <c r="AHS8" s="700"/>
      <c r="AHT8" s="700"/>
      <c r="AHU8" s="700"/>
      <c r="AHV8" s="700"/>
      <c r="AHW8" s="700"/>
      <c r="AHX8" s="700"/>
      <c r="AHY8" s="700"/>
      <c r="AHZ8" s="700"/>
      <c r="AIA8" s="700"/>
      <c r="AIB8" s="700"/>
      <c r="AIC8" s="700"/>
      <c r="AID8" s="700"/>
      <c r="AIE8" s="700"/>
      <c r="AIF8" s="700"/>
      <c r="AIG8" s="700"/>
      <c r="AIH8" s="700"/>
      <c r="AII8" s="700"/>
      <c r="AIJ8" s="700"/>
      <c r="AIK8" s="700"/>
      <c r="AIL8" s="700"/>
      <c r="AIM8" s="700"/>
      <c r="AIN8" s="700"/>
      <c r="AIO8" s="700"/>
      <c r="AIP8" s="700"/>
      <c r="AIQ8" s="700"/>
      <c r="AIR8" s="700"/>
      <c r="AIS8" s="700"/>
      <c r="AIT8" s="700"/>
      <c r="AIU8" s="700"/>
      <c r="AIV8" s="700"/>
      <c r="AIW8" s="700"/>
      <c r="AIX8" s="700"/>
      <c r="AIY8" s="700"/>
      <c r="AIZ8" s="700"/>
      <c r="AJA8" s="700"/>
      <c r="AJB8" s="700"/>
      <c r="AJC8" s="700"/>
      <c r="AJD8" s="700"/>
      <c r="AJE8" s="700"/>
      <c r="AJF8" s="700"/>
      <c r="AJG8" s="700"/>
      <c r="AJH8" s="700"/>
      <c r="AJI8" s="700"/>
      <c r="AJJ8" s="700"/>
      <c r="AJK8" s="700"/>
      <c r="AJL8" s="700"/>
      <c r="AJM8" s="700"/>
      <c r="AJN8" s="700"/>
      <c r="AJO8" s="700"/>
      <c r="AJP8" s="700"/>
      <c r="AJQ8" s="700"/>
      <c r="AJR8" s="700"/>
      <c r="AJS8" s="700"/>
      <c r="AJT8" s="700"/>
      <c r="AJU8" s="700"/>
      <c r="AJV8" s="700"/>
      <c r="AJW8" s="700"/>
      <c r="AJX8" s="700"/>
      <c r="AJY8" s="700"/>
      <c r="AJZ8" s="700"/>
      <c r="AKA8" s="700"/>
      <c r="AKB8" s="700"/>
      <c r="AKC8" s="700"/>
      <c r="AKD8" s="700"/>
      <c r="AKE8" s="700"/>
      <c r="AKF8" s="700"/>
      <c r="AKG8" s="700"/>
      <c r="AKH8" s="700"/>
      <c r="AKI8" s="700"/>
      <c r="AKJ8" s="700"/>
      <c r="AKK8" s="700"/>
      <c r="AKL8" s="700"/>
      <c r="AKM8" s="700"/>
      <c r="AKN8" s="700"/>
      <c r="AKO8" s="700"/>
      <c r="AKP8" s="700"/>
      <c r="AKQ8" s="700"/>
      <c r="AKR8" s="700"/>
      <c r="AKS8" s="700"/>
      <c r="AKT8" s="700"/>
      <c r="AKU8" s="700"/>
      <c r="AKV8" s="700"/>
      <c r="AKW8" s="700"/>
      <c r="AKX8" s="700"/>
      <c r="AKY8" s="700"/>
      <c r="AKZ8" s="700"/>
      <c r="ALA8" s="700"/>
      <c r="ALB8" s="700"/>
      <c r="ALC8" s="700"/>
      <c r="ALD8" s="700"/>
      <c r="ALE8" s="700"/>
      <c r="ALF8" s="700"/>
      <c r="ALG8" s="700"/>
      <c r="ALH8" s="700"/>
      <c r="ALI8" s="700"/>
      <c r="ALJ8" s="700"/>
      <c r="ALK8" s="700"/>
      <c r="ALL8" s="700"/>
      <c r="ALM8" s="700"/>
      <c r="ALN8" s="700"/>
      <c r="ALO8" s="700"/>
      <c r="ALP8" s="700"/>
      <c r="ALQ8" s="700"/>
      <c r="ALR8" s="700"/>
      <c r="ALS8" s="700"/>
      <c r="ALT8" s="700"/>
      <c r="ALU8" s="700"/>
      <c r="ALV8" s="700"/>
      <c r="ALW8" s="700"/>
      <c r="ALX8" s="700"/>
      <c r="ALY8" s="700"/>
      <c r="ALZ8" s="700"/>
      <c r="AMA8" s="700"/>
      <c r="AMB8" s="700"/>
      <c r="AMC8" s="700"/>
      <c r="AMD8" s="700"/>
      <c r="AME8" s="700"/>
      <c r="AMF8" s="700"/>
      <c r="AMG8" s="700"/>
      <c r="AMH8" s="700"/>
      <c r="AMI8" s="700"/>
      <c r="AMJ8" s="700"/>
      <c r="AMK8" s="700"/>
      <c r="AML8" s="700"/>
      <c r="AMM8" s="700"/>
      <c r="AMN8" s="700"/>
      <c r="AMO8" s="700"/>
      <c r="AMP8" s="700"/>
      <c r="AMQ8" s="700"/>
      <c r="AMR8" s="700"/>
      <c r="AMS8" s="700"/>
      <c r="AMT8" s="700"/>
      <c r="AMU8" s="700"/>
      <c r="AMV8" s="700"/>
      <c r="AMW8" s="700"/>
      <c r="AMX8" s="700"/>
      <c r="AMY8" s="700"/>
      <c r="AMZ8" s="700"/>
      <c r="ANA8" s="700"/>
      <c r="ANB8" s="700"/>
      <c r="ANC8" s="700"/>
      <c r="AND8" s="700"/>
      <c r="ANE8" s="700"/>
      <c r="ANF8" s="700"/>
      <c r="ANG8" s="700"/>
      <c r="ANH8" s="700"/>
      <c r="ANI8" s="700"/>
      <c r="ANJ8" s="700"/>
      <c r="ANK8" s="700"/>
      <c r="ANL8" s="700"/>
      <c r="ANM8" s="700"/>
      <c r="ANN8" s="700"/>
      <c r="ANO8" s="700"/>
      <c r="ANP8" s="700"/>
      <c r="ANQ8" s="700"/>
      <c r="ANR8" s="700"/>
      <c r="ANS8" s="700"/>
      <c r="ANT8" s="700"/>
      <c r="ANU8" s="700"/>
      <c r="ANV8" s="700"/>
      <c r="ANW8" s="700"/>
      <c r="ANX8" s="700"/>
      <c r="ANY8" s="700"/>
      <c r="ANZ8" s="700"/>
      <c r="AOA8" s="700"/>
      <c r="AOB8" s="700"/>
      <c r="AOC8" s="700"/>
      <c r="AOD8" s="700"/>
      <c r="AOE8" s="700"/>
      <c r="AOF8" s="700"/>
      <c r="AOG8" s="700"/>
      <c r="AOH8" s="700"/>
      <c r="AOI8" s="700"/>
      <c r="AOJ8" s="700"/>
      <c r="AOK8" s="700"/>
      <c r="AOL8" s="700"/>
      <c r="AOM8" s="700"/>
      <c r="AON8" s="700"/>
      <c r="AOO8" s="700"/>
      <c r="AOP8" s="700"/>
      <c r="AOQ8" s="700"/>
      <c r="AOR8" s="700"/>
      <c r="AOS8" s="700"/>
      <c r="AOT8" s="700"/>
      <c r="AOU8" s="700"/>
      <c r="AOV8" s="700"/>
      <c r="AOW8" s="700"/>
      <c r="AOX8" s="700"/>
      <c r="AOY8" s="700"/>
      <c r="AOZ8" s="700"/>
      <c r="APA8" s="700"/>
      <c r="APB8" s="700"/>
      <c r="APC8" s="700"/>
      <c r="APD8" s="700"/>
      <c r="APE8" s="700"/>
      <c r="APF8" s="700"/>
      <c r="APG8" s="700"/>
      <c r="APH8" s="700"/>
      <c r="API8" s="700"/>
      <c r="APJ8" s="700"/>
      <c r="APK8" s="700"/>
      <c r="APL8" s="700"/>
      <c r="APM8" s="700"/>
      <c r="APN8" s="700"/>
      <c r="APO8" s="700"/>
      <c r="APP8" s="700"/>
      <c r="APQ8" s="700"/>
      <c r="APR8" s="700"/>
      <c r="APS8" s="700"/>
      <c r="APT8" s="700"/>
      <c r="APU8" s="700"/>
      <c r="APV8" s="700"/>
      <c r="APW8" s="700"/>
      <c r="APX8" s="700"/>
      <c r="APY8" s="700"/>
      <c r="APZ8" s="700"/>
      <c r="AQA8" s="700"/>
      <c r="AQB8" s="700"/>
      <c r="AQC8" s="700"/>
      <c r="AQD8" s="700"/>
      <c r="AQE8" s="700"/>
      <c r="AQF8" s="700"/>
      <c r="AQG8" s="700"/>
      <c r="AQH8" s="700"/>
      <c r="AQI8" s="700"/>
      <c r="AQJ8" s="700"/>
      <c r="AQK8" s="700"/>
      <c r="AQL8" s="700"/>
      <c r="AQM8" s="700"/>
      <c r="AQN8" s="700"/>
      <c r="AQO8" s="700"/>
      <c r="AQP8" s="700"/>
      <c r="AQQ8" s="700"/>
      <c r="AQR8" s="700"/>
      <c r="AQS8" s="700"/>
      <c r="AQT8" s="700"/>
      <c r="AQU8" s="700"/>
      <c r="AQV8" s="700"/>
      <c r="AQW8" s="700"/>
      <c r="AQX8" s="700"/>
      <c r="AQY8" s="700"/>
      <c r="AQZ8" s="700"/>
      <c r="ARA8" s="700"/>
      <c r="ARB8" s="700"/>
      <c r="ARC8" s="700"/>
      <c r="ARD8" s="700"/>
      <c r="ARE8" s="700"/>
      <c r="ARF8" s="700"/>
      <c r="ARG8" s="700"/>
      <c r="ARH8" s="700"/>
      <c r="ARI8" s="700"/>
      <c r="ARJ8" s="700"/>
      <c r="ARK8" s="700"/>
      <c r="ARL8" s="700"/>
      <c r="ARM8" s="700"/>
      <c r="ARN8" s="700"/>
      <c r="ARO8" s="700"/>
      <c r="ARP8" s="700"/>
      <c r="ARQ8" s="700"/>
      <c r="ARR8" s="700"/>
      <c r="ARS8" s="700"/>
      <c r="ART8" s="700"/>
      <c r="ARU8" s="700"/>
      <c r="ARV8" s="700"/>
      <c r="ARW8" s="700"/>
      <c r="ARX8" s="700"/>
      <c r="ARY8" s="700"/>
      <c r="ARZ8" s="700"/>
      <c r="ASA8" s="700"/>
      <c r="ASB8" s="700"/>
      <c r="ASC8" s="700"/>
      <c r="ASD8" s="700"/>
      <c r="ASE8" s="700"/>
      <c r="ASF8" s="700"/>
      <c r="ASG8" s="700"/>
      <c r="ASH8" s="700"/>
      <c r="ASI8" s="700"/>
      <c r="ASJ8" s="700"/>
      <c r="ASK8" s="700"/>
      <c r="ASL8" s="700"/>
      <c r="ASM8" s="700"/>
      <c r="ASN8" s="700"/>
      <c r="ASO8" s="700"/>
      <c r="ASP8" s="700"/>
      <c r="ASQ8" s="700"/>
      <c r="ASR8" s="700"/>
      <c r="ASS8" s="700"/>
      <c r="AST8" s="700"/>
      <c r="ASU8" s="700"/>
      <c r="ASV8" s="700"/>
      <c r="ASW8" s="700"/>
      <c r="ASX8" s="700"/>
      <c r="ASY8" s="700"/>
      <c r="ASZ8" s="700"/>
      <c r="ATA8" s="700"/>
      <c r="ATB8" s="700"/>
      <c r="ATC8" s="700"/>
      <c r="ATD8" s="700"/>
      <c r="ATE8" s="700"/>
      <c r="ATF8" s="700"/>
      <c r="ATG8" s="700"/>
      <c r="ATH8" s="700"/>
      <c r="ATI8" s="700"/>
      <c r="ATJ8" s="700"/>
      <c r="ATK8" s="700"/>
      <c r="ATL8" s="700"/>
      <c r="ATM8" s="700"/>
      <c r="ATN8" s="700"/>
      <c r="ATO8" s="700"/>
      <c r="ATP8" s="700"/>
      <c r="ATQ8" s="700"/>
      <c r="ATR8" s="700"/>
      <c r="ATS8" s="700"/>
      <c r="ATT8" s="700"/>
      <c r="ATU8" s="700"/>
      <c r="ATV8" s="700"/>
      <c r="ATW8" s="700"/>
      <c r="ATX8" s="700"/>
      <c r="ATY8" s="700"/>
      <c r="ATZ8" s="700"/>
      <c r="AUA8" s="700"/>
      <c r="AUB8" s="700"/>
      <c r="AUC8" s="700"/>
      <c r="AUD8" s="700"/>
      <c r="AUE8" s="700"/>
      <c r="AUF8" s="700"/>
      <c r="AUG8" s="700"/>
      <c r="AUH8" s="700"/>
      <c r="AUI8" s="700"/>
      <c r="AUJ8" s="700"/>
      <c r="AUK8" s="700"/>
      <c r="AUL8" s="700"/>
      <c r="AUM8" s="700"/>
      <c r="AUN8" s="700"/>
      <c r="AUO8" s="700"/>
      <c r="AUP8" s="700"/>
      <c r="AUQ8" s="700"/>
      <c r="AUR8" s="700"/>
      <c r="AUS8" s="700"/>
      <c r="AUT8" s="700"/>
      <c r="AUU8" s="700"/>
      <c r="AUV8" s="700"/>
      <c r="AUW8" s="700"/>
      <c r="AUX8" s="700"/>
      <c r="AUY8" s="700"/>
      <c r="AUZ8" s="700"/>
      <c r="AVA8" s="700"/>
      <c r="AVB8" s="700"/>
      <c r="AVC8" s="700"/>
      <c r="AVD8" s="700"/>
      <c r="AVE8" s="700"/>
      <c r="AVF8" s="700"/>
      <c r="AVG8" s="700"/>
      <c r="AVH8" s="700"/>
      <c r="AVI8" s="700"/>
      <c r="AVJ8" s="700"/>
      <c r="AVK8" s="700"/>
      <c r="AVL8" s="700"/>
      <c r="AVM8" s="700"/>
      <c r="AVN8" s="700"/>
      <c r="AVO8" s="700"/>
      <c r="AVP8" s="700"/>
      <c r="AVQ8" s="700"/>
      <c r="AVR8" s="700"/>
      <c r="AVS8" s="700"/>
      <c r="AVT8" s="700"/>
      <c r="AVU8" s="700"/>
      <c r="AVV8" s="700"/>
      <c r="AVW8" s="700"/>
      <c r="AVX8" s="700"/>
      <c r="AVY8" s="700"/>
      <c r="AVZ8" s="700"/>
      <c r="AWA8" s="700"/>
      <c r="AWB8" s="700"/>
      <c r="AWC8" s="700"/>
      <c r="AWD8" s="700"/>
      <c r="AWE8" s="700"/>
      <c r="AWF8" s="700"/>
      <c r="AWG8" s="700"/>
      <c r="AWH8" s="700"/>
      <c r="AWI8" s="700"/>
      <c r="AWJ8" s="700"/>
      <c r="AWK8" s="700"/>
      <c r="AWL8" s="700"/>
      <c r="AWM8" s="700"/>
      <c r="AWN8" s="700"/>
      <c r="AWO8" s="700"/>
      <c r="AWP8" s="700"/>
      <c r="AWQ8" s="700"/>
      <c r="AWR8" s="700"/>
      <c r="AWS8" s="700"/>
      <c r="AWT8" s="700"/>
      <c r="AWU8" s="700"/>
      <c r="AWV8" s="700"/>
      <c r="AWW8" s="700"/>
      <c r="AWX8" s="700"/>
      <c r="AWY8" s="700"/>
      <c r="AWZ8" s="700"/>
      <c r="AXA8" s="700"/>
      <c r="AXB8" s="700"/>
      <c r="AXC8" s="700"/>
      <c r="AXD8" s="700"/>
      <c r="AXE8" s="700"/>
      <c r="AXF8" s="700"/>
      <c r="AXG8" s="700"/>
      <c r="AXH8" s="700"/>
      <c r="AXI8" s="700"/>
      <c r="AXJ8" s="700"/>
      <c r="AXK8" s="700"/>
      <c r="AXL8" s="700"/>
      <c r="AXM8" s="700"/>
      <c r="AXN8" s="700"/>
      <c r="AXO8" s="700"/>
      <c r="AXP8" s="700"/>
      <c r="AXQ8" s="700"/>
      <c r="AXR8" s="700"/>
      <c r="AXS8" s="700"/>
      <c r="AXT8" s="700"/>
      <c r="AXU8" s="700"/>
      <c r="AXV8" s="700"/>
      <c r="AXW8" s="700"/>
      <c r="AXX8" s="700"/>
      <c r="AXY8" s="700"/>
      <c r="AXZ8" s="700"/>
      <c r="AYA8" s="700"/>
      <c r="AYB8" s="700"/>
      <c r="AYC8" s="700"/>
      <c r="AYD8" s="700"/>
      <c r="AYE8" s="700"/>
      <c r="AYF8" s="700"/>
      <c r="AYG8" s="700"/>
      <c r="AYH8" s="700"/>
      <c r="AYI8" s="700"/>
      <c r="AYJ8" s="700"/>
      <c r="AYK8" s="700"/>
      <c r="AYL8" s="700"/>
      <c r="AYM8" s="700"/>
      <c r="AYN8" s="700"/>
      <c r="AYO8" s="700"/>
      <c r="AYP8" s="700"/>
      <c r="AYQ8" s="700"/>
      <c r="AYR8" s="700"/>
      <c r="AYS8" s="700"/>
      <c r="AYT8" s="700"/>
      <c r="AYU8" s="700"/>
      <c r="AYV8" s="700"/>
      <c r="AYW8" s="700"/>
      <c r="AYX8" s="700"/>
      <c r="AYY8" s="700"/>
      <c r="AYZ8" s="700"/>
      <c r="AZA8" s="700"/>
      <c r="AZB8" s="700"/>
      <c r="AZC8" s="700"/>
      <c r="AZD8" s="700"/>
      <c r="AZE8" s="700"/>
      <c r="AZF8" s="700"/>
      <c r="AZG8" s="700"/>
      <c r="AZH8" s="700"/>
      <c r="AZI8" s="700"/>
      <c r="AZJ8" s="700"/>
      <c r="AZK8" s="700"/>
      <c r="AZL8" s="700"/>
      <c r="AZM8" s="700"/>
      <c r="AZN8" s="700"/>
      <c r="AZO8" s="700"/>
      <c r="AZP8" s="700"/>
      <c r="AZQ8" s="700"/>
      <c r="AZR8" s="700"/>
      <c r="AZS8" s="700"/>
      <c r="AZT8" s="700"/>
      <c r="AZU8" s="700"/>
      <c r="AZV8" s="700"/>
      <c r="AZW8" s="700"/>
      <c r="AZX8" s="700"/>
      <c r="AZY8" s="700"/>
      <c r="AZZ8" s="700"/>
      <c r="BAA8" s="700"/>
      <c r="BAB8" s="700"/>
      <c r="BAC8" s="700"/>
      <c r="BAD8" s="700"/>
      <c r="BAE8" s="700"/>
      <c r="BAF8" s="700"/>
      <c r="BAG8" s="700"/>
      <c r="BAH8" s="700"/>
      <c r="BAI8" s="700"/>
      <c r="BAJ8" s="700"/>
      <c r="BAK8" s="700"/>
      <c r="BAL8" s="700"/>
      <c r="BAM8" s="700"/>
      <c r="BAN8" s="700"/>
      <c r="BAO8" s="700"/>
      <c r="BAP8" s="700"/>
      <c r="BAQ8" s="700"/>
      <c r="BAR8" s="700"/>
      <c r="BAS8" s="700"/>
      <c r="BAT8" s="700"/>
      <c r="BAU8" s="700"/>
      <c r="BAV8" s="700"/>
      <c r="BAW8" s="700"/>
      <c r="BAX8" s="700"/>
      <c r="BAY8" s="700"/>
      <c r="BAZ8" s="700"/>
      <c r="BBA8" s="700"/>
      <c r="BBB8" s="700"/>
      <c r="BBC8" s="700"/>
      <c r="BBD8" s="700"/>
      <c r="BBE8" s="700"/>
      <c r="BBF8" s="700"/>
      <c r="BBG8" s="700"/>
      <c r="BBH8" s="700"/>
      <c r="BBI8" s="700"/>
      <c r="BBJ8" s="700"/>
      <c r="BBK8" s="700"/>
      <c r="BBL8" s="700"/>
      <c r="BBM8" s="700"/>
      <c r="BBN8" s="700"/>
      <c r="BBO8" s="700"/>
      <c r="BBP8" s="700"/>
      <c r="BBQ8" s="700"/>
      <c r="BBR8" s="700"/>
      <c r="BBS8" s="700"/>
      <c r="BBT8" s="700"/>
      <c r="BBU8" s="700"/>
      <c r="BBV8" s="700"/>
      <c r="BBW8" s="700"/>
      <c r="BBX8" s="700"/>
      <c r="BBY8" s="700"/>
      <c r="BBZ8" s="700"/>
      <c r="BCA8" s="700"/>
      <c r="BCB8" s="700"/>
      <c r="BCC8" s="700"/>
      <c r="BCD8" s="700"/>
      <c r="BCE8" s="700"/>
      <c r="BCF8" s="700"/>
      <c r="BCG8" s="700"/>
      <c r="BCH8" s="700"/>
      <c r="BCI8" s="700"/>
      <c r="BCJ8" s="700"/>
      <c r="BCK8" s="700"/>
      <c r="BCL8" s="700"/>
      <c r="BCM8" s="700"/>
      <c r="BCN8" s="700"/>
      <c r="BCO8" s="700"/>
      <c r="BCP8" s="700"/>
      <c r="BCQ8" s="700"/>
      <c r="BCR8" s="700"/>
      <c r="BCS8" s="700"/>
      <c r="BCT8" s="700"/>
      <c r="BCU8" s="700"/>
      <c r="BCV8" s="700"/>
      <c r="BCW8" s="700"/>
      <c r="BCX8" s="700"/>
      <c r="BCY8" s="700"/>
      <c r="BCZ8" s="700"/>
      <c r="BDA8" s="700"/>
      <c r="BDB8" s="700"/>
      <c r="BDC8" s="700"/>
      <c r="BDD8" s="700"/>
      <c r="BDE8" s="700"/>
      <c r="BDF8" s="700"/>
      <c r="BDG8" s="700"/>
      <c r="BDH8" s="700"/>
      <c r="BDI8" s="700"/>
      <c r="BDJ8" s="700"/>
      <c r="BDK8" s="700"/>
      <c r="BDL8" s="700"/>
      <c r="BDM8" s="700"/>
      <c r="BDN8" s="700"/>
      <c r="BDO8" s="700"/>
      <c r="BDP8" s="700"/>
      <c r="BDQ8" s="700"/>
      <c r="BDR8" s="700"/>
      <c r="BDS8" s="700"/>
      <c r="BDT8" s="700"/>
      <c r="BDU8" s="700"/>
      <c r="BDV8" s="700"/>
      <c r="BDW8" s="700"/>
      <c r="BDX8" s="700"/>
      <c r="BDY8" s="700"/>
      <c r="BDZ8" s="700"/>
      <c r="BEA8" s="700"/>
      <c r="BEB8" s="700"/>
      <c r="BEC8" s="700"/>
      <c r="BED8" s="700"/>
      <c r="BEE8" s="700"/>
      <c r="BEF8" s="700"/>
      <c r="BEG8" s="700"/>
      <c r="BEH8" s="700"/>
      <c r="BEI8" s="700"/>
      <c r="BEJ8" s="700"/>
      <c r="BEK8" s="700"/>
      <c r="BEL8" s="700"/>
      <c r="BEM8" s="700"/>
      <c r="BEN8" s="700"/>
      <c r="BEO8" s="700"/>
      <c r="BEP8" s="700"/>
      <c r="BEQ8" s="700"/>
      <c r="BER8" s="700"/>
      <c r="BES8" s="700"/>
      <c r="BET8" s="700"/>
      <c r="BEU8" s="700"/>
      <c r="BEV8" s="700"/>
      <c r="BEW8" s="700"/>
      <c r="BEX8" s="700"/>
      <c r="BEY8" s="700"/>
      <c r="BEZ8" s="700"/>
      <c r="BFA8" s="700"/>
      <c r="BFB8" s="700"/>
      <c r="BFC8" s="700"/>
      <c r="BFD8" s="700"/>
      <c r="BFE8" s="700"/>
      <c r="BFF8" s="700"/>
      <c r="BFG8" s="700"/>
      <c r="BFH8" s="700"/>
      <c r="BFI8" s="700"/>
      <c r="BFJ8" s="700"/>
      <c r="BFK8" s="700"/>
      <c r="BFL8" s="700"/>
      <c r="BFM8" s="700"/>
      <c r="BFN8" s="700"/>
      <c r="BFO8" s="700"/>
      <c r="BFP8" s="700"/>
      <c r="BFQ8" s="700"/>
      <c r="BFR8" s="700"/>
      <c r="BFS8" s="700"/>
      <c r="BFT8" s="700"/>
      <c r="BFU8" s="700"/>
      <c r="BFV8" s="700"/>
      <c r="BFW8" s="700"/>
      <c r="BFX8" s="700"/>
      <c r="BFY8" s="700"/>
      <c r="BFZ8" s="700"/>
      <c r="BGA8" s="700"/>
      <c r="BGB8" s="700"/>
      <c r="BGC8" s="700"/>
      <c r="BGD8" s="700"/>
      <c r="BGE8" s="700"/>
      <c r="BGF8" s="700"/>
      <c r="BGG8" s="700"/>
      <c r="BGH8" s="700"/>
      <c r="BGI8" s="700"/>
      <c r="BGJ8" s="700"/>
      <c r="BGK8" s="700"/>
      <c r="BGL8" s="700"/>
      <c r="BGM8" s="700"/>
      <c r="BGN8" s="700"/>
      <c r="BGO8" s="700"/>
      <c r="BGP8" s="700"/>
      <c r="BGQ8" s="700"/>
      <c r="BGR8" s="700"/>
      <c r="BGS8" s="700"/>
      <c r="BGT8" s="700"/>
      <c r="BGU8" s="700"/>
      <c r="BGV8" s="700"/>
      <c r="BGW8" s="700"/>
      <c r="BGX8" s="700"/>
      <c r="BGY8" s="700"/>
      <c r="BGZ8" s="700"/>
      <c r="BHA8" s="700"/>
      <c r="BHB8" s="700"/>
      <c r="BHC8" s="700"/>
      <c r="BHD8" s="700"/>
      <c r="BHE8" s="700"/>
      <c r="BHF8" s="700"/>
      <c r="BHG8" s="700"/>
      <c r="BHH8" s="700"/>
      <c r="BHI8" s="700"/>
      <c r="BHJ8" s="700"/>
      <c r="BHK8" s="700"/>
      <c r="BHL8" s="700"/>
      <c r="BHM8" s="700"/>
      <c r="BHN8" s="700"/>
      <c r="BHO8" s="700"/>
      <c r="BHP8" s="700"/>
      <c r="BHQ8" s="700"/>
      <c r="BHR8" s="700"/>
      <c r="BHS8" s="700"/>
      <c r="BHT8" s="700"/>
      <c r="BHU8" s="700"/>
      <c r="BHV8" s="700"/>
      <c r="BHW8" s="700"/>
      <c r="BHX8" s="700"/>
      <c r="BHY8" s="700"/>
      <c r="BHZ8" s="700"/>
      <c r="BIA8" s="700"/>
      <c r="BIB8" s="700"/>
      <c r="BIC8" s="700"/>
      <c r="BID8" s="700"/>
      <c r="BIE8" s="700"/>
      <c r="BIF8" s="700"/>
      <c r="BIG8" s="700"/>
      <c r="BIH8" s="700"/>
      <c r="BII8" s="700"/>
      <c r="BIJ8" s="700"/>
      <c r="BIK8" s="700"/>
      <c r="BIL8" s="700"/>
      <c r="BIM8" s="700"/>
      <c r="BIN8" s="700"/>
      <c r="BIO8" s="700"/>
      <c r="BIP8" s="700"/>
      <c r="BIQ8" s="700"/>
      <c r="BIR8" s="700"/>
      <c r="BIS8" s="700"/>
      <c r="BIT8" s="700"/>
      <c r="BIU8" s="700"/>
      <c r="BIV8" s="700"/>
      <c r="BIW8" s="700"/>
      <c r="BIX8" s="700"/>
      <c r="BIY8" s="700"/>
      <c r="BIZ8" s="700"/>
      <c r="BJA8" s="700"/>
      <c r="BJB8" s="700"/>
      <c r="BJC8" s="700"/>
      <c r="BJD8" s="700"/>
      <c r="BJE8" s="700"/>
      <c r="BJF8" s="700"/>
      <c r="BJG8" s="700"/>
      <c r="BJH8" s="700"/>
      <c r="BJI8" s="700"/>
      <c r="BJJ8" s="700"/>
      <c r="BJK8" s="700"/>
      <c r="BJL8" s="700"/>
      <c r="BJM8" s="700"/>
      <c r="BJN8" s="700"/>
      <c r="BJO8" s="700"/>
      <c r="BJP8" s="700"/>
      <c r="BJQ8" s="700"/>
      <c r="BJR8" s="700"/>
      <c r="BJS8" s="700"/>
      <c r="BJT8" s="700"/>
      <c r="BJU8" s="700"/>
      <c r="BJV8" s="700"/>
      <c r="BJW8" s="700"/>
      <c r="BJX8" s="700"/>
      <c r="BJY8" s="700"/>
      <c r="BJZ8" s="700"/>
      <c r="BKA8" s="700"/>
      <c r="BKB8" s="700"/>
      <c r="BKC8" s="700"/>
      <c r="BKD8" s="700"/>
      <c r="BKE8" s="700"/>
      <c r="BKF8" s="700"/>
      <c r="BKG8" s="700"/>
      <c r="BKH8" s="700"/>
      <c r="BKI8" s="700"/>
      <c r="BKJ8" s="700"/>
      <c r="BKK8" s="700"/>
      <c r="BKL8" s="700"/>
      <c r="BKM8" s="700"/>
      <c r="BKN8" s="700"/>
      <c r="BKO8" s="700"/>
      <c r="BKP8" s="700"/>
      <c r="BKQ8" s="700"/>
      <c r="BKR8" s="700"/>
      <c r="BKS8" s="700"/>
      <c r="BKT8" s="700"/>
      <c r="BKU8" s="700"/>
      <c r="BKV8" s="700"/>
      <c r="BKW8" s="700"/>
      <c r="BKX8" s="700"/>
      <c r="BKY8" s="700"/>
      <c r="BKZ8" s="700"/>
      <c r="BLA8" s="700"/>
      <c r="BLB8" s="700"/>
      <c r="BLC8" s="700"/>
      <c r="BLD8" s="700"/>
      <c r="BLE8" s="700"/>
      <c r="BLF8" s="700"/>
      <c r="BLG8" s="700"/>
      <c r="BLH8" s="700"/>
      <c r="BLI8" s="700"/>
      <c r="BLJ8" s="700"/>
      <c r="BLK8" s="700"/>
      <c r="BLL8" s="700"/>
      <c r="BLM8" s="700"/>
      <c r="BLN8" s="700"/>
      <c r="BLO8" s="700"/>
      <c r="BLP8" s="700"/>
      <c r="BLQ8" s="700"/>
      <c r="BLR8" s="700"/>
      <c r="BLS8" s="700"/>
      <c r="BLT8" s="700"/>
      <c r="BLU8" s="700"/>
      <c r="BLV8" s="700"/>
      <c r="BLW8" s="700"/>
      <c r="BLX8" s="700"/>
      <c r="BLY8" s="700"/>
      <c r="BLZ8" s="700"/>
      <c r="BMA8" s="700"/>
      <c r="BMB8" s="700"/>
      <c r="BMC8" s="700"/>
      <c r="BMD8" s="700"/>
      <c r="BME8" s="700"/>
      <c r="BMF8" s="700"/>
      <c r="BMG8" s="700"/>
      <c r="BMH8" s="700"/>
      <c r="BMI8" s="700"/>
      <c r="BMJ8" s="700"/>
      <c r="BMK8" s="700"/>
      <c r="BML8" s="700"/>
      <c r="BMM8" s="700"/>
      <c r="BMN8" s="700"/>
      <c r="BMO8" s="700"/>
      <c r="BMP8" s="700"/>
      <c r="BMQ8" s="700"/>
      <c r="BMR8" s="700"/>
      <c r="BMS8" s="700"/>
      <c r="BMT8" s="700"/>
      <c r="BMU8" s="700"/>
      <c r="BMV8" s="700"/>
      <c r="BMW8" s="700"/>
      <c r="BMX8" s="700"/>
      <c r="BMY8" s="700"/>
      <c r="BMZ8" s="700"/>
      <c r="BNA8" s="700"/>
      <c r="BNB8" s="700"/>
      <c r="BNC8" s="700"/>
      <c r="BND8" s="700"/>
      <c r="BNE8" s="700"/>
      <c r="BNF8" s="700"/>
      <c r="BNG8" s="700"/>
      <c r="BNH8" s="700"/>
      <c r="BNI8" s="700"/>
      <c r="BNJ8" s="700"/>
      <c r="BNK8" s="700"/>
      <c r="BNL8" s="700"/>
      <c r="BNM8" s="700"/>
      <c r="BNN8" s="700"/>
      <c r="BNO8" s="700"/>
      <c r="BNP8" s="700"/>
      <c r="BNQ8" s="700"/>
      <c r="BNR8" s="700"/>
      <c r="BNS8" s="700"/>
      <c r="BNT8" s="700"/>
      <c r="BNU8" s="700"/>
      <c r="BNV8" s="700"/>
      <c r="BNW8" s="700"/>
      <c r="BNX8" s="700"/>
      <c r="BNY8" s="700"/>
      <c r="BNZ8" s="700"/>
      <c r="BOA8" s="700"/>
      <c r="BOB8" s="700"/>
      <c r="BOC8" s="700"/>
      <c r="BOD8" s="700"/>
      <c r="BOE8" s="700"/>
      <c r="BOF8" s="700"/>
      <c r="BOG8" s="700"/>
      <c r="BOH8" s="700"/>
      <c r="BOI8" s="700"/>
      <c r="BOJ8" s="700"/>
      <c r="BOK8" s="700"/>
      <c r="BOL8" s="700"/>
      <c r="BOM8" s="700"/>
      <c r="BON8" s="700"/>
      <c r="BOO8" s="700"/>
      <c r="BOP8" s="700"/>
      <c r="BOQ8" s="700"/>
      <c r="BOR8" s="700"/>
      <c r="BOS8" s="700"/>
      <c r="BOT8" s="700"/>
      <c r="BOU8" s="700"/>
      <c r="BOV8" s="700"/>
      <c r="BOW8" s="700"/>
      <c r="BOX8" s="700"/>
      <c r="BOY8" s="700"/>
      <c r="BOZ8" s="700"/>
      <c r="BPA8" s="700"/>
      <c r="BPB8" s="700"/>
      <c r="BPC8" s="700"/>
      <c r="BPD8" s="700"/>
      <c r="BPE8" s="700"/>
      <c r="BPF8" s="700"/>
      <c r="BPG8" s="700"/>
      <c r="BPH8" s="700"/>
      <c r="BPI8" s="700"/>
      <c r="BPJ8" s="700"/>
      <c r="BPK8" s="700"/>
      <c r="BPL8" s="700"/>
      <c r="BPM8" s="700"/>
      <c r="BPN8" s="700"/>
      <c r="BPO8" s="700"/>
      <c r="BPP8" s="700"/>
      <c r="BPQ8" s="700"/>
      <c r="BPR8" s="700"/>
      <c r="BPS8" s="700"/>
      <c r="BPT8" s="700"/>
      <c r="BPU8" s="700"/>
      <c r="BPV8" s="700"/>
      <c r="BPW8" s="700"/>
      <c r="BPX8" s="700"/>
      <c r="BPY8" s="700"/>
      <c r="BPZ8" s="700"/>
      <c r="BQA8" s="700"/>
      <c r="BQB8" s="700"/>
      <c r="BQC8" s="700"/>
      <c r="BQD8" s="700"/>
      <c r="BQE8" s="700"/>
      <c r="BQF8" s="700"/>
      <c r="BQG8" s="700"/>
      <c r="BQH8" s="700"/>
      <c r="BQI8" s="700"/>
      <c r="BQJ8" s="700"/>
      <c r="BQK8" s="700"/>
      <c r="BQL8" s="700"/>
      <c r="BQM8" s="700"/>
      <c r="BQN8" s="700"/>
      <c r="BQO8" s="700"/>
      <c r="BQP8" s="700"/>
      <c r="BQQ8" s="700"/>
      <c r="BQR8" s="700"/>
      <c r="BQS8" s="700"/>
      <c r="BQT8" s="700"/>
      <c r="BQU8" s="700"/>
      <c r="BQV8" s="700"/>
      <c r="BQW8" s="700"/>
      <c r="BQX8" s="700"/>
      <c r="BQY8" s="700"/>
      <c r="BQZ8" s="700"/>
      <c r="BRA8" s="700"/>
      <c r="BRB8" s="700"/>
      <c r="BRC8" s="700"/>
      <c r="BRD8" s="700"/>
      <c r="BRE8" s="700"/>
      <c r="BRF8" s="700"/>
      <c r="BRG8" s="700"/>
      <c r="BRH8" s="700"/>
      <c r="BRI8" s="700"/>
      <c r="BRJ8" s="700"/>
      <c r="BRK8" s="700"/>
      <c r="BRL8" s="700"/>
      <c r="BRM8" s="700"/>
      <c r="BRN8" s="700"/>
      <c r="BRO8" s="700"/>
      <c r="BRP8" s="700"/>
      <c r="BRQ8" s="700"/>
      <c r="BRR8" s="700"/>
      <c r="BRS8" s="700"/>
      <c r="BRT8" s="700"/>
      <c r="BRU8" s="700"/>
      <c r="BRV8" s="700"/>
      <c r="BRW8" s="700"/>
      <c r="BRX8" s="700"/>
      <c r="BRY8" s="700"/>
      <c r="BRZ8" s="700"/>
      <c r="BSA8" s="700"/>
      <c r="BSB8" s="700"/>
      <c r="BSC8" s="700"/>
      <c r="BSD8" s="700"/>
      <c r="BSE8" s="700"/>
      <c r="BSF8" s="700"/>
      <c r="BSG8" s="700"/>
      <c r="BSH8" s="700"/>
      <c r="BSI8" s="700"/>
      <c r="BSJ8" s="700"/>
      <c r="BSK8" s="700"/>
      <c r="BSL8" s="700"/>
      <c r="BSM8" s="700"/>
      <c r="BSN8" s="700"/>
      <c r="BSO8" s="700"/>
      <c r="BSP8" s="700"/>
      <c r="BSQ8" s="700"/>
      <c r="BSR8" s="700"/>
      <c r="BSS8" s="700"/>
      <c r="BST8" s="700"/>
      <c r="BSU8" s="700"/>
      <c r="BSV8" s="700"/>
      <c r="BSW8" s="700"/>
      <c r="BSX8" s="700"/>
      <c r="BSY8" s="700"/>
      <c r="BSZ8" s="700"/>
      <c r="BTA8" s="700"/>
      <c r="BTB8" s="700"/>
      <c r="BTC8" s="700"/>
      <c r="BTD8" s="700"/>
      <c r="BTE8" s="700"/>
      <c r="BTF8" s="700"/>
      <c r="BTG8" s="700"/>
      <c r="BTH8" s="700"/>
      <c r="BTI8" s="700"/>
      <c r="BTJ8" s="700"/>
      <c r="BTK8" s="700"/>
      <c r="BTL8" s="700"/>
      <c r="BTM8" s="700"/>
      <c r="BTN8" s="700"/>
      <c r="BTO8" s="700"/>
      <c r="BTP8" s="700"/>
      <c r="BTQ8" s="700"/>
      <c r="BTR8" s="700"/>
      <c r="BTS8" s="700"/>
      <c r="BTT8" s="700"/>
      <c r="BTU8" s="700"/>
      <c r="BTV8" s="700"/>
      <c r="BTW8" s="700"/>
      <c r="BTX8" s="700"/>
      <c r="BTY8" s="700"/>
      <c r="BTZ8" s="700"/>
      <c r="BUA8" s="700"/>
      <c r="BUB8" s="700"/>
      <c r="BUC8" s="700"/>
      <c r="BUD8" s="700"/>
      <c r="BUE8" s="700"/>
      <c r="BUF8" s="700"/>
      <c r="BUG8" s="700"/>
      <c r="BUH8" s="700"/>
      <c r="BUI8" s="700"/>
      <c r="BUJ8" s="700"/>
      <c r="BUK8" s="700"/>
      <c r="BUL8" s="700"/>
      <c r="BUM8" s="700"/>
      <c r="BUN8" s="700"/>
      <c r="BUO8" s="700"/>
      <c r="BUP8" s="700"/>
      <c r="BUQ8" s="700"/>
      <c r="BUR8" s="700"/>
      <c r="BUS8" s="700"/>
      <c r="BUT8" s="700"/>
      <c r="BUU8" s="700"/>
      <c r="BUV8" s="700"/>
      <c r="BUW8" s="700"/>
      <c r="BUX8" s="700"/>
      <c r="BUY8" s="700"/>
      <c r="BUZ8" s="700"/>
      <c r="BVA8" s="700"/>
      <c r="BVB8" s="700"/>
      <c r="BVC8" s="700"/>
      <c r="BVD8" s="700"/>
      <c r="BVE8" s="700"/>
      <c r="BVF8" s="700"/>
      <c r="BVG8" s="700"/>
      <c r="BVH8" s="700"/>
      <c r="BVI8" s="700"/>
      <c r="BVJ8" s="700"/>
      <c r="BVK8" s="700"/>
      <c r="BVL8" s="700"/>
      <c r="BVM8" s="700"/>
      <c r="BVN8" s="700"/>
      <c r="BVO8" s="700"/>
      <c r="BVP8" s="700"/>
      <c r="BVQ8" s="700"/>
      <c r="BVR8" s="700"/>
      <c r="BVS8" s="700"/>
      <c r="BVT8" s="700"/>
      <c r="BVU8" s="700"/>
      <c r="BVV8" s="700"/>
      <c r="BVW8" s="700"/>
      <c r="BVX8" s="700"/>
      <c r="BVY8" s="700"/>
      <c r="BVZ8" s="700"/>
      <c r="BWA8" s="700"/>
      <c r="BWB8" s="700"/>
      <c r="BWC8" s="700"/>
      <c r="BWD8" s="700"/>
      <c r="BWE8" s="700"/>
      <c r="BWF8" s="700"/>
      <c r="BWG8" s="700"/>
      <c r="BWH8" s="700"/>
      <c r="BWI8" s="700"/>
      <c r="BWJ8" s="700"/>
      <c r="BWK8" s="700"/>
      <c r="BWL8" s="700"/>
      <c r="BWM8" s="700"/>
      <c r="BWN8" s="700"/>
      <c r="BWO8" s="700"/>
      <c r="BWP8" s="700"/>
      <c r="BWQ8" s="700"/>
      <c r="BWR8" s="700"/>
      <c r="BWS8" s="700"/>
      <c r="BWT8" s="700"/>
      <c r="BWU8" s="700"/>
      <c r="BWV8" s="700"/>
      <c r="BWW8" s="700"/>
      <c r="BWX8" s="700"/>
      <c r="BWY8" s="700"/>
      <c r="BWZ8" s="700"/>
      <c r="BXA8" s="700"/>
      <c r="BXB8" s="700"/>
      <c r="BXC8" s="700"/>
      <c r="BXD8" s="700"/>
      <c r="BXE8" s="700"/>
      <c r="BXF8" s="700"/>
      <c r="BXG8" s="700"/>
      <c r="BXH8" s="700"/>
      <c r="BXI8" s="700"/>
      <c r="BXJ8" s="700"/>
      <c r="BXK8" s="700"/>
      <c r="BXL8" s="700"/>
      <c r="BXM8" s="700"/>
      <c r="BXN8" s="700"/>
      <c r="BXO8" s="700"/>
      <c r="BXP8" s="700"/>
      <c r="BXQ8" s="700"/>
      <c r="BXR8" s="700"/>
      <c r="BXS8" s="700"/>
      <c r="BXT8" s="700"/>
      <c r="BXU8" s="700"/>
      <c r="BXV8" s="700"/>
      <c r="BXW8" s="700"/>
      <c r="BXX8" s="700"/>
      <c r="BXY8" s="700"/>
      <c r="BXZ8" s="700"/>
    </row>
    <row r="9" spans="1:2002" ht="15">
      <c r="A9" s="728"/>
      <c r="B9" s="729"/>
      <c r="C9" s="730" t="s">
        <v>29</v>
      </c>
      <c r="D9" s="722">
        <f>IS!Q20</f>
        <v>241000</v>
      </c>
      <c r="E9" s="722">
        <f>IS!P20</f>
        <v>278000</v>
      </c>
      <c r="F9" s="722">
        <f>IS!O20</f>
        <v>293000</v>
      </c>
      <c r="G9" s="722">
        <f>IS!N20</f>
        <v>324000</v>
      </c>
      <c r="H9" s="722">
        <f>IS!M20</f>
        <v>367000</v>
      </c>
      <c r="I9" s="722">
        <f>I5*$E$67</f>
        <v>440391.6</v>
      </c>
      <c r="J9" s="722">
        <f t="shared" ref="J9:L9" si="5">J5*$E$67</f>
        <v>524066.00400000002</v>
      </c>
      <c r="K9" s="722">
        <f t="shared" si="5"/>
        <v>613157.22467999998</v>
      </c>
      <c r="L9" s="722">
        <f t="shared" si="5"/>
        <v>705130.80838199996</v>
      </c>
      <c r="M9" s="722">
        <f>M5*$F$67</f>
        <v>723020.23815020989</v>
      </c>
      <c r="N9" s="722">
        <f t="shared" ref="N9:Q9" si="6">N5*$F$67</f>
        <v>795322.26196523092</v>
      </c>
      <c r="O9" s="722">
        <f t="shared" si="6"/>
        <v>866901.26554210181</v>
      </c>
      <c r="P9" s="722">
        <f t="shared" si="6"/>
        <v>944922.37944089109</v>
      </c>
      <c r="Q9" s="722">
        <f t="shared" si="6"/>
        <v>1020516.1697961624</v>
      </c>
      <c r="R9" s="722">
        <f>R5*G67</f>
        <v>1002813.3382792902</v>
      </c>
      <c r="S9" s="731"/>
      <c r="T9" s="732"/>
      <c r="U9" s="732"/>
      <c r="V9" s="732"/>
      <c r="W9" s="732"/>
      <c r="X9" s="732"/>
      <c r="Y9" s="732"/>
      <c r="Z9" s="732"/>
      <c r="AA9" s="732"/>
      <c r="AB9" s="732"/>
      <c r="AC9" s="732"/>
      <c r="AD9" s="732"/>
      <c r="AE9" s="732"/>
      <c r="AF9" s="732"/>
      <c r="AG9" s="732"/>
      <c r="AH9" s="732"/>
      <c r="AI9" s="732"/>
      <c r="AJ9" s="732"/>
      <c r="AK9" s="732"/>
      <c r="AL9" s="732"/>
      <c r="AM9" s="732"/>
      <c r="AN9" s="732"/>
      <c r="AO9" s="732"/>
      <c r="AP9" s="732"/>
      <c r="AQ9" s="732"/>
      <c r="AR9" s="732"/>
      <c r="AS9" s="732"/>
      <c r="AT9" s="732"/>
      <c r="AU9" s="732"/>
      <c r="AV9" s="732"/>
      <c r="AW9" s="732"/>
      <c r="AX9" s="732"/>
      <c r="AY9" s="732"/>
      <c r="AZ9" s="732"/>
      <c r="BA9" s="732"/>
      <c r="BB9" s="732"/>
      <c r="BC9" s="732"/>
      <c r="BD9" s="732"/>
      <c r="BE9" s="732"/>
      <c r="BF9" s="732"/>
      <c r="BG9" s="732"/>
      <c r="BH9" s="732"/>
      <c r="BI9" s="732"/>
      <c r="BJ9" s="732"/>
      <c r="BK9" s="732"/>
      <c r="BL9" s="732"/>
      <c r="BM9" s="732"/>
      <c r="BN9" s="732"/>
      <c r="BO9" s="732"/>
      <c r="BP9" s="732"/>
      <c r="BQ9" s="732"/>
      <c r="BR9" s="732"/>
      <c r="BS9" s="732"/>
      <c r="BT9" s="732"/>
      <c r="BU9" s="732"/>
      <c r="BV9" s="732"/>
      <c r="BW9" s="732"/>
      <c r="BX9" s="732"/>
      <c r="BY9" s="732"/>
      <c r="BZ9" s="732"/>
      <c r="CA9" s="732"/>
      <c r="CB9" s="732"/>
      <c r="CC9" s="732"/>
      <c r="CD9" s="732"/>
      <c r="CE9" s="732"/>
      <c r="CF9" s="732"/>
      <c r="CG9" s="732"/>
      <c r="CH9" s="732"/>
      <c r="CI9" s="732"/>
      <c r="CJ9" s="732"/>
      <c r="CK9" s="732"/>
      <c r="CL9" s="732"/>
      <c r="CM9" s="732"/>
      <c r="CN9" s="732"/>
      <c r="CO9" s="732"/>
      <c r="CP9" s="732"/>
      <c r="CQ9" s="732"/>
      <c r="CR9" s="732"/>
      <c r="CS9" s="732"/>
      <c r="CT9" s="732"/>
      <c r="CU9" s="732"/>
      <c r="CV9" s="732"/>
      <c r="CW9" s="732"/>
      <c r="CX9" s="732"/>
      <c r="CY9" s="732"/>
      <c r="CZ9" s="732"/>
      <c r="DA9" s="732"/>
      <c r="DB9" s="732"/>
      <c r="DC9" s="732"/>
      <c r="DD9" s="732"/>
      <c r="DE9" s="732"/>
      <c r="DF9" s="732"/>
      <c r="DG9" s="732"/>
      <c r="DH9" s="732"/>
      <c r="DI9" s="732"/>
      <c r="DJ9" s="732"/>
      <c r="DK9" s="732"/>
      <c r="DL9" s="732"/>
      <c r="DM9" s="732"/>
      <c r="DN9" s="732"/>
      <c r="DO9" s="732"/>
      <c r="DP9" s="732"/>
      <c r="DQ9" s="732"/>
      <c r="DR9" s="732"/>
      <c r="DS9" s="732"/>
      <c r="DT9" s="732"/>
      <c r="DU9" s="732"/>
      <c r="DV9" s="732"/>
      <c r="DW9" s="732"/>
      <c r="DX9" s="732"/>
      <c r="DY9" s="732"/>
      <c r="DZ9" s="732"/>
      <c r="EA9" s="732"/>
      <c r="EB9" s="732"/>
      <c r="EC9" s="732"/>
      <c r="ED9" s="732"/>
      <c r="EE9" s="732"/>
      <c r="EF9" s="732"/>
      <c r="EG9" s="732"/>
      <c r="EH9" s="732"/>
      <c r="EI9" s="732"/>
      <c r="EJ9" s="732"/>
      <c r="EK9" s="732"/>
      <c r="EL9" s="732"/>
      <c r="EM9" s="732"/>
      <c r="EN9" s="732"/>
      <c r="EO9" s="732"/>
      <c r="EP9" s="732"/>
      <c r="EQ9" s="732"/>
      <c r="ER9" s="732"/>
      <c r="ES9" s="732"/>
      <c r="ET9" s="732"/>
      <c r="EU9" s="732"/>
      <c r="EV9" s="732"/>
      <c r="EW9" s="732"/>
      <c r="EX9" s="732"/>
      <c r="EY9" s="732"/>
      <c r="EZ9" s="732"/>
      <c r="FA9" s="732"/>
      <c r="FB9" s="732"/>
      <c r="FC9" s="732"/>
      <c r="FD9" s="732"/>
      <c r="FE9" s="732"/>
      <c r="FF9" s="732"/>
      <c r="FG9" s="732"/>
      <c r="FH9" s="732"/>
      <c r="FI9" s="732"/>
      <c r="FJ9" s="732"/>
      <c r="FK9" s="732"/>
      <c r="FL9" s="732"/>
      <c r="FM9" s="732"/>
      <c r="FN9" s="732"/>
      <c r="FO9" s="732"/>
      <c r="FP9" s="732"/>
      <c r="FQ9" s="732"/>
      <c r="FR9" s="732"/>
      <c r="FS9" s="732"/>
      <c r="FT9" s="732"/>
      <c r="FU9" s="732"/>
      <c r="FV9" s="732"/>
      <c r="FW9" s="732"/>
      <c r="FX9" s="732"/>
      <c r="FY9" s="732"/>
      <c r="FZ9" s="732"/>
      <c r="GA9" s="732"/>
      <c r="GB9" s="732"/>
      <c r="GC9" s="732"/>
      <c r="GD9" s="732"/>
      <c r="GE9" s="732"/>
      <c r="GF9" s="732"/>
      <c r="GG9" s="732"/>
      <c r="GH9" s="732"/>
      <c r="GI9" s="732"/>
      <c r="GJ9" s="732"/>
      <c r="GK9" s="732"/>
      <c r="GL9" s="732"/>
      <c r="GM9" s="732"/>
      <c r="GN9" s="732"/>
      <c r="GO9" s="732"/>
      <c r="GP9" s="732"/>
      <c r="GQ9" s="732"/>
      <c r="GR9" s="732"/>
      <c r="GS9" s="732"/>
      <c r="GT9" s="732"/>
      <c r="GU9" s="732"/>
      <c r="GV9" s="732"/>
      <c r="GW9" s="732"/>
      <c r="GX9" s="732"/>
      <c r="GY9" s="732"/>
      <c r="GZ9" s="732"/>
      <c r="HA9" s="732"/>
      <c r="HB9" s="732"/>
      <c r="HC9" s="732"/>
      <c r="HD9" s="732"/>
      <c r="HE9" s="732"/>
      <c r="HF9" s="732"/>
      <c r="HG9" s="732"/>
      <c r="HH9" s="732"/>
      <c r="HI9" s="732"/>
      <c r="HJ9" s="732"/>
      <c r="HK9" s="732"/>
      <c r="HL9" s="732"/>
      <c r="HM9" s="732"/>
      <c r="HN9" s="732"/>
      <c r="HO9" s="732"/>
      <c r="HP9" s="732"/>
      <c r="HQ9" s="732"/>
      <c r="HR9" s="732"/>
      <c r="HS9" s="732"/>
      <c r="HT9" s="732"/>
      <c r="HU9" s="732"/>
      <c r="HV9" s="732"/>
      <c r="HW9" s="732"/>
      <c r="HX9" s="732"/>
      <c r="HY9" s="732"/>
      <c r="HZ9" s="732"/>
      <c r="IA9" s="732"/>
      <c r="IB9" s="732"/>
      <c r="IC9" s="732"/>
      <c r="ID9" s="732"/>
      <c r="IE9" s="732"/>
      <c r="IF9" s="732"/>
      <c r="IG9" s="732"/>
      <c r="IH9" s="732"/>
      <c r="II9" s="732"/>
      <c r="IJ9" s="732"/>
      <c r="IK9" s="732"/>
      <c r="IL9" s="732"/>
      <c r="IM9" s="732"/>
      <c r="IN9" s="732"/>
      <c r="IO9" s="732"/>
      <c r="IP9" s="732"/>
      <c r="IQ9" s="732"/>
      <c r="IR9" s="732"/>
      <c r="IS9" s="732"/>
      <c r="IT9" s="732"/>
      <c r="IU9" s="732"/>
      <c r="IV9" s="732"/>
      <c r="IW9" s="732"/>
      <c r="IX9" s="732"/>
      <c r="IY9" s="732"/>
      <c r="IZ9" s="732"/>
      <c r="JA9" s="732"/>
      <c r="JB9" s="732"/>
      <c r="JC9" s="732"/>
      <c r="JD9" s="732"/>
      <c r="JE9" s="732"/>
      <c r="JF9" s="732"/>
      <c r="JG9" s="732"/>
      <c r="JH9" s="732"/>
      <c r="JI9" s="732"/>
      <c r="JJ9" s="732"/>
      <c r="JK9" s="732"/>
      <c r="JL9" s="732"/>
      <c r="JM9" s="732"/>
      <c r="JN9" s="732"/>
      <c r="JO9" s="732"/>
      <c r="JP9" s="732"/>
      <c r="JQ9" s="732"/>
      <c r="JR9" s="732"/>
      <c r="JS9" s="732"/>
      <c r="JT9" s="732"/>
      <c r="JU9" s="732"/>
      <c r="JV9" s="732"/>
      <c r="JW9" s="732"/>
      <c r="JX9" s="732"/>
      <c r="JY9" s="732"/>
      <c r="JZ9" s="732"/>
      <c r="KA9" s="732"/>
      <c r="KB9" s="732"/>
      <c r="KC9" s="732"/>
      <c r="KD9" s="732"/>
      <c r="KE9" s="732"/>
      <c r="KF9" s="732"/>
      <c r="KG9" s="732"/>
      <c r="KH9" s="732"/>
      <c r="KI9" s="732"/>
      <c r="KJ9" s="732"/>
      <c r="KK9" s="732"/>
      <c r="KL9" s="732"/>
      <c r="KM9" s="732"/>
      <c r="KN9" s="732"/>
      <c r="KO9" s="732"/>
      <c r="KP9" s="732"/>
      <c r="KQ9" s="732"/>
      <c r="KR9" s="732"/>
      <c r="KS9" s="732"/>
      <c r="KT9" s="732"/>
      <c r="KU9" s="732"/>
      <c r="KV9" s="732"/>
      <c r="KW9" s="732"/>
      <c r="KX9" s="732"/>
      <c r="KY9" s="732"/>
      <c r="KZ9" s="732"/>
      <c r="LA9" s="732"/>
      <c r="LB9" s="732"/>
      <c r="LC9" s="732"/>
      <c r="LD9" s="732"/>
      <c r="LE9" s="732"/>
      <c r="LF9" s="732"/>
      <c r="LG9" s="732"/>
      <c r="LH9" s="732"/>
      <c r="LI9" s="732"/>
      <c r="LJ9" s="732"/>
      <c r="LK9" s="732"/>
      <c r="LL9" s="732"/>
      <c r="LM9" s="732"/>
      <c r="LN9" s="732"/>
      <c r="LO9" s="732"/>
      <c r="LP9" s="732"/>
      <c r="LQ9" s="732"/>
      <c r="LR9" s="732"/>
      <c r="LS9" s="732"/>
      <c r="LT9" s="732"/>
      <c r="LU9" s="732"/>
      <c r="LV9" s="732"/>
      <c r="LW9" s="732"/>
      <c r="LX9" s="732"/>
      <c r="LY9" s="732"/>
      <c r="LZ9" s="732"/>
      <c r="MA9" s="732"/>
      <c r="MB9" s="732"/>
      <c r="MC9" s="732"/>
      <c r="MD9" s="732"/>
      <c r="ME9" s="732"/>
      <c r="MF9" s="732"/>
      <c r="MG9" s="732"/>
      <c r="MH9" s="732"/>
      <c r="MI9" s="732"/>
      <c r="MJ9" s="732"/>
      <c r="MK9" s="732"/>
      <c r="ML9" s="732"/>
      <c r="MM9" s="732"/>
      <c r="MN9" s="732"/>
      <c r="MO9" s="732"/>
      <c r="MP9" s="732"/>
      <c r="MQ9" s="732"/>
      <c r="MR9" s="732"/>
      <c r="MS9" s="732"/>
      <c r="MT9" s="732"/>
      <c r="MU9" s="732"/>
      <c r="MV9" s="732"/>
      <c r="MW9" s="732"/>
      <c r="MX9" s="732"/>
      <c r="MY9" s="732"/>
      <c r="MZ9" s="732"/>
      <c r="NA9" s="732"/>
      <c r="NB9" s="732"/>
      <c r="NC9" s="732"/>
      <c r="ND9" s="732"/>
      <c r="NE9" s="732"/>
      <c r="NF9" s="732"/>
      <c r="NG9" s="732"/>
      <c r="NH9" s="732"/>
      <c r="NI9" s="732"/>
      <c r="NJ9" s="732"/>
      <c r="NK9" s="732"/>
      <c r="NL9" s="732"/>
      <c r="NM9" s="732"/>
      <c r="NN9" s="732"/>
      <c r="NO9" s="732"/>
      <c r="NP9" s="732"/>
      <c r="NQ9" s="732"/>
      <c r="NR9" s="732"/>
      <c r="NS9" s="732"/>
      <c r="NT9" s="732"/>
      <c r="NU9" s="732"/>
      <c r="NV9" s="732"/>
      <c r="NW9" s="732"/>
      <c r="NX9" s="732"/>
      <c r="NY9" s="732"/>
      <c r="NZ9" s="732"/>
      <c r="OA9" s="732"/>
      <c r="OB9" s="732"/>
      <c r="OC9" s="732"/>
      <c r="OD9" s="732"/>
      <c r="OE9" s="732"/>
      <c r="OF9" s="732"/>
      <c r="OG9" s="732"/>
      <c r="OH9" s="732"/>
      <c r="OI9" s="732"/>
      <c r="OJ9" s="732"/>
      <c r="OK9" s="732"/>
      <c r="OL9" s="732"/>
      <c r="OM9" s="732"/>
      <c r="ON9" s="732"/>
      <c r="OO9" s="732"/>
      <c r="OP9" s="732"/>
      <c r="OQ9" s="732"/>
      <c r="OR9" s="732"/>
      <c r="OS9" s="732"/>
      <c r="OT9" s="732"/>
      <c r="OU9" s="732"/>
      <c r="OV9" s="732"/>
      <c r="OW9" s="732"/>
      <c r="OX9" s="732"/>
      <c r="OY9" s="732"/>
      <c r="OZ9" s="732"/>
      <c r="PA9" s="732"/>
      <c r="PB9" s="732"/>
      <c r="PC9" s="732"/>
      <c r="PD9" s="732"/>
      <c r="PE9" s="732"/>
      <c r="PF9" s="732"/>
      <c r="PG9" s="732"/>
      <c r="PH9" s="732"/>
      <c r="PI9" s="732"/>
      <c r="PJ9" s="732"/>
      <c r="PK9" s="732"/>
      <c r="PL9" s="732"/>
      <c r="PM9" s="732"/>
      <c r="PN9" s="732"/>
      <c r="PO9" s="732"/>
      <c r="PP9" s="732"/>
      <c r="PQ9" s="732"/>
      <c r="PR9" s="732"/>
      <c r="PS9" s="732"/>
      <c r="PT9" s="732"/>
      <c r="PU9" s="732"/>
      <c r="PV9" s="732"/>
      <c r="PW9" s="732"/>
      <c r="PX9" s="732"/>
      <c r="PY9" s="732"/>
      <c r="PZ9" s="732"/>
      <c r="QA9" s="732"/>
      <c r="QB9" s="732"/>
      <c r="QC9" s="732"/>
      <c r="QD9" s="732"/>
      <c r="QE9" s="732"/>
      <c r="QF9" s="732"/>
      <c r="QG9" s="732"/>
      <c r="QH9" s="732"/>
      <c r="QI9" s="732"/>
      <c r="QJ9" s="732"/>
      <c r="QK9" s="732"/>
      <c r="QL9" s="732"/>
      <c r="QM9" s="732"/>
      <c r="QN9" s="732"/>
      <c r="QO9" s="732"/>
      <c r="QP9" s="732"/>
      <c r="QQ9" s="732"/>
      <c r="QR9" s="732"/>
      <c r="QS9" s="732"/>
      <c r="QT9" s="732"/>
      <c r="QU9" s="732"/>
      <c r="QV9" s="732"/>
      <c r="QW9" s="732"/>
      <c r="QX9" s="732"/>
      <c r="QY9" s="732"/>
      <c r="QZ9" s="732"/>
      <c r="RA9" s="732"/>
      <c r="RB9" s="732"/>
      <c r="RC9" s="732"/>
      <c r="RD9" s="732"/>
      <c r="RE9" s="732"/>
      <c r="RF9" s="732"/>
      <c r="RG9" s="732"/>
      <c r="RH9" s="732"/>
      <c r="RI9" s="732"/>
      <c r="RJ9" s="732"/>
      <c r="RK9" s="732"/>
      <c r="RL9" s="732"/>
      <c r="RM9" s="732"/>
      <c r="RN9" s="732"/>
      <c r="RO9" s="732"/>
      <c r="RP9" s="732"/>
      <c r="RQ9" s="732"/>
      <c r="RR9" s="732"/>
      <c r="RS9" s="732"/>
      <c r="RT9" s="732"/>
      <c r="RU9" s="732"/>
      <c r="RV9" s="732"/>
      <c r="RW9" s="732"/>
      <c r="RX9" s="732"/>
      <c r="RY9" s="732"/>
      <c r="RZ9" s="732"/>
      <c r="SA9" s="732"/>
      <c r="SB9" s="732"/>
      <c r="SC9" s="732"/>
      <c r="SD9" s="732"/>
      <c r="SE9" s="732"/>
      <c r="SF9" s="732"/>
      <c r="SG9" s="732"/>
      <c r="SH9" s="732"/>
      <c r="SI9" s="732"/>
      <c r="SJ9" s="732"/>
      <c r="SK9" s="732"/>
      <c r="SL9" s="732"/>
      <c r="SM9" s="732"/>
      <c r="SN9" s="732"/>
      <c r="SO9" s="732"/>
      <c r="SP9" s="732"/>
      <c r="SQ9" s="732"/>
      <c r="SR9" s="732"/>
      <c r="SS9" s="732"/>
      <c r="ST9" s="732"/>
      <c r="SU9" s="732"/>
      <c r="SV9" s="732"/>
      <c r="SW9" s="732"/>
      <c r="SX9" s="732"/>
      <c r="SY9" s="732"/>
      <c r="SZ9" s="732"/>
      <c r="TA9" s="732"/>
      <c r="TB9" s="732"/>
      <c r="TC9" s="732"/>
      <c r="TD9" s="732"/>
      <c r="TE9" s="732"/>
      <c r="TF9" s="732"/>
      <c r="TG9" s="732"/>
      <c r="TH9" s="732"/>
      <c r="TI9" s="732"/>
      <c r="TJ9" s="732"/>
      <c r="TK9" s="732"/>
      <c r="TL9" s="732"/>
      <c r="TM9" s="732"/>
      <c r="TN9" s="732"/>
      <c r="TO9" s="732"/>
      <c r="TP9" s="732"/>
      <c r="TQ9" s="732"/>
      <c r="TR9" s="732"/>
      <c r="TS9" s="732"/>
      <c r="TT9" s="732"/>
      <c r="TU9" s="732"/>
      <c r="TV9" s="732"/>
      <c r="TW9" s="732"/>
      <c r="TX9" s="732"/>
      <c r="TY9" s="732"/>
      <c r="TZ9" s="732"/>
      <c r="UA9" s="732"/>
      <c r="UB9" s="732"/>
      <c r="UC9" s="732"/>
      <c r="UD9" s="732"/>
      <c r="UE9" s="732"/>
      <c r="UF9" s="732"/>
      <c r="UG9" s="732"/>
      <c r="UH9" s="732"/>
      <c r="UI9" s="732"/>
      <c r="UJ9" s="732"/>
      <c r="UK9" s="732"/>
      <c r="UL9" s="732"/>
      <c r="UM9" s="732"/>
      <c r="UN9" s="732"/>
      <c r="UO9" s="732"/>
      <c r="UP9" s="732"/>
      <c r="UQ9" s="732"/>
      <c r="UR9" s="732"/>
      <c r="US9" s="732"/>
      <c r="UT9" s="732"/>
      <c r="UU9" s="732"/>
      <c r="UV9" s="732"/>
      <c r="UW9" s="732"/>
      <c r="UX9" s="732"/>
      <c r="UY9" s="732"/>
      <c r="UZ9" s="732"/>
      <c r="VA9" s="732"/>
      <c r="VB9" s="732"/>
      <c r="VC9" s="732"/>
      <c r="VD9" s="732"/>
      <c r="VE9" s="732"/>
      <c r="VF9" s="732"/>
      <c r="VG9" s="732"/>
      <c r="VH9" s="732"/>
      <c r="VI9" s="732"/>
      <c r="VJ9" s="732"/>
      <c r="VK9" s="732"/>
      <c r="VL9" s="732"/>
      <c r="VM9" s="732"/>
      <c r="VN9" s="732"/>
      <c r="VO9" s="732"/>
      <c r="VP9" s="732"/>
      <c r="VQ9" s="732"/>
      <c r="VR9" s="732"/>
      <c r="VS9" s="732"/>
      <c r="VT9" s="732"/>
      <c r="VU9" s="732"/>
      <c r="VV9" s="732"/>
      <c r="VW9" s="732"/>
      <c r="VX9" s="732"/>
      <c r="VY9" s="732"/>
      <c r="VZ9" s="732"/>
      <c r="WA9" s="732"/>
      <c r="WB9" s="732"/>
      <c r="WC9" s="732"/>
      <c r="WD9" s="732"/>
      <c r="WE9" s="732"/>
      <c r="WF9" s="732"/>
      <c r="WG9" s="732"/>
      <c r="WH9" s="732"/>
      <c r="WI9" s="732"/>
      <c r="WJ9" s="732"/>
      <c r="WK9" s="732"/>
      <c r="WL9" s="732"/>
      <c r="WM9" s="732"/>
      <c r="WN9" s="732"/>
      <c r="WO9" s="732"/>
      <c r="WP9" s="732"/>
      <c r="WQ9" s="732"/>
      <c r="WR9" s="732"/>
      <c r="WS9" s="732"/>
      <c r="WT9" s="732"/>
      <c r="WU9" s="732"/>
      <c r="WV9" s="732"/>
      <c r="WW9" s="732"/>
      <c r="WX9" s="732"/>
      <c r="WY9" s="732"/>
      <c r="WZ9" s="732"/>
      <c r="XA9" s="732"/>
      <c r="XB9" s="732"/>
      <c r="XC9" s="732"/>
      <c r="XD9" s="732"/>
      <c r="XE9" s="732"/>
      <c r="XF9" s="732"/>
      <c r="XG9" s="732"/>
      <c r="XH9" s="732"/>
      <c r="XI9" s="732"/>
      <c r="XJ9" s="732"/>
      <c r="XK9" s="732"/>
      <c r="XL9" s="732"/>
      <c r="XM9" s="732"/>
      <c r="XN9" s="732"/>
      <c r="XO9" s="732"/>
      <c r="XP9" s="732"/>
      <c r="XQ9" s="732"/>
      <c r="XR9" s="732"/>
      <c r="XS9" s="732"/>
      <c r="XT9" s="732"/>
      <c r="XU9" s="732"/>
      <c r="XV9" s="732"/>
      <c r="XW9" s="732"/>
      <c r="XX9" s="732"/>
      <c r="XY9" s="732"/>
      <c r="XZ9" s="732"/>
      <c r="YA9" s="732"/>
      <c r="YB9" s="732"/>
      <c r="YC9" s="732"/>
      <c r="YD9" s="732"/>
      <c r="YE9" s="732"/>
      <c r="YF9" s="732"/>
      <c r="YG9" s="732"/>
      <c r="YH9" s="732"/>
      <c r="YI9" s="732"/>
      <c r="YJ9" s="732"/>
      <c r="YK9" s="732"/>
      <c r="YL9" s="732"/>
      <c r="YM9" s="732"/>
      <c r="YN9" s="732"/>
      <c r="YO9" s="732"/>
      <c r="YP9" s="732"/>
      <c r="YQ9" s="732"/>
      <c r="YR9" s="732"/>
      <c r="YS9" s="732"/>
      <c r="YT9" s="732"/>
      <c r="YU9" s="732"/>
      <c r="YV9" s="732"/>
      <c r="YW9" s="732"/>
      <c r="YX9" s="732"/>
      <c r="YY9" s="732"/>
      <c r="YZ9" s="732"/>
      <c r="ZA9" s="732"/>
      <c r="ZB9" s="732"/>
      <c r="ZC9" s="732"/>
      <c r="ZD9" s="732"/>
      <c r="ZE9" s="732"/>
      <c r="ZF9" s="732"/>
      <c r="ZG9" s="732"/>
      <c r="ZH9" s="732"/>
      <c r="ZI9" s="732"/>
      <c r="ZJ9" s="732"/>
      <c r="ZK9" s="732"/>
      <c r="ZL9" s="732"/>
      <c r="ZM9" s="732"/>
      <c r="ZN9" s="732"/>
      <c r="ZO9" s="732"/>
      <c r="ZP9" s="732"/>
      <c r="ZQ9" s="732"/>
      <c r="ZR9" s="732"/>
      <c r="ZS9" s="732"/>
      <c r="ZT9" s="732"/>
      <c r="ZU9" s="732"/>
      <c r="ZV9" s="732"/>
      <c r="ZW9" s="732"/>
      <c r="ZX9" s="732"/>
      <c r="ZY9" s="732"/>
      <c r="ZZ9" s="732"/>
      <c r="AAA9" s="732"/>
      <c r="AAB9" s="732"/>
      <c r="AAC9" s="732"/>
      <c r="AAD9" s="732"/>
      <c r="AAE9" s="732"/>
      <c r="AAF9" s="732"/>
      <c r="AAG9" s="732"/>
      <c r="AAH9" s="732"/>
      <c r="AAI9" s="732"/>
      <c r="AAJ9" s="732"/>
      <c r="AAK9" s="732"/>
      <c r="AAL9" s="732"/>
      <c r="AAM9" s="732"/>
      <c r="AAN9" s="732"/>
      <c r="AAO9" s="732"/>
      <c r="AAP9" s="732"/>
      <c r="AAQ9" s="732"/>
      <c r="AAR9" s="732"/>
      <c r="AAS9" s="732"/>
      <c r="AAT9" s="732"/>
      <c r="AAU9" s="732"/>
      <c r="AAV9" s="732"/>
      <c r="AAW9" s="732"/>
      <c r="AAX9" s="732"/>
      <c r="AAY9" s="732"/>
      <c r="AAZ9" s="732"/>
      <c r="ABA9" s="732"/>
      <c r="ABB9" s="732"/>
      <c r="ABC9" s="732"/>
      <c r="ABD9" s="732"/>
      <c r="ABE9" s="732"/>
      <c r="ABF9" s="732"/>
      <c r="ABG9" s="732"/>
      <c r="ABH9" s="732"/>
      <c r="ABI9" s="732"/>
      <c r="ABJ9" s="732"/>
      <c r="ABK9" s="732"/>
      <c r="ABL9" s="732"/>
      <c r="ABM9" s="732"/>
      <c r="ABN9" s="732"/>
      <c r="ABO9" s="732"/>
      <c r="ABP9" s="732"/>
      <c r="ABQ9" s="732"/>
      <c r="ABR9" s="732"/>
      <c r="ABS9" s="732"/>
      <c r="ABT9" s="732"/>
      <c r="ABU9" s="732"/>
      <c r="ABV9" s="732"/>
      <c r="ABW9" s="732"/>
      <c r="ABX9" s="732"/>
      <c r="ABY9" s="732"/>
      <c r="ABZ9" s="732"/>
      <c r="ACA9" s="732"/>
      <c r="ACB9" s="732"/>
      <c r="ACC9" s="732"/>
      <c r="ACD9" s="732"/>
      <c r="ACE9" s="732"/>
      <c r="ACF9" s="732"/>
      <c r="ACG9" s="732"/>
      <c r="ACH9" s="732"/>
      <c r="ACI9" s="732"/>
      <c r="ACJ9" s="732"/>
      <c r="ACK9" s="732"/>
      <c r="ACL9" s="732"/>
      <c r="ACM9" s="732"/>
      <c r="ACN9" s="732"/>
      <c r="ACO9" s="732"/>
      <c r="ACP9" s="732"/>
      <c r="ACQ9" s="732"/>
      <c r="ACR9" s="732"/>
      <c r="ACS9" s="732"/>
      <c r="ACT9" s="732"/>
      <c r="ACU9" s="732"/>
      <c r="ACV9" s="732"/>
      <c r="ACW9" s="732"/>
      <c r="ACX9" s="732"/>
      <c r="ACY9" s="732"/>
      <c r="ACZ9" s="732"/>
      <c r="ADA9" s="732"/>
      <c r="ADB9" s="732"/>
      <c r="ADC9" s="732"/>
      <c r="ADD9" s="732"/>
      <c r="ADE9" s="732"/>
      <c r="ADF9" s="732"/>
      <c r="ADG9" s="732"/>
      <c r="ADH9" s="732"/>
      <c r="ADI9" s="732"/>
      <c r="ADJ9" s="732"/>
      <c r="ADK9" s="732"/>
      <c r="ADL9" s="732"/>
      <c r="ADM9" s="732"/>
      <c r="ADN9" s="732"/>
      <c r="ADO9" s="732"/>
      <c r="ADP9" s="732"/>
      <c r="ADQ9" s="732"/>
      <c r="ADR9" s="732"/>
      <c r="ADS9" s="732"/>
      <c r="ADT9" s="732"/>
      <c r="ADU9" s="732"/>
      <c r="ADV9" s="732"/>
      <c r="ADW9" s="732"/>
      <c r="ADX9" s="732"/>
      <c r="ADY9" s="732"/>
      <c r="ADZ9" s="732"/>
      <c r="AEA9" s="732"/>
      <c r="AEB9" s="732"/>
      <c r="AEC9" s="732"/>
      <c r="AED9" s="732"/>
      <c r="AEE9" s="732"/>
      <c r="AEF9" s="732"/>
      <c r="AEG9" s="732"/>
      <c r="AEH9" s="732"/>
      <c r="AEI9" s="732"/>
      <c r="AEJ9" s="732"/>
      <c r="AEK9" s="732"/>
      <c r="AEL9" s="732"/>
      <c r="AEM9" s="732"/>
      <c r="AEN9" s="732"/>
      <c r="AEO9" s="732"/>
      <c r="AEP9" s="732"/>
      <c r="AEQ9" s="732"/>
      <c r="AER9" s="732"/>
      <c r="AES9" s="732"/>
      <c r="AET9" s="732"/>
      <c r="AEU9" s="732"/>
      <c r="AEV9" s="732"/>
      <c r="AEW9" s="732"/>
      <c r="AEX9" s="732"/>
      <c r="AEY9" s="732"/>
      <c r="AEZ9" s="732"/>
      <c r="AFA9" s="732"/>
      <c r="AFB9" s="732"/>
      <c r="AFC9" s="732"/>
      <c r="AFD9" s="732"/>
      <c r="AFE9" s="732"/>
      <c r="AFF9" s="732"/>
      <c r="AFG9" s="732"/>
      <c r="AFH9" s="732"/>
      <c r="AFI9" s="732"/>
      <c r="AFJ9" s="732"/>
      <c r="AFK9" s="732"/>
      <c r="AFL9" s="732"/>
      <c r="AFM9" s="732"/>
      <c r="AFN9" s="732"/>
      <c r="AFO9" s="732"/>
      <c r="AFP9" s="732"/>
      <c r="AFQ9" s="732"/>
      <c r="AFR9" s="732"/>
      <c r="AFS9" s="732"/>
      <c r="AFT9" s="732"/>
      <c r="AFU9" s="732"/>
      <c r="AFV9" s="732"/>
      <c r="AFW9" s="732"/>
      <c r="AFX9" s="732"/>
      <c r="AFY9" s="732"/>
      <c r="AFZ9" s="732"/>
      <c r="AGA9" s="732"/>
      <c r="AGB9" s="732"/>
      <c r="AGC9" s="732"/>
      <c r="AGD9" s="732"/>
      <c r="AGE9" s="732"/>
      <c r="AGF9" s="732"/>
      <c r="AGG9" s="732"/>
      <c r="AGH9" s="732"/>
      <c r="AGI9" s="732"/>
      <c r="AGJ9" s="732"/>
      <c r="AGK9" s="732"/>
      <c r="AGL9" s="732"/>
      <c r="AGM9" s="732"/>
      <c r="AGN9" s="732"/>
      <c r="AGO9" s="732"/>
      <c r="AGP9" s="732"/>
      <c r="AGQ9" s="732"/>
      <c r="AGR9" s="732"/>
      <c r="AGS9" s="732"/>
      <c r="AGT9" s="732"/>
      <c r="AGU9" s="732"/>
      <c r="AGV9" s="732"/>
      <c r="AGW9" s="732"/>
      <c r="AGX9" s="732"/>
      <c r="AGY9" s="732"/>
      <c r="AGZ9" s="732"/>
      <c r="AHA9" s="732"/>
      <c r="AHB9" s="732"/>
      <c r="AHC9" s="732"/>
      <c r="AHD9" s="732"/>
      <c r="AHE9" s="732"/>
      <c r="AHF9" s="732"/>
      <c r="AHG9" s="732"/>
      <c r="AHH9" s="732"/>
      <c r="AHI9" s="732"/>
      <c r="AHJ9" s="732"/>
      <c r="AHK9" s="732"/>
      <c r="AHL9" s="732"/>
      <c r="AHM9" s="732"/>
      <c r="AHN9" s="732"/>
      <c r="AHO9" s="732"/>
      <c r="AHP9" s="732"/>
      <c r="AHQ9" s="732"/>
      <c r="AHR9" s="732"/>
      <c r="AHS9" s="732"/>
      <c r="AHT9" s="732"/>
      <c r="AHU9" s="732"/>
      <c r="AHV9" s="732"/>
      <c r="AHW9" s="732"/>
      <c r="AHX9" s="732"/>
      <c r="AHY9" s="732"/>
      <c r="AHZ9" s="732"/>
      <c r="AIA9" s="732"/>
      <c r="AIB9" s="732"/>
      <c r="AIC9" s="732"/>
      <c r="AID9" s="732"/>
      <c r="AIE9" s="732"/>
      <c r="AIF9" s="732"/>
      <c r="AIG9" s="732"/>
      <c r="AIH9" s="732"/>
      <c r="AII9" s="732"/>
      <c r="AIJ9" s="732"/>
      <c r="AIK9" s="732"/>
      <c r="AIL9" s="732"/>
      <c r="AIM9" s="732"/>
      <c r="AIN9" s="732"/>
      <c r="AIO9" s="732"/>
      <c r="AIP9" s="732"/>
      <c r="AIQ9" s="732"/>
      <c r="AIR9" s="732"/>
      <c r="AIS9" s="732"/>
      <c r="AIT9" s="732"/>
      <c r="AIU9" s="732"/>
      <c r="AIV9" s="732"/>
      <c r="AIW9" s="732"/>
      <c r="AIX9" s="732"/>
      <c r="AIY9" s="732"/>
      <c r="AIZ9" s="732"/>
      <c r="AJA9" s="732"/>
      <c r="AJB9" s="732"/>
      <c r="AJC9" s="732"/>
      <c r="AJD9" s="732"/>
      <c r="AJE9" s="732"/>
      <c r="AJF9" s="732"/>
      <c r="AJG9" s="732"/>
      <c r="AJH9" s="732"/>
      <c r="AJI9" s="732"/>
      <c r="AJJ9" s="732"/>
      <c r="AJK9" s="732"/>
      <c r="AJL9" s="732"/>
      <c r="AJM9" s="732"/>
      <c r="AJN9" s="732"/>
      <c r="AJO9" s="732"/>
      <c r="AJP9" s="732"/>
      <c r="AJQ9" s="732"/>
      <c r="AJR9" s="732"/>
      <c r="AJS9" s="732"/>
      <c r="AJT9" s="732"/>
      <c r="AJU9" s="732"/>
      <c r="AJV9" s="732"/>
      <c r="AJW9" s="732"/>
      <c r="AJX9" s="732"/>
      <c r="AJY9" s="732"/>
      <c r="AJZ9" s="732"/>
      <c r="AKA9" s="732"/>
      <c r="AKB9" s="732"/>
      <c r="AKC9" s="732"/>
      <c r="AKD9" s="732"/>
      <c r="AKE9" s="732"/>
      <c r="AKF9" s="732"/>
      <c r="AKG9" s="732"/>
      <c r="AKH9" s="732"/>
      <c r="AKI9" s="732"/>
      <c r="AKJ9" s="732"/>
      <c r="AKK9" s="732"/>
      <c r="AKL9" s="732"/>
      <c r="AKM9" s="732"/>
      <c r="AKN9" s="732"/>
      <c r="AKO9" s="732"/>
      <c r="AKP9" s="732"/>
      <c r="AKQ9" s="732"/>
      <c r="AKR9" s="732"/>
      <c r="AKS9" s="732"/>
      <c r="AKT9" s="732"/>
      <c r="AKU9" s="732"/>
      <c r="AKV9" s="732"/>
      <c r="AKW9" s="732"/>
      <c r="AKX9" s="732"/>
      <c r="AKY9" s="732"/>
      <c r="AKZ9" s="732"/>
      <c r="ALA9" s="732"/>
      <c r="ALB9" s="732"/>
      <c r="ALC9" s="732"/>
      <c r="ALD9" s="732"/>
      <c r="ALE9" s="732"/>
      <c r="ALF9" s="732"/>
      <c r="ALG9" s="732"/>
      <c r="ALH9" s="732"/>
      <c r="ALI9" s="732"/>
      <c r="ALJ9" s="732"/>
      <c r="ALK9" s="732"/>
      <c r="ALL9" s="732"/>
      <c r="ALM9" s="732"/>
      <c r="ALN9" s="732"/>
      <c r="ALO9" s="732"/>
      <c r="ALP9" s="732"/>
      <c r="ALQ9" s="732"/>
      <c r="ALR9" s="732"/>
      <c r="ALS9" s="732"/>
      <c r="ALT9" s="732"/>
      <c r="ALU9" s="732"/>
      <c r="ALV9" s="732"/>
      <c r="ALW9" s="732"/>
      <c r="ALX9" s="732"/>
      <c r="ALY9" s="732"/>
      <c r="ALZ9" s="732"/>
      <c r="AMA9" s="732"/>
      <c r="AMB9" s="732"/>
      <c r="AMC9" s="732"/>
      <c r="AMD9" s="732"/>
      <c r="AME9" s="732"/>
      <c r="AMF9" s="732"/>
      <c r="AMG9" s="732"/>
      <c r="AMH9" s="732"/>
      <c r="AMI9" s="732"/>
      <c r="AMJ9" s="732"/>
      <c r="AMK9" s="732"/>
      <c r="AML9" s="732"/>
      <c r="AMM9" s="732"/>
      <c r="AMN9" s="732"/>
      <c r="AMO9" s="732"/>
      <c r="AMP9" s="732"/>
      <c r="AMQ9" s="732"/>
      <c r="AMR9" s="732"/>
      <c r="AMS9" s="732"/>
      <c r="AMT9" s="732"/>
      <c r="AMU9" s="732"/>
      <c r="AMV9" s="732"/>
      <c r="AMW9" s="732"/>
      <c r="AMX9" s="732"/>
      <c r="AMY9" s="732"/>
      <c r="AMZ9" s="732"/>
      <c r="ANA9" s="732"/>
      <c r="ANB9" s="732"/>
      <c r="ANC9" s="732"/>
      <c r="AND9" s="732"/>
      <c r="ANE9" s="732"/>
      <c r="ANF9" s="732"/>
      <c r="ANG9" s="732"/>
      <c r="ANH9" s="732"/>
      <c r="ANI9" s="732"/>
      <c r="ANJ9" s="732"/>
      <c r="ANK9" s="732"/>
      <c r="ANL9" s="732"/>
      <c r="ANM9" s="732"/>
      <c r="ANN9" s="732"/>
      <c r="ANO9" s="732"/>
      <c r="ANP9" s="732"/>
      <c r="ANQ9" s="732"/>
      <c r="ANR9" s="732"/>
      <c r="ANS9" s="732"/>
      <c r="ANT9" s="732"/>
      <c r="ANU9" s="732"/>
      <c r="ANV9" s="732"/>
      <c r="ANW9" s="732"/>
      <c r="ANX9" s="732"/>
      <c r="ANY9" s="732"/>
      <c r="ANZ9" s="732"/>
      <c r="AOA9" s="732"/>
      <c r="AOB9" s="732"/>
      <c r="AOC9" s="732"/>
      <c r="AOD9" s="732"/>
      <c r="AOE9" s="732"/>
      <c r="AOF9" s="732"/>
      <c r="AOG9" s="732"/>
      <c r="AOH9" s="732"/>
      <c r="AOI9" s="732"/>
      <c r="AOJ9" s="732"/>
      <c r="AOK9" s="732"/>
      <c r="AOL9" s="732"/>
      <c r="AOM9" s="732"/>
      <c r="AON9" s="732"/>
      <c r="AOO9" s="732"/>
      <c r="AOP9" s="732"/>
      <c r="AOQ9" s="732"/>
      <c r="AOR9" s="732"/>
      <c r="AOS9" s="732"/>
      <c r="AOT9" s="732"/>
      <c r="AOU9" s="732"/>
      <c r="AOV9" s="732"/>
      <c r="AOW9" s="732"/>
      <c r="AOX9" s="732"/>
      <c r="AOY9" s="732"/>
      <c r="AOZ9" s="732"/>
      <c r="APA9" s="732"/>
      <c r="APB9" s="732"/>
      <c r="APC9" s="732"/>
      <c r="APD9" s="732"/>
      <c r="APE9" s="732"/>
      <c r="APF9" s="732"/>
      <c r="APG9" s="732"/>
      <c r="APH9" s="732"/>
      <c r="API9" s="732"/>
      <c r="APJ9" s="732"/>
      <c r="APK9" s="732"/>
      <c r="APL9" s="732"/>
      <c r="APM9" s="732"/>
      <c r="APN9" s="732"/>
      <c r="APO9" s="732"/>
      <c r="APP9" s="732"/>
      <c r="APQ9" s="732"/>
      <c r="APR9" s="732"/>
      <c r="APS9" s="732"/>
      <c r="APT9" s="732"/>
      <c r="APU9" s="732"/>
      <c r="APV9" s="732"/>
      <c r="APW9" s="732"/>
      <c r="APX9" s="732"/>
      <c r="APY9" s="732"/>
      <c r="APZ9" s="732"/>
      <c r="AQA9" s="732"/>
      <c r="AQB9" s="732"/>
      <c r="AQC9" s="732"/>
      <c r="AQD9" s="732"/>
      <c r="AQE9" s="732"/>
      <c r="AQF9" s="732"/>
      <c r="AQG9" s="732"/>
      <c r="AQH9" s="732"/>
      <c r="AQI9" s="732"/>
      <c r="AQJ9" s="732"/>
      <c r="AQK9" s="732"/>
      <c r="AQL9" s="732"/>
      <c r="AQM9" s="732"/>
      <c r="AQN9" s="732"/>
      <c r="AQO9" s="732"/>
      <c r="AQP9" s="732"/>
      <c r="AQQ9" s="732"/>
      <c r="AQR9" s="732"/>
      <c r="AQS9" s="732"/>
      <c r="AQT9" s="732"/>
      <c r="AQU9" s="732"/>
      <c r="AQV9" s="732"/>
      <c r="AQW9" s="732"/>
      <c r="AQX9" s="732"/>
      <c r="AQY9" s="732"/>
      <c r="AQZ9" s="732"/>
      <c r="ARA9" s="732"/>
      <c r="ARB9" s="732"/>
      <c r="ARC9" s="732"/>
      <c r="ARD9" s="732"/>
      <c r="ARE9" s="732"/>
      <c r="ARF9" s="732"/>
      <c r="ARG9" s="732"/>
      <c r="ARH9" s="732"/>
      <c r="ARI9" s="732"/>
      <c r="ARJ9" s="732"/>
      <c r="ARK9" s="732"/>
      <c r="ARL9" s="732"/>
      <c r="ARM9" s="732"/>
      <c r="ARN9" s="732"/>
      <c r="ARO9" s="732"/>
      <c r="ARP9" s="732"/>
      <c r="ARQ9" s="732"/>
      <c r="ARR9" s="732"/>
      <c r="ARS9" s="732"/>
      <c r="ART9" s="732"/>
      <c r="ARU9" s="732"/>
      <c r="ARV9" s="732"/>
      <c r="ARW9" s="732"/>
      <c r="ARX9" s="732"/>
      <c r="ARY9" s="732"/>
      <c r="ARZ9" s="732"/>
      <c r="ASA9" s="732"/>
      <c r="ASB9" s="732"/>
      <c r="ASC9" s="732"/>
      <c r="ASD9" s="732"/>
      <c r="ASE9" s="732"/>
      <c r="ASF9" s="732"/>
      <c r="ASG9" s="732"/>
      <c r="ASH9" s="732"/>
      <c r="ASI9" s="732"/>
      <c r="ASJ9" s="732"/>
      <c r="ASK9" s="732"/>
      <c r="ASL9" s="732"/>
      <c r="ASM9" s="732"/>
      <c r="ASN9" s="732"/>
      <c r="ASO9" s="732"/>
      <c r="ASP9" s="732"/>
      <c r="ASQ9" s="732"/>
      <c r="ASR9" s="732"/>
      <c r="ASS9" s="732"/>
      <c r="AST9" s="732"/>
      <c r="ASU9" s="732"/>
      <c r="ASV9" s="732"/>
      <c r="ASW9" s="732"/>
      <c r="ASX9" s="732"/>
      <c r="ASY9" s="732"/>
      <c r="ASZ9" s="732"/>
      <c r="ATA9" s="732"/>
      <c r="ATB9" s="732"/>
      <c r="ATC9" s="732"/>
      <c r="ATD9" s="732"/>
      <c r="ATE9" s="732"/>
      <c r="ATF9" s="732"/>
      <c r="ATG9" s="732"/>
      <c r="ATH9" s="732"/>
      <c r="ATI9" s="732"/>
      <c r="ATJ9" s="732"/>
      <c r="ATK9" s="732"/>
      <c r="ATL9" s="732"/>
      <c r="ATM9" s="732"/>
      <c r="ATN9" s="732"/>
      <c r="ATO9" s="732"/>
      <c r="ATP9" s="732"/>
      <c r="ATQ9" s="732"/>
      <c r="ATR9" s="732"/>
      <c r="ATS9" s="732"/>
      <c r="ATT9" s="732"/>
      <c r="ATU9" s="732"/>
      <c r="ATV9" s="732"/>
      <c r="ATW9" s="732"/>
      <c r="ATX9" s="732"/>
      <c r="ATY9" s="732"/>
      <c r="ATZ9" s="732"/>
      <c r="AUA9" s="732"/>
      <c r="AUB9" s="732"/>
      <c r="AUC9" s="732"/>
      <c r="AUD9" s="732"/>
      <c r="AUE9" s="732"/>
      <c r="AUF9" s="732"/>
      <c r="AUG9" s="732"/>
      <c r="AUH9" s="732"/>
      <c r="AUI9" s="732"/>
      <c r="AUJ9" s="732"/>
      <c r="AUK9" s="732"/>
      <c r="AUL9" s="732"/>
      <c r="AUM9" s="732"/>
      <c r="AUN9" s="732"/>
      <c r="AUO9" s="732"/>
      <c r="AUP9" s="732"/>
      <c r="AUQ9" s="732"/>
      <c r="AUR9" s="732"/>
      <c r="AUS9" s="732"/>
      <c r="AUT9" s="732"/>
      <c r="AUU9" s="732"/>
      <c r="AUV9" s="732"/>
      <c r="AUW9" s="732"/>
      <c r="AUX9" s="732"/>
      <c r="AUY9" s="732"/>
      <c r="AUZ9" s="732"/>
      <c r="AVA9" s="732"/>
      <c r="AVB9" s="732"/>
      <c r="AVC9" s="732"/>
      <c r="AVD9" s="732"/>
      <c r="AVE9" s="732"/>
      <c r="AVF9" s="732"/>
      <c r="AVG9" s="732"/>
      <c r="AVH9" s="732"/>
      <c r="AVI9" s="732"/>
      <c r="AVJ9" s="732"/>
      <c r="AVK9" s="732"/>
      <c r="AVL9" s="732"/>
      <c r="AVM9" s="732"/>
      <c r="AVN9" s="732"/>
      <c r="AVO9" s="732"/>
      <c r="AVP9" s="732"/>
      <c r="AVQ9" s="732"/>
      <c r="AVR9" s="732"/>
      <c r="AVS9" s="732"/>
      <c r="AVT9" s="732"/>
      <c r="AVU9" s="732"/>
      <c r="AVV9" s="732"/>
      <c r="AVW9" s="732"/>
      <c r="AVX9" s="732"/>
      <c r="AVY9" s="732"/>
      <c r="AVZ9" s="732"/>
      <c r="AWA9" s="732"/>
      <c r="AWB9" s="732"/>
      <c r="AWC9" s="732"/>
      <c r="AWD9" s="732"/>
      <c r="AWE9" s="732"/>
      <c r="AWF9" s="732"/>
      <c r="AWG9" s="732"/>
      <c r="AWH9" s="732"/>
      <c r="AWI9" s="732"/>
      <c r="AWJ9" s="732"/>
      <c r="AWK9" s="732"/>
      <c r="AWL9" s="732"/>
      <c r="AWM9" s="732"/>
      <c r="AWN9" s="732"/>
      <c r="AWO9" s="732"/>
      <c r="AWP9" s="732"/>
      <c r="AWQ9" s="732"/>
      <c r="AWR9" s="732"/>
      <c r="AWS9" s="732"/>
      <c r="AWT9" s="732"/>
      <c r="AWU9" s="732"/>
      <c r="AWV9" s="732"/>
      <c r="AWW9" s="732"/>
      <c r="AWX9" s="732"/>
      <c r="AWY9" s="732"/>
      <c r="AWZ9" s="732"/>
      <c r="AXA9" s="732"/>
      <c r="AXB9" s="732"/>
      <c r="AXC9" s="732"/>
      <c r="AXD9" s="732"/>
      <c r="AXE9" s="732"/>
      <c r="AXF9" s="732"/>
      <c r="AXG9" s="732"/>
      <c r="AXH9" s="732"/>
      <c r="AXI9" s="732"/>
      <c r="AXJ9" s="732"/>
      <c r="AXK9" s="732"/>
      <c r="AXL9" s="732"/>
      <c r="AXM9" s="732"/>
      <c r="AXN9" s="732"/>
      <c r="AXO9" s="732"/>
      <c r="AXP9" s="732"/>
      <c r="AXQ9" s="732"/>
      <c r="AXR9" s="732"/>
      <c r="AXS9" s="732"/>
      <c r="AXT9" s="732"/>
      <c r="AXU9" s="732"/>
      <c r="AXV9" s="732"/>
      <c r="AXW9" s="732"/>
      <c r="AXX9" s="732"/>
      <c r="AXY9" s="732"/>
      <c r="AXZ9" s="732"/>
      <c r="AYA9" s="732"/>
      <c r="AYB9" s="732"/>
      <c r="AYC9" s="732"/>
      <c r="AYD9" s="732"/>
      <c r="AYE9" s="732"/>
      <c r="AYF9" s="732"/>
      <c r="AYG9" s="732"/>
      <c r="AYH9" s="732"/>
      <c r="AYI9" s="732"/>
      <c r="AYJ9" s="732"/>
      <c r="AYK9" s="732"/>
      <c r="AYL9" s="732"/>
      <c r="AYM9" s="732"/>
      <c r="AYN9" s="732"/>
      <c r="AYO9" s="732"/>
      <c r="AYP9" s="732"/>
      <c r="AYQ9" s="732"/>
      <c r="AYR9" s="732"/>
      <c r="AYS9" s="732"/>
      <c r="AYT9" s="732"/>
      <c r="AYU9" s="732"/>
      <c r="AYV9" s="732"/>
      <c r="AYW9" s="732"/>
      <c r="AYX9" s="732"/>
      <c r="AYY9" s="732"/>
      <c r="AYZ9" s="732"/>
      <c r="AZA9" s="732"/>
      <c r="AZB9" s="732"/>
      <c r="AZC9" s="732"/>
      <c r="AZD9" s="732"/>
      <c r="AZE9" s="732"/>
      <c r="AZF9" s="732"/>
      <c r="AZG9" s="732"/>
      <c r="AZH9" s="732"/>
      <c r="AZI9" s="732"/>
      <c r="AZJ9" s="732"/>
      <c r="AZK9" s="732"/>
      <c r="AZL9" s="732"/>
      <c r="AZM9" s="732"/>
      <c r="AZN9" s="732"/>
      <c r="AZO9" s="732"/>
      <c r="AZP9" s="732"/>
      <c r="AZQ9" s="732"/>
      <c r="AZR9" s="732"/>
      <c r="AZS9" s="732"/>
      <c r="AZT9" s="732"/>
      <c r="AZU9" s="732"/>
      <c r="AZV9" s="732"/>
      <c r="AZW9" s="732"/>
      <c r="AZX9" s="732"/>
      <c r="AZY9" s="732"/>
      <c r="AZZ9" s="732"/>
      <c r="BAA9" s="732"/>
      <c r="BAB9" s="732"/>
      <c r="BAC9" s="732"/>
      <c r="BAD9" s="732"/>
      <c r="BAE9" s="732"/>
      <c r="BAF9" s="732"/>
      <c r="BAG9" s="732"/>
      <c r="BAH9" s="732"/>
      <c r="BAI9" s="732"/>
      <c r="BAJ9" s="732"/>
      <c r="BAK9" s="732"/>
      <c r="BAL9" s="732"/>
      <c r="BAM9" s="732"/>
      <c r="BAN9" s="732"/>
      <c r="BAO9" s="732"/>
      <c r="BAP9" s="732"/>
      <c r="BAQ9" s="732"/>
      <c r="BAR9" s="732"/>
      <c r="BAS9" s="732"/>
      <c r="BAT9" s="732"/>
      <c r="BAU9" s="732"/>
      <c r="BAV9" s="732"/>
      <c r="BAW9" s="732"/>
      <c r="BAX9" s="732"/>
      <c r="BAY9" s="732"/>
      <c r="BAZ9" s="732"/>
      <c r="BBA9" s="732"/>
      <c r="BBB9" s="732"/>
      <c r="BBC9" s="732"/>
      <c r="BBD9" s="732"/>
      <c r="BBE9" s="732"/>
      <c r="BBF9" s="732"/>
      <c r="BBG9" s="732"/>
      <c r="BBH9" s="732"/>
      <c r="BBI9" s="732"/>
      <c r="BBJ9" s="732"/>
      <c r="BBK9" s="732"/>
      <c r="BBL9" s="732"/>
      <c r="BBM9" s="732"/>
      <c r="BBN9" s="732"/>
      <c r="BBO9" s="732"/>
      <c r="BBP9" s="732"/>
      <c r="BBQ9" s="732"/>
      <c r="BBR9" s="732"/>
      <c r="BBS9" s="732"/>
      <c r="BBT9" s="732"/>
      <c r="BBU9" s="732"/>
      <c r="BBV9" s="732"/>
      <c r="BBW9" s="732"/>
      <c r="BBX9" s="732"/>
      <c r="BBY9" s="732"/>
      <c r="BBZ9" s="732"/>
      <c r="BCA9" s="732"/>
      <c r="BCB9" s="732"/>
      <c r="BCC9" s="732"/>
      <c r="BCD9" s="732"/>
      <c r="BCE9" s="732"/>
      <c r="BCF9" s="732"/>
      <c r="BCG9" s="732"/>
      <c r="BCH9" s="732"/>
      <c r="BCI9" s="732"/>
      <c r="BCJ9" s="732"/>
      <c r="BCK9" s="732"/>
      <c r="BCL9" s="732"/>
      <c r="BCM9" s="732"/>
      <c r="BCN9" s="732"/>
      <c r="BCO9" s="732"/>
      <c r="BCP9" s="732"/>
      <c r="BCQ9" s="732"/>
      <c r="BCR9" s="732"/>
      <c r="BCS9" s="732"/>
      <c r="BCT9" s="732"/>
      <c r="BCU9" s="732"/>
      <c r="BCV9" s="732"/>
      <c r="BCW9" s="732"/>
      <c r="BCX9" s="732"/>
      <c r="BCY9" s="732"/>
      <c r="BCZ9" s="732"/>
      <c r="BDA9" s="732"/>
      <c r="BDB9" s="732"/>
      <c r="BDC9" s="732"/>
      <c r="BDD9" s="732"/>
      <c r="BDE9" s="732"/>
      <c r="BDF9" s="732"/>
      <c r="BDG9" s="732"/>
      <c r="BDH9" s="732"/>
      <c r="BDI9" s="732"/>
      <c r="BDJ9" s="732"/>
      <c r="BDK9" s="732"/>
      <c r="BDL9" s="732"/>
      <c r="BDM9" s="732"/>
      <c r="BDN9" s="732"/>
      <c r="BDO9" s="732"/>
      <c r="BDP9" s="732"/>
      <c r="BDQ9" s="732"/>
      <c r="BDR9" s="732"/>
      <c r="BDS9" s="732"/>
      <c r="BDT9" s="732"/>
      <c r="BDU9" s="732"/>
      <c r="BDV9" s="732"/>
      <c r="BDW9" s="732"/>
      <c r="BDX9" s="732"/>
      <c r="BDY9" s="732"/>
      <c r="BDZ9" s="732"/>
      <c r="BEA9" s="732"/>
      <c r="BEB9" s="732"/>
      <c r="BEC9" s="732"/>
      <c r="BED9" s="732"/>
      <c r="BEE9" s="732"/>
      <c r="BEF9" s="732"/>
      <c r="BEG9" s="732"/>
      <c r="BEH9" s="732"/>
      <c r="BEI9" s="732"/>
      <c r="BEJ9" s="732"/>
      <c r="BEK9" s="732"/>
      <c r="BEL9" s="732"/>
      <c r="BEM9" s="732"/>
      <c r="BEN9" s="732"/>
      <c r="BEO9" s="732"/>
      <c r="BEP9" s="732"/>
      <c r="BEQ9" s="732"/>
      <c r="BER9" s="732"/>
      <c r="BES9" s="732"/>
      <c r="BET9" s="732"/>
      <c r="BEU9" s="732"/>
      <c r="BEV9" s="732"/>
      <c r="BEW9" s="732"/>
      <c r="BEX9" s="732"/>
      <c r="BEY9" s="732"/>
      <c r="BEZ9" s="732"/>
      <c r="BFA9" s="732"/>
      <c r="BFB9" s="732"/>
      <c r="BFC9" s="732"/>
      <c r="BFD9" s="732"/>
      <c r="BFE9" s="732"/>
      <c r="BFF9" s="732"/>
      <c r="BFG9" s="732"/>
      <c r="BFH9" s="732"/>
      <c r="BFI9" s="732"/>
      <c r="BFJ9" s="732"/>
      <c r="BFK9" s="732"/>
      <c r="BFL9" s="732"/>
      <c r="BFM9" s="732"/>
      <c r="BFN9" s="732"/>
      <c r="BFO9" s="732"/>
      <c r="BFP9" s="732"/>
      <c r="BFQ9" s="732"/>
      <c r="BFR9" s="732"/>
      <c r="BFS9" s="732"/>
      <c r="BFT9" s="732"/>
      <c r="BFU9" s="732"/>
      <c r="BFV9" s="732"/>
      <c r="BFW9" s="732"/>
      <c r="BFX9" s="732"/>
      <c r="BFY9" s="732"/>
      <c r="BFZ9" s="732"/>
      <c r="BGA9" s="732"/>
      <c r="BGB9" s="732"/>
      <c r="BGC9" s="732"/>
      <c r="BGD9" s="732"/>
      <c r="BGE9" s="732"/>
      <c r="BGF9" s="732"/>
      <c r="BGG9" s="732"/>
      <c r="BGH9" s="732"/>
      <c r="BGI9" s="732"/>
      <c r="BGJ9" s="732"/>
      <c r="BGK9" s="732"/>
      <c r="BGL9" s="732"/>
      <c r="BGM9" s="732"/>
      <c r="BGN9" s="732"/>
      <c r="BGO9" s="732"/>
      <c r="BGP9" s="732"/>
      <c r="BGQ9" s="732"/>
      <c r="BGR9" s="732"/>
      <c r="BGS9" s="732"/>
      <c r="BGT9" s="732"/>
      <c r="BGU9" s="732"/>
      <c r="BGV9" s="732"/>
      <c r="BGW9" s="732"/>
      <c r="BGX9" s="732"/>
      <c r="BGY9" s="732"/>
      <c r="BGZ9" s="732"/>
      <c r="BHA9" s="732"/>
      <c r="BHB9" s="732"/>
      <c r="BHC9" s="732"/>
      <c r="BHD9" s="732"/>
      <c r="BHE9" s="732"/>
      <c r="BHF9" s="732"/>
      <c r="BHG9" s="732"/>
      <c r="BHH9" s="732"/>
      <c r="BHI9" s="732"/>
      <c r="BHJ9" s="732"/>
      <c r="BHK9" s="732"/>
      <c r="BHL9" s="732"/>
      <c r="BHM9" s="732"/>
      <c r="BHN9" s="732"/>
      <c r="BHO9" s="732"/>
      <c r="BHP9" s="732"/>
      <c r="BHQ9" s="732"/>
      <c r="BHR9" s="732"/>
      <c r="BHS9" s="732"/>
      <c r="BHT9" s="732"/>
      <c r="BHU9" s="732"/>
      <c r="BHV9" s="732"/>
      <c r="BHW9" s="732"/>
      <c r="BHX9" s="732"/>
      <c r="BHY9" s="732"/>
      <c r="BHZ9" s="732"/>
      <c r="BIA9" s="732"/>
      <c r="BIB9" s="732"/>
      <c r="BIC9" s="732"/>
      <c r="BID9" s="732"/>
      <c r="BIE9" s="732"/>
      <c r="BIF9" s="732"/>
      <c r="BIG9" s="732"/>
      <c r="BIH9" s="732"/>
      <c r="BII9" s="732"/>
      <c r="BIJ9" s="732"/>
      <c r="BIK9" s="732"/>
      <c r="BIL9" s="732"/>
      <c r="BIM9" s="732"/>
      <c r="BIN9" s="732"/>
      <c r="BIO9" s="732"/>
      <c r="BIP9" s="732"/>
      <c r="BIQ9" s="732"/>
      <c r="BIR9" s="732"/>
      <c r="BIS9" s="732"/>
      <c r="BIT9" s="732"/>
      <c r="BIU9" s="732"/>
      <c r="BIV9" s="732"/>
      <c r="BIW9" s="732"/>
      <c r="BIX9" s="732"/>
      <c r="BIY9" s="732"/>
      <c r="BIZ9" s="732"/>
      <c r="BJA9" s="732"/>
      <c r="BJB9" s="732"/>
      <c r="BJC9" s="732"/>
      <c r="BJD9" s="732"/>
      <c r="BJE9" s="732"/>
      <c r="BJF9" s="732"/>
      <c r="BJG9" s="732"/>
      <c r="BJH9" s="732"/>
      <c r="BJI9" s="732"/>
      <c r="BJJ9" s="732"/>
      <c r="BJK9" s="732"/>
      <c r="BJL9" s="732"/>
      <c r="BJM9" s="732"/>
      <c r="BJN9" s="732"/>
      <c r="BJO9" s="732"/>
      <c r="BJP9" s="732"/>
      <c r="BJQ9" s="732"/>
      <c r="BJR9" s="732"/>
      <c r="BJS9" s="732"/>
      <c r="BJT9" s="732"/>
      <c r="BJU9" s="732"/>
      <c r="BJV9" s="732"/>
      <c r="BJW9" s="732"/>
      <c r="BJX9" s="732"/>
      <c r="BJY9" s="732"/>
      <c r="BJZ9" s="732"/>
      <c r="BKA9" s="732"/>
      <c r="BKB9" s="732"/>
      <c r="BKC9" s="732"/>
      <c r="BKD9" s="732"/>
      <c r="BKE9" s="732"/>
      <c r="BKF9" s="732"/>
      <c r="BKG9" s="732"/>
      <c r="BKH9" s="732"/>
      <c r="BKI9" s="732"/>
      <c r="BKJ9" s="732"/>
      <c r="BKK9" s="732"/>
      <c r="BKL9" s="732"/>
      <c r="BKM9" s="732"/>
      <c r="BKN9" s="732"/>
      <c r="BKO9" s="732"/>
      <c r="BKP9" s="732"/>
      <c r="BKQ9" s="732"/>
      <c r="BKR9" s="732"/>
      <c r="BKS9" s="732"/>
      <c r="BKT9" s="732"/>
      <c r="BKU9" s="732"/>
      <c r="BKV9" s="732"/>
      <c r="BKW9" s="732"/>
      <c r="BKX9" s="732"/>
      <c r="BKY9" s="732"/>
      <c r="BKZ9" s="732"/>
      <c r="BLA9" s="732"/>
      <c r="BLB9" s="732"/>
      <c r="BLC9" s="732"/>
      <c r="BLD9" s="732"/>
      <c r="BLE9" s="732"/>
      <c r="BLF9" s="732"/>
      <c r="BLG9" s="732"/>
      <c r="BLH9" s="732"/>
      <c r="BLI9" s="732"/>
      <c r="BLJ9" s="732"/>
      <c r="BLK9" s="732"/>
      <c r="BLL9" s="732"/>
      <c r="BLM9" s="732"/>
      <c r="BLN9" s="732"/>
      <c r="BLO9" s="732"/>
      <c r="BLP9" s="732"/>
      <c r="BLQ9" s="732"/>
      <c r="BLR9" s="732"/>
      <c r="BLS9" s="732"/>
      <c r="BLT9" s="732"/>
      <c r="BLU9" s="732"/>
      <c r="BLV9" s="732"/>
      <c r="BLW9" s="732"/>
      <c r="BLX9" s="732"/>
      <c r="BLY9" s="732"/>
      <c r="BLZ9" s="732"/>
      <c r="BMA9" s="732"/>
      <c r="BMB9" s="732"/>
      <c r="BMC9" s="732"/>
      <c r="BMD9" s="732"/>
      <c r="BME9" s="732"/>
      <c r="BMF9" s="732"/>
      <c r="BMG9" s="732"/>
      <c r="BMH9" s="732"/>
      <c r="BMI9" s="732"/>
      <c r="BMJ9" s="732"/>
      <c r="BMK9" s="732"/>
      <c r="BML9" s="732"/>
      <c r="BMM9" s="732"/>
      <c r="BMN9" s="732"/>
      <c r="BMO9" s="732"/>
      <c r="BMP9" s="732"/>
      <c r="BMQ9" s="732"/>
      <c r="BMR9" s="732"/>
      <c r="BMS9" s="732"/>
      <c r="BMT9" s="732"/>
      <c r="BMU9" s="732"/>
      <c r="BMV9" s="732"/>
      <c r="BMW9" s="732"/>
      <c r="BMX9" s="732"/>
      <c r="BMY9" s="732"/>
      <c r="BMZ9" s="732"/>
      <c r="BNA9" s="732"/>
      <c r="BNB9" s="732"/>
      <c r="BNC9" s="732"/>
      <c r="BND9" s="732"/>
      <c r="BNE9" s="732"/>
      <c r="BNF9" s="732"/>
      <c r="BNG9" s="732"/>
      <c r="BNH9" s="732"/>
      <c r="BNI9" s="732"/>
      <c r="BNJ9" s="732"/>
      <c r="BNK9" s="732"/>
      <c r="BNL9" s="732"/>
      <c r="BNM9" s="732"/>
      <c r="BNN9" s="732"/>
      <c r="BNO9" s="732"/>
      <c r="BNP9" s="732"/>
      <c r="BNQ9" s="732"/>
      <c r="BNR9" s="732"/>
      <c r="BNS9" s="732"/>
      <c r="BNT9" s="732"/>
      <c r="BNU9" s="732"/>
      <c r="BNV9" s="732"/>
      <c r="BNW9" s="732"/>
      <c r="BNX9" s="732"/>
      <c r="BNY9" s="732"/>
      <c r="BNZ9" s="732"/>
      <c r="BOA9" s="732"/>
      <c r="BOB9" s="732"/>
      <c r="BOC9" s="732"/>
      <c r="BOD9" s="732"/>
      <c r="BOE9" s="732"/>
      <c r="BOF9" s="732"/>
      <c r="BOG9" s="732"/>
      <c r="BOH9" s="732"/>
      <c r="BOI9" s="732"/>
      <c r="BOJ9" s="732"/>
      <c r="BOK9" s="732"/>
      <c r="BOL9" s="732"/>
      <c r="BOM9" s="732"/>
      <c r="BON9" s="732"/>
      <c r="BOO9" s="732"/>
      <c r="BOP9" s="732"/>
      <c r="BOQ9" s="732"/>
      <c r="BOR9" s="732"/>
      <c r="BOS9" s="732"/>
      <c r="BOT9" s="732"/>
      <c r="BOU9" s="732"/>
      <c r="BOV9" s="732"/>
      <c r="BOW9" s="732"/>
      <c r="BOX9" s="732"/>
      <c r="BOY9" s="732"/>
      <c r="BOZ9" s="732"/>
      <c r="BPA9" s="732"/>
      <c r="BPB9" s="732"/>
      <c r="BPC9" s="732"/>
      <c r="BPD9" s="732"/>
      <c r="BPE9" s="732"/>
      <c r="BPF9" s="732"/>
      <c r="BPG9" s="732"/>
      <c r="BPH9" s="732"/>
      <c r="BPI9" s="732"/>
      <c r="BPJ9" s="732"/>
      <c r="BPK9" s="732"/>
      <c r="BPL9" s="732"/>
      <c r="BPM9" s="732"/>
      <c r="BPN9" s="732"/>
      <c r="BPO9" s="732"/>
      <c r="BPP9" s="732"/>
      <c r="BPQ9" s="732"/>
      <c r="BPR9" s="732"/>
      <c r="BPS9" s="732"/>
      <c r="BPT9" s="732"/>
      <c r="BPU9" s="732"/>
      <c r="BPV9" s="732"/>
      <c r="BPW9" s="732"/>
      <c r="BPX9" s="732"/>
      <c r="BPY9" s="732"/>
      <c r="BPZ9" s="732"/>
      <c r="BQA9" s="732"/>
      <c r="BQB9" s="732"/>
      <c r="BQC9" s="732"/>
      <c r="BQD9" s="732"/>
      <c r="BQE9" s="732"/>
      <c r="BQF9" s="732"/>
      <c r="BQG9" s="732"/>
      <c r="BQH9" s="732"/>
      <c r="BQI9" s="732"/>
      <c r="BQJ9" s="732"/>
      <c r="BQK9" s="732"/>
      <c r="BQL9" s="732"/>
      <c r="BQM9" s="732"/>
      <c r="BQN9" s="732"/>
      <c r="BQO9" s="732"/>
      <c r="BQP9" s="732"/>
      <c r="BQQ9" s="732"/>
      <c r="BQR9" s="732"/>
      <c r="BQS9" s="732"/>
      <c r="BQT9" s="732"/>
      <c r="BQU9" s="732"/>
      <c r="BQV9" s="732"/>
      <c r="BQW9" s="732"/>
      <c r="BQX9" s="732"/>
      <c r="BQY9" s="732"/>
      <c r="BQZ9" s="732"/>
      <c r="BRA9" s="732"/>
      <c r="BRB9" s="732"/>
      <c r="BRC9" s="732"/>
      <c r="BRD9" s="732"/>
      <c r="BRE9" s="732"/>
      <c r="BRF9" s="732"/>
      <c r="BRG9" s="732"/>
      <c r="BRH9" s="732"/>
      <c r="BRI9" s="732"/>
      <c r="BRJ9" s="732"/>
      <c r="BRK9" s="732"/>
      <c r="BRL9" s="732"/>
      <c r="BRM9" s="732"/>
      <c r="BRN9" s="732"/>
      <c r="BRO9" s="732"/>
      <c r="BRP9" s="732"/>
      <c r="BRQ9" s="732"/>
      <c r="BRR9" s="732"/>
      <c r="BRS9" s="732"/>
      <c r="BRT9" s="732"/>
      <c r="BRU9" s="732"/>
      <c r="BRV9" s="732"/>
      <c r="BRW9" s="732"/>
      <c r="BRX9" s="732"/>
      <c r="BRY9" s="732"/>
      <c r="BRZ9" s="732"/>
      <c r="BSA9" s="732"/>
      <c r="BSB9" s="732"/>
      <c r="BSC9" s="732"/>
      <c r="BSD9" s="732"/>
      <c r="BSE9" s="732"/>
      <c r="BSF9" s="732"/>
      <c r="BSG9" s="732"/>
      <c r="BSH9" s="732"/>
      <c r="BSI9" s="732"/>
      <c r="BSJ9" s="732"/>
      <c r="BSK9" s="732"/>
      <c r="BSL9" s="732"/>
      <c r="BSM9" s="732"/>
      <c r="BSN9" s="732"/>
      <c r="BSO9" s="732"/>
      <c r="BSP9" s="732"/>
      <c r="BSQ9" s="732"/>
      <c r="BSR9" s="732"/>
      <c r="BSS9" s="732"/>
      <c r="BST9" s="732"/>
      <c r="BSU9" s="732"/>
      <c r="BSV9" s="732"/>
      <c r="BSW9" s="732"/>
      <c r="BSX9" s="732"/>
      <c r="BSY9" s="732"/>
      <c r="BSZ9" s="732"/>
      <c r="BTA9" s="732"/>
      <c r="BTB9" s="732"/>
      <c r="BTC9" s="732"/>
      <c r="BTD9" s="732"/>
      <c r="BTE9" s="732"/>
      <c r="BTF9" s="732"/>
      <c r="BTG9" s="732"/>
      <c r="BTH9" s="732"/>
      <c r="BTI9" s="732"/>
      <c r="BTJ9" s="732"/>
      <c r="BTK9" s="732"/>
      <c r="BTL9" s="732"/>
      <c r="BTM9" s="732"/>
      <c r="BTN9" s="732"/>
      <c r="BTO9" s="732"/>
      <c r="BTP9" s="732"/>
      <c r="BTQ9" s="732"/>
      <c r="BTR9" s="732"/>
      <c r="BTS9" s="732"/>
      <c r="BTT9" s="732"/>
      <c r="BTU9" s="732"/>
      <c r="BTV9" s="732"/>
      <c r="BTW9" s="732"/>
      <c r="BTX9" s="732"/>
      <c r="BTY9" s="732"/>
      <c r="BTZ9" s="732"/>
      <c r="BUA9" s="732"/>
      <c r="BUB9" s="732"/>
      <c r="BUC9" s="732"/>
      <c r="BUD9" s="732"/>
      <c r="BUE9" s="732"/>
      <c r="BUF9" s="732"/>
      <c r="BUG9" s="732"/>
      <c r="BUH9" s="732"/>
      <c r="BUI9" s="732"/>
      <c r="BUJ9" s="732"/>
      <c r="BUK9" s="732"/>
      <c r="BUL9" s="732"/>
      <c r="BUM9" s="732"/>
      <c r="BUN9" s="732"/>
      <c r="BUO9" s="732"/>
      <c r="BUP9" s="732"/>
      <c r="BUQ9" s="732"/>
      <c r="BUR9" s="732"/>
      <c r="BUS9" s="732"/>
      <c r="BUT9" s="732"/>
      <c r="BUU9" s="732"/>
      <c r="BUV9" s="732"/>
      <c r="BUW9" s="732"/>
      <c r="BUX9" s="732"/>
      <c r="BUY9" s="732"/>
      <c r="BUZ9" s="732"/>
      <c r="BVA9" s="732"/>
      <c r="BVB9" s="732"/>
      <c r="BVC9" s="732"/>
      <c r="BVD9" s="732"/>
      <c r="BVE9" s="732"/>
      <c r="BVF9" s="732"/>
      <c r="BVG9" s="732"/>
      <c r="BVH9" s="732"/>
      <c r="BVI9" s="732"/>
      <c r="BVJ9" s="732"/>
      <c r="BVK9" s="732"/>
      <c r="BVL9" s="732"/>
      <c r="BVM9" s="732"/>
      <c r="BVN9" s="732"/>
      <c r="BVO9" s="732"/>
      <c r="BVP9" s="732"/>
      <c r="BVQ9" s="732"/>
      <c r="BVR9" s="732"/>
      <c r="BVS9" s="732"/>
      <c r="BVT9" s="732"/>
      <c r="BVU9" s="732"/>
      <c r="BVV9" s="732"/>
      <c r="BVW9" s="732"/>
      <c r="BVX9" s="732"/>
      <c r="BVY9" s="732"/>
      <c r="BVZ9" s="732"/>
      <c r="BWA9" s="732"/>
      <c r="BWB9" s="732"/>
      <c r="BWC9" s="732"/>
      <c r="BWD9" s="732"/>
      <c r="BWE9" s="732"/>
      <c r="BWF9" s="732"/>
      <c r="BWG9" s="732"/>
      <c r="BWH9" s="732"/>
      <c r="BWI9" s="732"/>
      <c r="BWJ9" s="732"/>
      <c r="BWK9" s="732"/>
      <c r="BWL9" s="732"/>
      <c r="BWM9" s="732"/>
      <c r="BWN9" s="732"/>
      <c r="BWO9" s="732"/>
      <c r="BWP9" s="732"/>
      <c r="BWQ9" s="732"/>
      <c r="BWR9" s="732"/>
      <c r="BWS9" s="732"/>
      <c r="BWT9" s="732"/>
      <c r="BWU9" s="732"/>
      <c r="BWV9" s="732"/>
      <c r="BWW9" s="732"/>
      <c r="BWX9" s="732"/>
      <c r="BWY9" s="732"/>
      <c r="BWZ9" s="732"/>
      <c r="BXA9" s="732"/>
      <c r="BXB9" s="732"/>
      <c r="BXC9" s="732"/>
      <c r="BXD9" s="732"/>
      <c r="BXE9" s="732"/>
      <c r="BXF9" s="732"/>
      <c r="BXG9" s="732"/>
      <c r="BXH9" s="732"/>
      <c r="BXI9" s="732"/>
      <c r="BXJ9" s="732"/>
      <c r="BXK9" s="732"/>
      <c r="BXL9" s="732"/>
      <c r="BXM9" s="732"/>
      <c r="BXN9" s="732"/>
      <c r="BXO9" s="732"/>
      <c r="BXP9" s="732"/>
      <c r="BXQ9" s="732"/>
      <c r="BXR9" s="732"/>
      <c r="BXS9" s="732"/>
      <c r="BXT9" s="732"/>
      <c r="BXU9" s="732"/>
      <c r="BXV9" s="732"/>
      <c r="BXW9" s="732"/>
      <c r="BXX9" s="732"/>
      <c r="BXY9" s="732"/>
      <c r="BXZ9" s="732"/>
    </row>
    <row r="10" spans="1:2002" ht="15">
      <c r="A10" s="717"/>
      <c r="B10" s="706"/>
      <c r="C10" s="730" t="s">
        <v>30</v>
      </c>
      <c r="D10" s="722">
        <f>IS!Q22</f>
        <v>356000</v>
      </c>
      <c r="E10" s="722">
        <f>IS!P22</f>
        <v>465000</v>
      </c>
      <c r="F10" s="722">
        <f>IS!O22</f>
        <v>421000</v>
      </c>
      <c r="G10" s="722">
        <f>IS!N22</f>
        <v>410000</v>
      </c>
      <c r="H10" s="722">
        <f>IS!M22</f>
        <v>428000</v>
      </c>
      <c r="I10" s="722">
        <f>I5*$E$68</f>
        <v>509712.5</v>
      </c>
      <c r="J10" s="722">
        <f t="shared" ref="J10:L10" si="7">J5*$E$68</f>
        <v>606557.875</v>
      </c>
      <c r="K10" s="722">
        <f t="shared" si="7"/>
        <v>709672.71375</v>
      </c>
      <c r="L10" s="722">
        <f t="shared" si="7"/>
        <v>816123.6208124999</v>
      </c>
      <c r="M10" s="722">
        <f>M5*$F$68</f>
        <v>774664.54087522475</v>
      </c>
      <c r="N10" s="722">
        <f t="shared" ref="N10:Q10" si="8">N5*$F$68</f>
        <v>852130.99496274733</v>
      </c>
      <c r="O10" s="722">
        <f t="shared" si="8"/>
        <v>928822.78450939478</v>
      </c>
      <c r="P10" s="722">
        <f t="shared" si="8"/>
        <v>1012416.8351152404</v>
      </c>
      <c r="Q10" s="722">
        <f t="shared" si="8"/>
        <v>1093410.1819244598</v>
      </c>
      <c r="R10" s="722">
        <f>R5*G68</f>
        <v>1002813.3382792902</v>
      </c>
      <c r="S10" s="712"/>
      <c r="T10" s="700"/>
      <c r="U10" s="700"/>
      <c r="V10" s="700"/>
      <c r="W10" s="700"/>
      <c r="X10" s="700"/>
      <c r="Y10" s="700"/>
      <c r="Z10" s="700"/>
      <c r="AA10" s="700"/>
      <c r="AB10" s="700"/>
      <c r="AC10" s="700"/>
      <c r="AD10" s="700"/>
      <c r="AE10" s="700"/>
      <c r="AF10" s="700"/>
      <c r="AG10" s="700"/>
      <c r="AH10" s="700"/>
      <c r="AI10" s="700"/>
      <c r="AJ10" s="700"/>
      <c r="AK10" s="700"/>
      <c r="AL10" s="700"/>
      <c r="AM10" s="700"/>
      <c r="AN10" s="700"/>
      <c r="AO10" s="700"/>
      <c r="AP10" s="700"/>
      <c r="AQ10" s="700"/>
      <c r="AR10" s="700"/>
      <c r="AS10" s="700"/>
      <c r="AT10" s="700"/>
      <c r="AU10" s="700"/>
      <c r="AV10" s="700"/>
      <c r="AW10" s="700"/>
      <c r="AX10" s="700"/>
      <c r="AY10" s="700"/>
      <c r="AZ10" s="700"/>
      <c r="BA10" s="700"/>
      <c r="BB10" s="700"/>
      <c r="BC10" s="700"/>
      <c r="BD10" s="700"/>
      <c r="BE10" s="700"/>
      <c r="BF10" s="700"/>
      <c r="BG10" s="700"/>
      <c r="BH10" s="700"/>
      <c r="BI10" s="700"/>
      <c r="BJ10" s="700"/>
      <c r="BK10" s="700"/>
      <c r="BL10" s="700"/>
      <c r="BM10" s="700"/>
      <c r="BN10" s="700"/>
      <c r="BO10" s="700"/>
      <c r="BP10" s="700"/>
      <c r="BQ10" s="700"/>
      <c r="BR10" s="700"/>
      <c r="BS10" s="700"/>
      <c r="BT10" s="700"/>
      <c r="BU10" s="700"/>
      <c r="BV10" s="700"/>
      <c r="BW10" s="700"/>
      <c r="BX10" s="700"/>
      <c r="BY10" s="700"/>
      <c r="BZ10" s="700"/>
      <c r="CA10" s="700"/>
      <c r="CB10" s="700"/>
      <c r="CC10" s="700"/>
      <c r="CD10" s="700"/>
      <c r="CE10" s="700"/>
      <c r="CF10" s="700"/>
      <c r="CG10" s="700"/>
      <c r="CH10" s="700"/>
      <c r="CI10" s="700"/>
      <c r="CJ10" s="700"/>
      <c r="CK10" s="700"/>
      <c r="CL10" s="700"/>
      <c r="CM10" s="700"/>
      <c r="CN10" s="700"/>
      <c r="CO10" s="700"/>
      <c r="CP10" s="700"/>
      <c r="CQ10" s="700"/>
      <c r="CR10" s="700"/>
      <c r="CS10" s="700"/>
      <c r="CT10" s="700"/>
      <c r="CU10" s="700"/>
      <c r="CV10" s="700"/>
      <c r="CW10" s="700"/>
      <c r="CX10" s="700"/>
      <c r="CY10" s="700"/>
      <c r="CZ10" s="700"/>
      <c r="DA10" s="700"/>
      <c r="DB10" s="700"/>
      <c r="DC10" s="700"/>
      <c r="DD10" s="700"/>
      <c r="DE10" s="700"/>
      <c r="DF10" s="700"/>
      <c r="DG10" s="700"/>
      <c r="DH10" s="700"/>
      <c r="DI10" s="700"/>
      <c r="DJ10" s="700"/>
      <c r="DK10" s="700"/>
      <c r="DL10" s="700"/>
      <c r="DM10" s="700"/>
      <c r="DN10" s="700"/>
      <c r="DO10" s="700"/>
      <c r="DP10" s="700"/>
      <c r="DQ10" s="700"/>
      <c r="DR10" s="700"/>
      <c r="DS10" s="700"/>
      <c r="DT10" s="700"/>
      <c r="DU10" s="700"/>
      <c r="DV10" s="700"/>
      <c r="DW10" s="700"/>
      <c r="DX10" s="700"/>
      <c r="DY10" s="700"/>
      <c r="DZ10" s="700"/>
      <c r="EA10" s="700"/>
      <c r="EB10" s="700"/>
      <c r="EC10" s="700"/>
      <c r="ED10" s="700"/>
      <c r="EE10" s="700"/>
      <c r="EF10" s="700"/>
      <c r="EG10" s="700"/>
      <c r="EH10" s="700"/>
      <c r="EI10" s="700"/>
      <c r="EJ10" s="700"/>
      <c r="EK10" s="700"/>
      <c r="EL10" s="700"/>
      <c r="EM10" s="700"/>
      <c r="EN10" s="700"/>
      <c r="EO10" s="700"/>
      <c r="EP10" s="700"/>
      <c r="EQ10" s="700"/>
      <c r="ER10" s="700"/>
      <c r="ES10" s="700"/>
      <c r="ET10" s="700"/>
      <c r="EU10" s="700"/>
      <c r="EV10" s="700"/>
      <c r="EW10" s="700"/>
      <c r="EX10" s="700"/>
      <c r="EY10" s="700"/>
      <c r="EZ10" s="700"/>
      <c r="FA10" s="700"/>
      <c r="FB10" s="700"/>
      <c r="FC10" s="700"/>
      <c r="FD10" s="700"/>
      <c r="FE10" s="700"/>
      <c r="FF10" s="700"/>
      <c r="FG10" s="700"/>
      <c r="FH10" s="700"/>
      <c r="FI10" s="700"/>
      <c r="FJ10" s="700"/>
      <c r="FK10" s="700"/>
      <c r="FL10" s="700"/>
      <c r="FM10" s="700"/>
      <c r="FN10" s="700"/>
      <c r="FO10" s="700"/>
      <c r="FP10" s="700"/>
      <c r="FQ10" s="700"/>
      <c r="FR10" s="700"/>
      <c r="FS10" s="700"/>
      <c r="FT10" s="700"/>
      <c r="FU10" s="700"/>
      <c r="FV10" s="700"/>
      <c r="FW10" s="700"/>
      <c r="FX10" s="700"/>
      <c r="FY10" s="700"/>
      <c r="FZ10" s="700"/>
      <c r="GA10" s="700"/>
      <c r="GB10" s="700"/>
      <c r="GC10" s="700"/>
      <c r="GD10" s="700"/>
      <c r="GE10" s="700"/>
      <c r="GF10" s="700"/>
      <c r="GG10" s="700"/>
      <c r="GH10" s="700"/>
      <c r="GI10" s="700"/>
      <c r="GJ10" s="700"/>
      <c r="GK10" s="700"/>
      <c r="GL10" s="700"/>
      <c r="GM10" s="700"/>
      <c r="GN10" s="700"/>
      <c r="GO10" s="700"/>
      <c r="GP10" s="700"/>
      <c r="GQ10" s="700"/>
      <c r="GR10" s="700"/>
      <c r="GS10" s="700"/>
      <c r="GT10" s="700"/>
      <c r="GU10" s="700"/>
      <c r="GV10" s="700"/>
      <c r="GW10" s="700"/>
      <c r="GX10" s="700"/>
      <c r="GY10" s="700"/>
      <c r="GZ10" s="700"/>
      <c r="HA10" s="700"/>
      <c r="HB10" s="700"/>
      <c r="HC10" s="700"/>
      <c r="HD10" s="700"/>
      <c r="HE10" s="700"/>
      <c r="HF10" s="700"/>
      <c r="HG10" s="700"/>
      <c r="HH10" s="700"/>
      <c r="HI10" s="700"/>
      <c r="HJ10" s="700"/>
      <c r="HK10" s="700"/>
      <c r="HL10" s="700"/>
      <c r="HM10" s="700"/>
      <c r="HN10" s="700"/>
      <c r="HO10" s="700"/>
      <c r="HP10" s="700"/>
      <c r="HQ10" s="700"/>
      <c r="HR10" s="700"/>
      <c r="HS10" s="700"/>
      <c r="HT10" s="700"/>
      <c r="HU10" s="700"/>
      <c r="HV10" s="700"/>
      <c r="HW10" s="700"/>
      <c r="HX10" s="700"/>
      <c r="HY10" s="700"/>
      <c r="HZ10" s="700"/>
      <c r="IA10" s="700"/>
      <c r="IB10" s="700"/>
      <c r="IC10" s="700"/>
      <c r="ID10" s="700"/>
      <c r="IE10" s="700"/>
      <c r="IF10" s="700"/>
      <c r="IG10" s="700"/>
      <c r="IH10" s="700"/>
      <c r="II10" s="700"/>
      <c r="IJ10" s="700"/>
      <c r="IK10" s="700"/>
      <c r="IL10" s="700"/>
      <c r="IM10" s="700"/>
      <c r="IN10" s="700"/>
      <c r="IO10" s="700"/>
      <c r="IP10" s="700"/>
      <c r="IQ10" s="700"/>
      <c r="IR10" s="700"/>
      <c r="IS10" s="700"/>
      <c r="IT10" s="700"/>
      <c r="IU10" s="700"/>
      <c r="IV10" s="700"/>
      <c r="IW10" s="700"/>
      <c r="IX10" s="700"/>
      <c r="IY10" s="700"/>
      <c r="IZ10" s="700"/>
      <c r="JA10" s="700"/>
      <c r="JB10" s="700"/>
      <c r="JC10" s="700"/>
      <c r="JD10" s="700"/>
      <c r="JE10" s="700"/>
      <c r="JF10" s="700"/>
      <c r="JG10" s="700"/>
      <c r="JH10" s="700"/>
      <c r="JI10" s="700"/>
      <c r="JJ10" s="700"/>
      <c r="JK10" s="700"/>
      <c r="JL10" s="700"/>
      <c r="JM10" s="700"/>
      <c r="JN10" s="700"/>
      <c r="JO10" s="700"/>
      <c r="JP10" s="700"/>
      <c r="JQ10" s="700"/>
      <c r="JR10" s="700"/>
      <c r="JS10" s="700"/>
      <c r="JT10" s="700"/>
      <c r="JU10" s="700"/>
      <c r="JV10" s="700"/>
      <c r="JW10" s="700"/>
      <c r="JX10" s="700"/>
      <c r="JY10" s="700"/>
      <c r="JZ10" s="700"/>
      <c r="KA10" s="700"/>
      <c r="KB10" s="700"/>
      <c r="KC10" s="700"/>
      <c r="KD10" s="700"/>
      <c r="KE10" s="700"/>
      <c r="KF10" s="700"/>
      <c r="KG10" s="700"/>
      <c r="KH10" s="700"/>
      <c r="KI10" s="700"/>
      <c r="KJ10" s="700"/>
      <c r="KK10" s="700"/>
      <c r="KL10" s="700"/>
      <c r="KM10" s="700"/>
      <c r="KN10" s="700"/>
      <c r="KO10" s="700"/>
      <c r="KP10" s="700"/>
      <c r="KQ10" s="700"/>
      <c r="KR10" s="700"/>
      <c r="KS10" s="700"/>
      <c r="KT10" s="700"/>
      <c r="KU10" s="700"/>
      <c r="KV10" s="700"/>
      <c r="KW10" s="700"/>
      <c r="KX10" s="700"/>
      <c r="KY10" s="700"/>
      <c r="KZ10" s="700"/>
      <c r="LA10" s="700"/>
      <c r="LB10" s="700"/>
      <c r="LC10" s="700"/>
      <c r="LD10" s="700"/>
      <c r="LE10" s="700"/>
      <c r="LF10" s="700"/>
      <c r="LG10" s="700"/>
      <c r="LH10" s="700"/>
      <c r="LI10" s="700"/>
      <c r="LJ10" s="700"/>
      <c r="LK10" s="700"/>
      <c r="LL10" s="700"/>
      <c r="LM10" s="700"/>
      <c r="LN10" s="700"/>
      <c r="LO10" s="700"/>
      <c r="LP10" s="700"/>
      <c r="LQ10" s="700"/>
      <c r="LR10" s="700"/>
      <c r="LS10" s="700"/>
      <c r="LT10" s="700"/>
      <c r="LU10" s="700"/>
      <c r="LV10" s="700"/>
      <c r="LW10" s="700"/>
      <c r="LX10" s="700"/>
      <c r="LY10" s="700"/>
      <c r="LZ10" s="700"/>
      <c r="MA10" s="700"/>
      <c r="MB10" s="700"/>
      <c r="MC10" s="700"/>
      <c r="MD10" s="700"/>
      <c r="ME10" s="700"/>
      <c r="MF10" s="700"/>
      <c r="MG10" s="700"/>
      <c r="MH10" s="700"/>
      <c r="MI10" s="700"/>
      <c r="MJ10" s="700"/>
      <c r="MK10" s="700"/>
      <c r="ML10" s="700"/>
      <c r="MM10" s="700"/>
      <c r="MN10" s="700"/>
      <c r="MO10" s="700"/>
      <c r="MP10" s="700"/>
      <c r="MQ10" s="700"/>
      <c r="MR10" s="700"/>
      <c r="MS10" s="700"/>
      <c r="MT10" s="700"/>
      <c r="MU10" s="700"/>
      <c r="MV10" s="700"/>
      <c r="MW10" s="700"/>
      <c r="MX10" s="700"/>
      <c r="MY10" s="700"/>
      <c r="MZ10" s="700"/>
      <c r="NA10" s="700"/>
      <c r="NB10" s="700"/>
      <c r="NC10" s="700"/>
      <c r="ND10" s="700"/>
      <c r="NE10" s="700"/>
      <c r="NF10" s="700"/>
      <c r="NG10" s="700"/>
      <c r="NH10" s="700"/>
      <c r="NI10" s="700"/>
      <c r="NJ10" s="700"/>
      <c r="NK10" s="700"/>
      <c r="NL10" s="700"/>
      <c r="NM10" s="700"/>
      <c r="NN10" s="700"/>
      <c r="NO10" s="700"/>
      <c r="NP10" s="700"/>
      <c r="NQ10" s="700"/>
      <c r="NR10" s="700"/>
      <c r="NS10" s="700"/>
      <c r="NT10" s="700"/>
      <c r="NU10" s="700"/>
      <c r="NV10" s="700"/>
      <c r="NW10" s="700"/>
      <c r="NX10" s="700"/>
      <c r="NY10" s="700"/>
      <c r="NZ10" s="700"/>
      <c r="OA10" s="700"/>
      <c r="OB10" s="700"/>
      <c r="OC10" s="700"/>
      <c r="OD10" s="700"/>
      <c r="OE10" s="700"/>
      <c r="OF10" s="700"/>
      <c r="OG10" s="700"/>
      <c r="OH10" s="700"/>
      <c r="OI10" s="700"/>
      <c r="OJ10" s="700"/>
      <c r="OK10" s="700"/>
      <c r="OL10" s="700"/>
      <c r="OM10" s="700"/>
      <c r="ON10" s="700"/>
      <c r="OO10" s="700"/>
      <c r="OP10" s="700"/>
      <c r="OQ10" s="700"/>
      <c r="OR10" s="700"/>
      <c r="OS10" s="700"/>
      <c r="OT10" s="700"/>
      <c r="OU10" s="700"/>
      <c r="OV10" s="700"/>
      <c r="OW10" s="700"/>
      <c r="OX10" s="700"/>
      <c r="OY10" s="700"/>
      <c r="OZ10" s="700"/>
      <c r="PA10" s="700"/>
      <c r="PB10" s="700"/>
      <c r="PC10" s="700"/>
      <c r="PD10" s="700"/>
      <c r="PE10" s="700"/>
      <c r="PF10" s="700"/>
      <c r="PG10" s="700"/>
      <c r="PH10" s="700"/>
      <c r="PI10" s="700"/>
      <c r="PJ10" s="700"/>
      <c r="PK10" s="700"/>
      <c r="PL10" s="700"/>
      <c r="PM10" s="700"/>
      <c r="PN10" s="700"/>
      <c r="PO10" s="700"/>
      <c r="PP10" s="700"/>
      <c r="PQ10" s="700"/>
      <c r="PR10" s="700"/>
      <c r="PS10" s="700"/>
      <c r="PT10" s="700"/>
      <c r="PU10" s="700"/>
      <c r="PV10" s="700"/>
      <c r="PW10" s="700"/>
      <c r="PX10" s="700"/>
      <c r="PY10" s="700"/>
      <c r="PZ10" s="700"/>
      <c r="QA10" s="700"/>
      <c r="QB10" s="700"/>
      <c r="QC10" s="700"/>
      <c r="QD10" s="700"/>
      <c r="QE10" s="700"/>
      <c r="QF10" s="700"/>
      <c r="QG10" s="700"/>
      <c r="QH10" s="700"/>
      <c r="QI10" s="700"/>
      <c r="QJ10" s="700"/>
      <c r="QK10" s="700"/>
      <c r="QL10" s="700"/>
      <c r="QM10" s="700"/>
      <c r="QN10" s="700"/>
      <c r="QO10" s="700"/>
      <c r="QP10" s="700"/>
      <c r="QQ10" s="700"/>
      <c r="QR10" s="700"/>
      <c r="QS10" s="700"/>
      <c r="QT10" s="700"/>
      <c r="QU10" s="700"/>
      <c r="QV10" s="700"/>
      <c r="QW10" s="700"/>
      <c r="QX10" s="700"/>
      <c r="QY10" s="700"/>
      <c r="QZ10" s="700"/>
      <c r="RA10" s="700"/>
      <c r="RB10" s="700"/>
      <c r="RC10" s="700"/>
      <c r="RD10" s="700"/>
      <c r="RE10" s="700"/>
      <c r="RF10" s="700"/>
      <c r="RG10" s="700"/>
      <c r="RH10" s="700"/>
      <c r="RI10" s="700"/>
      <c r="RJ10" s="700"/>
      <c r="RK10" s="700"/>
      <c r="RL10" s="700"/>
      <c r="RM10" s="700"/>
      <c r="RN10" s="700"/>
      <c r="RO10" s="700"/>
      <c r="RP10" s="700"/>
      <c r="RQ10" s="700"/>
      <c r="RR10" s="700"/>
      <c r="RS10" s="700"/>
      <c r="RT10" s="700"/>
      <c r="RU10" s="700"/>
      <c r="RV10" s="700"/>
      <c r="RW10" s="700"/>
      <c r="RX10" s="700"/>
      <c r="RY10" s="700"/>
      <c r="RZ10" s="700"/>
      <c r="SA10" s="700"/>
      <c r="SB10" s="700"/>
      <c r="SC10" s="700"/>
      <c r="SD10" s="700"/>
      <c r="SE10" s="700"/>
      <c r="SF10" s="700"/>
      <c r="SG10" s="700"/>
      <c r="SH10" s="700"/>
      <c r="SI10" s="700"/>
      <c r="SJ10" s="700"/>
      <c r="SK10" s="700"/>
      <c r="SL10" s="700"/>
      <c r="SM10" s="700"/>
      <c r="SN10" s="700"/>
      <c r="SO10" s="700"/>
      <c r="SP10" s="700"/>
      <c r="SQ10" s="700"/>
      <c r="SR10" s="700"/>
      <c r="SS10" s="700"/>
      <c r="ST10" s="700"/>
      <c r="SU10" s="700"/>
      <c r="SV10" s="700"/>
      <c r="SW10" s="700"/>
      <c r="SX10" s="700"/>
      <c r="SY10" s="700"/>
      <c r="SZ10" s="700"/>
      <c r="TA10" s="700"/>
      <c r="TB10" s="700"/>
      <c r="TC10" s="700"/>
      <c r="TD10" s="700"/>
      <c r="TE10" s="700"/>
      <c r="TF10" s="700"/>
      <c r="TG10" s="700"/>
      <c r="TH10" s="700"/>
      <c r="TI10" s="700"/>
      <c r="TJ10" s="700"/>
      <c r="TK10" s="700"/>
      <c r="TL10" s="700"/>
      <c r="TM10" s="700"/>
      <c r="TN10" s="700"/>
      <c r="TO10" s="700"/>
      <c r="TP10" s="700"/>
      <c r="TQ10" s="700"/>
      <c r="TR10" s="700"/>
      <c r="TS10" s="700"/>
      <c r="TT10" s="700"/>
      <c r="TU10" s="700"/>
      <c r="TV10" s="700"/>
      <c r="TW10" s="700"/>
      <c r="TX10" s="700"/>
      <c r="TY10" s="700"/>
      <c r="TZ10" s="700"/>
      <c r="UA10" s="700"/>
      <c r="UB10" s="700"/>
      <c r="UC10" s="700"/>
      <c r="UD10" s="700"/>
      <c r="UE10" s="700"/>
      <c r="UF10" s="700"/>
      <c r="UG10" s="700"/>
      <c r="UH10" s="700"/>
      <c r="UI10" s="700"/>
      <c r="UJ10" s="700"/>
      <c r="UK10" s="700"/>
      <c r="UL10" s="700"/>
      <c r="UM10" s="700"/>
      <c r="UN10" s="700"/>
      <c r="UO10" s="700"/>
      <c r="UP10" s="700"/>
      <c r="UQ10" s="700"/>
      <c r="UR10" s="700"/>
      <c r="US10" s="700"/>
      <c r="UT10" s="700"/>
      <c r="UU10" s="700"/>
      <c r="UV10" s="700"/>
      <c r="UW10" s="700"/>
      <c r="UX10" s="700"/>
      <c r="UY10" s="700"/>
      <c r="UZ10" s="700"/>
      <c r="VA10" s="700"/>
      <c r="VB10" s="700"/>
      <c r="VC10" s="700"/>
      <c r="VD10" s="700"/>
      <c r="VE10" s="700"/>
      <c r="VF10" s="700"/>
      <c r="VG10" s="700"/>
      <c r="VH10" s="700"/>
      <c r="VI10" s="700"/>
      <c r="VJ10" s="700"/>
      <c r="VK10" s="700"/>
      <c r="VL10" s="700"/>
      <c r="VM10" s="700"/>
      <c r="VN10" s="700"/>
      <c r="VO10" s="700"/>
      <c r="VP10" s="700"/>
      <c r="VQ10" s="700"/>
      <c r="VR10" s="700"/>
      <c r="VS10" s="700"/>
      <c r="VT10" s="700"/>
      <c r="VU10" s="700"/>
      <c r="VV10" s="700"/>
      <c r="VW10" s="700"/>
      <c r="VX10" s="700"/>
      <c r="VY10" s="700"/>
      <c r="VZ10" s="700"/>
      <c r="WA10" s="700"/>
      <c r="WB10" s="700"/>
      <c r="WC10" s="700"/>
      <c r="WD10" s="700"/>
      <c r="WE10" s="700"/>
      <c r="WF10" s="700"/>
      <c r="WG10" s="700"/>
      <c r="WH10" s="700"/>
      <c r="WI10" s="700"/>
      <c r="WJ10" s="700"/>
      <c r="WK10" s="700"/>
      <c r="WL10" s="700"/>
      <c r="WM10" s="700"/>
      <c r="WN10" s="700"/>
      <c r="WO10" s="700"/>
      <c r="WP10" s="700"/>
      <c r="WQ10" s="700"/>
      <c r="WR10" s="700"/>
      <c r="WS10" s="700"/>
      <c r="WT10" s="700"/>
      <c r="WU10" s="700"/>
      <c r="WV10" s="700"/>
      <c r="WW10" s="700"/>
      <c r="WX10" s="700"/>
      <c r="WY10" s="700"/>
      <c r="WZ10" s="700"/>
      <c r="XA10" s="700"/>
      <c r="XB10" s="700"/>
      <c r="XC10" s="700"/>
      <c r="XD10" s="700"/>
      <c r="XE10" s="700"/>
      <c r="XF10" s="700"/>
      <c r="XG10" s="700"/>
      <c r="XH10" s="700"/>
      <c r="XI10" s="700"/>
      <c r="XJ10" s="700"/>
      <c r="XK10" s="700"/>
      <c r="XL10" s="700"/>
      <c r="XM10" s="700"/>
      <c r="XN10" s="700"/>
      <c r="XO10" s="700"/>
      <c r="XP10" s="700"/>
      <c r="XQ10" s="700"/>
      <c r="XR10" s="700"/>
      <c r="XS10" s="700"/>
      <c r="XT10" s="700"/>
      <c r="XU10" s="700"/>
      <c r="XV10" s="700"/>
      <c r="XW10" s="700"/>
      <c r="XX10" s="700"/>
      <c r="XY10" s="700"/>
      <c r="XZ10" s="700"/>
      <c r="YA10" s="700"/>
      <c r="YB10" s="700"/>
      <c r="YC10" s="700"/>
      <c r="YD10" s="700"/>
      <c r="YE10" s="700"/>
      <c r="YF10" s="700"/>
      <c r="YG10" s="700"/>
      <c r="YH10" s="700"/>
      <c r="YI10" s="700"/>
      <c r="YJ10" s="700"/>
      <c r="YK10" s="700"/>
      <c r="YL10" s="700"/>
      <c r="YM10" s="700"/>
      <c r="YN10" s="700"/>
      <c r="YO10" s="700"/>
      <c r="YP10" s="700"/>
      <c r="YQ10" s="700"/>
      <c r="YR10" s="700"/>
      <c r="YS10" s="700"/>
      <c r="YT10" s="700"/>
      <c r="YU10" s="700"/>
      <c r="YV10" s="700"/>
      <c r="YW10" s="700"/>
      <c r="YX10" s="700"/>
      <c r="YY10" s="700"/>
      <c r="YZ10" s="700"/>
      <c r="ZA10" s="700"/>
      <c r="ZB10" s="700"/>
      <c r="ZC10" s="700"/>
      <c r="ZD10" s="700"/>
      <c r="ZE10" s="700"/>
      <c r="ZF10" s="700"/>
      <c r="ZG10" s="700"/>
      <c r="ZH10" s="700"/>
      <c r="ZI10" s="700"/>
      <c r="ZJ10" s="700"/>
      <c r="ZK10" s="700"/>
      <c r="ZL10" s="700"/>
      <c r="ZM10" s="700"/>
      <c r="ZN10" s="700"/>
      <c r="ZO10" s="700"/>
      <c r="ZP10" s="700"/>
      <c r="ZQ10" s="700"/>
      <c r="ZR10" s="700"/>
      <c r="ZS10" s="700"/>
      <c r="ZT10" s="700"/>
      <c r="ZU10" s="700"/>
      <c r="ZV10" s="700"/>
      <c r="ZW10" s="700"/>
      <c r="ZX10" s="700"/>
      <c r="ZY10" s="700"/>
      <c r="ZZ10" s="700"/>
      <c r="AAA10" s="700"/>
      <c r="AAB10" s="700"/>
      <c r="AAC10" s="700"/>
      <c r="AAD10" s="700"/>
      <c r="AAE10" s="700"/>
      <c r="AAF10" s="700"/>
      <c r="AAG10" s="700"/>
      <c r="AAH10" s="700"/>
      <c r="AAI10" s="700"/>
      <c r="AAJ10" s="700"/>
      <c r="AAK10" s="700"/>
      <c r="AAL10" s="700"/>
      <c r="AAM10" s="700"/>
      <c r="AAN10" s="700"/>
      <c r="AAO10" s="700"/>
      <c r="AAP10" s="700"/>
      <c r="AAQ10" s="700"/>
      <c r="AAR10" s="700"/>
      <c r="AAS10" s="700"/>
      <c r="AAT10" s="700"/>
      <c r="AAU10" s="700"/>
      <c r="AAV10" s="700"/>
      <c r="AAW10" s="700"/>
      <c r="AAX10" s="700"/>
      <c r="AAY10" s="700"/>
      <c r="AAZ10" s="700"/>
      <c r="ABA10" s="700"/>
      <c r="ABB10" s="700"/>
      <c r="ABC10" s="700"/>
      <c r="ABD10" s="700"/>
      <c r="ABE10" s="700"/>
      <c r="ABF10" s="700"/>
      <c r="ABG10" s="700"/>
      <c r="ABH10" s="700"/>
      <c r="ABI10" s="700"/>
      <c r="ABJ10" s="700"/>
      <c r="ABK10" s="700"/>
      <c r="ABL10" s="700"/>
      <c r="ABM10" s="700"/>
      <c r="ABN10" s="700"/>
      <c r="ABO10" s="700"/>
      <c r="ABP10" s="700"/>
      <c r="ABQ10" s="700"/>
      <c r="ABR10" s="700"/>
      <c r="ABS10" s="700"/>
      <c r="ABT10" s="700"/>
      <c r="ABU10" s="700"/>
      <c r="ABV10" s="700"/>
      <c r="ABW10" s="700"/>
      <c r="ABX10" s="700"/>
      <c r="ABY10" s="700"/>
      <c r="ABZ10" s="700"/>
      <c r="ACA10" s="700"/>
      <c r="ACB10" s="700"/>
      <c r="ACC10" s="700"/>
      <c r="ACD10" s="700"/>
      <c r="ACE10" s="700"/>
      <c r="ACF10" s="700"/>
      <c r="ACG10" s="700"/>
      <c r="ACH10" s="700"/>
      <c r="ACI10" s="700"/>
      <c r="ACJ10" s="700"/>
      <c r="ACK10" s="700"/>
      <c r="ACL10" s="700"/>
      <c r="ACM10" s="700"/>
      <c r="ACN10" s="700"/>
      <c r="ACO10" s="700"/>
      <c r="ACP10" s="700"/>
      <c r="ACQ10" s="700"/>
      <c r="ACR10" s="700"/>
      <c r="ACS10" s="700"/>
      <c r="ACT10" s="700"/>
      <c r="ACU10" s="700"/>
      <c r="ACV10" s="700"/>
      <c r="ACW10" s="700"/>
      <c r="ACX10" s="700"/>
      <c r="ACY10" s="700"/>
      <c r="ACZ10" s="700"/>
      <c r="ADA10" s="700"/>
      <c r="ADB10" s="700"/>
      <c r="ADC10" s="700"/>
      <c r="ADD10" s="700"/>
      <c r="ADE10" s="700"/>
      <c r="ADF10" s="700"/>
      <c r="ADG10" s="700"/>
      <c r="ADH10" s="700"/>
      <c r="ADI10" s="700"/>
      <c r="ADJ10" s="700"/>
      <c r="ADK10" s="700"/>
      <c r="ADL10" s="700"/>
      <c r="ADM10" s="700"/>
      <c r="ADN10" s="700"/>
      <c r="ADO10" s="700"/>
      <c r="ADP10" s="700"/>
      <c r="ADQ10" s="700"/>
      <c r="ADR10" s="700"/>
      <c r="ADS10" s="700"/>
      <c r="ADT10" s="700"/>
      <c r="ADU10" s="700"/>
      <c r="ADV10" s="700"/>
      <c r="ADW10" s="700"/>
      <c r="ADX10" s="700"/>
      <c r="ADY10" s="700"/>
      <c r="ADZ10" s="700"/>
      <c r="AEA10" s="700"/>
      <c r="AEB10" s="700"/>
      <c r="AEC10" s="700"/>
      <c r="AED10" s="700"/>
      <c r="AEE10" s="700"/>
      <c r="AEF10" s="700"/>
      <c r="AEG10" s="700"/>
      <c r="AEH10" s="700"/>
      <c r="AEI10" s="700"/>
      <c r="AEJ10" s="700"/>
      <c r="AEK10" s="700"/>
      <c r="AEL10" s="700"/>
      <c r="AEM10" s="700"/>
      <c r="AEN10" s="700"/>
      <c r="AEO10" s="700"/>
      <c r="AEP10" s="700"/>
      <c r="AEQ10" s="700"/>
      <c r="AER10" s="700"/>
      <c r="AES10" s="700"/>
      <c r="AET10" s="700"/>
      <c r="AEU10" s="700"/>
      <c r="AEV10" s="700"/>
      <c r="AEW10" s="700"/>
      <c r="AEX10" s="700"/>
      <c r="AEY10" s="700"/>
      <c r="AEZ10" s="700"/>
      <c r="AFA10" s="700"/>
      <c r="AFB10" s="700"/>
      <c r="AFC10" s="700"/>
      <c r="AFD10" s="700"/>
      <c r="AFE10" s="700"/>
      <c r="AFF10" s="700"/>
      <c r="AFG10" s="700"/>
      <c r="AFH10" s="700"/>
      <c r="AFI10" s="700"/>
      <c r="AFJ10" s="700"/>
      <c r="AFK10" s="700"/>
      <c r="AFL10" s="700"/>
      <c r="AFM10" s="700"/>
      <c r="AFN10" s="700"/>
      <c r="AFO10" s="700"/>
      <c r="AFP10" s="700"/>
      <c r="AFQ10" s="700"/>
      <c r="AFR10" s="700"/>
      <c r="AFS10" s="700"/>
      <c r="AFT10" s="700"/>
      <c r="AFU10" s="700"/>
      <c r="AFV10" s="700"/>
      <c r="AFW10" s="700"/>
      <c r="AFX10" s="700"/>
      <c r="AFY10" s="700"/>
      <c r="AFZ10" s="700"/>
      <c r="AGA10" s="700"/>
      <c r="AGB10" s="700"/>
      <c r="AGC10" s="700"/>
      <c r="AGD10" s="700"/>
      <c r="AGE10" s="700"/>
      <c r="AGF10" s="700"/>
      <c r="AGG10" s="700"/>
      <c r="AGH10" s="700"/>
      <c r="AGI10" s="700"/>
      <c r="AGJ10" s="700"/>
      <c r="AGK10" s="700"/>
      <c r="AGL10" s="700"/>
      <c r="AGM10" s="700"/>
      <c r="AGN10" s="700"/>
      <c r="AGO10" s="700"/>
      <c r="AGP10" s="700"/>
      <c r="AGQ10" s="700"/>
      <c r="AGR10" s="700"/>
      <c r="AGS10" s="700"/>
      <c r="AGT10" s="700"/>
      <c r="AGU10" s="700"/>
      <c r="AGV10" s="700"/>
      <c r="AGW10" s="700"/>
      <c r="AGX10" s="700"/>
      <c r="AGY10" s="700"/>
      <c r="AGZ10" s="700"/>
      <c r="AHA10" s="700"/>
      <c r="AHB10" s="700"/>
      <c r="AHC10" s="700"/>
      <c r="AHD10" s="700"/>
      <c r="AHE10" s="700"/>
      <c r="AHF10" s="700"/>
      <c r="AHG10" s="700"/>
      <c r="AHH10" s="700"/>
      <c r="AHI10" s="700"/>
      <c r="AHJ10" s="700"/>
      <c r="AHK10" s="700"/>
      <c r="AHL10" s="700"/>
      <c r="AHM10" s="700"/>
      <c r="AHN10" s="700"/>
      <c r="AHO10" s="700"/>
      <c r="AHP10" s="700"/>
      <c r="AHQ10" s="700"/>
      <c r="AHR10" s="700"/>
      <c r="AHS10" s="700"/>
      <c r="AHT10" s="700"/>
      <c r="AHU10" s="700"/>
      <c r="AHV10" s="700"/>
      <c r="AHW10" s="700"/>
      <c r="AHX10" s="700"/>
      <c r="AHY10" s="700"/>
      <c r="AHZ10" s="700"/>
      <c r="AIA10" s="700"/>
      <c r="AIB10" s="700"/>
      <c r="AIC10" s="700"/>
      <c r="AID10" s="700"/>
      <c r="AIE10" s="700"/>
      <c r="AIF10" s="700"/>
      <c r="AIG10" s="700"/>
      <c r="AIH10" s="700"/>
      <c r="AII10" s="700"/>
      <c r="AIJ10" s="700"/>
      <c r="AIK10" s="700"/>
      <c r="AIL10" s="700"/>
      <c r="AIM10" s="700"/>
      <c r="AIN10" s="700"/>
      <c r="AIO10" s="700"/>
      <c r="AIP10" s="700"/>
      <c r="AIQ10" s="700"/>
      <c r="AIR10" s="700"/>
      <c r="AIS10" s="700"/>
      <c r="AIT10" s="700"/>
      <c r="AIU10" s="700"/>
      <c r="AIV10" s="700"/>
      <c r="AIW10" s="700"/>
      <c r="AIX10" s="700"/>
      <c r="AIY10" s="700"/>
      <c r="AIZ10" s="700"/>
      <c r="AJA10" s="700"/>
      <c r="AJB10" s="700"/>
      <c r="AJC10" s="700"/>
      <c r="AJD10" s="700"/>
      <c r="AJE10" s="700"/>
      <c r="AJF10" s="700"/>
      <c r="AJG10" s="700"/>
      <c r="AJH10" s="700"/>
      <c r="AJI10" s="700"/>
      <c r="AJJ10" s="700"/>
      <c r="AJK10" s="700"/>
      <c r="AJL10" s="700"/>
      <c r="AJM10" s="700"/>
      <c r="AJN10" s="700"/>
      <c r="AJO10" s="700"/>
      <c r="AJP10" s="700"/>
      <c r="AJQ10" s="700"/>
      <c r="AJR10" s="700"/>
      <c r="AJS10" s="700"/>
      <c r="AJT10" s="700"/>
      <c r="AJU10" s="700"/>
      <c r="AJV10" s="700"/>
      <c r="AJW10" s="700"/>
      <c r="AJX10" s="700"/>
      <c r="AJY10" s="700"/>
      <c r="AJZ10" s="700"/>
      <c r="AKA10" s="700"/>
      <c r="AKB10" s="700"/>
      <c r="AKC10" s="700"/>
      <c r="AKD10" s="700"/>
      <c r="AKE10" s="700"/>
      <c r="AKF10" s="700"/>
      <c r="AKG10" s="700"/>
      <c r="AKH10" s="700"/>
      <c r="AKI10" s="700"/>
      <c r="AKJ10" s="700"/>
      <c r="AKK10" s="700"/>
      <c r="AKL10" s="700"/>
      <c r="AKM10" s="700"/>
      <c r="AKN10" s="700"/>
      <c r="AKO10" s="700"/>
      <c r="AKP10" s="700"/>
      <c r="AKQ10" s="700"/>
      <c r="AKR10" s="700"/>
      <c r="AKS10" s="700"/>
      <c r="AKT10" s="700"/>
      <c r="AKU10" s="700"/>
      <c r="AKV10" s="700"/>
      <c r="AKW10" s="700"/>
      <c r="AKX10" s="700"/>
      <c r="AKY10" s="700"/>
      <c r="AKZ10" s="700"/>
      <c r="ALA10" s="700"/>
      <c r="ALB10" s="700"/>
      <c r="ALC10" s="700"/>
      <c r="ALD10" s="700"/>
      <c r="ALE10" s="700"/>
      <c r="ALF10" s="700"/>
      <c r="ALG10" s="700"/>
      <c r="ALH10" s="700"/>
      <c r="ALI10" s="700"/>
      <c r="ALJ10" s="700"/>
      <c r="ALK10" s="700"/>
      <c r="ALL10" s="700"/>
      <c r="ALM10" s="700"/>
      <c r="ALN10" s="700"/>
      <c r="ALO10" s="700"/>
      <c r="ALP10" s="700"/>
      <c r="ALQ10" s="700"/>
      <c r="ALR10" s="700"/>
      <c r="ALS10" s="700"/>
      <c r="ALT10" s="700"/>
      <c r="ALU10" s="700"/>
      <c r="ALV10" s="700"/>
      <c r="ALW10" s="700"/>
      <c r="ALX10" s="700"/>
      <c r="ALY10" s="700"/>
      <c r="ALZ10" s="700"/>
      <c r="AMA10" s="700"/>
      <c r="AMB10" s="700"/>
      <c r="AMC10" s="700"/>
      <c r="AMD10" s="700"/>
      <c r="AME10" s="700"/>
      <c r="AMF10" s="700"/>
      <c r="AMG10" s="700"/>
      <c r="AMH10" s="700"/>
      <c r="AMI10" s="700"/>
      <c r="AMJ10" s="700"/>
      <c r="AMK10" s="700"/>
      <c r="AML10" s="700"/>
      <c r="AMM10" s="700"/>
      <c r="AMN10" s="700"/>
      <c r="AMO10" s="700"/>
      <c r="AMP10" s="700"/>
      <c r="AMQ10" s="700"/>
      <c r="AMR10" s="700"/>
      <c r="AMS10" s="700"/>
      <c r="AMT10" s="700"/>
      <c r="AMU10" s="700"/>
      <c r="AMV10" s="700"/>
      <c r="AMW10" s="700"/>
      <c r="AMX10" s="700"/>
      <c r="AMY10" s="700"/>
      <c r="AMZ10" s="700"/>
      <c r="ANA10" s="700"/>
      <c r="ANB10" s="700"/>
      <c r="ANC10" s="700"/>
      <c r="AND10" s="700"/>
      <c r="ANE10" s="700"/>
      <c r="ANF10" s="700"/>
      <c r="ANG10" s="700"/>
      <c r="ANH10" s="700"/>
      <c r="ANI10" s="700"/>
      <c r="ANJ10" s="700"/>
      <c r="ANK10" s="700"/>
      <c r="ANL10" s="700"/>
      <c r="ANM10" s="700"/>
      <c r="ANN10" s="700"/>
      <c r="ANO10" s="700"/>
      <c r="ANP10" s="700"/>
      <c r="ANQ10" s="700"/>
      <c r="ANR10" s="700"/>
      <c r="ANS10" s="700"/>
      <c r="ANT10" s="700"/>
      <c r="ANU10" s="700"/>
      <c r="ANV10" s="700"/>
      <c r="ANW10" s="700"/>
      <c r="ANX10" s="700"/>
      <c r="ANY10" s="700"/>
      <c r="ANZ10" s="700"/>
      <c r="AOA10" s="700"/>
      <c r="AOB10" s="700"/>
      <c r="AOC10" s="700"/>
      <c r="AOD10" s="700"/>
      <c r="AOE10" s="700"/>
      <c r="AOF10" s="700"/>
      <c r="AOG10" s="700"/>
      <c r="AOH10" s="700"/>
      <c r="AOI10" s="700"/>
      <c r="AOJ10" s="700"/>
      <c r="AOK10" s="700"/>
      <c r="AOL10" s="700"/>
      <c r="AOM10" s="700"/>
      <c r="AON10" s="700"/>
      <c r="AOO10" s="700"/>
      <c r="AOP10" s="700"/>
      <c r="AOQ10" s="700"/>
      <c r="AOR10" s="700"/>
      <c r="AOS10" s="700"/>
      <c r="AOT10" s="700"/>
      <c r="AOU10" s="700"/>
      <c r="AOV10" s="700"/>
      <c r="AOW10" s="700"/>
      <c r="AOX10" s="700"/>
      <c r="AOY10" s="700"/>
      <c r="AOZ10" s="700"/>
      <c r="APA10" s="700"/>
      <c r="APB10" s="700"/>
      <c r="APC10" s="700"/>
      <c r="APD10" s="700"/>
      <c r="APE10" s="700"/>
      <c r="APF10" s="700"/>
      <c r="APG10" s="700"/>
      <c r="APH10" s="700"/>
      <c r="API10" s="700"/>
      <c r="APJ10" s="700"/>
      <c r="APK10" s="700"/>
      <c r="APL10" s="700"/>
      <c r="APM10" s="700"/>
      <c r="APN10" s="700"/>
      <c r="APO10" s="700"/>
      <c r="APP10" s="700"/>
      <c r="APQ10" s="700"/>
      <c r="APR10" s="700"/>
      <c r="APS10" s="700"/>
      <c r="APT10" s="700"/>
      <c r="APU10" s="700"/>
      <c r="APV10" s="700"/>
      <c r="APW10" s="700"/>
      <c r="APX10" s="700"/>
      <c r="APY10" s="700"/>
      <c r="APZ10" s="700"/>
      <c r="AQA10" s="700"/>
      <c r="AQB10" s="700"/>
      <c r="AQC10" s="700"/>
      <c r="AQD10" s="700"/>
      <c r="AQE10" s="700"/>
      <c r="AQF10" s="700"/>
      <c r="AQG10" s="700"/>
      <c r="AQH10" s="700"/>
      <c r="AQI10" s="700"/>
      <c r="AQJ10" s="700"/>
      <c r="AQK10" s="700"/>
      <c r="AQL10" s="700"/>
      <c r="AQM10" s="700"/>
      <c r="AQN10" s="700"/>
      <c r="AQO10" s="700"/>
      <c r="AQP10" s="700"/>
      <c r="AQQ10" s="700"/>
      <c r="AQR10" s="700"/>
      <c r="AQS10" s="700"/>
      <c r="AQT10" s="700"/>
      <c r="AQU10" s="700"/>
      <c r="AQV10" s="700"/>
      <c r="AQW10" s="700"/>
      <c r="AQX10" s="700"/>
      <c r="AQY10" s="700"/>
      <c r="AQZ10" s="700"/>
      <c r="ARA10" s="700"/>
      <c r="ARB10" s="700"/>
      <c r="ARC10" s="700"/>
      <c r="ARD10" s="700"/>
      <c r="ARE10" s="700"/>
      <c r="ARF10" s="700"/>
      <c r="ARG10" s="700"/>
      <c r="ARH10" s="700"/>
      <c r="ARI10" s="700"/>
      <c r="ARJ10" s="700"/>
      <c r="ARK10" s="700"/>
      <c r="ARL10" s="700"/>
      <c r="ARM10" s="700"/>
      <c r="ARN10" s="700"/>
      <c r="ARO10" s="700"/>
      <c r="ARP10" s="700"/>
      <c r="ARQ10" s="700"/>
      <c r="ARR10" s="700"/>
      <c r="ARS10" s="700"/>
      <c r="ART10" s="700"/>
      <c r="ARU10" s="700"/>
      <c r="ARV10" s="700"/>
      <c r="ARW10" s="700"/>
      <c r="ARX10" s="700"/>
      <c r="ARY10" s="700"/>
      <c r="ARZ10" s="700"/>
      <c r="ASA10" s="700"/>
      <c r="ASB10" s="700"/>
      <c r="ASC10" s="700"/>
      <c r="ASD10" s="700"/>
      <c r="ASE10" s="700"/>
      <c r="ASF10" s="700"/>
      <c r="ASG10" s="700"/>
      <c r="ASH10" s="700"/>
      <c r="ASI10" s="700"/>
      <c r="ASJ10" s="700"/>
      <c r="ASK10" s="700"/>
      <c r="ASL10" s="700"/>
      <c r="ASM10" s="700"/>
      <c r="ASN10" s="700"/>
      <c r="ASO10" s="700"/>
      <c r="ASP10" s="700"/>
      <c r="ASQ10" s="700"/>
      <c r="ASR10" s="700"/>
      <c r="ASS10" s="700"/>
      <c r="AST10" s="700"/>
      <c r="ASU10" s="700"/>
      <c r="ASV10" s="700"/>
      <c r="ASW10" s="700"/>
      <c r="ASX10" s="700"/>
      <c r="ASY10" s="700"/>
      <c r="ASZ10" s="700"/>
      <c r="ATA10" s="700"/>
      <c r="ATB10" s="700"/>
      <c r="ATC10" s="700"/>
      <c r="ATD10" s="700"/>
      <c r="ATE10" s="700"/>
      <c r="ATF10" s="700"/>
      <c r="ATG10" s="700"/>
      <c r="ATH10" s="700"/>
      <c r="ATI10" s="700"/>
      <c r="ATJ10" s="700"/>
      <c r="ATK10" s="700"/>
      <c r="ATL10" s="700"/>
      <c r="ATM10" s="700"/>
      <c r="ATN10" s="700"/>
      <c r="ATO10" s="700"/>
      <c r="ATP10" s="700"/>
      <c r="ATQ10" s="700"/>
      <c r="ATR10" s="700"/>
      <c r="ATS10" s="700"/>
      <c r="ATT10" s="700"/>
      <c r="ATU10" s="700"/>
      <c r="ATV10" s="700"/>
      <c r="ATW10" s="700"/>
      <c r="ATX10" s="700"/>
      <c r="ATY10" s="700"/>
      <c r="ATZ10" s="700"/>
      <c r="AUA10" s="700"/>
      <c r="AUB10" s="700"/>
      <c r="AUC10" s="700"/>
      <c r="AUD10" s="700"/>
      <c r="AUE10" s="700"/>
      <c r="AUF10" s="700"/>
      <c r="AUG10" s="700"/>
      <c r="AUH10" s="700"/>
      <c r="AUI10" s="700"/>
      <c r="AUJ10" s="700"/>
      <c r="AUK10" s="700"/>
      <c r="AUL10" s="700"/>
      <c r="AUM10" s="700"/>
      <c r="AUN10" s="700"/>
      <c r="AUO10" s="700"/>
      <c r="AUP10" s="700"/>
      <c r="AUQ10" s="700"/>
      <c r="AUR10" s="700"/>
      <c r="AUS10" s="700"/>
      <c r="AUT10" s="700"/>
      <c r="AUU10" s="700"/>
      <c r="AUV10" s="700"/>
      <c r="AUW10" s="700"/>
      <c r="AUX10" s="700"/>
      <c r="AUY10" s="700"/>
      <c r="AUZ10" s="700"/>
      <c r="AVA10" s="700"/>
      <c r="AVB10" s="700"/>
      <c r="AVC10" s="700"/>
      <c r="AVD10" s="700"/>
      <c r="AVE10" s="700"/>
      <c r="AVF10" s="700"/>
      <c r="AVG10" s="700"/>
      <c r="AVH10" s="700"/>
      <c r="AVI10" s="700"/>
      <c r="AVJ10" s="700"/>
      <c r="AVK10" s="700"/>
      <c r="AVL10" s="700"/>
      <c r="AVM10" s="700"/>
      <c r="AVN10" s="700"/>
      <c r="AVO10" s="700"/>
      <c r="AVP10" s="700"/>
      <c r="AVQ10" s="700"/>
      <c r="AVR10" s="700"/>
      <c r="AVS10" s="700"/>
      <c r="AVT10" s="700"/>
      <c r="AVU10" s="700"/>
      <c r="AVV10" s="700"/>
      <c r="AVW10" s="700"/>
      <c r="AVX10" s="700"/>
      <c r="AVY10" s="700"/>
      <c r="AVZ10" s="700"/>
      <c r="AWA10" s="700"/>
      <c r="AWB10" s="700"/>
      <c r="AWC10" s="700"/>
      <c r="AWD10" s="700"/>
      <c r="AWE10" s="700"/>
      <c r="AWF10" s="700"/>
      <c r="AWG10" s="700"/>
      <c r="AWH10" s="700"/>
      <c r="AWI10" s="700"/>
      <c r="AWJ10" s="700"/>
      <c r="AWK10" s="700"/>
      <c r="AWL10" s="700"/>
      <c r="AWM10" s="700"/>
      <c r="AWN10" s="700"/>
      <c r="AWO10" s="700"/>
      <c r="AWP10" s="700"/>
      <c r="AWQ10" s="700"/>
      <c r="AWR10" s="700"/>
      <c r="AWS10" s="700"/>
      <c r="AWT10" s="700"/>
      <c r="AWU10" s="700"/>
      <c r="AWV10" s="700"/>
      <c r="AWW10" s="700"/>
      <c r="AWX10" s="700"/>
      <c r="AWY10" s="700"/>
      <c r="AWZ10" s="700"/>
      <c r="AXA10" s="700"/>
      <c r="AXB10" s="700"/>
      <c r="AXC10" s="700"/>
      <c r="AXD10" s="700"/>
      <c r="AXE10" s="700"/>
      <c r="AXF10" s="700"/>
      <c r="AXG10" s="700"/>
      <c r="AXH10" s="700"/>
      <c r="AXI10" s="700"/>
      <c r="AXJ10" s="700"/>
      <c r="AXK10" s="700"/>
      <c r="AXL10" s="700"/>
      <c r="AXM10" s="700"/>
      <c r="AXN10" s="700"/>
      <c r="AXO10" s="700"/>
      <c r="AXP10" s="700"/>
      <c r="AXQ10" s="700"/>
      <c r="AXR10" s="700"/>
      <c r="AXS10" s="700"/>
      <c r="AXT10" s="700"/>
      <c r="AXU10" s="700"/>
      <c r="AXV10" s="700"/>
      <c r="AXW10" s="700"/>
      <c r="AXX10" s="700"/>
      <c r="AXY10" s="700"/>
      <c r="AXZ10" s="700"/>
      <c r="AYA10" s="700"/>
      <c r="AYB10" s="700"/>
      <c r="AYC10" s="700"/>
      <c r="AYD10" s="700"/>
      <c r="AYE10" s="700"/>
      <c r="AYF10" s="700"/>
      <c r="AYG10" s="700"/>
      <c r="AYH10" s="700"/>
      <c r="AYI10" s="700"/>
      <c r="AYJ10" s="700"/>
      <c r="AYK10" s="700"/>
      <c r="AYL10" s="700"/>
      <c r="AYM10" s="700"/>
      <c r="AYN10" s="700"/>
      <c r="AYO10" s="700"/>
      <c r="AYP10" s="700"/>
      <c r="AYQ10" s="700"/>
      <c r="AYR10" s="700"/>
      <c r="AYS10" s="700"/>
      <c r="AYT10" s="700"/>
      <c r="AYU10" s="700"/>
      <c r="AYV10" s="700"/>
      <c r="AYW10" s="700"/>
      <c r="AYX10" s="700"/>
      <c r="AYY10" s="700"/>
      <c r="AYZ10" s="700"/>
      <c r="AZA10" s="700"/>
      <c r="AZB10" s="700"/>
      <c r="AZC10" s="700"/>
      <c r="AZD10" s="700"/>
      <c r="AZE10" s="700"/>
      <c r="AZF10" s="700"/>
      <c r="AZG10" s="700"/>
      <c r="AZH10" s="700"/>
      <c r="AZI10" s="700"/>
      <c r="AZJ10" s="700"/>
      <c r="AZK10" s="700"/>
      <c r="AZL10" s="700"/>
      <c r="AZM10" s="700"/>
      <c r="AZN10" s="700"/>
      <c r="AZO10" s="700"/>
      <c r="AZP10" s="700"/>
      <c r="AZQ10" s="700"/>
      <c r="AZR10" s="700"/>
      <c r="AZS10" s="700"/>
      <c r="AZT10" s="700"/>
      <c r="AZU10" s="700"/>
      <c r="AZV10" s="700"/>
      <c r="AZW10" s="700"/>
      <c r="AZX10" s="700"/>
      <c r="AZY10" s="700"/>
      <c r="AZZ10" s="700"/>
      <c r="BAA10" s="700"/>
      <c r="BAB10" s="700"/>
      <c r="BAC10" s="700"/>
      <c r="BAD10" s="700"/>
      <c r="BAE10" s="700"/>
      <c r="BAF10" s="700"/>
      <c r="BAG10" s="700"/>
      <c r="BAH10" s="700"/>
      <c r="BAI10" s="700"/>
      <c r="BAJ10" s="700"/>
      <c r="BAK10" s="700"/>
      <c r="BAL10" s="700"/>
      <c r="BAM10" s="700"/>
      <c r="BAN10" s="700"/>
      <c r="BAO10" s="700"/>
      <c r="BAP10" s="700"/>
      <c r="BAQ10" s="700"/>
      <c r="BAR10" s="700"/>
      <c r="BAS10" s="700"/>
      <c r="BAT10" s="700"/>
      <c r="BAU10" s="700"/>
      <c r="BAV10" s="700"/>
      <c r="BAW10" s="700"/>
      <c r="BAX10" s="700"/>
      <c r="BAY10" s="700"/>
      <c r="BAZ10" s="700"/>
      <c r="BBA10" s="700"/>
      <c r="BBB10" s="700"/>
      <c r="BBC10" s="700"/>
      <c r="BBD10" s="700"/>
      <c r="BBE10" s="700"/>
      <c r="BBF10" s="700"/>
      <c r="BBG10" s="700"/>
      <c r="BBH10" s="700"/>
      <c r="BBI10" s="700"/>
      <c r="BBJ10" s="700"/>
      <c r="BBK10" s="700"/>
      <c r="BBL10" s="700"/>
      <c r="BBM10" s="700"/>
      <c r="BBN10" s="700"/>
      <c r="BBO10" s="700"/>
      <c r="BBP10" s="700"/>
      <c r="BBQ10" s="700"/>
      <c r="BBR10" s="700"/>
      <c r="BBS10" s="700"/>
      <c r="BBT10" s="700"/>
      <c r="BBU10" s="700"/>
      <c r="BBV10" s="700"/>
      <c r="BBW10" s="700"/>
      <c r="BBX10" s="700"/>
      <c r="BBY10" s="700"/>
      <c r="BBZ10" s="700"/>
      <c r="BCA10" s="700"/>
      <c r="BCB10" s="700"/>
      <c r="BCC10" s="700"/>
      <c r="BCD10" s="700"/>
      <c r="BCE10" s="700"/>
      <c r="BCF10" s="700"/>
      <c r="BCG10" s="700"/>
      <c r="BCH10" s="700"/>
      <c r="BCI10" s="700"/>
      <c r="BCJ10" s="700"/>
      <c r="BCK10" s="700"/>
      <c r="BCL10" s="700"/>
      <c r="BCM10" s="700"/>
      <c r="BCN10" s="700"/>
      <c r="BCO10" s="700"/>
      <c r="BCP10" s="700"/>
      <c r="BCQ10" s="700"/>
      <c r="BCR10" s="700"/>
      <c r="BCS10" s="700"/>
      <c r="BCT10" s="700"/>
      <c r="BCU10" s="700"/>
      <c r="BCV10" s="700"/>
      <c r="BCW10" s="700"/>
      <c r="BCX10" s="700"/>
      <c r="BCY10" s="700"/>
      <c r="BCZ10" s="700"/>
      <c r="BDA10" s="700"/>
      <c r="BDB10" s="700"/>
      <c r="BDC10" s="700"/>
      <c r="BDD10" s="700"/>
      <c r="BDE10" s="700"/>
      <c r="BDF10" s="700"/>
      <c r="BDG10" s="700"/>
      <c r="BDH10" s="700"/>
      <c r="BDI10" s="700"/>
      <c r="BDJ10" s="700"/>
      <c r="BDK10" s="700"/>
      <c r="BDL10" s="700"/>
      <c r="BDM10" s="700"/>
      <c r="BDN10" s="700"/>
      <c r="BDO10" s="700"/>
      <c r="BDP10" s="700"/>
      <c r="BDQ10" s="700"/>
      <c r="BDR10" s="700"/>
      <c r="BDS10" s="700"/>
      <c r="BDT10" s="700"/>
      <c r="BDU10" s="700"/>
      <c r="BDV10" s="700"/>
      <c r="BDW10" s="700"/>
      <c r="BDX10" s="700"/>
      <c r="BDY10" s="700"/>
      <c r="BDZ10" s="700"/>
      <c r="BEA10" s="700"/>
      <c r="BEB10" s="700"/>
      <c r="BEC10" s="700"/>
      <c r="BED10" s="700"/>
      <c r="BEE10" s="700"/>
      <c r="BEF10" s="700"/>
      <c r="BEG10" s="700"/>
      <c r="BEH10" s="700"/>
      <c r="BEI10" s="700"/>
      <c r="BEJ10" s="700"/>
      <c r="BEK10" s="700"/>
      <c r="BEL10" s="700"/>
      <c r="BEM10" s="700"/>
      <c r="BEN10" s="700"/>
      <c r="BEO10" s="700"/>
      <c r="BEP10" s="700"/>
      <c r="BEQ10" s="700"/>
      <c r="BER10" s="700"/>
      <c r="BES10" s="700"/>
      <c r="BET10" s="700"/>
      <c r="BEU10" s="700"/>
      <c r="BEV10" s="700"/>
      <c r="BEW10" s="700"/>
      <c r="BEX10" s="700"/>
      <c r="BEY10" s="700"/>
      <c r="BEZ10" s="700"/>
      <c r="BFA10" s="700"/>
      <c r="BFB10" s="700"/>
      <c r="BFC10" s="700"/>
      <c r="BFD10" s="700"/>
      <c r="BFE10" s="700"/>
      <c r="BFF10" s="700"/>
      <c r="BFG10" s="700"/>
      <c r="BFH10" s="700"/>
      <c r="BFI10" s="700"/>
      <c r="BFJ10" s="700"/>
      <c r="BFK10" s="700"/>
      <c r="BFL10" s="700"/>
      <c r="BFM10" s="700"/>
      <c r="BFN10" s="700"/>
      <c r="BFO10" s="700"/>
      <c r="BFP10" s="700"/>
      <c r="BFQ10" s="700"/>
      <c r="BFR10" s="700"/>
      <c r="BFS10" s="700"/>
      <c r="BFT10" s="700"/>
      <c r="BFU10" s="700"/>
      <c r="BFV10" s="700"/>
      <c r="BFW10" s="700"/>
      <c r="BFX10" s="700"/>
      <c r="BFY10" s="700"/>
      <c r="BFZ10" s="700"/>
      <c r="BGA10" s="700"/>
      <c r="BGB10" s="700"/>
      <c r="BGC10" s="700"/>
      <c r="BGD10" s="700"/>
      <c r="BGE10" s="700"/>
      <c r="BGF10" s="700"/>
      <c r="BGG10" s="700"/>
      <c r="BGH10" s="700"/>
      <c r="BGI10" s="700"/>
      <c r="BGJ10" s="700"/>
      <c r="BGK10" s="700"/>
      <c r="BGL10" s="700"/>
      <c r="BGM10" s="700"/>
      <c r="BGN10" s="700"/>
      <c r="BGO10" s="700"/>
      <c r="BGP10" s="700"/>
      <c r="BGQ10" s="700"/>
      <c r="BGR10" s="700"/>
      <c r="BGS10" s="700"/>
      <c r="BGT10" s="700"/>
      <c r="BGU10" s="700"/>
      <c r="BGV10" s="700"/>
      <c r="BGW10" s="700"/>
      <c r="BGX10" s="700"/>
      <c r="BGY10" s="700"/>
      <c r="BGZ10" s="700"/>
      <c r="BHA10" s="700"/>
      <c r="BHB10" s="700"/>
      <c r="BHC10" s="700"/>
      <c r="BHD10" s="700"/>
      <c r="BHE10" s="700"/>
      <c r="BHF10" s="700"/>
      <c r="BHG10" s="700"/>
      <c r="BHH10" s="700"/>
      <c r="BHI10" s="700"/>
      <c r="BHJ10" s="700"/>
      <c r="BHK10" s="700"/>
      <c r="BHL10" s="700"/>
      <c r="BHM10" s="700"/>
      <c r="BHN10" s="700"/>
      <c r="BHO10" s="700"/>
      <c r="BHP10" s="700"/>
      <c r="BHQ10" s="700"/>
      <c r="BHR10" s="700"/>
      <c r="BHS10" s="700"/>
      <c r="BHT10" s="700"/>
      <c r="BHU10" s="700"/>
      <c r="BHV10" s="700"/>
      <c r="BHW10" s="700"/>
      <c r="BHX10" s="700"/>
      <c r="BHY10" s="700"/>
      <c r="BHZ10" s="700"/>
      <c r="BIA10" s="700"/>
      <c r="BIB10" s="700"/>
      <c r="BIC10" s="700"/>
      <c r="BID10" s="700"/>
      <c r="BIE10" s="700"/>
      <c r="BIF10" s="700"/>
      <c r="BIG10" s="700"/>
      <c r="BIH10" s="700"/>
      <c r="BII10" s="700"/>
      <c r="BIJ10" s="700"/>
      <c r="BIK10" s="700"/>
      <c r="BIL10" s="700"/>
      <c r="BIM10" s="700"/>
      <c r="BIN10" s="700"/>
      <c r="BIO10" s="700"/>
      <c r="BIP10" s="700"/>
      <c r="BIQ10" s="700"/>
      <c r="BIR10" s="700"/>
      <c r="BIS10" s="700"/>
      <c r="BIT10" s="700"/>
      <c r="BIU10" s="700"/>
      <c r="BIV10" s="700"/>
      <c r="BIW10" s="700"/>
      <c r="BIX10" s="700"/>
      <c r="BIY10" s="700"/>
      <c r="BIZ10" s="700"/>
      <c r="BJA10" s="700"/>
      <c r="BJB10" s="700"/>
      <c r="BJC10" s="700"/>
      <c r="BJD10" s="700"/>
      <c r="BJE10" s="700"/>
      <c r="BJF10" s="700"/>
      <c r="BJG10" s="700"/>
      <c r="BJH10" s="700"/>
      <c r="BJI10" s="700"/>
      <c r="BJJ10" s="700"/>
      <c r="BJK10" s="700"/>
      <c r="BJL10" s="700"/>
      <c r="BJM10" s="700"/>
      <c r="BJN10" s="700"/>
      <c r="BJO10" s="700"/>
      <c r="BJP10" s="700"/>
      <c r="BJQ10" s="700"/>
      <c r="BJR10" s="700"/>
      <c r="BJS10" s="700"/>
      <c r="BJT10" s="700"/>
      <c r="BJU10" s="700"/>
      <c r="BJV10" s="700"/>
      <c r="BJW10" s="700"/>
      <c r="BJX10" s="700"/>
      <c r="BJY10" s="700"/>
      <c r="BJZ10" s="700"/>
      <c r="BKA10" s="700"/>
      <c r="BKB10" s="700"/>
      <c r="BKC10" s="700"/>
      <c r="BKD10" s="700"/>
      <c r="BKE10" s="700"/>
      <c r="BKF10" s="700"/>
      <c r="BKG10" s="700"/>
      <c r="BKH10" s="700"/>
      <c r="BKI10" s="700"/>
      <c r="BKJ10" s="700"/>
      <c r="BKK10" s="700"/>
      <c r="BKL10" s="700"/>
      <c r="BKM10" s="700"/>
      <c r="BKN10" s="700"/>
      <c r="BKO10" s="700"/>
      <c r="BKP10" s="700"/>
      <c r="BKQ10" s="700"/>
      <c r="BKR10" s="700"/>
      <c r="BKS10" s="700"/>
      <c r="BKT10" s="700"/>
      <c r="BKU10" s="700"/>
      <c r="BKV10" s="700"/>
      <c r="BKW10" s="700"/>
      <c r="BKX10" s="700"/>
      <c r="BKY10" s="700"/>
      <c r="BKZ10" s="700"/>
      <c r="BLA10" s="700"/>
      <c r="BLB10" s="700"/>
      <c r="BLC10" s="700"/>
      <c r="BLD10" s="700"/>
      <c r="BLE10" s="700"/>
      <c r="BLF10" s="700"/>
      <c r="BLG10" s="700"/>
      <c r="BLH10" s="700"/>
      <c r="BLI10" s="700"/>
      <c r="BLJ10" s="700"/>
      <c r="BLK10" s="700"/>
      <c r="BLL10" s="700"/>
      <c r="BLM10" s="700"/>
      <c r="BLN10" s="700"/>
      <c r="BLO10" s="700"/>
      <c r="BLP10" s="700"/>
      <c r="BLQ10" s="700"/>
      <c r="BLR10" s="700"/>
      <c r="BLS10" s="700"/>
      <c r="BLT10" s="700"/>
      <c r="BLU10" s="700"/>
      <c r="BLV10" s="700"/>
      <c r="BLW10" s="700"/>
      <c r="BLX10" s="700"/>
      <c r="BLY10" s="700"/>
      <c r="BLZ10" s="700"/>
      <c r="BMA10" s="700"/>
      <c r="BMB10" s="700"/>
      <c r="BMC10" s="700"/>
      <c r="BMD10" s="700"/>
      <c r="BME10" s="700"/>
      <c r="BMF10" s="700"/>
      <c r="BMG10" s="700"/>
      <c r="BMH10" s="700"/>
      <c r="BMI10" s="700"/>
      <c r="BMJ10" s="700"/>
      <c r="BMK10" s="700"/>
      <c r="BML10" s="700"/>
      <c r="BMM10" s="700"/>
      <c r="BMN10" s="700"/>
      <c r="BMO10" s="700"/>
      <c r="BMP10" s="700"/>
      <c r="BMQ10" s="700"/>
      <c r="BMR10" s="700"/>
      <c r="BMS10" s="700"/>
      <c r="BMT10" s="700"/>
      <c r="BMU10" s="700"/>
      <c r="BMV10" s="700"/>
      <c r="BMW10" s="700"/>
      <c r="BMX10" s="700"/>
      <c r="BMY10" s="700"/>
      <c r="BMZ10" s="700"/>
      <c r="BNA10" s="700"/>
      <c r="BNB10" s="700"/>
      <c r="BNC10" s="700"/>
      <c r="BND10" s="700"/>
      <c r="BNE10" s="700"/>
      <c r="BNF10" s="700"/>
      <c r="BNG10" s="700"/>
      <c r="BNH10" s="700"/>
      <c r="BNI10" s="700"/>
      <c r="BNJ10" s="700"/>
      <c r="BNK10" s="700"/>
      <c r="BNL10" s="700"/>
      <c r="BNM10" s="700"/>
      <c r="BNN10" s="700"/>
      <c r="BNO10" s="700"/>
      <c r="BNP10" s="700"/>
      <c r="BNQ10" s="700"/>
      <c r="BNR10" s="700"/>
      <c r="BNS10" s="700"/>
      <c r="BNT10" s="700"/>
      <c r="BNU10" s="700"/>
      <c r="BNV10" s="700"/>
      <c r="BNW10" s="700"/>
      <c r="BNX10" s="700"/>
      <c r="BNY10" s="700"/>
      <c r="BNZ10" s="700"/>
      <c r="BOA10" s="700"/>
      <c r="BOB10" s="700"/>
      <c r="BOC10" s="700"/>
      <c r="BOD10" s="700"/>
      <c r="BOE10" s="700"/>
      <c r="BOF10" s="700"/>
      <c r="BOG10" s="700"/>
      <c r="BOH10" s="700"/>
      <c r="BOI10" s="700"/>
      <c r="BOJ10" s="700"/>
      <c r="BOK10" s="700"/>
      <c r="BOL10" s="700"/>
      <c r="BOM10" s="700"/>
      <c r="BON10" s="700"/>
      <c r="BOO10" s="700"/>
      <c r="BOP10" s="700"/>
      <c r="BOQ10" s="700"/>
      <c r="BOR10" s="700"/>
      <c r="BOS10" s="700"/>
      <c r="BOT10" s="700"/>
      <c r="BOU10" s="700"/>
      <c r="BOV10" s="700"/>
      <c r="BOW10" s="700"/>
      <c r="BOX10" s="700"/>
      <c r="BOY10" s="700"/>
      <c r="BOZ10" s="700"/>
      <c r="BPA10" s="700"/>
      <c r="BPB10" s="700"/>
      <c r="BPC10" s="700"/>
      <c r="BPD10" s="700"/>
      <c r="BPE10" s="700"/>
      <c r="BPF10" s="700"/>
      <c r="BPG10" s="700"/>
      <c r="BPH10" s="700"/>
      <c r="BPI10" s="700"/>
      <c r="BPJ10" s="700"/>
      <c r="BPK10" s="700"/>
      <c r="BPL10" s="700"/>
      <c r="BPM10" s="700"/>
      <c r="BPN10" s="700"/>
      <c r="BPO10" s="700"/>
      <c r="BPP10" s="700"/>
      <c r="BPQ10" s="700"/>
      <c r="BPR10" s="700"/>
      <c r="BPS10" s="700"/>
      <c r="BPT10" s="700"/>
      <c r="BPU10" s="700"/>
      <c r="BPV10" s="700"/>
      <c r="BPW10" s="700"/>
      <c r="BPX10" s="700"/>
      <c r="BPY10" s="700"/>
      <c r="BPZ10" s="700"/>
      <c r="BQA10" s="700"/>
      <c r="BQB10" s="700"/>
      <c r="BQC10" s="700"/>
      <c r="BQD10" s="700"/>
      <c r="BQE10" s="700"/>
      <c r="BQF10" s="700"/>
      <c r="BQG10" s="700"/>
      <c r="BQH10" s="700"/>
      <c r="BQI10" s="700"/>
      <c r="BQJ10" s="700"/>
      <c r="BQK10" s="700"/>
      <c r="BQL10" s="700"/>
      <c r="BQM10" s="700"/>
      <c r="BQN10" s="700"/>
      <c r="BQO10" s="700"/>
      <c r="BQP10" s="700"/>
      <c r="BQQ10" s="700"/>
      <c r="BQR10" s="700"/>
      <c r="BQS10" s="700"/>
      <c r="BQT10" s="700"/>
      <c r="BQU10" s="700"/>
      <c r="BQV10" s="700"/>
      <c r="BQW10" s="700"/>
      <c r="BQX10" s="700"/>
      <c r="BQY10" s="700"/>
      <c r="BQZ10" s="700"/>
      <c r="BRA10" s="700"/>
      <c r="BRB10" s="700"/>
      <c r="BRC10" s="700"/>
      <c r="BRD10" s="700"/>
      <c r="BRE10" s="700"/>
      <c r="BRF10" s="700"/>
      <c r="BRG10" s="700"/>
      <c r="BRH10" s="700"/>
      <c r="BRI10" s="700"/>
      <c r="BRJ10" s="700"/>
      <c r="BRK10" s="700"/>
      <c r="BRL10" s="700"/>
      <c r="BRM10" s="700"/>
      <c r="BRN10" s="700"/>
      <c r="BRO10" s="700"/>
      <c r="BRP10" s="700"/>
      <c r="BRQ10" s="700"/>
      <c r="BRR10" s="700"/>
      <c r="BRS10" s="700"/>
      <c r="BRT10" s="700"/>
      <c r="BRU10" s="700"/>
      <c r="BRV10" s="700"/>
      <c r="BRW10" s="700"/>
      <c r="BRX10" s="700"/>
      <c r="BRY10" s="700"/>
      <c r="BRZ10" s="700"/>
      <c r="BSA10" s="700"/>
      <c r="BSB10" s="700"/>
      <c r="BSC10" s="700"/>
      <c r="BSD10" s="700"/>
      <c r="BSE10" s="700"/>
      <c r="BSF10" s="700"/>
      <c r="BSG10" s="700"/>
      <c r="BSH10" s="700"/>
      <c r="BSI10" s="700"/>
      <c r="BSJ10" s="700"/>
      <c r="BSK10" s="700"/>
      <c r="BSL10" s="700"/>
      <c r="BSM10" s="700"/>
      <c r="BSN10" s="700"/>
      <c r="BSO10" s="700"/>
      <c r="BSP10" s="700"/>
      <c r="BSQ10" s="700"/>
      <c r="BSR10" s="700"/>
      <c r="BSS10" s="700"/>
      <c r="BST10" s="700"/>
      <c r="BSU10" s="700"/>
      <c r="BSV10" s="700"/>
      <c r="BSW10" s="700"/>
      <c r="BSX10" s="700"/>
      <c r="BSY10" s="700"/>
      <c r="BSZ10" s="700"/>
      <c r="BTA10" s="700"/>
      <c r="BTB10" s="700"/>
      <c r="BTC10" s="700"/>
      <c r="BTD10" s="700"/>
      <c r="BTE10" s="700"/>
      <c r="BTF10" s="700"/>
      <c r="BTG10" s="700"/>
      <c r="BTH10" s="700"/>
      <c r="BTI10" s="700"/>
      <c r="BTJ10" s="700"/>
      <c r="BTK10" s="700"/>
      <c r="BTL10" s="700"/>
      <c r="BTM10" s="700"/>
      <c r="BTN10" s="700"/>
      <c r="BTO10" s="700"/>
      <c r="BTP10" s="700"/>
      <c r="BTQ10" s="700"/>
      <c r="BTR10" s="700"/>
      <c r="BTS10" s="700"/>
      <c r="BTT10" s="700"/>
      <c r="BTU10" s="700"/>
      <c r="BTV10" s="700"/>
      <c r="BTW10" s="700"/>
      <c r="BTX10" s="700"/>
      <c r="BTY10" s="700"/>
      <c r="BTZ10" s="700"/>
      <c r="BUA10" s="700"/>
      <c r="BUB10" s="700"/>
      <c r="BUC10" s="700"/>
      <c r="BUD10" s="700"/>
      <c r="BUE10" s="700"/>
      <c r="BUF10" s="700"/>
      <c r="BUG10" s="700"/>
      <c r="BUH10" s="700"/>
      <c r="BUI10" s="700"/>
      <c r="BUJ10" s="700"/>
      <c r="BUK10" s="700"/>
      <c r="BUL10" s="700"/>
      <c r="BUM10" s="700"/>
      <c r="BUN10" s="700"/>
      <c r="BUO10" s="700"/>
      <c r="BUP10" s="700"/>
      <c r="BUQ10" s="700"/>
      <c r="BUR10" s="700"/>
      <c r="BUS10" s="700"/>
      <c r="BUT10" s="700"/>
      <c r="BUU10" s="700"/>
      <c r="BUV10" s="700"/>
      <c r="BUW10" s="700"/>
      <c r="BUX10" s="700"/>
      <c r="BUY10" s="700"/>
      <c r="BUZ10" s="700"/>
      <c r="BVA10" s="700"/>
      <c r="BVB10" s="700"/>
      <c r="BVC10" s="700"/>
      <c r="BVD10" s="700"/>
      <c r="BVE10" s="700"/>
      <c r="BVF10" s="700"/>
      <c r="BVG10" s="700"/>
      <c r="BVH10" s="700"/>
      <c r="BVI10" s="700"/>
      <c r="BVJ10" s="700"/>
      <c r="BVK10" s="700"/>
      <c r="BVL10" s="700"/>
      <c r="BVM10" s="700"/>
      <c r="BVN10" s="700"/>
      <c r="BVO10" s="700"/>
      <c r="BVP10" s="700"/>
      <c r="BVQ10" s="700"/>
      <c r="BVR10" s="700"/>
      <c r="BVS10" s="700"/>
      <c r="BVT10" s="700"/>
      <c r="BVU10" s="700"/>
      <c r="BVV10" s="700"/>
      <c r="BVW10" s="700"/>
      <c r="BVX10" s="700"/>
      <c r="BVY10" s="700"/>
      <c r="BVZ10" s="700"/>
      <c r="BWA10" s="700"/>
      <c r="BWB10" s="700"/>
      <c r="BWC10" s="700"/>
      <c r="BWD10" s="700"/>
      <c r="BWE10" s="700"/>
      <c r="BWF10" s="700"/>
      <c r="BWG10" s="700"/>
      <c r="BWH10" s="700"/>
      <c r="BWI10" s="700"/>
      <c r="BWJ10" s="700"/>
      <c r="BWK10" s="700"/>
      <c r="BWL10" s="700"/>
      <c r="BWM10" s="700"/>
      <c r="BWN10" s="700"/>
      <c r="BWO10" s="700"/>
      <c r="BWP10" s="700"/>
      <c r="BWQ10" s="700"/>
      <c r="BWR10" s="700"/>
      <c r="BWS10" s="700"/>
      <c r="BWT10" s="700"/>
      <c r="BWU10" s="700"/>
      <c r="BWV10" s="700"/>
      <c r="BWW10" s="700"/>
      <c r="BWX10" s="700"/>
      <c r="BWY10" s="700"/>
      <c r="BWZ10" s="700"/>
      <c r="BXA10" s="700"/>
      <c r="BXB10" s="700"/>
      <c r="BXC10" s="700"/>
      <c r="BXD10" s="700"/>
      <c r="BXE10" s="700"/>
      <c r="BXF10" s="700"/>
      <c r="BXG10" s="700"/>
      <c r="BXH10" s="700"/>
      <c r="BXI10" s="700"/>
      <c r="BXJ10" s="700"/>
      <c r="BXK10" s="700"/>
      <c r="BXL10" s="700"/>
      <c r="BXM10" s="700"/>
      <c r="BXN10" s="700"/>
      <c r="BXO10" s="700"/>
      <c r="BXP10" s="700"/>
      <c r="BXQ10" s="700"/>
      <c r="BXR10" s="700"/>
      <c r="BXS10" s="700"/>
      <c r="BXT10" s="700"/>
      <c r="BXU10" s="700"/>
      <c r="BXV10" s="700"/>
      <c r="BXW10" s="700"/>
      <c r="BXX10" s="700"/>
      <c r="BXY10" s="700"/>
      <c r="BXZ10" s="700"/>
    </row>
    <row r="11" spans="1:2002" ht="15">
      <c r="A11" s="717"/>
      <c r="B11" s="706"/>
      <c r="C11" s="730" t="s">
        <v>31</v>
      </c>
      <c r="D11" s="722">
        <f>IS!Q26</f>
        <v>-12000</v>
      </c>
      <c r="E11" s="722">
        <f>IS!P26</f>
        <v>-17000</v>
      </c>
      <c r="F11" s="722">
        <f>IS!O26</f>
        <v>-17000</v>
      </c>
      <c r="G11" s="722">
        <f>IS!N26</f>
        <v>-17000</v>
      </c>
      <c r="H11" s="722">
        <f>IS!M26</f>
        <v>-20000</v>
      </c>
      <c r="I11" s="722">
        <f>-I5*$E$69</f>
        <v>-20388.5</v>
      </c>
      <c r="J11" s="722">
        <f t="shared" ref="J11:L11" si="9">-J5*$E$69</f>
        <v>-24262.314999999999</v>
      </c>
      <c r="K11" s="722">
        <f t="shared" si="9"/>
        <v>-28386.90855</v>
      </c>
      <c r="L11" s="722">
        <f t="shared" si="9"/>
        <v>-32644.944832499998</v>
      </c>
      <c r="M11" s="722">
        <f>-M5*$F$69</f>
        <v>-36888.787660724993</v>
      </c>
      <c r="N11" s="722">
        <f t="shared" ref="N11:Q11" si="10">-N5*$F$69</f>
        <v>-40577.666426797499</v>
      </c>
      <c r="O11" s="722">
        <f t="shared" si="10"/>
        <v>-44229.656405209273</v>
      </c>
      <c r="P11" s="722">
        <f t="shared" si="10"/>
        <v>-48210.325481678119</v>
      </c>
      <c r="Q11" s="722">
        <f t="shared" si="10"/>
        <v>-52067.15152021237</v>
      </c>
      <c r="R11" s="722">
        <f>-R5*G69</f>
        <v>-55711.852126627236</v>
      </c>
      <c r="S11" s="712"/>
      <c r="T11" s="700"/>
      <c r="U11" s="700"/>
      <c r="V11" s="700"/>
      <c r="W11" s="700"/>
      <c r="X11" s="700"/>
      <c r="Y11" s="700"/>
      <c r="Z11" s="700"/>
      <c r="AA11" s="700"/>
      <c r="AB11" s="700"/>
      <c r="AC11" s="700"/>
      <c r="AD11" s="700"/>
      <c r="AE11" s="700"/>
      <c r="AF11" s="700"/>
      <c r="AG11" s="700"/>
      <c r="AH11" s="700"/>
      <c r="AI11" s="700"/>
      <c r="AJ11" s="700"/>
      <c r="AK11" s="700"/>
      <c r="AL11" s="700"/>
      <c r="AM11" s="700"/>
      <c r="AN11" s="700"/>
      <c r="AO11" s="700"/>
      <c r="AP11" s="700"/>
      <c r="AQ11" s="700"/>
      <c r="AR11" s="700"/>
      <c r="AS11" s="700"/>
      <c r="AT11" s="700"/>
      <c r="AU11" s="700"/>
      <c r="AV11" s="700"/>
      <c r="AW11" s="700"/>
      <c r="AX11" s="700"/>
      <c r="AY11" s="700"/>
      <c r="AZ11" s="700"/>
      <c r="BA11" s="700"/>
      <c r="BB11" s="700"/>
      <c r="BC11" s="700"/>
      <c r="BD11" s="700"/>
      <c r="BE11" s="700"/>
      <c r="BF11" s="700"/>
      <c r="BG11" s="700"/>
      <c r="BH11" s="700"/>
      <c r="BI11" s="700"/>
      <c r="BJ11" s="700"/>
      <c r="BK11" s="700"/>
      <c r="BL11" s="700"/>
      <c r="BM11" s="700"/>
      <c r="BN11" s="700"/>
      <c r="BO11" s="700"/>
      <c r="BP11" s="700"/>
      <c r="BQ11" s="700"/>
      <c r="BR11" s="700"/>
      <c r="BS11" s="700"/>
      <c r="BT11" s="700"/>
      <c r="BU11" s="700"/>
      <c r="BV11" s="700"/>
      <c r="BW11" s="700"/>
      <c r="BX11" s="700"/>
      <c r="BY11" s="700"/>
      <c r="BZ11" s="700"/>
      <c r="CA11" s="700"/>
      <c r="CB11" s="700"/>
      <c r="CC11" s="700"/>
      <c r="CD11" s="700"/>
      <c r="CE11" s="700"/>
      <c r="CF11" s="700"/>
      <c r="CG11" s="700"/>
      <c r="CH11" s="700"/>
      <c r="CI11" s="700"/>
      <c r="CJ11" s="700"/>
      <c r="CK11" s="700"/>
      <c r="CL11" s="700"/>
      <c r="CM11" s="700"/>
      <c r="CN11" s="700"/>
      <c r="CO11" s="700"/>
      <c r="CP11" s="700"/>
      <c r="CQ11" s="700"/>
      <c r="CR11" s="700"/>
      <c r="CS11" s="700"/>
      <c r="CT11" s="700"/>
      <c r="CU11" s="700"/>
      <c r="CV11" s="700"/>
      <c r="CW11" s="700"/>
      <c r="CX11" s="700"/>
      <c r="CY11" s="700"/>
      <c r="CZ11" s="700"/>
      <c r="DA11" s="700"/>
      <c r="DB11" s="700"/>
      <c r="DC11" s="700"/>
      <c r="DD11" s="700"/>
      <c r="DE11" s="700"/>
      <c r="DF11" s="700"/>
      <c r="DG11" s="700"/>
      <c r="DH11" s="700"/>
      <c r="DI11" s="700"/>
      <c r="DJ11" s="700"/>
      <c r="DK11" s="700"/>
      <c r="DL11" s="700"/>
      <c r="DM11" s="700"/>
      <c r="DN11" s="700"/>
      <c r="DO11" s="700"/>
      <c r="DP11" s="700"/>
      <c r="DQ11" s="700"/>
      <c r="DR11" s="700"/>
      <c r="DS11" s="700"/>
      <c r="DT11" s="700"/>
      <c r="DU11" s="700"/>
      <c r="DV11" s="700"/>
      <c r="DW11" s="700"/>
      <c r="DX11" s="700"/>
      <c r="DY11" s="700"/>
      <c r="DZ11" s="700"/>
      <c r="EA11" s="700"/>
      <c r="EB11" s="700"/>
      <c r="EC11" s="700"/>
      <c r="ED11" s="700"/>
      <c r="EE11" s="700"/>
      <c r="EF11" s="700"/>
      <c r="EG11" s="700"/>
      <c r="EH11" s="700"/>
      <c r="EI11" s="700"/>
      <c r="EJ11" s="700"/>
      <c r="EK11" s="700"/>
      <c r="EL11" s="700"/>
      <c r="EM11" s="700"/>
      <c r="EN11" s="700"/>
      <c r="EO11" s="700"/>
      <c r="EP11" s="700"/>
      <c r="EQ11" s="700"/>
      <c r="ER11" s="700"/>
      <c r="ES11" s="700"/>
      <c r="ET11" s="700"/>
      <c r="EU11" s="700"/>
      <c r="EV11" s="700"/>
      <c r="EW11" s="700"/>
      <c r="EX11" s="700"/>
      <c r="EY11" s="700"/>
      <c r="EZ11" s="700"/>
      <c r="FA11" s="700"/>
      <c r="FB11" s="700"/>
      <c r="FC11" s="700"/>
      <c r="FD11" s="700"/>
      <c r="FE11" s="700"/>
      <c r="FF11" s="700"/>
      <c r="FG11" s="700"/>
      <c r="FH11" s="700"/>
      <c r="FI11" s="700"/>
      <c r="FJ11" s="700"/>
      <c r="FK11" s="700"/>
      <c r="FL11" s="700"/>
      <c r="FM11" s="700"/>
      <c r="FN11" s="700"/>
      <c r="FO11" s="700"/>
      <c r="FP11" s="700"/>
      <c r="FQ11" s="700"/>
      <c r="FR11" s="700"/>
      <c r="FS11" s="700"/>
      <c r="FT11" s="700"/>
      <c r="FU11" s="700"/>
      <c r="FV11" s="700"/>
      <c r="FW11" s="700"/>
      <c r="FX11" s="700"/>
      <c r="FY11" s="700"/>
      <c r="FZ11" s="700"/>
      <c r="GA11" s="700"/>
      <c r="GB11" s="700"/>
      <c r="GC11" s="700"/>
      <c r="GD11" s="700"/>
      <c r="GE11" s="700"/>
      <c r="GF11" s="700"/>
      <c r="GG11" s="700"/>
      <c r="GH11" s="700"/>
      <c r="GI11" s="700"/>
      <c r="GJ11" s="700"/>
      <c r="GK11" s="700"/>
      <c r="GL11" s="700"/>
      <c r="GM11" s="700"/>
      <c r="GN11" s="700"/>
      <c r="GO11" s="700"/>
      <c r="GP11" s="700"/>
      <c r="GQ11" s="700"/>
      <c r="GR11" s="700"/>
      <c r="GS11" s="700"/>
      <c r="GT11" s="700"/>
      <c r="GU11" s="700"/>
      <c r="GV11" s="700"/>
      <c r="GW11" s="700"/>
      <c r="GX11" s="700"/>
      <c r="GY11" s="700"/>
      <c r="GZ11" s="700"/>
      <c r="HA11" s="700"/>
      <c r="HB11" s="700"/>
      <c r="HC11" s="700"/>
      <c r="HD11" s="700"/>
      <c r="HE11" s="700"/>
      <c r="HF11" s="700"/>
      <c r="HG11" s="700"/>
      <c r="HH11" s="700"/>
      <c r="HI11" s="700"/>
      <c r="HJ11" s="700"/>
      <c r="HK11" s="700"/>
      <c r="HL11" s="700"/>
      <c r="HM11" s="700"/>
      <c r="HN11" s="700"/>
      <c r="HO11" s="700"/>
      <c r="HP11" s="700"/>
      <c r="HQ11" s="700"/>
      <c r="HR11" s="700"/>
      <c r="HS11" s="700"/>
      <c r="HT11" s="700"/>
      <c r="HU11" s="700"/>
      <c r="HV11" s="700"/>
      <c r="HW11" s="700"/>
      <c r="HX11" s="700"/>
      <c r="HY11" s="700"/>
      <c r="HZ11" s="700"/>
      <c r="IA11" s="700"/>
      <c r="IB11" s="700"/>
      <c r="IC11" s="700"/>
      <c r="ID11" s="700"/>
      <c r="IE11" s="700"/>
      <c r="IF11" s="700"/>
      <c r="IG11" s="700"/>
      <c r="IH11" s="700"/>
      <c r="II11" s="700"/>
      <c r="IJ11" s="700"/>
      <c r="IK11" s="700"/>
      <c r="IL11" s="700"/>
      <c r="IM11" s="700"/>
      <c r="IN11" s="700"/>
      <c r="IO11" s="700"/>
      <c r="IP11" s="700"/>
      <c r="IQ11" s="700"/>
      <c r="IR11" s="700"/>
      <c r="IS11" s="700"/>
      <c r="IT11" s="700"/>
      <c r="IU11" s="700"/>
      <c r="IV11" s="700"/>
      <c r="IW11" s="700"/>
      <c r="IX11" s="700"/>
      <c r="IY11" s="700"/>
      <c r="IZ11" s="700"/>
      <c r="JA11" s="700"/>
      <c r="JB11" s="700"/>
      <c r="JC11" s="700"/>
      <c r="JD11" s="700"/>
      <c r="JE11" s="700"/>
      <c r="JF11" s="700"/>
      <c r="JG11" s="700"/>
      <c r="JH11" s="700"/>
      <c r="JI11" s="700"/>
      <c r="JJ11" s="700"/>
      <c r="JK11" s="700"/>
      <c r="JL11" s="700"/>
      <c r="JM11" s="700"/>
      <c r="JN11" s="700"/>
      <c r="JO11" s="700"/>
      <c r="JP11" s="700"/>
      <c r="JQ11" s="700"/>
      <c r="JR11" s="700"/>
      <c r="JS11" s="700"/>
      <c r="JT11" s="700"/>
      <c r="JU11" s="700"/>
      <c r="JV11" s="700"/>
      <c r="JW11" s="700"/>
      <c r="JX11" s="700"/>
      <c r="JY11" s="700"/>
      <c r="JZ11" s="700"/>
      <c r="KA11" s="700"/>
      <c r="KB11" s="700"/>
      <c r="KC11" s="700"/>
      <c r="KD11" s="700"/>
      <c r="KE11" s="700"/>
      <c r="KF11" s="700"/>
      <c r="KG11" s="700"/>
      <c r="KH11" s="700"/>
      <c r="KI11" s="700"/>
      <c r="KJ11" s="700"/>
      <c r="KK11" s="700"/>
      <c r="KL11" s="700"/>
      <c r="KM11" s="700"/>
      <c r="KN11" s="700"/>
      <c r="KO11" s="700"/>
      <c r="KP11" s="700"/>
      <c r="KQ11" s="700"/>
      <c r="KR11" s="700"/>
      <c r="KS11" s="700"/>
      <c r="KT11" s="700"/>
      <c r="KU11" s="700"/>
      <c r="KV11" s="700"/>
      <c r="KW11" s="700"/>
      <c r="KX11" s="700"/>
      <c r="KY11" s="700"/>
      <c r="KZ11" s="700"/>
      <c r="LA11" s="700"/>
      <c r="LB11" s="700"/>
      <c r="LC11" s="700"/>
      <c r="LD11" s="700"/>
      <c r="LE11" s="700"/>
      <c r="LF11" s="700"/>
      <c r="LG11" s="700"/>
      <c r="LH11" s="700"/>
      <c r="LI11" s="700"/>
      <c r="LJ11" s="700"/>
      <c r="LK11" s="700"/>
      <c r="LL11" s="700"/>
      <c r="LM11" s="700"/>
      <c r="LN11" s="700"/>
      <c r="LO11" s="700"/>
      <c r="LP11" s="700"/>
      <c r="LQ11" s="700"/>
      <c r="LR11" s="700"/>
      <c r="LS11" s="700"/>
      <c r="LT11" s="700"/>
      <c r="LU11" s="700"/>
      <c r="LV11" s="700"/>
      <c r="LW11" s="700"/>
      <c r="LX11" s="700"/>
      <c r="LY11" s="700"/>
      <c r="LZ11" s="700"/>
      <c r="MA11" s="700"/>
      <c r="MB11" s="700"/>
      <c r="MC11" s="700"/>
      <c r="MD11" s="700"/>
      <c r="ME11" s="700"/>
      <c r="MF11" s="700"/>
      <c r="MG11" s="700"/>
      <c r="MH11" s="700"/>
      <c r="MI11" s="700"/>
      <c r="MJ11" s="700"/>
      <c r="MK11" s="700"/>
      <c r="ML11" s="700"/>
      <c r="MM11" s="700"/>
      <c r="MN11" s="700"/>
      <c r="MO11" s="700"/>
      <c r="MP11" s="700"/>
      <c r="MQ11" s="700"/>
      <c r="MR11" s="700"/>
      <c r="MS11" s="700"/>
      <c r="MT11" s="700"/>
      <c r="MU11" s="700"/>
      <c r="MV11" s="700"/>
      <c r="MW11" s="700"/>
      <c r="MX11" s="700"/>
      <c r="MY11" s="700"/>
      <c r="MZ11" s="700"/>
      <c r="NA11" s="700"/>
      <c r="NB11" s="700"/>
      <c r="NC11" s="700"/>
      <c r="ND11" s="700"/>
      <c r="NE11" s="700"/>
      <c r="NF11" s="700"/>
      <c r="NG11" s="700"/>
      <c r="NH11" s="700"/>
      <c r="NI11" s="700"/>
      <c r="NJ11" s="700"/>
      <c r="NK11" s="700"/>
      <c r="NL11" s="700"/>
      <c r="NM11" s="700"/>
      <c r="NN11" s="700"/>
      <c r="NO11" s="700"/>
      <c r="NP11" s="700"/>
      <c r="NQ11" s="700"/>
      <c r="NR11" s="700"/>
      <c r="NS11" s="700"/>
      <c r="NT11" s="700"/>
      <c r="NU11" s="700"/>
      <c r="NV11" s="700"/>
      <c r="NW11" s="700"/>
      <c r="NX11" s="700"/>
      <c r="NY11" s="700"/>
      <c r="NZ11" s="700"/>
      <c r="OA11" s="700"/>
      <c r="OB11" s="700"/>
      <c r="OC11" s="700"/>
      <c r="OD11" s="700"/>
      <c r="OE11" s="700"/>
      <c r="OF11" s="700"/>
      <c r="OG11" s="700"/>
      <c r="OH11" s="700"/>
      <c r="OI11" s="700"/>
      <c r="OJ11" s="700"/>
      <c r="OK11" s="700"/>
      <c r="OL11" s="700"/>
      <c r="OM11" s="700"/>
      <c r="ON11" s="700"/>
      <c r="OO11" s="700"/>
      <c r="OP11" s="700"/>
      <c r="OQ11" s="700"/>
      <c r="OR11" s="700"/>
      <c r="OS11" s="700"/>
      <c r="OT11" s="700"/>
      <c r="OU11" s="700"/>
      <c r="OV11" s="700"/>
      <c r="OW11" s="700"/>
      <c r="OX11" s="700"/>
      <c r="OY11" s="700"/>
      <c r="OZ11" s="700"/>
      <c r="PA11" s="700"/>
      <c r="PB11" s="700"/>
      <c r="PC11" s="700"/>
      <c r="PD11" s="700"/>
      <c r="PE11" s="700"/>
      <c r="PF11" s="700"/>
      <c r="PG11" s="700"/>
      <c r="PH11" s="700"/>
      <c r="PI11" s="700"/>
      <c r="PJ11" s="700"/>
      <c r="PK11" s="700"/>
      <c r="PL11" s="700"/>
      <c r="PM11" s="700"/>
      <c r="PN11" s="700"/>
      <c r="PO11" s="700"/>
      <c r="PP11" s="700"/>
      <c r="PQ11" s="700"/>
      <c r="PR11" s="700"/>
      <c r="PS11" s="700"/>
      <c r="PT11" s="700"/>
      <c r="PU11" s="700"/>
      <c r="PV11" s="700"/>
      <c r="PW11" s="700"/>
      <c r="PX11" s="700"/>
      <c r="PY11" s="700"/>
      <c r="PZ11" s="700"/>
      <c r="QA11" s="700"/>
      <c r="QB11" s="700"/>
      <c r="QC11" s="700"/>
      <c r="QD11" s="700"/>
      <c r="QE11" s="700"/>
      <c r="QF11" s="700"/>
      <c r="QG11" s="700"/>
      <c r="QH11" s="700"/>
      <c r="QI11" s="700"/>
      <c r="QJ11" s="700"/>
      <c r="QK11" s="700"/>
      <c r="QL11" s="700"/>
      <c r="QM11" s="700"/>
      <c r="QN11" s="700"/>
      <c r="QO11" s="700"/>
      <c r="QP11" s="700"/>
      <c r="QQ11" s="700"/>
      <c r="QR11" s="700"/>
      <c r="QS11" s="700"/>
      <c r="QT11" s="700"/>
      <c r="QU11" s="700"/>
      <c r="QV11" s="700"/>
      <c r="QW11" s="700"/>
      <c r="QX11" s="700"/>
      <c r="QY11" s="700"/>
      <c r="QZ11" s="700"/>
      <c r="RA11" s="700"/>
      <c r="RB11" s="700"/>
      <c r="RC11" s="700"/>
      <c r="RD11" s="700"/>
      <c r="RE11" s="700"/>
      <c r="RF11" s="700"/>
      <c r="RG11" s="700"/>
      <c r="RH11" s="700"/>
      <c r="RI11" s="700"/>
      <c r="RJ11" s="700"/>
      <c r="RK11" s="700"/>
      <c r="RL11" s="700"/>
      <c r="RM11" s="700"/>
      <c r="RN11" s="700"/>
      <c r="RO11" s="700"/>
      <c r="RP11" s="700"/>
      <c r="RQ11" s="700"/>
      <c r="RR11" s="700"/>
      <c r="RS11" s="700"/>
      <c r="RT11" s="700"/>
      <c r="RU11" s="700"/>
      <c r="RV11" s="700"/>
      <c r="RW11" s="700"/>
      <c r="RX11" s="700"/>
      <c r="RY11" s="700"/>
      <c r="RZ11" s="700"/>
      <c r="SA11" s="700"/>
      <c r="SB11" s="700"/>
      <c r="SC11" s="700"/>
      <c r="SD11" s="700"/>
      <c r="SE11" s="700"/>
      <c r="SF11" s="700"/>
      <c r="SG11" s="700"/>
      <c r="SH11" s="700"/>
      <c r="SI11" s="700"/>
      <c r="SJ11" s="700"/>
      <c r="SK11" s="700"/>
      <c r="SL11" s="700"/>
      <c r="SM11" s="700"/>
      <c r="SN11" s="700"/>
      <c r="SO11" s="700"/>
      <c r="SP11" s="700"/>
      <c r="SQ11" s="700"/>
      <c r="SR11" s="700"/>
      <c r="SS11" s="700"/>
      <c r="ST11" s="700"/>
      <c r="SU11" s="700"/>
      <c r="SV11" s="700"/>
      <c r="SW11" s="700"/>
      <c r="SX11" s="700"/>
      <c r="SY11" s="700"/>
      <c r="SZ11" s="700"/>
      <c r="TA11" s="700"/>
      <c r="TB11" s="700"/>
      <c r="TC11" s="700"/>
      <c r="TD11" s="700"/>
      <c r="TE11" s="700"/>
      <c r="TF11" s="700"/>
      <c r="TG11" s="700"/>
      <c r="TH11" s="700"/>
      <c r="TI11" s="700"/>
      <c r="TJ11" s="700"/>
      <c r="TK11" s="700"/>
      <c r="TL11" s="700"/>
      <c r="TM11" s="700"/>
      <c r="TN11" s="700"/>
      <c r="TO11" s="700"/>
      <c r="TP11" s="700"/>
      <c r="TQ11" s="700"/>
      <c r="TR11" s="700"/>
      <c r="TS11" s="700"/>
      <c r="TT11" s="700"/>
      <c r="TU11" s="700"/>
      <c r="TV11" s="700"/>
      <c r="TW11" s="700"/>
      <c r="TX11" s="700"/>
      <c r="TY11" s="700"/>
      <c r="TZ11" s="700"/>
      <c r="UA11" s="700"/>
      <c r="UB11" s="700"/>
      <c r="UC11" s="700"/>
      <c r="UD11" s="700"/>
      <c r="UE11" s="700"/>
      <c r="UF11" s="700"/>
      <c r="UG11" s="700"/>
      <c r="UH11" s="700"/>
      <c r="UI11" s="700"/>
      <c r="UJ11" s="700"/>
      <c r="UK11" s="700"/>
      <c r="UL11" s="700"/>
      <c r="UM11" s="700"/>
      <c r="UN11" s="700"/>
      <c r="UO11" s="700"/>
      <c r="UP11" s="700"/>
      <c r="UQ11" s="700"/>
      <c r="UR11" s="700"/>
      <c r="US11" s="700"/>
      <c r="UT11" s="700"/>
      <c r="UU11" s="700"/>
      <c r="UV11" s="700"/>
      <c r="UW11" s="700"/>
      <c r="UX11" s="700"/>
      <c r="UY11" s="700"/>
      <c r="UZ11" s="700"/>
      <c r="VA11" s="700"/>
      <c r="VB11" s="700"/>
      <c r="VC11" s="700"/>
      <c r="VD11" s="700"/>
      <c r="VE11" s="700"/>
      <c r="VF11" s="700"/>
      <c r="VG11" s="700"/>
      <c r="VH11" s="700"/>
      <c r="VI11" s="700"/>
      <c r="VJ11" s="700"/>
      <c r="VK11" s="700"/>
      <c r="VL11" s="700"/>
      <c r="VM11" s="700"/>
      <c r="VN11" s="700"/>
      <c r="VO11" s="700"/>
      <c r="VP11" s="700"/>
      <c r="VQ11" s="700"/>
      <c r="VR11" s="700"/>
      <c r="VS11" s="700"/>
      <c r="VT11" s="700"/>
      <c r="VU11" s="700"/>
      <c r="VV11" s="700"/>
      <c r="VW11" s="700"/>
      <c r="VX11" s="700"/>
      <c r="VY11" s="700"/>
      <c r="VZ11" s="700"/>
      <c r="WA11" s="700"/>
      <c r="WB11" s="700"/>
      <c r="WC11" s="700"/>
      <c r="WD11" s="700"/>
      <c r="WE11" s="700"/>
      <c r="WF11" s="700"/>
      <c r="WG11" s="700"/>
      <c r="WH11" s="700"/>
      <c r="WI11" s="700"/>
      <c r="WJ11" s="700"/>
      <c r="WK11" s="700"/>
      <c r="WL11" s="700"/>
      <c r="WM11" s="700"/>
      <c r="WN11" s="700"/>
      <c r="WO11" s="700"/>
      <c r="WP11" s="700"/>
      <c r="WQ11" s="700"/>
      <c r="WR11" s="700"/>
      <c r="WS11" s="700"/>
      <c r="WT11" s="700"/>
      <c r="WU11" s="700"/>
      <c r="WV11" s="700"/>
      <c r="WW11" s="700"/>
      <c r="WX11" s="700"/>
      <c r="WY11" s="700"/>
      <c r="WZ11" s="700"/>
      <c r="XA11" s="700"/>
      <c r="XB11" s="700"/>
      <c r="XC11" s="700"/>
      <c r="XD11" s="700"/>
      <c r="XE11" s="700"/>
      <c r="XF11" s="700"/>
      <c r="XG11" s="700"/>
      <c r="XH11" s="700"/>
      <c r="XI11" s="700"/>
      <c r="XJ11" s="700"/>
      <c r="XK11" s="700"/>
      <c r="XL11" s="700"/>
      <c r="XM11" s="700"/>
      <c r="XN11" s="700"/>
      <c r="XO11" s="700"/>
      <c r="XP11" s="700"/>
      <c r="XQ11" s="700"/>
      <c r="XR11" s="700"/>
      <c r="XS11" s="700"/>
      <c r="XT11" s="700"/>
      <c r="XU11" s="700"/>
      <c r="XV11" s="700"/>
      <c r="XW11" s="700"/>
      <c r="XX11" s="700"/>
      <c r="XY11" s="700"/>
      <c r="XZ11" s="700"/>
      <c r="YA11" s="700"/>
      <c r="YB11" s="700"/>
      <c r="YC11" s="700"/>
      <c r="YD11" s="700"/>
      <c r="YE11" s="700"/>
      <c r="YF11" s="700"/>
      <c r="YG11" s="700"/>
      <c r="YH11" s="700"/>
      <c r="YI11" s="700"/>
      <c r="YJ11" s="700"/>
      <c r="YK11" s="700"/>
      <c r="YL11" s="700"/>
      <c r="YM11" s="700"/>
      <c r="YN11" s="700"/>
      <c r="YO11" s="700"/>
      <c r="YP11" s="700"/>
      <c r="YQ11" s="700"/>
      <c r="YR11" s="700"/>
      <c r="YS11" s="700"/>
      <c r="YT11" s="700"/>
      <c r="YU11" s="700"/>
      <c r="YV11" s="700"/>
      <c r="YW11" s="700"/>
      <c r="YX11" s="700"/>
      <c r="YY11" s="700"/>
      <c r="YZ11" s="700"/>
      <c r="ZA11" s="700"/>
      <c r="ZB11" s="700"/>
      <c r="ZC11" s="700"/>
      <c r="ZD11" s="700"/>
      <c r="ZE11" s="700"/>
      <c r="ZF11" s="700"/>
      <c r="ZG11" s="700"/>
      <c r="ZH11" s="700"/>
      <c r="ZI11" s="700"/>
      <c r="ZJ11" s="700"/>
      <c r="ZK11" s="700"/>
      <c r="ZL11" s="700"/>
      <c r="ZM11" s="700"/>
      <c r="ZN11" s="700"/>
      <c r="ZO11" s="700"/>
      <c r="ZP11" s="700"/>
      <c r="ZQ11" s="700"/>
      <c r="ZR11" s="700"/>
      <c r="ZS11" s="700"/>
      <c r="ZT11" s="700"/>
      <c r="ZU11" s="700"/>
      <c r="ZV11" s="700"/>
      <c r="ZW11" s="700"/>
      <c r="ZX11" s="700"/>
      <c r="ZY11" s="700"/>
      <c r="ZZ11" s="700"/>
      <c r="AAA11" s="700"/>
      <c r="AAB11" s="700"/>
      <c r="AAC11" s="700"/>
      <c r="AAD11" s="700"/>
      <c r="AAE11" s="700"/>
      <c r="AAF11" s="700"/>
      <c r="AAG11" s="700"/>
      <c r="AAH11" s="700"/>
      <c r="AAI11" s="700"/>
      <c r="AAJ11" s="700"/>
      <c r="AAK11" s="700"/>
      <c r="AAL11" s="700"/>
      <c r="AAM11" s="700"/>
      <c r="AAN11" s="700"/>
      <c r="AAO11" s="700"/>
      <c r="AAP11" s="700"/>
      <c r="AAQ11" s="700"/>
      <c r="AAR11" s="700"/>
      <c r="AAS11" s="700"/>
      <c r="AAT11" s="700"/>
      <c r="AAU11" s="700"/>
      <c r="AAV11" s="700"/>
      <c r="AAW11" s="700"/>
      <c r="AAX11" s="700"/>
      <c r="AAY11" s="700"/>
      <c r="AAZ11" s="700"/>
      <c r="ABA11" s="700"/>
      <c r="ABB11" s="700"/>
      <c r="ABC11" s="700"/>
      <c r="ABD11" s="700"/>
      <c r="ABE11" s="700"/>
      <c r="ABF11" s="700"/>
      <c r="ABG11" s="700"/>
      <c r="ABH11" s="700"/>
      <c r="ABI11" s="700"/>
      <c r="ABJ11" s="700"/>
      <c r="ABK11" s="700"/>
      <c r="ABL11" s="700"/>
      <c r="ABM11" s="700"/>
      <c r="ABN11" s="700"/>
      <c r="ABO11" s="700"/>
      <c r="ABP11" s="700"/>
      <c r="ABQ11" s="700"/>
      <c r="ABR11" s="700"/>
      <c r="ABS11" s="700"/>
      <c r="ABT11" s="700"/>
      <c r="ABU11" s="700"/>
      <c r="ABV11" s="700"/>
      <c r="ABW11" s="700"/>
      <c r="ABX11" s="700"/>
      <c r="ABY11" s="700"/>
      <c r="ABZ11" s="700"/>
      <c r="ACA11" s="700"/>
      <c r="ACB11" s="700"/>
      <c r="ACC11" s="700"/>
      <c r="ACD11" s="700"/>
      <c r="ACE11" s="700"/>
      <c r="ACF11" s="700"/>
      <c r="ACG11" s="700"/>
      <c r="ACH11" s="700"/>
      <c r="ACI11" s="700"/>
      <c r="ACJ11" s="700"/>
      <c r="ACK11" s="700"/>
      <c r="ACL11" s="700"/>
      <c r="ACM11" s="700"/>
      <c r="ACN11" s="700"/>
      <c r="ACO11" s="700"/>
      <c r="ACP11" s="700"/>
      <c r="ACQ11" s="700"/>
      <c r="ACR11" s="700"/>
      <c r="ACS11" s="700"/>
      <c r="ACT11" s="700"/>
      <c r="ACU11" s="700"/>
      <c r="ACV11" s="700"/>
      <c r="ACW11" s="700"/>
      <c r="ACX11" s="700"/>
      <c r="ACY11" s="700"/>
      <c r="ACZ11" s="700"/>
      <c r="ADA11" s="700"/>
      <c r="ADB11" s="700"/>
      <c r="ADC11" s="700"/>
      <c r="ADD11" s="700"/>
      <c r="ADE11" s="700"/>
      <c r="ADF11" s="700"/>
      <c r="ADG11" s="700"/>
      <c r="ADH11" s="700"/>
      <c r="ADI11" s="700"/>
      <c r="ADJ11" s="700"/>
      <c r="ADK11" s="700"/>
      <c r="ADL11" s="700"/>
      <c r="ADM11" s="700"/>
      <c r="ADN11" s="700"/>
      <c r="ADO11" s="700"/>
      <c r="ADP11" s="700"/>
      <c r="ADQ11" s="700"/>
      <c r="ADR11" s="700"/>
      <c r="ADS11" s="700"/>
      <c r="ADT11" s="700"/>
      <c r="ADU11" s="700"/>
      <c r="ADV11" s="700"/>
      <c r="ADW11" s="700"/>
      <c r="ADX11" s="700"/>
      <c r="ADY11" s="700"/>
      <c r="ADZ11" s="700"/>
      <c r="AEA11" s="700"/>
      <c r="AEB11" s="700"/>
      <c r="AEC11" s="700"/>
      <c r="AED11" s="700"/>
      <c r="AEE11" s="700"/>
      <c r="AEF11" s="700"/>
      <c r="AEG11" s="700"/>
      <c r="AEH11" s="700"/>
      <c r="AEI11" s="700"/>
      <c r="AEJ11" s="700"/>
      <c r="AEK11" s="700"/>
      <c r="AEL11" s="700"/>
      <c r="AEM11" s="700"/>
      <c r="AEN11" s="700"/>
      <c r="AEO11" s="700"/>
      <c r="AEP11" s="700"/>
      <c r="AEQ11" s="700"/>
      <c r="AER11" s="700"/>
      <c r="AES11" s="700"/>
      <c r="AET11" s="700"/>
      <c r="AEU11" s="700"/>
      <c r="AEV11" s="700"/>
      <c r="AEW11" s="700"/>
      <c r="AEX11" s="700"/>
      <c r="AEY11" s="700"/>
      <c r="AEZ11" s="700"/>
      <c r="AFA11" s="700"/>
      <c r="AFB11" s="700"/>
      <c r="AFC11" s="700"/>
      <c r="AFD11" s="700"/>
      <c r="AFE11" s="700"/>
      <c r="AFF11" s="700"/>
      <c r="AFG11" s="700"/>
      <c r="AFH11" s="700"/>
      <c r="AFI11" s="700"/>
      <c r="AFJ11" s="700"/>
      <c r="AFK11" s="700"/>
      <c r="AFL11" s="700"/>
      <c r="AFM11" s="700"/>
      <c r="AFN11" s="700"/>
      <c r="AFO11" s="700"/>
      <c r="AFP11" s="700"/>
      <c r="AFQ11" s="700"/>
      <c r="AFR11" s="700"/>
      <c r="AFS11" s="700"/>
      <c r="AFT11" s="700"/>
      <c r="AFU11" s="700"/>
      <c r="AFV11" s="700"/>
      <c r="AFW11" s="700"/>
      <c r="AFX11" s="700"/>
      <c r="AFY11" s="700"/>
      <c r="AFZ11" s="700"/>
      <c r="AGA11" s="700"/>
      <c r="AGB11" s="700"/>
      <c r="AGC11" s="700"/>
      <c r="AGD11" s="700"/>
      <c r="AGE11" s="700"/>
      <c r="AGF11" s="700"/>
      <c r="AGG11" s="700"/>
      <c r="AGH11" s="700"/>
      <c r="AGI11" s="700"/>
      <c r="AGJ11" s="700"/>
      <c r="AGK11" s="700"/>
      <c r="AGL11" s="700"/>
      <c r="AGM11" s="700"/>
      <c r="AGN11" s="700"/>
      <c r="AGO11" s="700"/>
      <c r="AGP11" s="700"/>
      <c r="AGQ11" s="700"/>
      <c r="AGR11" s="700"/>
      <c r="AGS11" s="700"/>
      <c r="AGT11" s="700"/>
      <c r="AGU11" s="700"/>
      <c r="AGV11" s="700"/>
      <c r="AGW11" s="700"/>
      <c r="AGX11" s="700"/>
      <c r="AGY11" s="700"/>
      <c r="AGZ11" s="700"/>
      <c r="AHA11" s="700"/>
      <c r="AHB11" s="700"/>
      <c r="AHC11" s="700"/>
      <c r="AHD11" s="700"/>
      <c r="AHE11" s="700"/>
      <c r="AHF11" s="700"/>
      <c r="AHG11" s="700"/>
      <c r="AHH11" s="700"/>
      <c r="AHI11" s="700"/>
      <c r="AHJ11" s="700"/>
      <c r="AHK11" s="700"/>
      <c r="AHL11" s="700"/>
      <c r="AHM11" s="700"/>
      <c r="AHN11" s="700"/>
      <c r="AHO11" s="700"/>
      <c r="AHP11" s="700"/>
      <c r="AHQ11" s="700"/>
      <c r="AHR11" s="700"/>
      <c r="AHS11" s="700"/>
      <c r="AHT11" s="700"/>
      <c r="AHU11" s="700"/>
      <c r="AHV11" s="700"/>
      <c r="AHW11" s="700"/>
      <c r="AHX11" s="700"/>
      <c r="AHY11" s="700"/>
      <c r="AHZ11" s="700"/>
      <c r="AIA11" s="700"/>
      <c r="AIB11" s="700"/>
      <c r="AIC11" s="700"/>
      <c r="AID11" s="700"/>
      <c r="AIE11" s="700"/>
      <c r="AIF11" s="700"/>
      <c r="AIG11" s="700"/>
      <c r="AIH11" s="700"/>
      <c r="AII11" s="700"/>
      <c r="AIJ11" s="700"/>
      <c r="AIK11" s="700"/>
      <c r="AIL11" s="700"/>
      <c r="AIM11" s="700"/>
      <c r="AIN11" s="700"/>
      <c r="AIO11" s="700"/>
      <c r="AIP11" s="700"/>
      <c r="AIQ11" s="700"/>
      <c r="AIR11" s="700"/>
      <c r="AIS11" s="700"/>
      <c r="AIT11" s="700"/>
      <c r="AIU11" s="700"/>
      <c r="AIV11" s="700"/>
      <c r="AIW11" s="700"/>
      <c r="AIX11" s="700"/>
      <c r="AIY11" s="700"/>
      <c r="AIZ11" s="700"/>
      <c r="AJA11" s="700"/>
      <c r="AJB11" s="700"/>
      <c r="AJC11" s="700"/>
      <c r="AJD11" s="700"/>
      <c r="AJE11" s="700"/>
      <c r="AJF11" s="700"/>
      <c r="AJG11" s="700"/>
      <c r="AJH11" s="700"/>
      <c r="AJI11" s="700"/>
      <c r="AJJ11" s="700"/>
      <c r="AJK11" s="700"/>
      <c r="AJL11" s="700"/>
      <c r="AJM11" s="700"/>
      <c r="AJN11" s="700"/>
      <c r="AJO11" s="700"/>
      <c r="AJP11" s="700"/>
      <c r="AJQ11" s="700"/>
      <c r="AJR11" s="700"/>
      <c r="AJS11" s="700"/>
      <c r="AJT11" s="700"/>
      <c r="AJU11" s="700"/>
      <c r="AJV11" s="700"/>
      <c r="AJW11" s="700"/>
      <c r="AJX11" s="700"/>
      <c r="AJY11" s="700"/>
      <c r="AJZ11" s="700"/>
      <c r="AKA11" s="700"/>
      <c r="AKB11" s="700"/>
      <c r="AKC11" s="700"/>
      <c r="AKD11" s="700"/>
      <c r="AKE11" s="700"/>
      <c r="AKF11" s="700"/>
      <c r="AKG11" s="700"/>
      <c r="AKH11" s="700"/>
      <c r="AKI11" s="700"/>
      <c r="AKJ11" s="700"/>
      <c r="AKK11" s="700"/>
      <c r="AKL11" s="700"/>
      <c r="AKM11" s="700"/>
      <c r="AKN11" s="700"/>
      <c r="AKO11" s="700"/>
      <c r="AKP11" s="700"/>
      <c r="AKQ11" s="700"/>
      <c r="AKR11" s="700"/>
      <c r="AKS11" s="700"/>
      <c r="AKT11" s="700"/>
      <c r="AKU11" s="700"/>
      <c r="AKV11" s="700"/>
      <c r="AKW11" s="700"/>
      <c r="AKX11" s="700"/>
      <c r="AKY11" s="700"/>
      <c r="AKZ11" s="700"/>
      <c r="ALA11" s="700"/>
      <c r="ALB11" s="700"/>
      <c r="ALC11" s="700"/>
      <c r="ALD11" s="700"/>
      <c r="ALE11" s="700"/>
      <c r="ALF11" s="700"/>
      <c r="ALG11" s="700"/>
      <c r="ALH11" s="700"/>
      <c r="ALI11" s="700"/>
      <c r="ALJ11" s="700"/>
      <c r="ALK11" s="700"/>
      <c r="ALL11" s="700"/>
      <c r="ALM11" s="700"/>
      <c r="ALN11" s="700"/>
      <c r="ALO11" s="700"/>
      <c r="ALP11" s="700"/>
      <c r="ALQ11" s="700"/>
      <c r="ALR11" s="700"/>
      <c r="ALS11" s="700"/>
      <c r="ALT11" s="700"/>
      <c r="ALU11" s="700"/>
      <c r="ALV11" s="700"/>
      <c r="ALW11" s="700"/>
      <c r="ALX11" s="700"/>
      <c r="ALY11" s="700"/>
      <c r="ALZ11" s="700"/>
      <c r="AMA11" s="700"/>
      <c r="AMB11" s="700"/>
      <c r="AMC11" s="700"/>
      <c r="AMD11" s="700"/>
      <c r="AME11" s="700"/>
      <c r="AMF11" s="700"/>
      <c r="AMG11" s="700"/>
      <c r="AMH11" s="700"/>
      <c r="AMI11" s="700"/>
      <c r="AMJ11" s="700"/>
      <c r="AMK11" s="700"/>
      <c r="AML11" s="700"/>
      <c r="AMM11" s="700"/>
      <c r="AMN11" s="700"/>
      <c r="AMO11" s="700"/>
      <c r="AMP11" s="700"/>
      <c r="AMQ11" s="700"/>
      <c r="AMR11" s="700"/>
      <c r="AMS11" s="700"/>
      <c r="AMT11" s="700"/>
      <c r="AMU11" s="700"/>
      <c r="AMV11" s="700"/>
      <c r="AMW11" s="700"/>
      <c r="AMX11" s="700"/>
      <c r="AMY11" s="700"/>
      <c r="AMZ11" s="700"/>
      <c r="ANA11" s="700"/>
      <c r="ANB11" s="700"/>
      <c r="ANC11" s="700"/>
      <c r="AND11" s="700"/>
      <c r="ANE11" s="700"/>
      <c r="ANF11" s="700"/>
      <c r="ANG11" s="700"/>
      <c r="ANH11" s="700"/>
      <c r="ANI11" s="700"/>
      <c r="ANJ11" s="700"/>
      <c r="ANK11" s="700"/>
      <c r="ANL11" s="700"/>
      <c r="ANM11" s="700"/>
      <c r="ANN11" s="700"/>
      <c r="ANO11" s="700"/>
      <c r="ANP11" s="700"/>
      <c r="ANQ11" s="700"/>
      <c r="ANR11" s="700"/>
      <c r="ANS11" s="700"/>
      <c r="ANT11" s="700"/>
      <c r="ANU11" s="700"/>
      <c r="ANV11" s="700"/>
      <c r="ANW11" s="700"/>
      <c r="ANX11" s="700"/>
      <c r="ANY11" s="700"/>
      <c r="ANZ11" s="700"/>
      <c r="AOA11" s="700"/>
      <c r="AOB11" s="700"/>
      <c r="AOC11" s="700"/>
      <c r="AOD11" s="700"/>
      <c r="AOE11" s="700"/>
      <c r="AOF11" s="700"/>
      <c r="AOG11" s="700"/>
      <c r="AOH11" s="700"/>
      <c r="AOI11" s="700"/>
      <c r="AOJ11" s="700"/>
      <c r="AOK11" s="700"/>
      <c r="AOL11" s="700"/>
      <c r="AOM11" s="700"/>
      <c r="AON11" s="700"/>
      <c r="AOO11" s="700"/>
      <c r="AOP11" s="700"/>
      <c r="AOQ11" s="700"/>
      <c r="AOR11" s="700"/>
      <c r="AOS11" s="700"/>
      <c r="AOT11" s="700"/>
      <c r="AOU11" s="700"/>
      <c r="AOV11" s="700"/>
      <c r="AOW11" s="700"/>
      <c r="AOX11" s="700"/>
      <c r="AOY11" s="700"/>
      <c r="AOZ11" s="700"/>
      <c r="APA11" s="700"/>
      <c r="APB11" s="700"/>
      <c r="APC11" s="700"/>
      <c r="APD11" s="700"/>
      <c r="APE11" s="700"/>
      <c r="APF11" s="700"/>
      <c r="APG11" s="700"/>
      <c r="APH11" s="700"/>
      <c r="API11" s="700"/>
      <c r="APJ11" s="700"/>
      <c r="APK11" s="700"/>
      <c r="APL11" s="700"/>
      <c r="APM11" s="700"/>
      <c r="APN11" s="700"/>
      <c r="APO11" s="700"/>
      <c r="APP11" s="700"/>
      <c r="APQ11" s="700"/>
      <c r="APR11" s="700"/>
      <c r="APS11" s="700"/>
      <c r="APT11" s="700"/>
      <c r="APU11" s="700"/>
      <c r="APV11" s="700"/>
      <c r="APW11" s="700"/>
      <c r="APX11" s="700"/>
      <c r="APY11" s="700"/>
      <c r="APZ11" s="700"/>
      <c r="AQA11" s="700"/>
      <c r="AQB11" s="700"/>
      <c r="AQC11" s="700"/>
      <c r="AQD11" s="700"/>
      <c r="AQE11" s="700"/>
      <c r="AQF11" s="700"/>
      <c r="AQG11" s="700"/>
      <c r="AQH11" s="700"/>
      <c r="AQI11" s="700"/>
      <c r="AQJ11" s="700"/>
      <c r="AQK11" s="700"/>
      <c r="AQL11" s="700"/>
      <c r="AQM11" s="700"/>
      <c r="AQN11" s="700"/>
      <c r="AQO11" s="700"/>
      <c r="AQP11" s="700"/>
      <c r="AQQ11" s="700"/>
      <c r="AQR11" s="700"/>
      <c r="AQS11" s="700"/>
      <c r="AQT11" s="700"/>
      <c r="AQU11" s="700"/>
      <c r="AQV11" s="700"/>
      <c r="AQW11" s="700"/>
      <c r="AQX11" s="700"/>
      <c r="AQY11" s="700"/>
      <c r="AQZ11" s="700"/>
      <c r="ARA11" s="700"/>
      <c r="ARB11" s="700"/>
      <c r="ARC11" s="700"/>
      <c r="ARD11" s="700"/>
      <c r="ARE11" s="700"/>
      <c r="ARF11" s="700"/>
      <c r="ARG11" s="700"/>
      <c r="ARH11" s="700"/>
      <c r="ARI11" s="700"/>
      <c r="ARJ11" s="700"/>
      <c r="ARK11" s="700"/>
      <c r="ARL11" s="700"/>
      <c r="ARM11" s="700"/>
      <c r="ARN11" s="700"/>
      <c r="ARO11" s="700"/>
      <c r="ARP11" s="700"/>
      <c r="ARQ11" s="700"/>
      <c r="ARR11" s="700"/>
      <c r="ARS11" s="700"/>
      <c r="ART11" s="700"/>
      <c r="ARU11" s="700"/>
      <c r="ARV11" s="700"/>
      <c r="ARW11" s="700"/>
      <c r="ARX11" s="700"/>
      <c r="ARY11" s="700"/>
      <c r="ARZ11" s="700"/>
      <c r="ASA11" s="700"/>
      <c r="ASB11" s="700"/>
      <c r="ASC11" s="700"/>
      <c r="ASD11" s="700"/>
      <c r="ASE11" s="700"/>
      <c r="ASF11" s="700"/>
      <c r="ASG11" s="700"/>
      <c r="ASH11" s="700"/>
      <c r="ASI11" s="700"/>
      <c r="ASJ11" s="700"/>
      <c r="ASK11" s="700"/>
      <c r="ASL11" s="700"/>
      <c r="ASM11" s="700"/>
      <c r="ASN11" s="700"/>
      <c r="ASO11" s="700"/>
      <c r="ASP11" s="700"/>
      <c r="ASQ11" s="700"/>
      <c r="ASR11" s="700"/>
      <c r="ASS11" s="700"/>
      <c r="AST11" s="700"/>
      <c r="ASU11" s="700"/>
      <c r="ASV11" s="700"/>
      <c r="ASW11" s="700"/>
      <c r="ASX11" s="700"/>
      <c r="ASY11" s="700"/>
      <c r="ASZ11" s="700"/>
      <c r="ATA11" s="700"/>
      <c r="ATB11" s="700"/>
      <c r="ATC11" s="700"/>
      <c r="ATD11" s="700"/>
      <c r="ATE11" s="700"/>
      <c r="ATF11" s="700"/>
      <c r="ATG11" s="700"/>
      <c r="ATH11" s="700"/>
      <c r="ATI11" s="700"/>
      <c r="ATJ11" s="700"/>
      <c r="ATK11" s="700"/>
      <c r="ATL11" s="700"/>
      <c r="ATM11" s="700"/>
      <c r="ATN11" s="700"/>
      <c r="ATO11" s="700"/>
      <c r="ATP11" s="700"/>
      <c r="ATQ11" s="700"/>
      <c r="ATR11" s="700"/>
      <c r="ATS11" s="700"/>
      <c r="ATT11" s="700"/>
      <c r="ATU11" s="700"/>
      <c r="ATV11" s="700"/>
      <c r="ATW11" s="700"/>
      <c r="ATX11" s="700"/>
      <c r="ATY11" s="700"/>
      <c r="ATZ11" s="700"/>
      <c r="AUA11" s="700"/>
      <c r="AUB11" s="700"/>
      <c r="AUC11" s="700"/>
      <c r="AUD11" s="700"/>
      <c r="AUE11" s="700"/>
      <c r="AUF11" s="700"/>
      <c r="AUG11" s="700"/>
      <c r="AUH11" s="700"/>
      <c r="AUI11" s="700"/>
      <c r="AUJ11" s="700"/>
      <c r="AUK11" s="700"/>
      <c r="AUL11" s="700"/>
      <c r="AUM11" s="700"/>
      <c r="AUN11" s="700"/>
      <c r="AUO11" s="700"/>
      <c r="AUP11" s="700"/>
      <c r="AUQ11" s="700"/>
      <c r="AUR11" s="700"/>
      <c r="AUS11" s="700"/>
      <c r="AUT11" s="700"/>
      <c r="AUU11" s="700"/>
      <c r="AUV11" s="700"/>
      <c r="AUW11" s="700"/>
      <c r="AUX11" s="700"/>
      <c r="AUY11" s="700"/>
      <c r="AUZ11" s="700"/>
      <c r="AVA11" s="700"/>
      <c r="AVB11" s="700"/>
      <c r="AVC11" s="700"/>
      <c r="AVD11" s="700"/>
      <c r="AVE11" s="700"/>
      <c r="AVF11" s="700"/>
      <c r="AVG11" s="700"/>
      <c r="AVH11" s="700"/>
      <c r="AVI11" s="700"/>
      <c r="AVJ11" s="700"/>
      <c r="AVK11" s="700"/>
      <c r="AVL11" s="700"/>
      <c r="AVM11" s="700"/>
      <c r="AVN11" s="700"/>
      <c r="AVO11" s="700"/>
      <c r="AVP11" s="700"/>
      <c r="AVQ11" s="700"/>
      <c r="AVR11" s="700"/>
      <c r="AVS11" s="700"/>
      <c r="AVT11" s="700"/>
      <c r="AVU11" s="700"/>
      <c r="AVV11" s="700"/>
      <c r="AVW11" s="700"/>
      <c r="AVX11" s="700"/>
      <c r="AVY11" s="700"/>
      <c r="AVZ11" s="700"/>
      <c r="AWA11" s="700"/>
      <c r="AWB11" s="700"/>
      <c r="AWC11" s="700"/>
      <c r="AWD11" s="700"/>
      <c r="AWE11" s="700"/>
      <c r="AWF11" s="700"/>
      <c r="AWG11" s="700"/>
      <c r="AWH11" s="700"/>
      <c r="AWI11" s="700"/>
      <c r="AWJ11" s="700"/>
      <c r="AWK11" s="700"/>
      <c r="AWL11" s="700"/>
      <c r="AWM11" s="700"/>
      <c r="AWN11" s="700"/>
      <c r="AWO11" s="700"/>
      <c r="AWP11" s="700"/>
      <c r="AWQ11" s="700"/>
      <c r="AWR11" s="700"/>
      <c r="AWS11" s="700"/>
      <c r="AWT11" s="700"/>
      <c r="AWU11" s="700"/>
      <c r="AWV11" s="700"/>
      <c r="AWW11" s="700"/>
      <c r="AWX11" s="700"/>
      <c r="AWY11" s="700"/>
      <c r="AWZ11" s="700"/>
      <c r="AXA11" s="700"/>
      <c r="AXB11" s="700"/>
      <c r="AXC11" s="700"/>
      <c r="AXD11" s="700"/>
      <c r="AXE11" s="700"/>
      <c r="AXF11" s="700"/>
      <c r="AXG11" s="700"/>
      <c r="AXH11" s="700"/>
      <c r="AXI11" s="700"/>
      <c r="AXJ11" s="700"/>
      <c r="AXK11" s="700"/>
      <c r="AXL11" s="700"/>
      <c r="AXM11" s="700"/>
      <c r="AXN11" s="700"/>
      <c r="AXO11" s="700"/>
      <c r="AXP11" s="700"/>
      <c r="AXQ11" s="700"/>
      <c r="AXR11" s="700"/>
      <c r="AXS11" s="700"/>
      <c r="AXT11" s="700"/>
      <c r="AXU11" s="700"/>
      <c r="AXV11" s="700"/>
      <c r="AXW11" s="700"/>
      <c r="AXX11" s="700"/>
      <c r="AXY11" s="700"/>
      <c r="AXZ11" s="700"/>
      <c r="AYA11" s="700"/>
      <c r="AYB11" s="700"/>
      <c r="AYC11" s="700"/>
      <c r="AYD11" s="700"/>
      <c r="AYE11" s="700"/>
      <c r="AYF11" s="700"/>
      <c r="AYG11" s="700"/>
      <c r="AYH11" s="700"/>
      <c r="AYI11" s="700"/>
      <c r="AYJ11" s="700"/>
      <c r="AYK11" s="700"/>
      <c r="AYL11" s="700"/>
      <c r="AYM11" s="700"/>
      <c r="AYN11" s="700"/>
      <c r="AYO11" s="700"/>
      <c r="AYP11" s="700"/>
      <c r="AYQ11" s="700"/>
      <c r="AYR11" s="700"/>
      <c r="AYS11" s="700"/>
      <c r="AYT11" s="700"/>
      <c r="AYU11" s="700"/>
      <c r="AYV11" s="700"/>
      <c r="AYW11" s="700"/>
      <c r="AYX11" s="700"/>
      <c r="AYY11" s="700"/>
      <c r="AYZ11" s="700"/>
      <c r="AZA11" s="700"/>
      <c r="AZB11" s="700"/>
      <c r="AZC11" s="700"/>
      <c r="AZD11" s="700"/>
      <c r="AZE11" s="700"/>
      <c r="AZF11" s="700"/>
      <c r="AZG11" s="700"/>
      <c r="AZH11" s="700"/>
      <c r="AZI11" s="700"/>
      <c r="AZJ11" s="700"/>
      <c r="AZK11" s="700"/>
      <c r="AZL11" s="700"/>
      <c r="AZM11" s="700"/>
      <c r="AZN11" s="700"/>
      <c r="AZO11" s="700"/>
      <c r="AZP11" s="700"/>
      <c r="AZQ11" s="700"/>
      <c r="AZR11" s="700"/>
      <c r="AZS11" s="700"/>
      <c r="AZT11" s="700"/>
      <c r="AZU11" s="700"/>
      <c r="AZV11" s="700"/>
      <c r="AZW11" s="700"/>
      <c r="AZX11" s="700"/>
      <c r="AZY11" s="700"/>
      <c r="AZZ11" s="700"/>
      <c r="BAA11" s="700"/>
      <c r="BAB11" s="700"/>
      <c r="BAC11" s="700"/>
      <c r="BAD11" s="700"/>
      <c r="BAE11" s="700"/>
      <c r="BAF11" s="700"/>
      <c r="BAG11" s="700"/>
      <c r="BAH11" s="700"/>
      <c r="BAI11" s="700"/>
      <c r="BAJ11" s="700"/>
      <c r="BAK11" s="700"/>
      <c r="BAL11" s="700"/>
      <c r="BAM11" s="700"/>
      <c r="BAN11" s="700"/>
      <c r="BAO11" s="700"/>
      <c r="BAP11" s="700"/>
      <c r="BAQ11" s="700"/>
      <c r="BAR11" s="700"/>
      <c r="BAS11" s="700"/>
      <c r="BAT11" s="700"/>
      <c r="BAU11" s="700"/>
      <c r="BAV11" s="700"/>
      <c r="BAW11" s="700"/>
      <c r="BAX11" s="700"/>
      <c r="BAY11" s="700"/>
      <c r="BAZ11" s="700"/>
      <c r="BBA11" s="700"/>
      <c r="BBB11" s="700"/>
      <c r="BBC11" s="700"/>
      <c r="BBD11" s="700"/>
      <c r="BBE11" s="700"/>
      <c r="BBF11" s="700"/>
      <c r="BBG11" s="700"/>
      <c r="BBH11" s="700"/>
      <c r="BBI11" s="700"/>
      <c r="BBJ11" s="700"/>
      <c r="BBK11" s="700"/>
      <c r="BBL11" s="700"/>
      <c r="BBM11" s="700"/>
      <c r="BBN11" s="700"/>
      <c r="BBO11" s="700"/>
      <c r="BBP11" s="700"/>
      <c r="BBQ11" s="700"/>
      <c r="BBR11" s="700"/>
      <c r="BBS11" s="700"/>
      <c r="BBT11" s="700"/>
      <c r="BBU11" s="700"/>
      <c r="BBV11" s="700"/>
      <c r="BBW11" s="700"/>
      <c r="BBX11" s="700"/>
      <c r="BBY11" s="700"/>
      <c r="BBZ11" s="700"/>
      <c r="BCA11" s="700"/>
      <c r="BCB11" s="700"/>
      <c r="BCC11" s="700"/>
      <c r="BCD11" s="700"/>
      <c r="BCE11" s="700"/>
      <c r="BCF11" s="700"/>
      <c r="BCG11" s="700"/>
      <c r="BCH11" s="700"/>
      <c r="BCI11" s="700"/>
      <c r="BCJ11" s="700"/>
      <c r="BCK11" s="700"/>
      <c r="BCL11" s="700"/>
      <c r="BCM11" s="700"/>
      <c r="BCN11" s="700"/>
      <c r="BCO11" s="700"/>
      <c r="BCP11" s="700"/>
      <c r="BCQ11" s="700"/>
      <c r="BCR11" s="700"/>
      <c r="BCS11" s="700"/>
      <c r="BCT11" s="700"/>
      <c r="BCU11" s="700"/>
      <c r="BCV11" s="700"/>
      <c r="BCW11" s="700"/>
      <c r="BCX11" s="700"/>
      <c r="BCY11" s="700"/>
      <c r="BCZ11" s="700"/>
      <c r="BDA11" s="700"/>
      <c r="BDB11" s="700"/>
      <c r="BDC11" s="700"/>
      <c r="BDD11" s="700"/>
      <c r="BDE11" s="700"/>
      <c r="BDF11" s="700"/>
      <c r="BDG11" s="700"/>
      <c r="BDH11" s="700"/>
      <c r="BDI11" s="700"/>
      <c r="BDJ11" s="700"/>
      <c r="BDK11" s="700"/>
      <c r="BDL11" s="700"/>
      <c r="BDM11" s="700"/>
      <c r="BDN11" s="700"/>
      <c r="BDO11" s="700"/>
      <c r="BDP11" s="700"/>
      <c r="BDQ11" s="700"/>
      <c r="BDR11" s="700"/>
      <c r="BDS11" s="700"/>
      <c r="BDT11" s="700"/>
      <c r="BDU11" s="700"/>
      <c r="BDV11" s="700"/>
      <c r="BDW11" s="700"/>
      <c r="BDX11" s="700"/>
      <c r="BDY11" s="700"/>
      <c r="BDZ11" s="700"/>
      <c r="BEA11" s="700"/>
      <c r="BEB11" s="700"/>
      <c r="BEC11" s="700"/>
      <c r="BED11" s="700"/>
      <c r="BEE11" s="700"/>
      <c r="BEF11" s="700"/>
      <c r="BEG11" s="700"/>
      <c r="BEH11" s="700"/>
      <c r="BEI11" s="700"/>
      <c r="BEJ11" s="700"/>
      <c r="BEK11" s="700"/>
      <c r="BEL11" s="700"/>
      <c r="BEM11" s="700"/>
      <c r="BEN11" s="700"/>
      <c r="BEO11" s="700"/>
      <c r="BEP11" s="700"/>
      <c r="BEQ11" s="700"/>
      <c r="BER11" s="700"/>
      <c r="BES11" s="700"/>
      <c r="BET11" s="700"/>
      <c r="BEU11" s="700"/>
      <c r="BEV11" s="700"/>
      <c r="BEW11" s="700"/>
      <c r="BEX11" s="700"/>
      <c r="BEY11" s="700"/>
      <c r="BEZ11" s="700"/>
      <c r="BFA11" s="700"/>
      <c r="BFB11" s="700"/>
      <c r="BFC11" s="700"/>
      <c r="BFD11" s="700"/>
      <c r="BFE11" s="700"/>
      <c r="BFF11" s="700"/>
      <c r="BFG11" s="700"/>
      <c r="BFH11" s="700"/>
      <c r="BFI11" s="700"/>
      <c r="BFJ11" s="700"/>
      <c r="BFK11" s="700"/>
      <c r="BFL11" s="700"/>
      <c r="BFM11" s="700"/>
      <c r="BFN11" s="700"/>
      <c r="BFO11" s="700"/>
      <c r="BFP11" s="700"/>
      <c r="BFQ11" s="700"/>
      <c r="BFR11" s="700"/>
      <c r="BFS11" s="700"/>
      <c r="BFT11" s="700"/>
      <c r="BFU11" s="700"/>
      <c r="BFV11" s="700"/>
      <c r="BFW11" s="700"/>
      <c r="BFX11" s="700"/>
      <c r="BFY11" s="700"/>
      <c r="BFZ11" s="700"/>
      <c r="BGA11" s="700"/>
      <c r="BGB11" s="700"/>
      <c r="BGC11" s="700"/>
      <c r="BGD11" s="700"/>
      <c r="BGE11" s="700"/>
      <c r="BGF11" s="700"/>
      <c r="BGG11" s="700"/>
      <c r="BGH11" s="700"/>
      <c r="BGI11" s="700"/>
      <c r="BGJ11" s="700"/>
      <c r="BGK11" s="700"/>
      <c r="BGL11" s="700"/>
      <c r="BGM11" s="700"/>
      <c r="BGN11" s="700"/>
      <c r="BGO11" s="700"/>
      <c r="BGP11" s="700"/>
      <c r="BGQ11" s="700"/>
      <c r="BGR11" s="700"/>
      <c r="BGS11" s="700"/>
      <c r="BGT11" s="700"/>
      <c r="BGU11" s="700"/>
      <c r="BGV11" s="700"/>
      <c r="BGW11" s="700"/>
      <c r="BGX11" s="700"/>
      <c r="BGY11" s="700"/>
      <c r="BGZ11" s="700"/>
      <c r="BHA11" s="700"/>
      <c r="BHB11" s="700"/>
      <c r="BHC11" s="700"/>
      <c r="BHD11" s="700"/>
      <c r="BHE11" s="700"/>
      <c r="BHF11" s="700"/>
      <c r="BHG11" s="700"/>
      <c r="BHH11" s="700"/>
      <c r="BHI11" s="700"/>
      <c r="BHJ11" s="700"/>
      <c r="BHK11" s="700"/>
      <c r="BHL11" s="700"/>
      <c r="BHM11" s="700"/>
      <c r="BHN11" s="700"/>
      <c r="BHO11" s="700"/>
      <c r="BHP11" s="700"/>
      <c r="BHQ11" s="700"/>
      <c r="BHR11" s="700"/>
      <c r="BHS11" s="700"/>
      <c r="BHT11" s="700"/>
      <c r="BHU11" s="700"/>
      <c r="BHV11" s="700"/>
      <c r="BHW11" s="700"/>
      <c r="BHX11" s="700"/>
      <c r="BHY11" s="700"/>
      <c r="BHZ11" s="700"/>
      <c r="BIA11" s="700"/>
      <c r="BIB11" s="700"/>
      <c r="BIC11" s="700"/>
      <c r="BID11" s="700"/>
      <c r="BIE11" s="700"/>
      <c r="BIF11" s="700"/>
      <c r="BIG11" s="700"/>
      <c r="BIH11" s="700"/>
      <c r="BII11" s="700"/>
      <c r="BIJ11" s="700"/>
      <c r="BIK11" s="700"/>
      <c r="BIL11" s="700"/>
      <c r="BIM11" s="700"/>
      <c r="BIN11" s="700"/>
      <c r="BIO11" s="700"/>
      <c r="BIP11" s="700"/>
      <c r="BIQ11" s="700"/>
      <c r="BIR11" s="700"/>
      <c r="BIS11" s="700"/>
      <c r="BIT11" s="700"/>
      <c r="BIU11" s="700"/>
      <c r="BIV11" s="700"/>
      <c r="BIW11" s="700"/>
      <c r="BIX11" s="700"/>
      <c r="BIY11" s="700"/>
      <c r="BIZ11" s="700"/>
      <c r="BJA11" s="700"/>
      <c r="BJB11" s="700"/>
      <c r="BJC11" s="700"/>
      <c r="BJD11" s="700"/>
      <c r="BJE11" s="700"/>
      <c r="BJF11" s="700"/>
      <c r="BJG11" s="700"/>
      <c r="BJH11" s="700"/>
      <c r="BJI11" s="700"/>
      <c r="BJJ11" s="700"/>
      <c r="BJK11" s="700"/>
      <c r="BJL11" s="700"/>
      <c r="BJM11" s="700"/>
      <c r="BJN11" s="700"/>
      <c r="BJO11" s="700"/>
      <c r="BJP11" s="700"/>
      <c r="BJQ11" s="700"/>
      <c r="BJR11" s="700"/>
      <c r="BJS11" s="700"/>
      <c r="BJT11" s="700"/>
      <c r="BJU11" s="700"/>
      <c r="BJV11" s="700"/>
      <c r="BJW11" s="700"/>
      <c r="BJX11" s="700"/>
      <c r="BJY11" s="700"/>
      <c r="BJZ11" s="700"/>
      <c r="BKA11" s="700"/>
      <c r="BKB11" s="700"/>
      <c r="BKC11" s="700"/>
      <c r="BKD11" s="700"/>
      <c r="BKE11" s="700"/>
      <c r="BKF11" s="700"/>
      <c r="BKG11" s="700"/>
      <c r="BKH11" s="700"/>
      <c r="BKI11" s="700"/>
      <c r="BKJ11" s="700"/>
      <c r="BKK11" s="700"/>
      <c r="BKL11" s="700"/>
      <c r="BKM11" s="700"/>
      <c r="BKN11" s="700"/>
      <c r="BKO11" s="700"/>
      <c r="BKP11" s="700"/>
      <c r="BKQ11" s="700"/>
      <c r="BKR11" s="700"/>
      <c r="BKS11" s="700"/>
      <c r="BKT11" s="700"/>
      <c r="BKU11" s="700"/>
      <c r="BKV11" s="700"/>
      <c r="BKW11" s="700"/>
      <c r="BKX11" s="700"/>
      <c r="BKY11" s="700"/>
      <c r="BKZ11" s="700"/>
      <c r="BLA11" s="700"/>
      <c r="BLB11" s="700"/>
      <c r="BLC11" s="700"/>
      <c r="BLD11" s="700"/>
      <c r="BLE11" s="700"/>
      <c r="BLF11" s="700"/>
      <c r="BLG11" s="700"/>
      <c r="BLH11" s="700"/>
      <c r="BLI11" s="700"/>
      <c r="BLJ11" s="700"/>
      <c r="BLK11" s="700"/>
      <c r="BLL11" s="700"/>
      <c r="BLM11" s="700"/>
      <c r="BLN11" s="700"/>
      <c r="BLO11" s="700"/>
      <c r="BLP11" s="700"/>
      <c r="BLQ11" s="700"/>
      <c r="BLR11" s="700"/>
      <c r="BLS11" s="700"/>
      <c r="BLT11" s="700"/>
      <c r="BLU11" s="700"/>
      <c r="BLV11" s="700"/>
      <c r="BLW11" s="700"/>
      <c r="BLX11" s="700"/>
      <c r="BLY11" s="700"/>
      <c r="BLZ11" s="700"/>
      <c r="BMA11" s="700"/>
      <c r="BMB11" s="700"/>
      <c r="BMC11" s="700"/>
      <c r="BMD11" s="700"/>
      <c r="BME11" s="700"/>
      <c r="BMF11" s="700"/>
      <c r="BMG11" s="700"/>
      <c r="BMH11" s="700"/>
      <c r="BMI11" s="700"/>
      <c r="BMJ11" s="700"/>
      <c r="BMK11" s="700"/>
      <c r="BML11" s="700"/>
      <c r="BMM11" s="700"/>
      <c r="BMN11" s="700"/>
      <c r="BMO11" s="700"/>
      <c r="BMP11" s="700"/>
      <c r="BMQ11" s="700"/>
      <c r="BMR11" s="700"/>
      <c r="BMS11" s="700"/>
      <c r="BMT11" s="700"/>
      <c r="BMU11" s="700"/>
      <c r="BMV11" s="700"/>
      <c r="BMW11" s="700"/>
      <c r="BMX11" s="700"/>
      <c r="BMY11" s="700"/>
      <c r="BMZ11" s="700"/>
      <c r="BNA11" s="700"/>
      <c r="BNB11" s="700"/>
      <c r="BNC11" s="700"/>
      <c r="BND11" s="700"/>
      <c r="BNE11" s="700"/>
      <c r="BNF11" s="700"/>
      <c r="BNG11" s="700"/>
      <c r="BNH11" s="700"/>
      <c r="BNI11" s="700"/>
      <c r="BNJ11" s="700"/>
      <c r="BNK11" s="700"/>
      <c r="BNL11" s="700"/>
      <c r="BNM11" s="700"/>
      <c r="BNN11" s="700"/>
      <c r="BNO11" s="700"/>
      <c r="BNP11" s="700"/>
      <c r="BNQ11" s="700"/>
      <c r="BNR11" s="700"/>
      <c r="BNS11" s="700"/>
      <c r="BNT11" s="700"/>
      <c r="BNU11" s="700"/>
      <c r="BNV11" s="700"/>
      <c r="BNW11" s="700"/>
      <c r="BNX11" s="700"/>
      <c r="BNY11" s="700"/>
      <c r="BNZ11" s="700"/>
      <c r="BOA11" s="700"/>
      <c r="BOB11" s="700"/>
      <c r="BOC11" s="700"/>
      <c r="BOD11" s="700"/>
      <c r="BOE11" s="700"/>
      <c r="BOF11" s="700"/>
      <c r="BOG11" s="700"/>
      <c r="BOH11" s="700"/>
      <c r="BOI11" s="700"/>
      <c r="BOJ11" s="700"/>
      <c r="BOK11" s="700"/>
      <c r="BOL11" s="700"/>
      <c r="BOM11" s="700"/>
      <c r="BON11" s="700"/>
      <c r="BOO11" s="700"/>
      <c r="BOP11" s="700"/>
      <c r="BOQ11" s="700"/>
      <c r="BOR11" s="700"/>
      <c r="BOS11" s="700"/>
      <c r="BOT11" s="700"/>
      <c r="BOU11" s="700"/>
      <c r="BOV11" s="700"/>
      <c r="BOW11" s="700"/>
      <c r="BOX11" s="700"/>
      <c r="BOY11" s="700"/>
      <c r="BOZ11" s="700"/>
      <c r="BPA11" s="700"/>
      <c r="BPB11" s="700"/>
      <c r="BPC11" s="700"/>
      <c r="BPD11" s="700"/>
      <c r="BPE11" s="700"/>
      <c r="BPF11" s="700"/>
      <c r="BPG11" s="700"/>
      <c r="BPH11" s="700"/>
      <c r="BPI11" s="700"/>
      <c r="BPJ11" s="700"/>
      <c r="BPK11" s="700"/>
      <c r="BPL11" s="700"/>
      <c r="BPM11" s="700"/>
      <c r="BPN11" s="700"/>
      <c r="BPO11" s="700"/>
      <c r="BPP11" s="700"/>
      <c r="BPQ11" s="700"/>
      <c r="BPR11" s="700"/>
      <c r="BPS11" s="700"/>
      <c r="BPT11" s="700"/>
      <c r="BPU11" s="700"/>
      <c r="BPV11" s="700"/>
      <c r="BPW11" s="700"/>
      <c r="BPX11" s="700"/>
      <c r="BPY11" s="700"/>
      <c r="BPZ11" s="700"/>
      <c r="BQA11" s="700"/>
      <c r="BQB11" s="700"/>
      <c r="BQC11" s="700"/>
      <c r="BQD11" s="700"/>
      <c r="BQE11" s="700"/>
      <c r="BQF11" s="700"/>
      <c r="BQG11" s="700"/>
      <c r="BQH11" s="700"/>
      <c r="BQI11" s="700"/>
      <c r="BQJ11" s="700"/>
      <c r="BQK11" s="700"/>
      <c r="BQL11" s="700"/>
      <c r="BQM11" s="700"/>
      <c r="BQN11" s="700"/>
      <c r="BQO11" s="700"/>
      <c r="BQP11" s="700"/>
      <c r="BQQ11" s="700"/>
      <c r="BQR11" s="700"/>
      <c r="BQS11" s="700"/>
      <c r="BQT11" s="700"/>
      <c r="BQU11" s="700"/>
      <c r="BQV11" s="700"/>
      <c r="BQW11" s="700"/>
      <c r="BQX11" s="700"/>
      <c r="BQY11" s="700"/>
      <c r="BQZ11" s="700"/>
      <c r="BRA11" s="700"/>
      <c r="BRB11" s="700"/>
      <c r="BRC11" s="700"/>
      <c r="BRD11" s="700"/>
      <c r="BRE11" s="700"/>
      <c r="BRF11" s="700"/>
      <c r="BRG11" s="700"/>
      <c r="BRH11" s="700"/>
      <c r="BRI11" s="700"/>
      <c r="BRJ11" s="700"/>
      <c r="BRK11" s="700"/>
      <c r="BRL11" s="700"/>
      <c r="BRM11" s="700"/>
      <c r="BRN11" s="700"/>
      <c r="BRO11" s="700"/>
      <c r="BRP11" s="700"/>
      <c r="BRQ11" s="700"/>
      <c r="BRR11" s="700"/>
      <c r="BRS11" s="700"/>
      <c r="BRT11" s="700"/>
      <c r="BRU11" s="700"/>
      <c r="BRV11" s="700"/>
      <c r="BRW11" s="700"/>
      <c r="BRX11" s="700"/>
      <c r="BRY11" s="700"/>
      <c r="BRZ11" s="700"/>
      <c r="BSA11" s="700"/>
      <c r="BSB11" s="700"/>
      <c r="BSC11" s="700"/>
      <c r="BSD11" s="700"/>
      <c r="BSE11" s="700"/>
      <c r="BSF11" s="700"/>
      <c r="BSG11" s="700"/>
      <c r="BSH11" s="700"/>
      <c r="BSI11" s="700"/>
      <c r="BSJ11" s="700"/>
      <c r="BSK11" s="700"/>
      <c r="BSL11" s="700"/>
      <c r="BSM11" s="700"/>
      <c r="BSN11" s="700"/>
      <c r="BSO11" s="700"/>
      <c r="BSP11" s="700"/>
      <c r="BSQ11" s="700"/>
      <c r="BSR11" s="700"/>
      <c r="BSS11" s="700"/>
      <c r="BST11" s="700"/>
      <c r="BSU11" s="700"/>
      <c r="BSV11" s="700"/>
      <c r="BSW11" s="700"/>
      <c r="BSX11" s="700"/>
      <c r="BSY11" s="700"/>
      <c r="BSZ11" s="700"/>
      <c r="BTA11" s="700"/>
      <c r="BTB11" s="700"/>
      <c r="BTC11" s="700"/>
      <c r="BTD11" s="700"/>
      <c r="BTE11" s="700"/>
      <c r="BTF11" s="700"/>
      <c r="BTG11" s="700"/>
      <c r="BTH11" s="700"/>
      <c r="BTI11" s="700"/>
      <c r="BTJ11" s="700"/>
      <c r="BTK11" s="700"/>
      <c r="BTL11" s="700"/>
      <c r="BTM11" s="700"/>
      <c r="BTN11" s="700"/>
      <c r="BTO11" s="700"/>
      <c r="BTP11" s="700"/>
      <c r="BTQ11" s="700"/>
      <c r="BTR11" s="700"/>
      <c r="BTS11" s="700"/>
      <c r="BTT11" s="700"/>
      <c r="BTU11" s="700"/>
      <c r="BTV11" s="700"/>
      <c r="BTW11" s="700"/>
      <c r="BTX11" s="700"/>
      <c r="BTY11" s="700"/>
      <c r="BTZ11" s="700"/>
      <c r="BUA11" s="700"/>
      <c r="BUB11" s="700"/>
      <c r="BUC11" s="700"/>
      <c r="BUD11" s="700"/>
      <c r="BUE11" s="700"/>
      <c r="BUF11" s="700"/>
      <c r="BUG11" s="700"/>
      <c r="BUH11" s="700"/>
      <c r="BUI11" s="700"/>
      <c r="BUJ11" s="700"/>
      <c r="BUK11" s="700"/>
      <c r="BUL11" s="700"/>
      <c r="BUM11" s="700"/>
      <c r="BUN11" s="700"/>
      <c r="BUO11" s="700"/>
      <c r="BUP11" s="700"/>
      <c r="BUQ11" s="700"/>
      <c r="BUR11" s="700"/>
      <c r="BUS11" s="700"/>
      <c r="BUT11" s="700"/>
      <c r="BUU11" s="700"/>
      <c r="BUV11" s="700"/>
      <c r="BUW11" s="700"/>
      <c r="BUX11" s="700"/>
      <c r="BUY11" s="700"/>
      <c r="BUZ11" s="700"/>
      <c r="BVA11" s="700"/>
      <c r="BVB11" s="700"/>
      <c r="BVC11" s="700"/>
      <c r="BVD11" s="700"/>
      <c r="BVE11" s="700"/>
      <c r="BVF11" s="700"/>
      <c r="BVG11" s="700"/>
      <c r="BVH11" s="700"/>
      <c r="BVI11" s="700"/>
      <c r="BVJ11" s="700"/>
      <c r="BVK11" s="700"/>
      <c r="BVL11" s="700"/>
      <c r="BVM11" s="700"/>
      <c r="BVN11" s="700"/>
      <c r="BVO11" s="700"/>
      <c r="BVP11" s="700"/>
      <c r="BVQ11" s="700"/>
      <c r="BVR11" s="700"/>
      <c r="BVS11" s="700"/>
      <c r="BVT11" s="700"/>
      <c r="BVU11" s="700"/>
      <c r="BVV11" s="700"/>
      <c r="BVW11" s="700"/>
      <c r="BVX11" s="700"/>
      <c r="BVY11" s="700"/>
      <c r="BVZ11" s="700"/>
      <c r="BWA11" s="700"/>
      <c r="BWB11" s="700"/>
      <c r="BWC11" s="700"/>
      <c r="BWD11" s="700"/>
      <c r="BWE11" s="700"/>
      <c r="BWF11" s="700"/>
      <c r="BWG11" s="700"/>
      <c r="BWH11" s="700"/>
      <c r="BWI11" s="700"/>
      <c r="BWJ11" s="700"/>
      <c r="BWK11" s="700"/>
      <c r="BWL11" s="700"/>
      <c r="BWM11" s="700"/>
      <c r="BWN11" s="700"/>
      <c r="BWO11" s="700"/>
      <c r="BWP11" s="700"/>
      <c r="BWQ11" s="700"/>
      <c r="BWR11" s="700"/>
      <c r="BWS11" s="700"/>
      <c r="BWT11" s="700"/>
      <c r="BWU11" s="700"/>
      <c r="BWV11" s="700"/>
      <c r="BWW11" s="700"/>
      <c r="BWX11" s="700"/>
      <c r="BWY11" s="700"/>
      <c r="BWZ11" s="700"/>
      <c r="BXA11" s="700"/>
      <c r="BXB11" s="700"/>
      <c r="BXC11" s="700"/>
      <c r="BXD11" s="700"/>
      <c r="BXE11" s="700"/>
      <c r="BXF11" s="700"/>
      <c r="BXG11" s="700"/>
      <c r="BXH11" s="700"/>
      <c r="BXI11" s="700"/>
      <c r="BXJ11" s="700"/>
      <c r="BXK11" s="700"/>
      <c r="BXL11" s="700"/>
      <c r="BXM11" s="700"/>
      <c r="BXN11" s="700"/>
      <c r="BXO11" s="700"/>
      <c r="BXP11" s="700"/>
      <c r="BXQ11" s="700"/>
      <c r="BXR11" s="700"/>
      <c r="BXS11" s="700"/>
      <c r="BXT11" s="700"/>
      <c r="BXU11" s="700"/>
      <c r="BXV11" s="700"/>
      <c r="BXW11" s="700"/>
      <c r="BXX11" s="700"/>
      <c r="BXY11" s="700"/>
      <c r="BXZ11" s="700"/>
    </row>
    <row r="12" spans="1:2002" ht="15">
      <c r="A12" s="717"/>
      <c r="B12" s="706"/>
      <c r="C12" s="730" t="s">
        <v>32</v>
      </c>
      <c r="D12" s="722">
        <v>0</v>
      </c>
      <c r="E12" s="722">
        <v>0</v>
      </c>
      <c r="F12" s="722">
        <v>0</v>
      </c>
      <c r="G12" s="722">
        <v>0</v>
      </c>
      <c r="H12" s="722">
        <v>0</v>
      </c>
      <c r="I12" s="722">
        <v>0</v>
      </c>
      <c r="J12" s="722">
        <v>0</v>
      </c>
      <c r="K12" s="722">
        <v>0</v>
      </c>
      <c r="L12" s="722">
        <v>0</v>
      </c>
      <c r="M12" s="722">
        <v>0</v>
      </c>
      <c r="N12" s="722">
        <v>0</v>
      </c>
      <c r="O12" s="722">
        <v>0</v>
      </c>
      <c r="P12" s="722">
        <v>0</v>
      </c>
      <c r="Q12" s="722">
        <v>0</v>
      </c>
      <c r="R12" s="722">
        <v>0</v>
      </c>
      <c r="S12" s="712"/>
      <c r="T12" s="700"/>
      <c r="U12" s="700"/>
      <c r="V12" s="700"/>
      <c r="W12" s="700"/>
      <c r="X12" s="700"/>
      <c r="Y12" s="700"/>
      <c r="Z12" s="700"/>
      <c r="AA12" s="700"/>
      <c r="AB12" s="700"/>
      <c r="AC12" s="700"/>
      <c r="AD12" s="700"/>
      <c r="AE12" s="700"/>
      <c r="AF12" s="700"/>
      <c r="AG12" s="700"/>
      <c r="AH12" s="700"/>
      <c r="AI12" s="700"/>
      <c r="AJ12" s="700"/>
      <c r="AK12" s="700"/>
      <c r="AL12" s="700"/>
      <c r="AM12" s="700"/>
      <c r="AN12" s="700"/>
      <c r="AO12" s="700"/>
      <c r="AP12" s="700"/>
      <c r="AQ12" s="700"/>
      <c r="AR12" s="700"/>
      <c r="AS12" s="700"/>
      <c r="AT12" s="700"/>
      <c r="AU12" s="700"/>
      <c r="AV12" s="700"/>
      <c r="AW12" s="700"/>
      <c r="AX12" s="700"/>
      <c r="AY12" s="700"/>
      <c r="AZ12" s="700"/>
      <c r="BA12" s="700"/>
      <c r="BB12" s="700"/>
      <c r="BC12" s="700"/>
      <c r="BD12" s="700"/>
      <c r="BE12" s="700"/>
      <c r="BF12" s="700"/>
      <c r="BG12" s="700"/>
      <c r="BH12" s="700"/>
      <c r="BI12" s="700"/>
      <c r="BJ12" s="700"/>
      <c r="BK12" s="700"/>
      <c r="BL12" s="700"/>
      <c r="BM12" s="700"/>
      <c r="BN12" s="700"/>
      <c r="BO12" s="700"/>
      <c r="BP12" s="700"/>
      <c r="BQ12" s="700"/>
      <c r="BR12" s="700"/>
      <c r="BS12" s="700"/>
      <c r="BT12" s="700"/>
      <c r="BU12" s="700"/>
      <c r="BV12" s="700"/>
      <c r="BW12" s="700"/>
      <c r="BX12" s="700"/>
      <c r="BY12" s="700"/>
      <c r="BZ12" s="700"/>
      <c r="CA12" s="700"/>
      <c r="CB12" s="700"/>
      <c r="CC12" s="700"/>
      <c r="CD12" s="700"/>
      <c r="CE12" s="700"/>
      <c r="CF12" s="700"/>
      <c r="CG12" s="700"/>
      <c r="CH12" s="700"/>
      <c r="CI12" s="700"/>
      <c r="CJ12" s="700"/>
      <c r="CK12" s="700"/>
      <c r="CL12" s="700"/>
      <c r="CM12" s="700"/>
      <c r="CN12" s="700"/>
      <c r="CO12" s="700"/>
      <c r="CP12" s="700"/>
      <c r="CQ12" s="700"/>
      <c r="CR12" s="700"/>
      <c r="CS12" s="700"/>
      <c r="CT12" s="700"/>
      <c r="CU12" s="700"/>
      <c r="CV12" s="700"/>
      <c r="CW12" s="700"/>
      <c r="CX12" s="700"/>
      <c r="CY12" s="700"/>
      <c r="CZ12" s="700"/>
      <c r="DA12" s="700"/>
      <c r="DB12" s="700"/>
      <c r="DC12" s="700"/>
      <c r="DD12" s="700"/>
      <c r="DE12" s="700"/>
      <c r="DF12" s="700"/>
      <c r="DG12" s="700"/>
      <c r="DH12" s="700"/>
      <c r="DI12" s="700"/>
      <c r="DJ12" s="700"/>
      <c r="DK12" s="700"/>
      <c r="DL12" s="700"/>
      <c r="DM12" s="700"/>
      <c r="DN12" s="700"/>
      <c r="DO12" s="700"/>
      <c r="DP12" s="700"/>
      <c r="DQ12" s="700"/>
      <c r="DR12" s="700"/>
      <c r="DS12" s="700"/>
      <c r="DT12" s="700"/>
      <c r="DU12" s="700"/>
      <c r="DV12" s="700"/>
      <c r="DW12" s="700"/>
      <c r="DX12" s="700"/>
      <c r="DY12" s="700"/>
      <c r="DZ12" s="700"/>
      <c r="EA12" s="700"/>
      <c r="EB12" s="700"/>
      <c r="EC12" s="700"/>
      <c r="ED12" s="700"/>
      <c r="EE12" s="700"/>
      <c r="EF12" s="700"/>
      <c r="EG12" s="700"/>
      <c r="EH12" s="700"/>
      <c r="EI12" s="700"/>
      <c r="EJ12" s="700"/>
      <c r="EK12" s="700"/>
      <c r="EL12" s="700"/>
      <c r="EM12" s="700"/>
      <c r="EN12" s="700"/>
      <c r="EO12" s="700"/>
      <c r="EP12" s="700"/>
      <c r="EQ12" s="700"/>
      <c r="ER12" s="700"/>
      <c r="ES12" s="700"/>
      <c r="ET12" s="700"/>
      <c r="EU12" s="700"/>
      <c r="EV12" s="700"/>
      <c r="EW12" s="700"/>
      <c r="EX12" s="700"/>
      <c r="EY12" s="700"/>
      <c r="EZ12" s="700"/>
      <c r="FA12" s="700"/>
      <c r="FB12" s="700"/>
      <c r="FC12" s="700"/>
      <c r="FD12" s="700"/>
      <c r="FE12" s="700"/>
      <c r="FF12" s="700"/>
      <c r="FG12" s="700"/>
      <c r="FH12" s="700"/>
      <c r="FI12" s="700"/>
      <c r="FJ12" s="700"/>
      <c r="FK12" s="700"/>
      <c r="FL12" s="700"/>
      <c r="FM12" s="700"/>
      <c r="FN12" s="700"/>
      <c r="FO12" s="700"/>
      <c r="FP12" s="700"/>
      <c r="FQ12" s="700"/>
      <c r="FR12" s="700"/>
      <c r="FS12" s="700"/>
      <c r="FT12" s="700"/>
      <c r="FU12" s="700"/>
      <c r="FV12" s="700"/>
      <c r="FW12" s="700"/>
      <c r="FX12" s="700"/>
      <c r="FY12" s="700"/>
      <c r="FZ12" s="700"/>
      <c r="GA12" s="700"/>
      <c r="GB12" s="700"/>
      <c r="GC12" s="700"/>
      <c r="GD12" s="700"/>
      <c r="GE12" s="700"/>
      <c r="GF12" s="700"/>
      <c r="GG12" s="700"/>
      <c r="GH12" s="700"/>
      <c r="GI12" s="700"/>
      <c r="GJ12" s="700"/>
      <c r="GK12" s="700"/>
      <c r="GL12" s="700"/>
      <c r="GM12" s="700"/>
      <c r="GN12" s="700"/>
      <c r="GO12" s="700"/>
      <c r="GP12" s="700"/>
      <c r="GQ12" s="700"/>
      <c r="GR12" s="700"/>
      <c r="GS12" s="700"/>
      <c r="GT12" s="700"/>
      <c r="GU12" s="700"/>
      <c r="GV12" s="700"/>
      <c r="GW12" s="700"/>
      <c r="GX12" s="700"/>
      <c r="GY12" s="700"/>
      <c r="GZ12" s="700"/>
      <c r="HA12" s="700"/>
      <c r="HB12" s="700"/>
      <c r="HC12" s="700"/>
      <c r="HD12" s="700"/>
      <c r="HE12" s="700"/>
      <c r="HF12" s="700"/>
      <c r="HG12" s="700"/>
      <c r="HH12" s="700"/>
      <c r="HI12" s="700"/>
      <c r="HJ12" s="700"/>
      <c r="HK12" s="700"/>
      <c r="HL12" s="700"/>
      <c r="HM12" s="700"/>
      <c r="HN12" s="700"/>
      <c r="HO12" s="700"/>
      <c r="HP12" s="700"/>
      <c r="HQ12" s="700"/>
      <c r="HR12" s="700"/>
      <c r="HS12" s="700"/>
      <c r="HT12" s="700"/>
      <c r="HU12" s="700"/>
      <c r="HV12" s="700"/>
      <c r="HW12" s="700"/>
      <c r="HX12" s="700"/>
      <c r="HY12" s="700"/>
      <c r="HZ12" s="700"/>
      <c r="IA12" s="700"/>
      <c r="IB12" s="700"/>
      <c r="IC12" s="700"/>
      <c r="ID12" s="700"/>
      <c r="IE12" s="700"/>
      <c r="IF12" s="700"/>
      <c r="IG12" s="700"/>
      <c r="IH12" s="700"/>
      <c r="II12" s="700"/>
      <c r="IJ12" s="700"/>
      <c r="IK12" s="700"/>
      <c r="IL12" s="700"/>
      <c r="IM12" s="700"/>
      <c r="IN12" s="700"/>
      <c r="IO12" s="700"/>
      <c r="IP12" s="700"/>
      <c r="IQ12" s="700"/>
      <c r="IR12" s="700"/>
      <c r="IS12" s="700"/>
      <c r="IT12" s="700"/>
      <c r="IU12" s="700"/>
      <c r="IV12" s="700"/>
      <c r="IW12" s="700"/>
      <c r="IX12" s="700"/>
      <c r="IY12" s="700"/>
      <c r="IZ12" s="700"/>
      <c r="JA12" s="700"/>
      <c r="JB12" s="700"/>
      <c r="JC12" s="700"/>
      <c r="JD12" s="700"/>
      <c r="JE12" s="700"/>
      <c r="JF12" s="700"/>
      <c r="JG12" s="700"/>
      <c r="JH12" s="700"/>
      <c r="JI12" s="700"/>
      <c r="JJ12" s="700"/>
      <c r="JK12" s="700"/>
      <c r="JL12" s="700"/>
      <c r="JM12" s="700"/>
      <c r="JN12" s="700"/>
      <c r="JO12" s="700"/>
      <c r="JP12" s="700"/>
      <c r="JQ12" s="700"/>
      <c r="JR12" s="700"/>
      <c r="JS12" s="700"/>
      <c r="JT12" s="700"/>
      <c r="JU12" s="700"/>
      <c r="JV12" s="700"/>
      <c r="JW12" s="700"/>
      <c r="JX12" s="700"/>
      <c r="JY12" s="700"/>
      <c r="JZ12" s="700"/>
      <c r="KA12" s="700"/>
      <c r="KB12" s="700"/>
      <c r="KC12" s="700"/>
      <c r="KD12" s="700"/>
      <c r="KE12" s="700"/>
      <c r="KF12" s="700"/>
      <c r="KG12" s="700"/>
      <c r="KH12" s="700"/>
      <c r="KI12" s="700"/>
      <c r="KJ12" s="700"/>
      <c r="KK12" s="700"/>
      <c r="KL12" s="700"/>
      <c r="KM12" s="700"/>
      <c r="KN12" s="700"/>
      <c r="KO12" s="700"/>
      <c r="KP12" s="700"/>
      <c r="KQ12" s="700"/>
      <c r="KR12" s="700"/>
      <c r="KS12" s="700"/>
      <c r="KT12" s="700"/>
      <c r="KU12" s="700"/>
      <c r="KV12" s="700"/>
      <c r="KW12" s="700"/>
      <c r="KX12" s="700"/>
      <c r="KY12" s="700"/>
      <c r="KZ12" s="700"/>
      <c r="LA12" s="700"/>
      <c r="LB12" s="700"/>
      <c r="LC12" s="700"/>
      <c r="LD12" s="700"/>
      <c r="LE12" s="700"/>
      <c r="LF12" s="700"/>
      <c r="LG12" s="700"/>
      <c r="LH12" s="700"/>
      <c r="LI12" s="700"/>
      <c r="LJ12" s="700"/>
      <c r="LK12" s="700"/>
      <c r="LL12" s="700"/>
      <c r="LM12" s="700"/>
      <c r="LN12" s="700"/>
      <c r="LO12" s="700"/>
      <c r="LP12" s="700"/>
      <c r="LQ12" s="700"/>
      <c r="LR12" s="700"/>
      <c r="LS12" s="700"/>
      <c r="LT12" s="700"/>
      <c r="LU12" s="700"/>
      <c r="LV12" s="700"/>
      <c r="LW12" s="700"/>
      <c r="LX12" s="700"/>
      <c r="LY12" s="700"/>
      <c r="LZ12" s="700"/>
      <c r="MA12" s="700"/>
      <c r="MB12" s="700"/>
      <c r="MC12" s="700"/>
      <c r="MD12" s="700"/>
      <c r="ME12" s="700"/>
      <c r="MF12" s="700"/>
      <c r="MG12" s="700"/>
      <c r="MH12" s="700"/>
      <c r="MI12" s="700"/>
      <c r="MJ12" s="700"/>
      <c r="MK12" s="700"/>
      <c r="ML12" s="700"/>
      <c r="MM12" s="700"/>
      <c r="MN12" s="700"/>
      <c r="MO12" s="700"/>
      <c r="MP12" s="700"/>
      <c r="MQ12" s="700"/>
      <c r="MR12" s="700"/>
      <c r="MS12" s="700"/>
      <c r="MT12" s="700"/>
      <c r="MU12" s="700"/>
      <c r="MV12" s="700"/>
      <c r="MW12" s="700"/>
      <c r="MX12" s="700"/>
      <c r="MY12" s="700"/>
      <c r="MZ12" s="700"/>
      <c r="NA12" s="700"/>
      <c r="NB12" s="700"/>
      <c r="NC12" s="700"/>
      <c r="ND12" s="700"/>
      <c r="NE12" s="700"/>
      <c r="NF12" s="700"/>
      <c r="NG12" s="700"/>
      <c r="NH12" s="700"/>
      <c r="NI12" s="700"/>
      <c r="NJ12" s="700"/>
      <c r="NK12" s="700"/>
      <c r="NL12" s="700"/>
      <c r="NM12" s="700"/>
      <c r="NN12" s="700"/>
      <c r="NO12" s="700"/>
      <c r="NP12" s="700"/>
      <c r="NQ12" s="700"/>
      <c r="NR12" s="700"/>
      <c r="NS12" s="700"/>
      <c r="NT12" s="700"/>
      <c r="NU12" s="700"/>
      <c r="NV12" s="700"/>
      <c r="NW12" s="700"/>
      <c r="NX12" s="700"/>
      <c r="NY12" s="700"/>
      <c r="NZ12" s="700"/>
      <c r="OA12" s="700"/>
      <c r="OB12" s="700"/>
      <c r="OC12" s="700"/>
      <c r="OD12" s="700"/>
      <c r="OE12" s="700"/>
      <c r="OF12" s="700"/>
      <c r="OG12" s="700"/>
      <c r="OH12" s="700"/>
      <c r="OI12" s="700"/>
      <c r="OJ12" s="700"/>
      <c r="OK12" s="700"/>
      <c r="OL12" s="700"/>
      <c r="OM12" s="700"/>
      <c r="ON12" s="700"/>
      <c r="OO12" s="700"/>
      <c r="OP12" s="700"/>
      <c r="OQ12" s="700"/>
      <c r="OR12" s="700"/>
      <c r="OS12" s="700"/>
      <c r="OT12" s="700"/>
      <c r="OU12" s="700"/>
      <c r="OV12" s="700"/>
      <c r="OW12" s="700"/>
      <c r="OX12" s="700"/>
      <c r="OY12" s="700"/>
      <c r="OZ12" s="700"/>
      <c r="PA12" s="700"/>
      <c r="PB12" s="700"/>
      <c r="PC12" s="700"/>
      <c r="PD12" s="700"/>
      <c r="PE12" s="700"/>
      <c r="PF12" s="700"/>
      <c r="PG12" s="700"/>
      <c r="PH12" s="700"/>
      <c r="PI12" s="700"/>
      <c r="PJ12" s="700"/>
      <c r="PK12" s="700"/>
      <c r="PL12" s="700"/>
      <c r="PM12" s="700"/>
      <c r="PN12" s="700"/>
      <c r="PO12" s="700"/>
      <c r="PP12" s="700"/>
      <c r="PQ12" s="700"/>
      <c r="PR12" s="700"/>
      <c r="PS12" s="700"/>
      <c r="PT12" s="700"/>
      <c r="PU12" s="700"/>
      <c r="PV12" s="700"/>
      <c r="PW12" s="700"/>
      <c r="PX12" s="700"/>
      <c r="PY12" s="700"/>
      <c r="PZ12" s="700"/>
      <c r="QA12" s="700"/>
      <c r="QB12" s="700"/>
      <c r="QC12" s="700"/>
      <c r="QD12" s="700"/>
      <c r="QE12" s="700"/>
      <c r="QF12" s="700"/>
      <c r="QG12" s="700"/>
      <c r="QH12" s="700"/>
      <c r="QI12" s="700"/>
      <c r="QJ12" s="700"/>
      <c r="QK12" s="700"/>
      <c r="QL12" s="700"/>
      <c r="QM12" s="700"/>
      <c r="QN12" s="700"/>
      <c r="QO12" s="700"/>
      <c r="QP12" s="700"/>
      <c r="QQ12" s="700"/>
      <c r="QR12" s="700"/>
      <c r="QS12" s="700"/>
      <c r="QT12" s="700"/>
      <c r="QU12" s="700"/>
      <c r="QV12" s="700"/>
      <c r="QW12" s="700"/>
      <c r="QX12" s="700"/>
      <c r="QY12" s="700"/>
      <c r="QZ12" s="700"/>
      <c r="RA12" s="700"/>
      <c r="RB12" s="700"/>
      <c r="RC12" s="700"/>
      <c r="RD12" s="700"/>
      <c r="RE12" s="700"/>
      <c r="RF12" s="700"/>
      <c r="RG12" s="700"/>
      <c r="RH12" s="700"/>
      <c r="RI12" s="700"/>
      <c r="RJ12" s="700"/>
      <c r="RK12" s="700"/>
      <c r="RL12" s="700"/>
      <c r="RM12" s="700"/>
      <c r="RN12" s="700"/>
      <c r="RO12" s="700"/>
      <c r="RP12" s="700"/>
      <c r="RQ12" s="700"/>
      <c r="RR12" s="700"/>
      <c r="RS12" s="700"/>
      <c r="RT12" s="700"/>
      <c r="RU12" s="700"/>
      <c r="RV12" s="700"/>
      <c r="RW12" s="700"/>
      <c r="RX12" s="700"/>
      <c r="RY12" s="700"/>
      <c r="RZ12" s="700"/>
      <c r="SA12" s="700"/>
      <c r="SB12" s="700"/>
      <c r="SC12" s="700"/>
      <c r="SD12" s="700"/>
      <c r="SE12" s="700"/>
      <c r="SF12" s="700"/>
      <c r="SG12" s="700"/>
      <c r="SH12" s="700"/>
      <c r="SI12" s="700"/>
      <c r="SJ12" s="700"/>
      <c r="SK12" s="700"/>
      <c r="SL12" s="700"/>
      <c r="SM12" s="700"/>
      <c r="SN12" s="700"/>
      <c r="SO12" s="700"/>
      <c r="SP12" s="700"/>
      <c r="SQ12" s="700"/>
      <c r="SR12" s="700"/>
      <c r="SS12" s="700"/>
      <c r="ST12" s="700"/>
      <c r="SU12" s="700"/>
      <c r="SV12" s="700"/>
      <c r="SW12" s="700"/>
      <c r="SX12" s="700"/>
      <c r="SY12" s="700"/>
      <c r="SZ12" s="700"/>
      <c r="TA12" s="700"/>
      <c r="TB12" s="700"/>
      <c r="TC12" s="700"/>
      <c r="TD12" s="700"/>
      <c r="TE12" s="700"/>
      <c r="TF12" s="700"/>
      <c r="TG12" s="700"/>
      <c r="TH12" s="700"/>
      <c r="TI12" s="700"/>
      <c r="TJ12" s="700"/>
      <c r="TK12" s="700"/>
      <c r="TL12" s="700"/>
      <c r="TM12" s="700"/>
      <c r="TN12" s="700"/>
      <c r="TO12" s="700"/>
      <c r="TP12" s="700"/>
      <c r="TQ12" s="700"/>
      <c r="TR12" s="700"/>
      <c r="TS12" s="700"/>
      <c r="TT12" s="700"/>
      <c r="TU12" s="700"/>
      <c r="TV12" s="700"/>
      <c r="TW12" s="700"/>
      <c r="TX12" s="700"/>
      <c r="TY12" s="700"/>
      <c r="TZ12" s="700"/>
      <c r="UA12" s="700"/>
      <c r="UB12" s="700"/>
      <c r="UC12" s="700"/>
      <c r="UD12" s="700"/>
      <c r="UE12" s="700"/>
      <c r="UF12" s="700"/>
      <c r="UG12" s="700"/>
      <c r="UH12" s="700"/>
      <c r="UI12" s="700"/>
      <c r="UJ12" s="700"/>
      <c r="UK12" s="700"/>
      <c r="UL12" s="700"/>
      <c r="UM12" s="700"/>
      <c r="UN12" s="700"/>
      <c r="UO12" s="700"/>
      <c r="UP12" s="700"/>
      <c r="UQ12" s="700"/>
      <c r="UR12" s="700"/>
      <c r="US12" s="700"/>
      <c r="UT12" s="700"/>
      <c r="UU12" s="700"/>
      <c r="UV12" s="700"/>
      <c r="UW12" s="700"/>
      <c r="UX12" s="700"/>
      <c r="UY12" s="700"/>
      <c r="UZ12" s="700"/>
      <c r="VA12" s="700"/>
      <c r="VB12" s="700"/>
      <c r="VC12" s="700"/>
      <c r="VD12" s="700"/>
      <c r="VE12" s="700"/>
      <c r="VF12" s="700"/>
      <c r="VG12" s="700"/>
      <c r="VH12" s="700"/>
      <c r="VI12" s="700"/>
      <c r="VJ12" s="700"/>
      <c r="VK12" s="700"/>
      <c r="VL12" s="700"/>
      <c r="VM12" s="700"/>
      <c r="VN12" s="700"/>
      <c r="VO12" s="700"/>
      <c r="VP12" s="700"/>
      <c r="VQ12" s="700"/>
      <c r="VR12" s="700"/>
      <c r="VS12" s="700"/>
      <c r="VT12" s="700"/>
      <c r="VU12" s="700"/>
      <c r="VV12" s="700"/>
      <c r="VW12" s="700"/>
      <c r="VX12" s="700"/>
      <c r="VY12" s="700"/>
      <c r="VZ12" s="700"/>
      <c r="WA12" s="700"/>
      <c r="WB12" s="700"/>
      <c r="WC12" s="700"/>
      <c r="WD12" s="700"/>
      <c r="WE12" s="700"/>
      <c r="WF12" s="700"/>
      <c r="WG12" s="700"/>
      <c r="WH12" s="700"/>
      <c r="WI12" s="700"/>
      <c r="WJ12" s="700"/>
      <c r="WK12" s="700"/>
      <c r="WL12" s="700"/>
      <c r="WM12" s="700"/>
      <c r="WN12" s="700"/>
      <c r="WO12" s="700"/>
      <c r="WP12" s="700"/>
      <c r="WQ12" s="700"/>
      <c r="WR12" s="700"/>
      <c r="WS12" s="700"/>
      <c r="WT12" s="700"/>
      <c r="WU12" s="700"/>
      <c r="WV12" s="700"/>
      <c r="WW12" s="700"/>
      <c r="WX12" s="700"/>
      <c r="WY12" s="700"/>
      <c r="WZ12" s="700"/>
      <c r="XA12" s="700"/>
      <c r="XB12" s="700"/>
      <c r="XC12" s="700"/>
      <c r="XD12" s="700"/>
      <c r="XE12" s="700"/>
      <c r="XF12" s="700"/>
      <c r="XG12" s="700"/>
      <c r="XH12" s="700"/>
      <c r="XI12" s="700"/>
      <c r="XJ12" s="700"/>
      <c r="XK12" s="700"/>
      <c r="XL12" s="700"/>
      <c r="XM12" s="700"/>
      <c r="XN12" s="700"/>
      <c r="XO12" s="700"/>
      <c r="XP12" s="700"/>
      <c r="XQ12" s="700"/>
      <c r="XR12" s="700"/>
      <c r="XS12" s="700"/>
      <c r="XT12" s="700"/>
      <c r="XU12" s="700"/>
      <c r="XV12" s="700"/>
      <c r="XW12" s="700"/>
      <c r="XX12" s="700"/>
      <c r="XY12" s="700"/>
      <c r="XZ12" s="700"/>
      <c r="YA12" s="700"/>
      <c r="YB12" s="700"/>
      <c r="YC12" s="700"/>
      <c r="YD12" s="700"/>
      <c r="YE12" s="700"/>
      <c r="YF12" s="700"/>
      <c r="YG12" s="700"/>
      <c r="YH12" s="700"/>
      <c r="YI12" s="700"/>
      <c r="YJ12" s="700"/>
      <c r="YK12" s="700"/>
      <c r="YL12" s="700"/>
      <c r="YM12" s="700"/>
      <c r="YN12" s="700"/>
      <c r="YO12" s="700"/>
      <c r="YP12" s="700"/>
      <c r="YQ12" s="700"/>
      <c r="YR12" s="700"/>
      <c r="YS12" s="700"/>
      <c r="YT12" s="700"/>
      <c r="YU12" s="700"/>
      <c r="YV12" s="700"/>
      <c r="YW12" s="700"/>
      <c r="YX12" s="700"/>
      <c r="YY12" s="700"/>
      <c r="YZ12" s="700"/>
      <c r="ZA12" s="700"/>
      <c r="ZB12" s="700"/>
      <c r="ZC12" s="700"/>
      <c r="ZD12" s="700"/>
      <c r="ZE12" s="700"/>
      <c r="ZF12" s="700"/>
      <c r="ZG12" s="700"/>
      <c r="ZH12" s="700"/>
      <c r="ZI12" s="700"/>
      <c r="ZJ12" s="700"/>
      <c r="ZK12" s="700"/>
      <c r="ZL12" s="700"/>
      <c r="ZM12" s="700"/>
      <c r="ZN12" s="700"/>
      <c r="ZO12" s="700"/>
      <c r="ZP12" s="700"/>
      <c r="ZQ12" s="700"/>
      <c r="ZR12" s="700"/>
      <c r="ZS12" s="700"/>
      <c r="ZT12" s="700"/>
      <c r="ZU12" s="700"/>
      <c r="ZV12" s="700"/>
      <c r="ZW12" s="700"/>
      <c r="ZX12" s="700"/>
      <c r="ZY12" s="700"/>
      <c r="ZZ12" s="700"/>
      <c r="AAA12" s="700"/>
      <c r="AAB12" s="700"/>
      <c r="AAC12" s="700"/>
      <c r="AAD12" s="700"/>
      <c r="AAE12" s="700"/>
      <c r="AAF12" s="700"/>
      <c r="AAG12" s="700"/>
      <c r="AAH12" s="700"/>
      <c r="AAI12" s="700"/>
      <c r="AAJ12" s="700"/>
      <c r="AAK12" s="700"/>
      <c r="AAL12" s="700"/>
      <c r="AAM12" s="700"/>
      <c r="AAN12" s="700"/>
      <c r="AAO12" s="700"/>
      <c r="AAP12" s="700"/>
      <c r="AAQ12" s="700"/>
      <c r="AAR12" s="700"/>
      <c r="AAS12" s="700"/>
      <c r="AAT12" s="700"/>
      <c r="AAU12" s="700"/>
      <c r="AAV12" s="700"/>
      <c r="AAW12" s="700"/>
      <c r="AAX12" s="700"/>
      <c r="AAY12" s="700"/>
      <c r="AAZ12" s="700"/>
      <c r="ABA12" s="700"/>
      <c r="ABB12" s="700"/>
      <c r="ABC12" s="700"/>
      <c r="ABD12" s="700"/>
      <c r="ABE12" s="700"/>
      <c r="ABF12" s="700"/>
      <c r="ABG12" s="700"/>
      <c r="ABH12" s="700"/>
      <c r="ABI12" s="700"/>
      <c r="ABJ12" s="700"/>
      <c r="ABK12" s="700"/>
      <c r="ABL12" s="700"/>
      <c r="ABM12" s="700"/>
      <c r="ABN12" s="700"/>
      <c r="ABO12" s="700"/>
      <c r="ABP12" s="700"/>
      <c r="ABQ12" s="700"/>
      <c r="ABR12" s="700"/>
      <c r="ABS12" s="700"/>
      <c r="ABT12" s="700"/>
      <c r="ABU12" s="700"/>
      <c r="ABV12" s="700"/>
      <c r="ABW12" s="700"/>
      <c r="ABX12" s="700"/>
      <c r="ABY12" s="700"/>
      <c r="ABZ12" s="700"/>
      <c r="ACA12" s="700"/>
      <c r="ACB12" s="700"/>
      <c r="ACC12" s="700"/>
      <c r="ACD12" s="700"/>
      <c r="ACE12" s="700"/>
      <c r="ACF12" s="700"/>
      <c r="ACG12" s="700"/>
      <c r="ACH12" s="700"/>
      <c r="ACI12" s="700"/>
      <c r="ACJ12" s="700"/>
      <c r="ACK12" s="700"/>
      <c r="ACL12" s="700"/>
      <c r="ACM12" s="700"/>
      <c r="ACN12" s="700"/>
      <c r="ACO12" s="700"/>
      <c r="ACP12" s="700"/>
      <c r="ACQ12" s="700"/>
      <c r="ACR12" s="700"/>
      <c r="ACS12" s="700"/>
      <c r="ACT12" s="700"/>
      <c r="ACU12" s="700"/>
      <c r="ACV12" s="700"/>
      <c r="ACW12" s="700"/>
      <c r="ACX12" s="700"/>
      <c r="ACY12" s="700"/>
      <c r="ACZ12" s="700"/>
      <c r="ADA12" s="700"/>
      <c r="ADB12" s="700"/>
      <c r="ADC12" s="700"/>
      <c r="ADD12" s="700"/>
      <c r="ADE12" s="700"/>
      <c r="ADF12" s="700"/>
      <c r="ADG12" s="700"/>
      <c r="ADH12" s="700"/>
      <c r="ADI12" s="700"/>
      <c r="ADJ12" s="700"/>
      <c r="ADK12" s="700"/>
      <c r="ADL12" s="700"/>
      <c r="ADM12" s="700"/>
      <c r="ADN12" s="700"/>
      <c r="ADO12" s="700"/>
      <c r="ADP12" s="700"/>
      <c r="ADQ12" s="700"/>
      <c r="ADR12" s="700"/>
      <c r="ADS12" s="700"/>
      <c r="ADT12" s="700"/>
      <c r="ADU12" s="700"/>
      <c r="ADV12" s="700"/>
      <c r="ADW12" s="700"/>
      <c r="ADX12" s="700"/>
      <c r="ADY12" s="700"/>
      <c r="ADZ12" s="700"/>
      <c r="AEA12" s="700"/>
      <c r="AEB12" s="700"/>
      <c r="AEC12" s="700"/>
      <c r="AED12" s="700"/>
      <c r="AEE12" s="700"/>
      <c r="AEF12" s="700"/>
      <c r="AEG12" s="700"/>
      <c r="AEH12" s="700"/>
      <c r="AEI12" s="700"/>
      <c r="AEJ12" s="700"/>
      <c r="AEK12" s="700"/>
      <c r="AEL12" s="700"/>
      <c r="AEM12" s="700"/>
      <c r="AEN12" s="700"/>
      <c r="AEO12" s="700"/>
      <c r="AEP12" s="700"/>
      <c r="AEQ12" s="700"/>
      <c r="AER12" s="700"/>
      <c r="AES12" s="700"/>
      <c r="AET12" s="700"/>
      <c r="AEU12" s="700"/>
      <c r="AEV12" s="700"/>
      <c r="AEW12" s="700"/>
      <c r="AEX12" s="700"/>
      <c r="AEY12" s="700"/>
      <c r="AEZ12" s="700"/>
      <c r="AFA12" s="700"/>
      <c r="AFB12" s="700"/>
      <c r="AFC12" s="700"/>
      <c r="AFD12" s="700"/>
      <c r="AFE12" s="700"/>
      <c r="AFF12" s="700"/>
      <c r="AFG12" s="700"/>
      <c r="AFH12" s="700"/>
      <c r="AFI12" s="700"/>
      <c r="AFJ12" s="700"/>
      <c r="AFK12" s="700"/>
      <c r="AFL12" s="700"/>
      <c r="AFM12" s="700"/>
      <c r="AFN12" s="700"/>
      <c r="AFO12" s="700"/>
      <c r="AFP12" s="700"/>
      <c r="AFQ12" s="700"/>
      <c r="AFR12" s="700"/>
      <c r="AFS12" s="700"/>
      <c r="AFT12" s="700"/>
      <c r="AFU12" s="700"/>
      <c r="AFV12" s="700"/>
      <c r="AFW12" s="700"/>
      <c r="AFX12" s="700"/>
      <c r="AFY12" s="700"/>
      <c r="AFZ12" s="700"/>
      <c r="AGA12" s="700"/>
      <c r="AGB12" s="700"/>
      <c r="AGC12" s="700"/>
      <c r="AGD12" s="700"/>
      <c r="AGE12" s="700"/>
      <c r="AGF12" s="700"/>
      <c r="AGG12" s="700"/>
      <c r="AGH12" s="700"/>
      <c r="AGI12" s="700"/>
      <c r="AGJ12" s="700"/>
      <c r="AGK12" s="700"/>
      <c r="AGL12" s="700"/>
      <c r="AGM12" s="700"/>
      <c r="AGN12" s="700"/>
      <c r="AGO12" s="700"/>
      <c r="AGP12" s="700"/>
      <c r="AGQ12" s="700"/>
      <c r="AGR12" s="700"/>
      <c r="AGS12" s="700"/>
      <c r="AGT12" s="700"/>
      <c r="AGU12" s="700"/>
      <c r="AGV12" s="700"/>
      <c r="AGW12" s="700"/>
      <c r="AGX12" s="700"/>
      <c r="AGY12" s="700"/>
      <c r="AGZ12" s="700"/>
      <c r="AHA12" s="700"/>
      <c r="AHB12" s="700"/>
      <c r="AHC12" s="700"/>
      <c r="AHD12" s="700"/>
      <c r="AHE12" s="700"/>
      <c r="AHF12" s="700"/>
      <c r="AHG12" s="700"/>
      <c r="AHH12" s="700"/>
      <c r="AHI12" s="700"/>
      <c r="AHJ12" s="700"/>
      <c r="AHK12" s="700"/>
      <c r="AHL12" s="700"/>
      <c r="AHM12" s="700"/>
      <c r="AHN12" s="700"/>
      <c r="AHO12" s="700"/>
      <c r="AHP12" s="700"/>
      <c r="AHQ12" s="700"/>
      <c r="AHR12" s="700"/>
      <c r="AHS12" s="700"/>
      <c r="AHT12" s="700"/>
      <c r="AHU12" s="700"/>
      <c r="AHV12" s="700"/>
      <c r="AHW12" s="700"/>
      <c r="AHX12" s="700"/>
      <c r="AHY12" s="700"/>
      <c r="AHZ12" s="700"/>
      <c r="AIA12" s="700"/>
      <c r="AIB12" s="700"/>
      <c r="AIC12" s="700"/>
      <c r="AID12" s="700"/>
      <c r="AIE12" s="700"/>
      <c r="AIF12" s="700"/>
      <c r="AIG12" s="700"/>
      <c r="AIH12" s="700"/>
      <c r="AII12" s="700"/>
      <c r="AIJ12" s="700"/>
      <c r="AIK12" s="700"/>
      <c r="AIL12" s="700"/>
      <c r="AIM12" s="700"/>
      <c r="AIN12" s="700"/>
      <c r="AIO12" s="700"/>
      <c r="AIP12" s="700"/>
      <c r="AIQ12" s="700"/>
      <c r="AIR12" s="700"/>
      <c r="AIS12" s="700"/>
      <c r="AIT12" s="700"/>
      <c r="AIU12" s="700"/>
      <c r="AIV12" s="700"/>
      <c r="AIW12" s="700"/>
      <c r="AIX12" s="700"/>
      <c r="AIY12" s="700"/>
      <c r="AIZ12" s="700"/>
      <c r="AJA12" s="700"/>
      <c r="AJB12" s="700"/>
      <c r="AJC12" s="700"/>
      <c r="AJD12" s="700"/>
      <c r="AJE12" s="700"/>
      <c r="AJF12" s="700"/>
      <c r="AJG12" s="700"/>
      <c r="AJH12" s="700"/>
      <c r="AJI12" s="700"/>
      <c r="AJJ12" s="700"/>
      <c r="AJK12" s="700"/>
      <c r="AJL12" s="700"/>
      <c r="AJM12" s="700"/>
      <c r="AJN12" s="700"/>
      <c r="AJO12" s="700"/>
      <c r="AJP12" s="700"/>
      <c r="AJQ12" s="700"/>
      <c r="AJR12" s="700"/>
      <c r="AJS12" s="700"/>
      <c r="AJT12" s="700"/>
      <c r="AJU12" s="700"/>
      <c r="AJV12" s="700"/>
      <c r="AJW12" s="700"/>
      <c r="AJX12" s="700"/>
      <c r="AJY12" s="700"/>
      <c r="AJZ12" s="700"/>
      <c r="AKA12" s="700"/>
      <c r="AKB12" s="700"/>
      <c r="AKC12" s="700"/>
      <c r="AKD12" s="700"/>
      <c r="AKE12" s="700"/>
      <c r="AKF12" s="700"/>
      <c r="AKG12" s="700"/>
      <c r="AKH12" s="700"/>
      <c r="AKI12" s="700"/>
      <c r="AKJ12" s="700"/>
      <c r="AKK12" s="700"/>
      <c r="AKL12" s="700"/>
      <c r="AKM12" s="700"/>
      <c r="AKN12" s="700"/>
      <c r="AKO12" s="700"/>
      <c r="AKP12" s="700"/>
      <c r="AKQ12" s="700"/>
      <c r="AKR12" s="700"/>
      <c r="AKS12" s="700"/>
      <c r="AKT12" s="700"/>
      <c r="AKU12" s="700"/>
      <c r="AKV12" s="700"/>
      <c r="AKW12" s="700"/>
      <c r="AKX12" s="700"/>
      <c r="AKY12" s="700"/>
      <c r="AKZ12" s="700"/>
      <c r="ALA12" s="700"/>
      <c r="ALB12" s="700"/>
      <c r="ALC12" s="700"/>
      <c r="ALD12" s="700"/>
      <c r="ALE12" s="700"/>
      <c r="ALF12" s="700"/>
      <c r="ALG12" s="700"/>
      <c r="ALH12" s="700"/>
      <c r="ALI12" s="700"/>
      <c r="ALJ12" s="700"/>
      <c r="ALK12" s="700"/>
      <c r="ALL12" s="700"/>
      <c r="ALM12" s="700"/>
      <c r="ALN12" s="700"/>
      <c r="ALO12" s="700"/>
      <c r="ALP12" s="700"/>
      <c r="ALQ12" s="700"/>
      <c r="ALR12" s="700"/>
      <c r="ALS12" s="700"/>
      <c r="ALT12" s="700"/>
      <c r="ALU12" s="700"/>
      <c r="ALV12" s="700"/>
      <c r="ALW12" s="700"/>
      <c r="ALX12" s="700"/>
      <c r="ALY12" s="700"/>
      <c r="ALZ12" s="700"/>
      <c r="AMA12" s="700"/>
      <c r="AMB12" s="700"/>
      <c r="AMC12" s="700"/>
      <c r="AMD12" s="700"/>
      <c r="AME12" s="700"/>
      <c r="AMF12" s="700"/>
      <c r="AMG12" s="700"/>
      <c r="AMH12" s="700"/>
      <c r="AMI12" s="700"/>
      <c r="AMJ12" s="700"/>
      <c r="AMK12" s="700"/>
      <c r="AML12" s="700"/>
      <c r="AMM12" s="700"/>
      <c r="AMN12" s="700"/>
      <c r="AMO12" s="700"/>
      <c r="AMP12" s="700"/>
      <c r="AMQ12" s="700"/>
      <c r="AMR12" s="700"/>
      <c r="AMS12" s="700"/>
      <c r="AMT12" s="700"/>
      <c r="AMU12" s="700"/>
      <c r="AMV12" s="700"/>
      <c r="AMW12" s="700"/>
      <c r="AMX12" s="700"/>
      <c r="AMY12" s="700"/>
      <c r="AMZ12" s="700"/>
      <c r="ANA12" s="700"/>
      <c r="ANB12" s="700"/>
      <c r="ANC12" s="700"/>
      <c r="AND12" s="700"/>
      <c r="ANE12" s="700"/>
      <c r="ANF12" s="700"/>
      <c r="ANG12" s="700"/>
      <c r="ANH12" s="700"/>
      <c r="ANI12" s="700"/>
      <c r="ANJ12" s="700"/>
      <c r="ANK12" s="700"/>
      <c r="ANL12" s="700"/>
      <c r="ANM12" s="700"/>
      <c r="ANN12" s="700"/>
      <c r="ANO12" s="700"/>
      <c r="ANP12" s="700"/>
      <c r="ANQ12" s="700"/>
      <c r="ANR12" s="700"/>
      <c r="ANS12" s="700"/>
      <c r="ANT12" s="700"/>
      <c r="ANU12" s="700"/>
      <c r="ANV12" s="700"/>
      <c r="ANW12" s="700"/>
      <c r="ANX12" s="700"/>
      <c r="ANY12" s="700"/>
      <c r="ANZ12" s="700"/>
      <c r="AOA12" s="700"/>
      <c r="AOB12" s="700"/>
      <c r="AOC12" s="700"/>
      <c r="AOD12" s="700"/>
      <c r="AOE12" s="700"/>
      <c r="AOF12" s="700"/>
      <c r="AOG12" s="700"/>
      <c r="AOH12" s="700"/>
      <c r="AOI12" s="700"/>
      <c r="AOJ12" s="700"/>
      <c r="AOK12" s="700"/>
      <c r="AOL12" s="700"/>
      <c r="AOM12" s="700"/>
      <c r="AON12" s="700"/>
      <c r="AOO12" s="700"/>
      <c r="AOP12" s="700"/>
      <c r="AOQ12" s="700"/>
      <c r="AOR12" s="700"/>
      <c r="AOS12" s="700"/>
      <c r="AOT12" s="700"/>
      <c r="AOU12" s="700"/>
      <c r="AOV12" s="700"/>
      <c r="AOW12" s="700"/>
      <c r="AOX12" s="700"/>
      <c r="AOY12" s="700"/>
      <c r="AOZ12" s="700"/>
      <c r="APA12" s="700"/>
      <c r="APB12" s="700"/>
      <c r="APC12" s="700"/>
      <c r="APD12" s="700"/>
      <c r="APE12" s="700"/>
      <c r="APF12" s="700"/>
      <c r="APG12" s="700"/>
      <c r="APH12" s="700"/>
      <c r="API12" s="700"/>
      <c r="APJ12" s="700"/>
      <c r="APK12" s="700"/>
      <c r="APL12" s="700"/>
      <c r="APM12" s="700"/>
      <c r="APN12" s="700"/>
      <c r="APO12" s="700"/>
      <c r="APP12" s="700"/>
      <c r="APQ12" s="700"/>
      <c r="APR12" s="700"/>
      <c r="APS12" s="700"/>
      <c r="APT12" s="700"/>
      <c r="APU12" s="700"/>
      <c r="APV12" s="700"/>
      <c r="APW12" s="700"/>
      <c r="APX12" s="700"/>
      <c r="APY12" s="700"/>
      <c r="APZ12" s="700"/>
      <c r="AQA12" s="700"/>
      <c r="AQB12" s="700"/>
      <c r="AQC12" s="700"/>
      <c r="AQD12" s="700"/>
      <c r="AQE12" s="700"/>
      <c r="AQF12" s="700"/>
      <c r="AQG12" s="700"/>
      <c r="AQH12" s="700"/>
      <c r="AQI12" s="700"/>
      <c r="AQJ12" s="700"/>
      <c r="AQK12" s="700"/>
      <c r="AQL12" s="700"/>
      <c r="AQM12" s="700"/>
      <c r="AQN12" s="700"/>
      <c r="AQO12" s="700"/>
      <c r="AQP12" s="700"/>
      <c r="AQQ12" s="700"/>
      <c r="AQR12" s="700"/>
      <c r="AQS12" s="700"/>
      <c r="AQT12" s="700"/>
      <c r="AQU12" s="700"/>
      <c r="AQV12" s="700"/>
      <c r="AQW12" s="700"/>
      <c r="AQX12" s="700"/>
      <c r="AQY12" s="700"/>
      <c r="AQZ12" s="700"/>
      <c r="ARA12" s="700"/>
      <c r="ARB12" s="700"/>
      <c r="ARC12" s="700"/>
      <c r="ARD12" s="700"/>
      <c r="ARE12" s="700"/>
      <c r="ARF12" s="700"/>
      <c r="ARG12" s="700"/>
      <c r="ARH12" s="700"/>
      <c r="ARI12" s="700"/>
      <c r="ARJ12" s="700"/>
      <c r="ARK12" s="700"/>
      <c r="ARL12" s="700"/>
      <c r="ARM12" s="700"/>
      <c r="ARN12" s="700"/>
      <c r="ARO12" s="700"/>
      <c r="ARP12" s="700"/>
      <c r="ARQ12" s="700"/>
      <c r="ARR12" s="700"/>
      <c r="ARS12" s="700"/>
      <c r="ART12" s="700"/>
      <c r="ARU12" s="700"/>
      <c r="ARV12" s="700"/>
      <c r="ARW12" s="700"/>
      <c r="ARX12" s="700"/>
      <c r="ARY12" s="700"/>
      <c r="ARZ12" s="700"/>
      <c r="ASA12" s="700"/>
      <c r="ASB12" s="700"/>
      <c r="ASC12" s="700"/>
      <c r="ASD12" s="700"/>
      <c r="ASE12" s="700"/>
      <c r="ASF12" s="700"/>
      <c r="ASG12" s="700"/>
      <c r="ASH12" s="700"/>
      <c r="ASI12" s="700"/>
      <c r="ASJ12" s="700"/>
      <c r="ASK12" s="700"/>
      <c r="ASL12" s="700"/>
      <c r="ASM12" s="700"/>
      <c r="ASN12" s="700"/>
      <c r="ASO12" s="700"/>
      <c r="ASP12" s="700"/>
      <c r="ASQ12" s="700"/>
      <c r="ASR12" s="700"/>
      <c r="ASS12" s="700"/>
      <c r="AST12" s="700"/>
      <c r="ASU12" s="700"/>
      <c r="ASV12" s="700"/>
      <c r="ASW12" s="700"/>
      <c r="ASX12" s="700"/>
      <c r="ASY12" s="700"/>
      <c r="ASZ12" s="700"/>
      <c r="ATA12" s="700"/>
      <c r="ATB12" s="700"/>
      <c r="ATC12" s="700"/>
      <c r="ATD12" s="700"/>
      <c r="ATE12" s="700"/>
      <c r="ATF12" s="700"/>
      <c r="ATG12" s="700"/>
      <c r="ATH12" s="700"/>
      <c r="ATI12" s="700"/>
      <c r="ATJ12" s="700"/>
      <c r="ATK12" s="700"/>
      <c r="ATL12" s="700"/>
      <c r="ATM12" s="700"/>
      <c r="ATN12" s="700"/>
      <c r="ATO12" s="700"/>
      <c r="ATP12" s="700"/>
      <c r="ATQ12" s="700"/>
      <c r="ATR12" s="700"/>
      <c r="ATS12" s="700"/>
      <c r="ATT12" s="700"/>
      <c r="ATU12" s="700"/>
      <c r="ATV12" s="700"/>
      <c r="ATW12" s="700"/>
      <c r="ATX12" s="700"/>
      <c r="ATY12" s="700"/>
      <c r="ATZ12" s="700"/>
      <c r="AUA12" s="700"/>
      <c r="AUB12" s="700"/>
      <c r="AUC12" s="700"/>
      <c r="AUD12" s="700"/>
      <c r="AUE12" s="700"/>
      <c r="AUF12" s="700"/>
      <c r="AUG12" s="700"/>
      <c r="AUH12" s="700"/>
      <c r="AUI12" s="700"/>
      <c r="AUJ12" s="700"/>
      <c r="AUK12" s="700"/>
      <c r="AUL12" s="700"/>
      <c r="AUM12" s="700"/>
      <c r="AUN12" s="700"/>
      <c r="AUO12" s="700"/>
      <c r="AUP12" s="700"/>
      <c r="AUQ12" s="700"/>
      <c r="AUR12" s="700"/>
      <c r="AUS12" s="700"/>
      <c r="AUT12" s="700"/>
      <c r="AUU12" s="700"/>
      <c r="AUV12" s="700"/>
      <c r="AUW12" s="700"/>
      <c r="AUX12" s="700"/>
      <c r="AUY12" s="700"/>
      <c r="AUZ12" s="700"/>
      <c r="AVA12" s="700"/>
      <c r="AVB12" s="700"/>
      <c r="AVC12" s="700"/>
      <c r="AVD12" s="700"/>
      <c r="AVE12" s="700"/>
      <c r="AVF12" s="700"/>
      <c r="AVG12" s="700"/>
      <c r="AVH12" s="700"/>
      <c r="AVI12" s="700"/>
      <c r="AVJ12" s="700"/>
      <c r="AVK12" s="700"/>
      <c r="AVL12" s="700"/>
      <c r="AVM12" s="700"/>
      <c r="AVN12" s="700"/>
      <c r="AVO12" s="700"/>
      <c r="AVP12" s="700"/>
      <c r="AVQ12" s="700"/>
      <c r="AVR12" s="700"/>
      <c r="AVS12" s="700"/>
      <c r="AVT12" s="700"/>
      <c r="AVU12" s="700"/>
      <c r="AVV12" s="700"/>
      <c r="AVW12" s="700"/>
      <c r="AVX12" s="700"/>
      <c r="AVY12" s="700"/>
      <c r="AVZ12" s="700"/>
      <c r="AWA12" s="700"/>
      <c r="AWB12" s="700"/>
      <c r="AWC12" s="700"/>
      <c r="AWD12" s="700"/>
      <c r="AWE12" s="700"/>
      <c r="AWF12" s="700"/>
      <c r="AWG12" s="700"/>
      <c r="AWH12" s="700"/>
      <c r="AWI12" s="700"/>
      <c r="AWJ12" s="700"/>
      <c r="AWK12" s="700"/>
      <c r="AWL12" s="700"/>
      <c r="AWM12" s="700"/>
      <c r="AWN12" s="700"/>
      <c r="AWO12" s="700"/>
      <c r="AWP12" s="700"/>
      <c r="AWQ12" s="700"/>
      <c r="AWR12" s="700"/>
      <c r="AWS12" s="700"/>
      <c r="AWT12" s="700"/>
      <c r="AWU12" s="700"/>
      <c r="AWV12" s="700"/>
      <c r="AWW12" s="700"/>
      <c r="AWX12" s="700"/>
      <c r="AWY12" s="700"/>
      <c r="AWZ12" s="700"/>
      <c r="AXA12" s="700"/>
      <c r="AXB12" s="700"/>
      <c r="AXC12" s="700"/>
      <c r="AXD12" s="700"/>
      <c r="AXE12" s="700"/>
      <c r="AXF12" s="700"/>
      <c r="AXG12" s="700"/>
      <c r="AXH12" s="700"/>
      <c r="AXI12" s="700"/>
      <c r="AXJ12" s="700"/>
      <c r="AXK12" s="700"/>
      <c r="AXL12" s="700"/>
      <c r="AXM12" s="700"/>
      <c r="AXN12" s="700"/>
      <c r="AXO12" s="700"/>
      <c r="AXP12" s="700"/>
      <c r="AXQ12" s="700"/>
      <c r="AXR12" s="700"/>
      <c r="AXS12" s="700"/>
      <c r="AXT12" s="700"/>
      <c r="AXU12" s="700"/>
      <c r="AXV12" s="700"/>
      <c r="AXW12" s="700"/>
      <c r="AXX12" s="700"/>
      <c r="AXY12" s="700"/>
      <c r="AXZ12" s="700"/>
      <c r="AYA12" s="700"/>
      <c r="AYB12" s="700"/>
      <c r="AYC12" s="700"/>
      <c r="AYD12" s="700"/>
      <c r="AYE12" s="700"/>
      <c r="AYF12" s="700"/>
      <c r="AYG12" s="700"/>
      <c r="AYH12" s="700"/>
      <c r="AYI12" s="700"/>
      <c r="AYJ12" s="700"/>
      <c r="AYK12" s="700"/>
      <c r="AYL12" s="700"/>
      <c r="AYM12" s="700"/>
      <c r="AYN12" s="700"/>
      <c r="AYO12" s="700"/>
      <c r="AYP12" s="700"/>
      <c r="AYQ12" s="700"/>
      <c r="AYR12" s="700"/>
      <c r="AYS12" s="700"/>
      <c r="AYT12" s="700"/>
      <c r="AYU12" s="700"/>
      <c r="AYV12" s="700"/>
      <c r="AYW12" s="700"/>
      <c r="AYX12" s="700"/>
      <c r="AYY12" s="700"/>
      <c r="AYZ12" s="700"/>
      <c r="AZA12" s="700"/>
      <c r="AZB12" s="700"/>
      <c r="AZC12" s="700"/>
      <c r="AZD12" s="700"/>
      <c r="AZE12" s="700"/>
      <c r="AZF12" s="700"/>
      <c r="AZG12" s="700"/>
      <c r="AZH12" s="700"/>
      <c r="AZI12" s="700"/>
      <c r="AZJ12" s="700"/>
      <c r="AZK12" s="700"/>
      <c r="AZL12" s="700"/>
      <c r="AZM12" s="700"/>
      <c r="AZN12" s="700"/>
      <c r="AZO12" s="700"/>
      <c r="AZP12" s="700"/>
      <c r="AZQ12" s="700"/>
      <c r="AZR12" s="700"/>
      <c r="AZS12" s="700"/>
      <c r="AZT12" s="700"/>
      <c r="AZU12" s="700"/>
      <c r="AZV12" s="700"/>
      <c r="AZW12" s="700"/>
      <c r="AZX12" s="700"/>
      <c r="AZY12" s="700"/>
      <c r="AZZ12" s="700"/>
      <c r="BAA12" s="700"/>
      <c r="BAB12" s="700"/>
      <c r="BAC12" s="700"/>
      <c r="BAD12" s="700"/>
      <c r="BAE12" s="700"/>
      <c r="BAF12" s="700"/>
      <c r="BAG12" s="700"/>
      <c r="BAH12" s="700"/>
      <c r="BAI12" s="700"/>
      <c r="BAJ12" s="700"/>
      <c r="BAK12" s="700"/>
      <c r="BAL12" s="700"/>
      <c r="BAM12" s="700"/>
      <c r="BAN12" s="700"/>
      <c r="BAO12" s="700"/>
      <c r="BAP12" s="700"/>
      <c r="BAQ12" s="700"/>
      <c r="BAR12" s="700"/>
      <c r="BAS12" s="700"/>
      <c r="BAT12" s="700"/>
      <c r="BAU12" s="700"/>
      <c r="BAV12" s="700"/>
      <c r="BAW12" s="700"/>
      <c r="BAX12" s="700"/>
      <c r="BAY12" s="700"/>
      <c r="BAZ12" s="700"/>
      <c r="BBA12" s="700"/>
      <c r="BBB12" s="700"/>
      <c r="BBC12" s="700"/>
      <c r="BBD12" s="700"/>
      <c r="BBE12" s="700"/>
      <c r="BBF12" s="700"/>
      <c r="BBG12" s="700"/>
      <c r="BBH12" s="700"/>
      <c r="BBI12" s="700"/>
      <c r="BBJ12" s="700"/>
      <c r="BBK12" s="700"/>
      <c r="BBL12" s="700"/>
      <c r="BBM12" s="700"/>
      <c r="BBN12" s="700"/>
      <c r="BBO12" s="700"/>
      <c r="BBP12" s="700"/>
      <c r="BBQ12" s="700"/>
      <c r="BBR12" s="700"/>
      <c r="BBS12" s="700"/>
      <c r="BBT12" s="700"/>
      <c r="BBU12" s="700"/>
      <c r="BBV12" s="700"/>
      <c r="BBW12" s="700"/>
      <c r="BBX12" s="700"/>
      <c r="BBY12" s="700"/>
      <c r="BBZ12" s="700"/>
      <c r="BCA12" s="700"/>
      <c r="BCB12" s="700"/>
      <c r="BCC12" s="700"/>
      <c r="BCD12" s="700"/>
      <c r="BCE12" s="700"/>
      <c r="BCF12" s="700"/>
      <c r="BCG12" s="700"/>
      <c r="BCH12" s="700"/>
      <c r="BCI12" s="700"/>
      <c r="BCJ12" s="700"/>
      <c r="BCK12" s="700"/>
      <c r="BCL12" s="700"/>
      <c r="BCM12" s="700"/>
      <c r="BCN12" s="700"/>
      <c r="BCO12" s="700"/>
      <c r="BCP12" s="700"/>
      <c r="BCQ12" s="700"/>
      <c r="BCR12" s="700"/>
      <c r="BCS12" s="700"/>
      <c r="BCT12" s="700"/>
      <c r="BCU12" s="700"/>
      <c r="BCV12" s="700"/>
      <c r="BCW12" s="700"/>
      <c r="BCX12" s="700"/>
      <c r="BCY12" s="700"/>
      <c r="BCZ12" s="700"/>
      <c r="BDA12" s="700"/>
      <c r="BDB12" s="700"/>
      <c r="BDC12" s="700"/>
      <c r="BDD12" s="700"/>
      <c r="BDE12" s="700"/>
      <c r="BDF12" s="700"/>
      <c r="BDG12" s="700"/>
      <c r="BDH12" s="700"/>
      <c r="BDI12" s="700"/>
      <c r="BDJ12" s="700"/>
      <c r="BDK12" s="700"/>
      <c r="BDL12" s="700"/>
      <c r="BDM12" s="700"/>
      <c r="BDN12" s="700"/>
      <c r="BDO12" s="700"/>
      <c r="BDP12" s="700"/>
      <c r="BDQ12" s="700"/>
      <c r="BDR12" s="700"/>
      <c r="BDS12" s="700"/>
      <c r="BDT12" s="700"/>
      <c r="BDU12" s="700"/>
      <c r="BDV12" s="700"/>
      <c r="BDW12" s="700"/>
      <c r="BDX12" s="700"/>
      <c r="BDY12" s="700"/>
      <c r="BDZ12" s="700"/>
      <c r="BEA12" s="700"/>
      <c r="BEB12" s="700"/>
      <c r="BEC12" s="700"/>
      <c r="BED12" s="700"/>
      <c r="BEE12" s="700"/>
      <c r="BEF12" s="700"/>
      <c r="BEG12" s="700"/>
      <c r="BEH12" s="700"/>
      <c r="BEI12" s="700"/>
      <c r="BEJ12" s="700"/>
      <c r="BEK12" s="700"/>
      <c r="BEL12" s="700"/>
      <c r="BEM12" s="700"/>
      <c r="BEN12" s="700"/>
      <c r="BEO12" s="700"/>
      <c r="BEP12" s="700"/>
      <c r="BEQ12" s="700"/>
      <c r="BER12" s="700"/>
      <c r="BES12" s="700"/>
      <c r="BET12" s="700"/>
      <c r="BEU12" s="700"/>
      <c r="BEV12" s="700"/>
      <c r="BEW12" s="700"/>
      <c r="BEX12" s="700"/>
      <c r="BEY12" s="700"/>
      <c r="BEZ12" s="700"/>
      <c r="BFA12" s="700"/>
      <c r="BFB12" s="700"/>
      <c r="BFC12" s="700"/>
      <c r="BFD12" s="700"/>
      <c r="BFE12" s="700"/>
      <c r="BFF12" s="700"/>
      <c r="BFG12" s="700"/>
      <c r="BFH12" s="700"/>
      <c r="BFI12" s="700"/>
      <c r="BFJ12" s="700"/>
      <c r="BFK12" s="700"/>
      <c r="BFL12" s="700"/>
      <c r="BFM12" s="700"/>
      <c r="BFN12" s="700"/>
      <c r="BFO12" s="700"/>
      <c r="BFP12" s="700"/>
      <c r="BFQ12" s="700"/>
      <c r="BFR12" s="700"/>
      <c r="BFS12" s="700"/>
      <c r="BFT12" s="700"/>
      <c r="BFU12" s="700"/>
      <c r="BFV12" s="700"/>
      <c r="BFW12" s="700"/>
      <c r="BFX12" s="700"/>
      <c r="BFY12" s="700"/>
      <c r="BFZ12" s="700"/>
      <c r="BGA12" s="700"/>
      <c r="BGB12" s="700"/>
      <c r="BGC12" s="700"/>
      <c r="BGD12" s="700"/>
      <c r="BGE12" s="700"/>
      <c r="BGF12" s="700"/>
      <c r="BGG12" s="700"/>
      <c r="BGH12" s="700"/>
      <c r="BGI12" s="700"/>
      <c r="BGJ12" s="700"/>
      <c r="BGK12" s="700"/>
      <c r="BGL12" s="700"/>
      <c r="BGM12" s="700"/>
      <c r="BGN12" s="700"/>
      <c r="BGO12" s="700"/>
      <c r="BGP12" s="700"/>
      <c r="BGQ12" s="700"/>
      <c r="BGR12" s="700"/>
      <c r="BGS12" s="700"/>
      <c r="BGT12" s="700"/>
      <c r="BGU12" s="700"/>
      <c r="BGV12" s="700"/>
      <c r="BGW12" s="700"/>
      <c r="BGX12" s="700"/>
      <c r="BGY12" s="700"/>
      <c r="BGZ12" s="700"/>
      <c r="BHA12" s="700"/>
      <c r="BHB12" s="700"/>
      <c r="BHC12" s="700"/>
      <c r="BHD12" s="700"/>
      <c r="BHE12" s="700"/>
      <c r="BHF12" s="700"/>
      <c r="BHG12" s="700"/>
      <c r="BHH12" s="700"/>
      <c r="BHI12" s="700"/>
      <c r="BHJ12" s="700"/>
      <c r="BHK12" s="700"/>
      <c r="BHL12" s="700"/>
      <c r="BHM12" s="700"/>
      <c r="BHN12" s="700"/>
      <c r="BHO12" s="700"/>
      <c r="BHP12" s="700"/>
      <c r="BHQ12" s="700"/>
      <c r="BHR12" s="700"/>
      <c r="BHS12" s="700"/>
      <c r="BHT12" s="700"/>
      <c r="BHU12" s="700"/>
      <c r="BHV12" s="700"/>
      <c r="BHW12" s="700"/>
      <c r="BHX12" s="700"/>
      <c r="BHY12" s="700"/>
      <c r="BHZ12" s="700"/>
      <c r="BIA12" s="700"/>
      <c r="BIB12" s="700"/>
      <c r="BIC12" s="700"/>
      <c r="BID12" s="700"/>
      <c r="BIE12" s="700"/>
      <c r="BIF12" s="700"/>
      <c r="BIG12" s="700"/>
      <c r="BIH12" s="700"/>
      <c r="BII12" s="700"/>
      <c r="BIJ12" s="700"/>
      <c r="BIK12" s="700"/>
      <c r="BIL12" s="700"/>
      <c r="BIM12" s="700"/>
      <c r="BIN12" s="700"/>
      <c r="BIO12" s="700"/>
      <c r="BIP12" s="700"/>
      <c r="BIQ12" s="700"/>
      <c r="BIR12" s="700"/>
      <c r="BIS12" s="700"/>
      <c r="BIT12" s="700"/>
      <c r="BIU12" s="700"/>
      <c r="BIV12" s="700"/>
      <c r="BIW12" s="700"/>
      <c r="BIX12" s="700"/>
      <c r="BIY12" s="700"/>
      <c r="BIZ12" s="700"/>
      <c r="BJA12" s="700"/>
      <c r="BJB12" s="700"/>
      <c r="BJC12" s="700"/>
      <c r="BJD12" s="700"/>
      <c r="BJE12" s="700"/>
      <c r="BJF12" s="700"/>
      <c r="BJG12" s="700"/>
      <c r="BJH12" s="700"/>
      <c r="BJI12" s="700"/>
      <c r="BJJ12" s="700"/>
      <c r="BJK12" s="700"/>
      <c r="BJL12" s="700"/>
      <c r="BJM12" s="700"/>
      <c r="BJN12" s="700"/>
      <c r="BJO12" s="700"/>
      <c r="BJP12" s="700"/>
      <c r="BJQ12" s="700"/>
      <c r="BJR12" s="700"/>
      <c r="BJS12" s="700"/>
      <c r="BJT12" s="700"/>
      <c r="BJU12" s="700"/>
      <c r="BJV12" s="700"/>
      <c r="BJW12" s="700"/>
      <c r="BJX12" s="700"/>
      <c r="BJY12" s="700"/>
      <c r="BJZ12" s="700"/>
      <c r="BKA12" s="700"/>
      <c r="BKB12" s="700"/>
      <c r="BKC12" s="700"/>
      <c r="BKD12" s="700"/>
      <c r="BKE12" s="700"/>
      <c r="BKF12" s="700"/>
      <c r="BKG12" s="700"/>
      <c r="BKH12" s="700"/>
      <c r="BKI12" s="700"/>
      <c r="BKJ12" s="700"/>
      <c r="BKK12" s="700"/>
      <c r="BKL12" s="700"/>
      <c r="BKM12" s="700"/>
      <c r="BKN12" s="700"/>
      <c r="BKO12" s="700"/>
      <c r="BKP12" s="700"/>
      <c r="BKQ12" s="700"/>
      <c r="BKR12" s="700"/>
      <c r="BKS12" s="700"/>
      <c r="BKT12" s="700"/>
      <c r="BKU12" s="700"/>
      <c r="BKV12" s="700"/>
      <c r="BKW12" s="700"/>
      <c r="BKX12" s="700"/>
      <c r="BKY12" s="700"/>
      <c r="BKZ12" s="700"/>
      <c r="BLA12" s="700"/>
      <c r="BLB12" s="700"/>
      <c r="BLC12" s="700"/>
      <c r="BLD12" s="700"/>
      <c r="BLE12" s="700"/>
      <c r="BLF12" s="700"/>
      <c r="BLG12" s="700"/>
      <c r="BLH12" s="700"/>
      <c r="BLI12" s="700"/>
      <c r="BLJ12" s="700"/>
      <c r="BLK12" s="700"/>
      <c r="BLL12" s="700"/>
      <c r="BLM12" s="700"/>
      <c r="BLN12" s="700"/>
      <c r="BLO12" s="700"/>
      <c r="BLP12" s="700"/>
      <c r="BLQ12" s="700"/>
      <c r="BLR12" s="700"/>
      <c r="BLS12" s="700"/>
      <c r="BLT12" s="700"/>
      <c r="BLU12" s="700"/>
      <c r="BLV12" s="700"/>
      <c r="BLW12" s="700"/>
      <c r="BLX12" s="700"/>
      <c r="BLY12" s="700"/>
      <c r="BLZ12" s="700"/>
      <c r="BMA12" s="700"/>
      <c r="BMB12" s="700"/>
      <c r="BMC12" s="700"/>
      <c r="BMD12" s="700"/>
      <c r="BME12" s="700"/>
      <c r="BMF12" s="700"/>
      <c r="BMG12" s="700"/>
      <c r="BMH12" s="700"/>
      <c r="BMI12" s="700"/>
      <c r="BMJ12" s="700"/>
      <c r="BMK12" s="700"/>
      <c r="BML12" s="700"/>
      <c r="BMM12" s="700"/>
      <c r="BMN12" s="700"/>
      <c r="BMO12" s="700"/>
      <c r="BMP12" s="700"/>
      <c r="BMQ12" s="700"/>
      <c r="BMR12" s="700"/>
      <c r="BMS12" s="700"/>
      <c r="BMT12" s="700"/>
      <c r="BMU12" s="700"/>
      <c r="BMV12" s="700"/>
      <c r="BMW12" s="700"/>
      <c r="BMX12" s="700"/>
      <c r="BMY12" s="700"/>
      <c r="BMZ12" s="700"/>
      <c r="BNA12" s="700"/>
      <c r="BNB12" s="700"/>
      <c r="BNC12" s="700"/>
      <c r="BND12" s="700"/>
      <c r="BNE12" s="700"/>
      <c r="BNF12" s="700"/>
      <c r="BNG12" s="700"/>
      <c r="BNH12" s="700"/>
      <c r="BNI12" s="700"/>
      <c r="BNJ12" s="700"/>
      <c r="BNK12" s="700"/>
      <c r="BNL12" s="700"/>
      <c r="BNM12" s="700"/>
      <c r="BNN12" s="700"/>
      <c r="BNO12" s="700"/>
      <c r="BNP12" s="700"/>
      <c r="BNQ12" s="700"/>
      <c r="BNR12" s="700"/>
      <c r="BNS12" s="700"/>
      <c r="BNT12" s="700"/>
      <c r="BNU12" s="700"/>
      <c r="BNV12" s="700"/>
      <c r="BNW12" s="700"/>
      <c r="BNX12" s="700"/>
      <c r="BNY12" s="700"/>
      <c r="BNZ12" s="700"/>
      <c r="BOA12" s="700"/>
      <c r="BOB12" s="700"/>
      <c r="BOC12" s="700"/>
      <c r="BOD12" s="700"/>
      <c r="BOE12" s="700"/>
      <c r="BOF12" s="700"/>
      <c r="BOG12" s="700"/>
      <c r="BOH12" s="700"/>
      <c r="BOI12" s="700"/>
      <c r="BOJ12" s="700"/>
      <c r="BOK12" s="700"/>
      <c r="BOL12" s="700"/>
      <c r="BOM12" s="700"/>
      <c r="BON12" s="700"/>
      <c r="BOO12" s="700"/>
      <c r="BOP12" s="700"/>
      <c r="BOQ12" s="700"/>
      <c r="BOR12" s="700"/>
      <c r="BOS12" s="700"/>
      <c r="BOT12" s="700"/>
      <c r="BOU12" s="700"/>
      <c r="BOV12" s="700"/>
      <c r="BOW12" s="700"/>
      <c r="BOX12" s="700"/>
      <c r="BOY12" s="700"/>
      <c r="BOZ12" s="700"/>
      <c r="BPA12" s="700"/>
      <c r="BPB12" s="700"/>
      <c r="BPC12" s="700"/>
      <c r="BPD12" s="700"/>
      <c r="BPE12" s="700"/>
      <c r="BPF12" s="700"/>
      <c r="BPG12" s="700"/>
      <c r="BPH12" s="700"/>
      <c r="BPI12" s="700"/>
      <c r="BPJ12" s="700"/>
      <c r="BPK12" s="700"/>
      <c r="BPL12" s="700"/>
      <c r="BPM12" s="700"/>
      <c r="BPN12" s="700"/>
      <c r="BPO12" s="700"/>
      <c r="BPP12" s="700"/>
      <c r="BPQ12" s="700"/>
      <c r="BPR12" s="700"/>
      <c r="BPS12" s="700"/>
      <c r="BPT12" s="700"/>
      <c r="BPU12" s="700"/>
      <c r="BPV12" s="700"/>
      <c r="BPW12" s="700"/>
      <c r="BPX12" s="700"/>
      <c r="BPY12" s="700"/>
      <c r="BPZ12" s="700"/>
      <c r="BQA12" s="700"/>
      <c r="BQB12" s="700"/>
      <c r="BQC12" s="700"/>
      <c r="BQD12" s="700"/>
      <c r="BQE12" s="700"/>
      <c r="BQF12" s="700"/>
      <c r="BQG12" s="700"/>
      <c r="BQH12" s="700"/>
      <c r="BQI12" s="700"/>
      <c r="BQJ12" s="700"/>
      <c r="BQK12" s="700"/>
      <c r="BQL12" s="700"/>
      <c r="BQM12" s="700"/>
      <c r="BQN12" s="700"/>
      <c r="BQO12" s="700"/>
      <c r="BQP12" s="700"/>
      <c r="BQQ12" s="700"/>
      <c r="BQR12" s="700"/>
      <c r="BQS12" s="700"/>
      <c r="BQT12" s="700"/>
      <c r="BQU12" s="700"/>
      <c r="BQV12" s="700"/>
      <c r="BQW12" s="700"/>
      <c r="BQX12" s="700"/>
      <c r="BQY12" s="700"/>
      <c r="BQZ12" s="700"/>
      <c r="BRA12" s="700"/>
      <c r="BRB12" s="700"/>
      <c r="BRC12" s="700"/>
      <c r="BRD12" s="700"/>
      <c r="BRE12" s="700"/>
      <c r="BRF12" s="700"/>
      <c r="BRG12" s="700"/>
      <c r="BRH12" s="700"/>
      <c r="BRI12" s="700"/>
      <c r="BRJ12" s="700"/>
      <c r="BRK12" s="700"/>
      <c r="BRL12" s="700"/>
      <c r="BRM12" s="700"/>
      <c r="BRN12" s="700"/>
      <c r="BRO12" s="700"/>
      <c r="BRP12" s="700"/>
      <c r="BRQ12" s="700"/>
      <c r="BRR12" s="700"/>
      <c r="BRS12" s="700"/>
      <c r="BRT12" s="700"/>
      <c r="BRU12" s="700"/>
      <c r="BRV12" s="700"/>
      <c r="BRW12" s="700"/>
      <c r="BRX12" s="700"/>
      <c r="BRY12" s="700"/>
      <c r="BRZ12" s="700"/>
      <c r="BSA12" s="700"/>
      <c r="BSB12" s="700"/>
      <c r="BSC12" s="700"/>
      <c r="BSD12" s="700"/>
      <c r="BSE12" s="700"/>
      <c r="BSF12" s="700"/>
      <c r="BSG12" s="700"/>
      <c r="BSH12" s="700"/>
      <c r="BSI12" s="700"/>
      <c r="BSJ12" s="700"/>
      <c r="BSK12" s="700"/>
      <c r="BSL12" s="700"/>
      <c r="BSM12" s="700"/>
      <c r="BSN12" s="700"/>
      <c r="BSO12" s="700"/>
      <c r="BSP12" s="700"/>
      <c r="BSQ12" s="700"/>
      <c r="BSR12" s="700"/>
      <c r="BSS12" s="700"/>
      <c r="BST12" s="700"/>
      <c r="BSU12" s="700"/>
      <c r="BSV12" s="700"/>
      <c r="BSW12" s="700"/>
      <c r="BSX12" s="700"/>
      <c r="BSY12" s="700"/>
      <c r="BSZ12" s="700"/>
      <c r="BTA12" s="700"/>
      <c r="BTB12" s="700"/>
      <c r="BTC12" s="700"/>
      <c r="BTD12" s="700"/>
      <c r="BTE12" s="700"/>
      <c r="BTF12" s="700"/>
      <c r="BTG12" s="700"/>
      <c r="BTH12" s="700"/>
      <c r="BTI12" s="700"/>
      <c r="BTJ12" s="700"/>
      <c r="BTK12" s="700"/>
      <c r="BTL12" s="700"/>
      <c r="BTM12" s="700"/>
      <c r="BTN12" s="700"/>
      <c r="BTO12" s="700"/>
      <c r="BTP12" s="700"/>
      <c r="BTQ12" s="700"/>
      <c r="BTR12" s="700"/>
      <c r="BTS12" s="700"/>
      <c r="BTT12" s="700"/>
      <c r="BTU12" s="700"/>
      <c r="BTV12" s="700"/>
      <c r="BTW12" s="700"/>
      <c r="BTX12" s="700"/>
      <c r="BTY12" s="700"/>
      <c r="BTZ12" s="700"/>
      <c r="BUA12" s="700"/>
      <c r="BUB12" s="700"/>
      <c r="BUC12" s="700"/>
      <c r="BUD12" s="700"/>
      <c r="BUE12" s="700"/>
      <c r="BUF12" s="700"/>
      <c r="BUG12" s="700"/>
      <c r="BUH12" s="700"/>
      <c r="BUI12" s="700"/>
      <c r="BUJ12" s="700"/>
      <c r="BUK12" s="700"/>
      <c r="BUL12" s="700"/>
      <c r="BUM12" s="700"/>
      <c r="BUN12" s="700"/>
      <c r="BUO12" s="700"/>
      <c r="BUP12" s="700"/>
      <c r="BUQ12" s="700"/>
      <c r="BUR12" s="700"/>
      <c r="BUS12" s="700"/>
      <c r="BUT12" s="700"/>
      <c r="BUU12" s="700"/>
      <c r="BUV12" s="700"/>
      <c r="BUW12" s="700"/>
      <c r="BUX12" s="700"/>
      <c r="BUY12" s="700"/>
      <c r="BUZ12" s="700"/>
      <c r="BVA12" s="700"/>
      <c r="BVB12" s="700"/>
      <c r="BVC12" s="700"/>
      <c r="BVD12" s="700"/>
      <c r="BVE12" s="700"/>
      <c r="BVF12" s="700"/>
      <c r="BVG12" s="700"/>
      <c r="BVH12" s="700"/>
      <c r="BVI12" s="700"/>
      <c r="BVJ12" s="700"/>
      <c r="BVK12" s="700"/>
      <c r="BVL12" s="700"/>
      <c r="BVM12" s="700"/>
      <c r="BVN12" s="700"/>
      <c r="BVO12" s="700"/>
      <c r="BVP12" s="700"/>
      <c r="BVQ12" s="700"/>
      <c r="BVR12" s="700"/>
      <c r="BVS12" s="700"/>
      <c r="BVT12" s="700"/>
      <c r="BVU12" s="700"/>
      <c r="BVV12" s="700"/>
      <c r="BVW12" s="700"/>
      <c r="BVX12" s="700"/>
      <c r="BVY12" s="700"/>
      <c r="BVZ12" s="700"/>
      <c r="BWA12" s="700"/>
      <c r="BWB12" s="700"/>
      <c r="BWC12" s="700"/>
      <c r="BWD12" s="700"/>
      <c r="BWE12" s="700"/>
      <c r="BWF12" s="700"/>
      <c r="BWG12" s="700"/>
      <c r="BWH12" s="700"/>
      <c r="BWI12" s="700"/>
      <c r="BWJ12" s="700"/>
      <c r="BWK12" s="700"/>
      <c r="BWL12" s="700"/>
      <c r="BWM12" s="700"/>
      <c r="BWN12" s="700"/>
      <c r="BWO12" s="700"/>
      <c r="BWP12" s="700"/>
      <c r="BWQ12" s="700"/>
      <c r="BWR12" s="700"/>
      <c r="BWS12" s="700"/>
      <c r="BWT12" s="700"/>
      <c r="BWU12" s="700"/>
      <c r="BWV12" s="700"/>
      <c r="BWW12" s="700"/>
      <c r="BWX12" s="700"/>
      <c r="BWY12" s="700"/>
      <c r="BWZ12" s="700"/>
      <c r="BXA12" s="700"/>
      <c r="BXB12" s="700"/>
      <c r="BXC12" s="700"/>
      <c r="BXD12" s="700"/>
      <c r="BXE12" s="700"/>
      <c r="BXF12" s="700"/>
      <c r="BXG12" s="700"/>
      <c r="BXH12" s="700"/>
      <c r="BXI12" s="700"/>
      <c r="BXJ12" s="700"/>
      <c r="BXK12" s="700"/>
      <c r="BXL12" s="700"/>
      <c r="BXM12" s="700"/>
      <c r="BXN12" s="700"/>
      <c r="BXO12" s="700"/>
      <c r="BXP12" s="700"/>
      <c r="BXQ12" s="700"/>
      <c r="BXR12" s="700"/>
      <c r="BXS12" s="700"/>
      <c r="BXT12" s="700"/>
      <c r="BXU12" s="700"/>
      <c r="BXV12" s="700"/>
      <c r="BXW12" s="700"/>
      <c r="BXX12" s="700"/>
      <c r="BXY12" s="700"/>
      <c r="BXZ12" s="700"/>
    </row>
    <row r="13" spans="1:2002" ht="15">
      <c r="A13" s="717"/>
      <c r="B13" s="706"/>
      <c r="C13" s="733" t="s">
        <v>33</v>
      </c>
      <c r="D13" s="734">
        <f>D7-SUM(D8:D11)</f>
        <v>-1524000</v>
      </c>
      <c r="E13" s="734">
        <f t="shared" ref="E13:R13" si="11">E7-SUM(E8:E11)</f>
        <v>-1295000</v>
      </c>
      <c r="F13" s="734">
        <f t="shared" si="11"/>
        <v>-387000</v>
      </c>
      <c r="G13" s="734">
        <f t="shared" si="11"/>
        <v>-55000</v>
      </c>
      <c r="H13" s="734">
        <f t="shared" si="11"/>
        <v>222000</v>
      </c>
      <c r="I13" s="734">
        <f t="shared" si="11"/>
        <v>640198.89999999991</v>
      </c>
      <c r="J13" s="734">
        <f t="shared" si="11"/>
        <v>761836.69100000011</v>
      </c>
      <c r="K13" s="734">
        <f t="shared" si="11"/>
        <v>891348.92847000039</v>
      </c>
      <c r="L13" s="734">
        <f t="shared" si="11"/>
        <v>1025051.2677405002</v>
      </c>
      <c r="M13" s="734">
        <f t="shared" si="11"/>
        <v>1593595.6269433196</v>
      </c>
      <c r="N13" s="734">
        <f t="shared" si="11"/>
        <v>1752955.1896376512</v>
      </c>
      <c r="O13" s="734">
        <f t="shared" si="11"/>
        <v>1910721.15670504</v>
      </c>
      <c r="P13" s="734">
        <f t="shared" si="11"/>
        <v>2082686.0608084942</v>
      </c>
      <c r="Q13" s="734">
        <f t="shared" si="11"/>
        <v>2249300.9456731738</v>
      </c>
      <c r="R13" s="734">
        <f t="shared" si="11"/>
        <v>2830162.0880326638</v>
      </c>
      <c r="S13" s="712"/>
      <c r="T13" s="700"/>
      <c r="U13" s="700"/>
      <c r="V13" s="700"/>
      <c r="W13" s="700"/>
      <c r="X13" s="700"/>
      <c r="Y13" s="700"/>
      <c r="Z13" s="700"/>
      <c r="AA13" s="700"/>
      <c r="AB13" s="700"/>
      <c r="AC13" s="700"/>
      <c r="AD13" s="700"/>
      <c r="AE13" s="700"/>
      <c r="AF13" s="700"/>
      <c r="AG13" s="700"/>
      <c r="AH13" s="700"/>
      <c r="AI13" s="700"/>
      <c r="AJ13" s="700"/>
      <c r="AK13" s="700"/>
      <c r="AL13" s="700"/>
      <c r="AM13" s="700"/>
      <c r="AN13" s="700"/>
      <c r="AO13" s="700"/>
      <c r="AP13" s="700"/>
      <c r="AQ13" s="700"/>
      <c r="AR13" s="700"/>
      <c r="AS13" s="700"/>
      <c r="AT13" s="700"/>
      <c r="AU13" s="700"/>
      <c r="AV13" s="700"/>
      <c r="AW13" s="700"/>
      <c r="AX13" s="700"/>
      <c r="AY13" s="700"/>
      <c r="AZ13" s="700"/>
      <c r="BA13" s="700"/>
      <c r="BB13" s="700"/>
      <c r="BC13" s="700"/>
      <c r="BD13" s="700"/>
      <c r="BE13" s="700"/>
      <c r="BF13" s="700"/>
      <c r="BG13" s="700"/>
      <c r="BH13" s="700"/>
      <c r="BI13" s="700"/>
      <c r="BJ13" s="700"/>
      <c r="BK13" s="700"/>
      <c r="BL13" s="700"/>
      <c r="BM13" s="700"/>
      <c r="BN13" s="700"/>
      <c r="BO13" s="700"/>
      <c r="BP13" s="700"/>
      <c r="BQ13" s="700"/>
      <c r="BR13" s="700"/>
      <c r="BS13" s="700"/>
      <c r="BT13" s="700"/>
      <c r="BU13" s="700"/>
      <c r="BV13" s="700"/>
      <c r="BW13" s="700"/>
      <c r="BX13" s="700"/>
      <c r="BY13" s="700"/>
      <c r="BZ13" s="700"/>
      <c r="CA13" s="700"/>
      <c r="CB13" s="700"/>
      <c r="CC13" s="700"/>
      <c r="CD13" s="700"/>
      <c r="CE13" s="700"/>
      <c r="CF13" s="700"/>
      <c r="CG13" s="700"/>
      <c r="CH13" s="700"/>
      <c r="CI13" s="700"/>
      <c r="CJ13" s="700"/>
      <c r="CK13" s="700"/>
      <c r="CL13" s="700"/>
      <c r="CM13" s="700"/>
      <c r="CN13" s="700"/>
      <c r="CO13" s="700"/>
      <c r="CP13" s="700"/>
      <c r="CQ13" s="700"/>
      <c r="CR13" s="700"/>
      <c r="CS13" s="700"/>
      <c r="CT13" s="700"/>
      <c r="CU13" s="700"/>
      <c r="CV13" s="700"/>
      <c r="CW13" s="700"/>
      <c r="CX13" s="700"/>
      <c r="CY13" s="700"/>
      <c r="CZ13" s="700"/>
      <c r="DA13" s="700"/>
      <c r="DB13" s="700"/>
      <c r="DC13" s="700"/>
      <c r="DD13" s="700"/>
      <c r="DE13" s="700"/>
      <c r="DF13" s="700"/>
      <c r="DG13" s="700"/>
      <c r="DH13" s="700"/>
      <c r="DI13" s="700"/>
      <c r="DJ13" s="700"/>
      <c r="DK13" s="700"/>
      <c r="DL13" s="700"/>
      <c r="DM13" s="700"/>
      <c r="DN13" s="700"/>
      <c r="DO13" s="700"/>
      <c r="DP13" s="700"/>
      <c r="DQ13" s="700"/>
      <c r="DR13" s="700"/>
      <c r="DS13" s="700"/>
      <c r="DT13" s="700"/>
      <c r="DU13" s="700"/>
      <c r="DV13" s="700"/>
      <c r="DW13" s="700"/>
      <c r="DX13" s="700"/>
      <c r="DY13" s="700"/>
      <c r="DZ13" s="700"/>
      <c r="EA13" s="700"/>
      <c r="EB13" s="700"/>
      <c r="EC13" s="700"/>
      <c r="ED13" s="700"/>
      <c r="EE13" s="700"/>
      <c r="EF13" s="700"/>
      <c r="EG13" s="700"/>
      <c r="EH13" s="700"/>
      <c r="EI13" s="700"/>
      <c r="EJ13" s="700"/>
      <c r="EK13" s="700"/>
      <c r="EL13" s="700"/>
      <c r="EM13" s="700"/>
      <c r="EN13" s="700"/>
      <c r="EO13" s="700"/>
      <c r="EP13" s="700"/>
      <c r="EQ13" s="700"/>
      <c r="ER13" s="700"/>
      <c r="ES13" s="700"/>
      <c r="ET13" s="700"/>
      <c r="EU13" s="700"/>
      <c r="EV13" s="700"/>
      <c r="EW13" s="700"/>
      <c r="EX13" s="700"/>
      <c r="EY13" s="700"/>
      <c r="EZ13" s="700"/>
      <c r="FA13" s="700"/>
      <c r="FB13" s="700"/>
      <c r="FC13" s="700"/>
      <c r="FD13" s="700"/>
      <c r="FE13" s="700"/>
      <c r="FF13" s="700"/>
      <c r="FG13" s="700"/>
      <c r="FH13" s="700"/>
      <c r="FI13" s="700"/>
      <c r="FJ13" s="700"/>
      <c r="FK13" s="700"/>
      <c r="FL13" s="700"/>
      <c r="FM13" s="700"/>
      <c r="FN13" s="700"/>
      <c r="FO13" s="700"/>
      <c r="FP13" s="700"/>
      <c r="FQ13" s="700"/>
      <c r="FR13" s="700"/>
      <c r="FS13" s="700"/>
      <c r="FT13" s="700"/>
      <c r="FU13" s="700"/>
      <c r="FV13" s="700"/>
      <c r="FW13" s="700"/>
      <c r="FX13" s="700"/>
      <c r="FY13" s="700"/>
      <c r="FZ13" s="700"/>
      <c r="GA13" s="700"/>
      <c r="GB13" s="700"/>
      <c r="GC13" s="700"/>
      <c r="GD13" s="700"/>
      <c r="GE13" s="700"/>
      <c r="GF13" s="700"/>
      <c r="GG13" s="700"/>
      <c r="GH13" s="700"/>
      <c r="GI13" s="700"/>
      <c r="GJ13" s="700"/>
      <c r="GK13" s="700"/>
      <c r="GL13" s="700"/>
      <c r="GM13" s="700"/>
      <c r="GN13" s="700"/>
      <c r="GO13" s="700"/>
      <c r="GP13" s="700"/>
      <c r="GQ13" s="700"/>
      <c r="GR13" s="700"/>
      <c r="GS13" s="700"/>
      <c r="GT13" s="700"/>
      <c r="GU13" s="700"/>
      <c r="GV13" s="700"/>
      <c r="GW13" s="700"/>
      <c r="GX13" s="700"/>
      <c r="GY13" s="700"/>
      <c r="GZ13" s="700"/>
      <c r="HA13" s="700"/>
      <c r="HB13" s="700"/>
      <c r="HC13" s="700"/>
      <c r="HD13" s="700"/>
      <c r="HE13" s="700"/>
      <c r="HF13" s="700"/>
      <c r="HG13" s="700"/>
      <c r="HH13" s="700"/>
      <c r="HI13" s="700"/>
      <c r="HJ13" s="700"/>
      <c r="HK13" s="700"/>
      <c r="HL13" s="700"/>
      <c r="HM13" s="700"/>
      <c r="HN13" s="700"/>
      <c r="HO13" s="700"/>
      <c r="HP13" s="700"/>
      <c r="HQ13" s="700"/>
      <c r="HR13" s="700"/>
      <c r="HS13" s="700"/>
      <c r="HT13" s="700"/>
      <c r="HU13" s="700"/>
      <c r="HV13" s="700"/>
      <c r="HW13" s="700"/>
      <c r="HX13" s="700"/>
      <c r="HY13" s="700"/>
      <c r="HZ13" s="700"/>
      <c r="IA13" s="700"/>
      <c r="IB13" s="700"/>
      <c r="IC13" s="700"/>
      <c r="ID13" s="700"/>
      <c r="IE13" s="700"/>
      <c r="IF13" s="700"/>
      <c r="IG13" s="700"/>
      <c r="IH13" s="700"/>
      <c r="II13" s="700"/>
      <c r="IJ13" s="700"/>
      <c r="IK13" s="700"/>
      <c r="IL13" s="700"/>
      <c r="IM13" s="700"/>
      <c r="IN13" s="700"/>
      <c r="IO13" s="700"/>
      <c r="IP13" s="700"/>
      <c r="IQ13" s="700"/>
      <c r="IR13" s="700"/>
      <c r="IS13" s="700"/>
      <c r="IT13" s="700"/>
      <c r="IU13" s="700"/>
      <c r="IV13" s="700"/>
      <c r="IW13" s="700"/>
      <c r="IX13" s="700"/>
      <c r="IY13" s="700"/>
      <c r="IZ13" s="700"/>
      <c r="JA13" s="700"/>
      <c r="JB13" s="700"/>
      <c r="JC13" s="700"/>
      <c r="JD13" s="700"/>
      <c r="JE13" s="700"/>
      <c r="JF13" s="700"/>
      <c r="JG13" s="700"/>
      <c r="JH13" s="700"/>
      <c r="JI13" s="700"/>
      <c r="JJ13" s="700"/>
      <c r="JK13" s="700"/>
      <c r="JL13" s="700"/>
      <c r="JM13" s="700"/>
      <c r="JN13" s="700"/>
      <c r="JO13" s="700"/>
      <c r="JP13" s="700"/>
      <c r="JQ13" s="700"/>
      <c r="JR13" s="700"/>
      <c r="JS13" s="700"/>
      <c r="JT13" s="700"/>
      <c r="JU13" s="700"/>
      <c r="JV13" s="700"/>
      <c r="JW13" s="700"/>
      <c r="JX13" s="700"/>
      <c r="JY13" s="700"/>
      <c r="JZ13" s="700"/>
      <c r="KA13" s="700"/>
      <c r="KB13" s="700"/>
      <c r="KC13" s="700"/>
      <c r="KD13" s="700"/>
      <c r="KE13" s="700"/>
      <c r="KF13" s="700"/>
      <c r="KG13" s="700"/>
      <c r="KH13" s="700"/>
      <c r="KI13" s="700"/>
      <c r="KJ13" s="700"/>
      <c r="KK13" s="700"/>
      <c r="KL13" s="700"/>
      <c r="KM13" s="700"/>
      <c r="KN13" s="700"/>
      <c r="KO13" s="700"/>
      <c r="KP13" s="700"/>
      <c r="KQ13" s="700"/>
      <c r="KR13" s="700"/>
      <c r="KS13" s="700"/>
      <c r="KT13" s="700"/>
      <c r="KU13" s="700"/>
      <c r="KV13" s="700"/>
      <c r="KW13" s="700"/>
      <c r="KX13" s="700"/>
      <c r="KY13" s="700"/>
      <c r="KZ13" s="700"/>
      <c r="LA13" s="700"/>
      <c r="LB13" s="700"/>
      <c r="LC13" s="700"/>
      <c r="LD13" s="700"/>
      <c r="LE13" s="700"/>
      <c r="LF13" s="700"/>
      <c r="LG13" s="700"/>
      <c r="LH13" s="700"/>
      <c r="LI13" s="700"/>
      <c r="LJ13" s="700"/>
      <c r="LK13" s="700"/>
      <c r="LL13" s="700"/>
      <c r="LM13" s="700"/>
      <c r="LN13" s="700"/>
      <c r="LO13" s="700"/>
      <c r="LP13" s="700"/>
      <c r="LQ13" s="700"/>
      <c r="LR13" s="700"/>
      <c r="LS13" s="700"/>
      <c r="LT13" s="700"/>
      <c r="LU13" s="700"/>
      <c r="LV13" s="700"/>
      <c r="LW13" s="700"/>
      <c r="LX13" s="700"/>
      <c r="LY13" s="700"/>
      <c r="LZ13" s="700"/>
      <c r="MA13" s="700"/>
      <c r="MB13" s="700"/>
      <c r="MC13" s="700"/>
      <c r="MD13" s="700"/>
      <c r="ME13" s="700"/>
      <c r="MF13" s="700"/>
      <c r="MG13" s="700"/>
      <c r="MH13" s="700"/>
      <c r="MI13" s="700"/>
      <c r="MJ13" s="700"/>
      <c r="MK13" s="700"/>
      <c r="ML13" s="700"/>
      <c r="MM13" s="700"/>
      <c r="MN13" s="700"/>
      <c r="MO13" s="700"/>
      <c r="MP13" s="700"/>
      <c r="MQ13" s="700"/>
      <c r="MR13" s="700"/>
      <c r="MS13" s="700"/>
      <c r="MT13" s="700"/>
      <c r="MU13" s="700"/>
      <c r="MV13" s="700"/>
      <c r="MW13" s="700"/>
      <c r="MX13" s="700"/>
      <c r="MY13" s="700"/>
      <c r="MZ13" s="700"/>
      <c r="NA13" s="700"/>
      <c r="NB13" s="700"/>
      <c r="NC13" s="700"/>
      <c r="ND13" s="700"/>
      <c r="NE13" s="700"/>
      <c r="NF13" s="700"/>
      <c r="NG13" s="700"/>
      <c r="NH13" s="700"/>
      <c r="NI13" s="700"/>
      <c r="NJ13" s="700"/>
      <c r="NK13" s="700"/>
      <c r="NL13" s="700"/>
      <c r="NM13" s="700"/>
      <c r="NN13" s="700"/>
      <c r="NO13" s="700"/>
      <c r="NP13" s="700"/>
      <c r="NQ13" s="700"/>
      <c r="NR13" s="700"/>
      <c r="NS13" s="700"/>
      <c r="NT13" s="700"/>
      <c r="NU13" s="700"/>
      <c r="NV13" s="700"/>
      <c r="NW13" s="700"/>
      <c r="NX13" s="700"/>
      <c r="NY13" s="700"/>
      <c r="NZ13" s="700"/>
      <c r="OA13" s="700"/>
      <c r="OB13" s="700"/>
      <c r="OC13" s="700"/>
      <c r="OD13" s="700"/>
      <c r="OE13" s="700"/>
      <c r="OF13" s="700"/>
      <c r="OG13" s="700"/>
      <c r="OH13" s="700"/>
      <c r="OI13" s="700"/>
      <c r="OJ13" s="700"/>
      <c r="OK13" s="700"/>
      <c r="OL13" s="700"/>
      <c r="OM13" s="700"/>
      <c r="ON13" s="700"/>
      <c r="OO13" s="700"/>
      <c r="OP13" s="700"/>
      <c r="OQ13" s="700"/>
      <c r="OR13" s="700"/>
      <c r="OS13" s="700"/>
      <c r="OT13" s="700"/>
      <c r="OU13" s="700"/>
      <c r="OV13" s="700"/>
      <c r="OW13" s="700"/>
      <c r="OX13" s="700"/>
      <c r="OY13" s="700"/>
      <c r="OZ13" s="700"/>
      <c r="PA13" s="700"/>
      <c r="PB13" s="700"/>
      <c r="PC13" s="700"/>
      <c r="PD13" s="700"/>
      <c r="PE13" s="700"/>
      <c r="PF13" s="700"/>
      <c r="PG13" s="700"/>
      <c r="PH13" s="700"/>
      <c r="PI13" s="700"/>
      <c r="PJ13" s="700"/>
      <c r="PK13" s="700"/>
      <c r="PL13" s="700"/>
      <c r="PM13" s="700"/>
      <c r="PN13" s="700"/>
      <c r="PO13" s="700"/>
      <c r="PP13" s="700"/>
      <c r="PQ13" s="700"/>
      <c r="PR13" s="700"/>
      <c r="PS13" s="700"/>
      <c r="PT13" s="700"/>
      <c r="PU13" s="700"/>
      <c r="PV13" s="700"/>
      <c r="PW13" s="700"/>
      <c r="PX13" s="700"/>
      <c r="PY13" s="700"/>
      <c r="PZ13" s="700"/>
      <c r="QA13" s="700"/>
      <c r="QB13" s="700"/>
      <c r="QC13" s="700"/>
      <c r="QD13" s="700"/>
      <c r="QE13" s="700"/>
      <c r="QF13" s="700"/>
      <c r="QG13" s="700"/>
      <c r="QH13" s="700"/>
      <c r="QI13" s="700"/>
      <c r="QJ13" s="700"/>
      <c r="QK13" s="700"/>
      <c r="QL13" s="700"/>
      <c r="QM13" s="700"/>
      <c r="QN13" s="700"/>
      <c r="QO13" s="700"/>
      <c r="QP13" s="700"/>
      <c r="QQ13" s="700"/>
      <c r="QR13" s="700"/>
      <c r="QS13" s="700"/>
      <c r="QT13" s="700"/>
      <c r="QU13" s="700"/>
      <c r="QV13" s="700"/>
      <c r="QW13" s="700"/>
      <c r="QX13" s="700"/>
      <c r="QY13" s="700"/>
      <c r="QZ13" s="700"/>
      <c r="RA13" s="700"/>
      <c r="RB13" s="700"/>
      <c r="RC13" s="700"/>
      <c r="RD13" s="700"/>
      <c r="RE13" s="700"/>
      <c r="RF13" s="700"/>
      <c r="RG13" s="700"/>
      <c r="RH13" s="700"/>
      <c r="RI13" s="700"/>
      <c r="RJ13" s="700"/>
      <c r="RK13" s="700"/>
      <c r="RL13" s="700"/>
      <c r="RM13" s="700"/>
      <c r="RN13" s="700"/>
      <c r="RO13" s="700"/>
      <c r="RP13" s="700"/>
      <c r="RQ13" s="700"/>
      <c r="RR13" s="700"/>
      <c r="RS13" s="700"/>
      <c r="RT13" s="700"/>
      <c r="RU13" s="700"/>
      <c r="RV13" s="700"/>
      <c r="RW13" s="700"/>
      <c r="RX13" s="700"/>
      <c r="RY13" s="700"/>
      <c r="RZ13" s="700"/>
      <c r="SA13" s="700"/>
      <c r="SB13" s="700"/>
      <c r="SC13" s="700"/>
      <c r="SD13" s="700"/>
      <c r="SE13" s="700"/>
      <c r="SF13" s="700"/>
      <c r="SG13" s="700"/>
      <c r="SH13" s="700"/>
      <c r="SI13" s="700"/>
      <c r="SJ13" s="700"/>
      <c r="SK13" s="700"/>
      <c r="SL13" s="700"/>
      <c r="SM13" s="700"/>
      <c r="SN13" s="700"/>
      <c r="SO13" s="700"/>
      <c r="SP13" s="700"/>
      <c r="SQ13" s="700"/>
      <c r="SR13" s="700"/>
      <c r="SS13" s="700"/>
      <c r="ST13" s="700"/>
      <c r="SU13" s="700"/>
      <c r="SV13" s="700"/>
      <c r="SW13" s="700"/>
      <c r="SX13" s="700"/>
      <c r="SY13" s="700"/>
      <c r="SZ13" s="700"/>
      <c r="TA13" s="700"/>
      <c r="TB13" s="700"/>
      <c r="TC13" s="700"/>
      <c r="TD13" s="700"/>
      <c r="TE13" s="700"/>
      <c r="TF13" s="700"/>
      <c r="TG13" s="700"/>
      <c r="TH13" s="700"/>
      <c r="TI13" s="700"/>
      <c r="TJ13" s="700"/>
      <c r="TK13" s="700"/>
      <c r="TL13" s="700"/>
      <c r="TM13" s="700"/>
      <c r="TN13" s="700"/>
      <c r="TO13" s="700"/>
      <c r="TP13" s="700"/>
      <c r="TQ13" s="700"/>
      <c r="TR13" s="700"/>
      <c r="TS13" s="700"/>
      <c r="TT13" s="700"/>
      <c r="TU13" s="700"/>
      <c r="TV13" s="700"/>
      <c r="TW13" s="700"/>
      <c r="TX13" s="700"/>
      <c r="TY13" s="700"/>
      <c r="TZ13" s="700"/>
      <c r="UA13" s="700"/>
      <c r="UB13" s="700"/>
      <c r="UC13" s="700"/>
      <c r="UD13" s="700"/>
      <c r="UE13" s="700"/>
      <c r="UF13" s="700"/>
      <c r="UG13" s="700"/>
      <c r="UH13" s="700"/>
      <c r="UI13" s="700"/>
      <c r="UJ13" s="700"/>
      <c r="UK13" s="700"/>
      <c r="UL13" s="700"/>
      <c r="UM13" s="700"/>
      <c r="UN13" s="700"/>
      <c r="UO13" s="700"/>
      <c r="UP13" s="700"/>
      <c r="UQ13" s="700"/>
      <c r="UR13" s="700"/>
      <c r="US13" s="700"/>
      <c r="UT13" s="700"/>
      <c r="UU13" s="700"/>
      <c r="UV13" s="700"/>
      <c r="UW13" s="700"/>
      <c r="UX13" s="700"/>
      <c r="UY13" s="700"/>
      <c r="UZ13" s="700"/>
      <c r="VA13" s="700"/>
      <c r="VB13" s="700"/>
      <c r="VC13" s="700"/>
      <c r="VD13" s="700"/>
      <c r="VE13" s="700"/>
      <c r="VF13" s="700"/>
      <c r="VG13" s="700"/>
      <c r="VH13" s="700"/>
      <c r="VI13" s="700"/>
      <c r="VJ13" s="700"/>
      <c r="VK13" s="700"/>
      <c r="VL13" s="700"/>
      <c r="VM13" s="700"/>
      <c r="VN13" s="700"/>
      <c r="VO13" s="700"/>
      <c r="VP13" s="700"/>
      <c r="VQ13" s="700"/>
      <c r="VR13" s="700"/>
      <c r="VS13" s="700"/>
      <c r="VT13" s="700"/>
      <c r="VU13" s="700"/>
      <c r="VV13" s="700"/>
      <c r="VW13" s="700"/>
      <c r="VX13" s="700"/>
      <c r="VY13" s="700"/>
      <c r="VZ13" s="700"/>
      <c r="WA13" s="700"/>
      <c r="WB13" s="700"/>
      <c r="WC13" s="700"/>
      <c r="WD13" s="700"/>
      <c r="WE13" s="700"/>
      <c r="WF13" s="700"/>
      <c r="WG13" s="700"/>
      <c r="WH13" s="700"/>
      <c r="WI13" s="700"/>
      <c r="WJ13" s="700"/>
      <c r="WK13" s="700"/>
      <c r="WL13" s="700"/>
      <c r="WM13" s="700"/>
      <c r="WN13" s="700"/>
      <c r="WO13" s="700"/>
      <c r="WP13" s="700"/>
      <c r="WQ13" s="700"/>
      <c r="WR13" s="700"/>
      <c r="WS13" s="700"/>
      <c r="WT13" s="700"/>
      <c r="WU13" s="700"/>
      <c r="WV13" s="700"/>
      <c r="WW13" s="700"/>
      <c r="WX13" s="700"/>
      <c r="WY13" s="700"/>
      <c r="WZ13" s="700"/>
      <c r="XA13" s="700"/>
      <c r="XB13" s="700"/>
      <c r="XC13" s="700"/>
      <c r="XD13" s="700"/>
      <c r="XE13" s="700"/>
      <c r="XF13" s="700"/>
      <c r="XG13" s="700"/>
      <c r="XH13" s="700"/>
      <c r="XI13" s="700"/>
      <c r="XJ13" s="700"/>
      <c r="XK13" s="700"/>
      <c r="XL13" s="700"/>
      <c r="XM13" s="700"/>
      <c r="XN13" s="700"/>
      <c r="XO13" s="700"/>
      <c r="XP13" s="700"/>
      <c r="XQ13" s="700"/>
      <c r="XR13" s="700"/>
      <c r="XS13" s="700"/>
      <c r="XT13" s="700"/>
      <c r="XU13" s="700"/>
      <c r="XV13" s="700"/>
      <c r="XW13" s="700"/>
      <c r="XX13" s="700"/>
      <c r="XY13" s="700"/>
      <c r="XZ13" s="700"/>
      <c r="YA13" s="700"/>
      <c r="YB13" s="700"/>
      <c r="YC13" s="700"/>
      <c r="YD13" s="700"/>
      <c r="YE13" s="700"/>
      <c r="YF13" s="700"/>
      <c r="YG13" s="700"/>
      <c r="YH13" s="700"/>
      <c r="YI13" s="700"/>
      <c r="YJ13" s="700"/>
      <c r="YK13" s="700"/>
      <c r="YL13" s="700"/>
      <c r="YM13" s="700"/>
      <c r="YN13" s="700"/>
      <c r="YO13" s="700"/>
      <c r="YP13" s="700"/>
      <c r="YQ13" s="700"/>
      <c r="YR13" s="700"/>
      <c r="YS13" s="700"/>
      <c r="YT13" s="700"/>
      <c r="YU13" s="700"/>
      <c r="YV13" s="700"/>
      <c r="YW13" s="700"/>
      <c r="YX13" s="700"/>
      <c r="YY13" s="700"/>
      <c r="YZ13" s="700"/>
      <c r="ZA13" s="700"/>
      <c r="ZB13" s="700"/>
      <c r="ZC13" s="700"/>
      <c r="ZD13" s="700"/>
      <c r="ZE13" s="700"/>
      <c r="ZF13" s="700"/>
      <c r="ZG13" s="700"/>
      <c r="ZH13" s="700"/>
      <c r="ZI13" s="700"/>
      <c r="ZJ13" s="700"/>
      <c r="ZK13" s="700"/>
      <c r="ZL13" s="700"/>
      <c r="ZM13" s="700"/>
      <c r="ZN13" s="700"/>
      <c r="ZO13" s="700"/>
      <c r="ZP13" s="700"/>
      <c r="ZQ13" s="700"/>
      <c r="ZR13" s="700"/>
      <c r="ZS13" s="700"/>
      <c r="ZT13" s="700"/>
      <c r="ZU13" s="700"/>
      <c r="ZV13" s="700"/>
      <c r="ZW13" s="700"/>
      <c r="ZX13" s="700"/>
      <c r="ZY13" s="700"/>
      <c r="ZZ13" s="700"/>
      <c r="AAA13" s="700"/>
      <c r="AAB13" s="700"/>
      <c r="AAC13" s="700"/>
      <c r="AAD13" s="700"/>
      <c r="AAE13" s="700"/>
      <c r="AAF13" s="700"/>
      <c r="AAG13" s="700"/>
      <c r="AAH13" s="700"/>
      <c r="AAI13" s="700"/>
      <c r="AAJ13" s="700"/>
      <c r="AAK13" s="700"/>
      <c r="AAL13" s="700"/>
      <c r="AAM13" s="700"/>
      <c r="AAN13" s="700"/>
      <c r="AAO13" s="700"/>
      <c r="AAP13" s="700"/>
      <c r="AAQ13" s="700"/>
      <c r="AAR13" s="700"/>
      <c r="AAS13" s="700"/>
      <c r="AAT13" s="700"/>
      <c r="AAU13" s="700"/>
      <c r="AAV13" s="700"/>
      <c r="AAW13" s="700"/>
      <c r="AAX13" s="700"/>
      <c r="AAY13" s="700"/>
      <c r="AAZ13" s="700"/>
      <c r="ABA13" s="700"/>
      <c r="ABB13" s="700"/>
      <c r="ABC13" s="700"/>
      <c r="ABD13" s="700"/>
      <c r="ABE13" s="700"/>
      <c r="ABF13" s="700"/>
      <c r="ABG13" s="700"/>
      <c r="ABH13" s="700"/>
      <c r="ABI13" s="700"/>
      <c r="ABJ13" s="700"/>
      <c r="ABK13" s="700"/>
      <c r="ABL13" s="700"/>
      <c r="ABM13" s="700"/>
      <c r="ABN13" s="700"/>
      <c r="ABO13" s="700"/>
      <c r="ABP13" s="700"/>
      <c r="ABQ13" s="700"/>
      <c r="ABR13" s="700"/>
      <c r="ABS13" s="700"/>
      <c r="ABT13" s="700"/>
      <c r="ABU13" s="700"/>
      <c r="ABV13" s="700"/>
      <c r="ABW13" s="700"/>
      <c r="ABX13" s="700"/>
      <c r="ABY13" s="700"/>
      <c r="ABZ13" s="700"/>
      <c r="ACA13" s="700"/>
      <c r="ACB13" s="700"/>
      <c r="ACC13" s="700"/>
      <c r="ACD13" s="700"/>
      <c r="ACE13" s="700"/>
      <c r="ACF13" s="700"/>
      <c r="ACG13" s="700"/>
      <c r="ACH13" s="700"/>
      <c r="ACI13" s="700"/>
      <c r="ACJ13" s="700"/>
      <c r="ACK13" s="700"/>
      <c r="ACL13" s="700"/>
      <c r="ACM13" s="700"/>
      <c r="ACN13" s="700"/>
      <c r="ACO13" s="700"/>
      <c r="ACP13" s="700"/>
      <c r="ACQ13" s="700"/>
      <c r="ACR13" s="700"/>
      <c r="ACS13" s="700"/>
      <c r="ACT13" s="700"/>
      <c r="ACU13" s="700"/>
      <c r="ACV13" s="700"/>
      <c r="ACW13" s="700"/>
      <c r="ACX13" s="700"/>
      <c r="ACY13" s="700"/>
      <c r="ACZ13" s="700"/>
      <c r="ADA13" s="700"/>
      <c r="ADB13" s="700"/>
      <c r="ADC13" s="700"/>
      <c r="ADD13" s="700"/>
      <c r="ADE13" s="700"/>
      <c r="ADF13" s="700"/>
      <c r="ADG13" s="700"/>
      <c r="ADH13" s="700"/>
      <c r="ADI13" s="700"/>
      <c r="ADJ13" s="700"/>
      <c r="ADK13" s="700"/>
      <c r="ADL13" s="700"/>
      <c r="ADM13" s="700"/>
      <c r="ADN13" s="700"/>
      <c r="ADO13" s="700"/>
      <c r="ADP13" s="700"/>
      <c r="ADQ13" s="700"/>
      <c r="ADR13" s="700"/>
      <c r="ADS13" s="700"/>
      <c r="ADT13" s="700"/>
      <c r="ADU13" s="700"/>
      <c r="ADV13" s="700"/>
      <c r="ADW13" s="700"/>
      <c r="ADX13" s="700"/>
      <c r="ADY13" s="700"/>
      <c r="ADZ13" s="700"/>
      <c r="AEA13" s="700"/>
      <c r="AEB13" s="700"/>
      <c r="AEC13" s="700"/>
      <c r="AED13" s="700"/>
      <c r="AEE13" s="700"/>
      <c r="AEF13" s="700"/>
      <c r="AEG13" s="700"/>
      <c r="AEH13" s="700"/>
      <c r="AEI13" s="700"/>
      <c r="AEJ13" s="700"/>
      <c r="AEK13" s="700"/>
      <c r="AEL13" s="700"/>
      <c r="AEM13" s="700"/>
      <c r="AEN13" s="700"/>
      <c r="AEO13" s="700"/>
      <c r="AEP13" s="700"/>
      <c r="AEQ13" s="700"/>
      <c r="AER13" s="700"/>
      <c r="AES13" s="700"/>
      <c r="AET13" s="700"/>
      <c r="AEU13" s="700"/>
      <c r="AEV13" s="700"/>
      <c r="AEW13" s="700"/>
      <c r="AEX13" s="700"/>
      <c r="AEY13" s="700"/>
      <c r="AEZ13" s="700"/>
      <c r="AFA13" s="700"/>
      <c r="AFB13" s="700"/>
      <c r="AFC13" s="700"/>
      <c r="AFD13" s="700"/>
      <c r="AFE13" s="700"/>
      <c r="AFF13" s="700"/>
      <c r="AFG13" s="700"/>
      <c r="AFH13" s="700"/>
      <c r="AFI13" s="700"/>
      <c r="AFJ13" s="700"/>
      <c r="AFK13" s="700"/>
      <c r="AFL13" s="700"/>
      <c r="AFM13" s="700"/>
      <c r="AFN13" s="700"/>
      <c r="AFO13" s="700"/>
      <c r="AFP13" s="700"/>
      <c r="AFQ13" s="700"/>
      <c r="AFR13" s="700"/>
      <c r="AFS13" s="700"/>
      <c r="AFT13" s="700"/>
      <c r="AFU13" s="700"/>
      <c r="AFV13" s="700"/>
      <c r="AFW13" s="700"/>
      <c r="AFX13" s="700"/>
      <c r="AFY13" s="700"/>
      <c r="AFZ13" s="700"/>
      <c r="AGA13" s="700"/>
      <c r="AGB13" s="700"/>
      <c r="AGC13" s="700"/>
      <c r="AGD13" s="700"/>
      <c r="AGE13" s="700"/>
      <c r="AGF13" s="700"/>
      <c r="AGG13" s="700"/>
      <c r="AGH13" s="700"/>
      <c r="AGI13" s="700"/>
      <c r="AGJ13" s="700"/>
      <c r="AGK13" s="700"/>
      <c r="AGL13" s="700"/>
      <c r="AGM13" s="700"/>
      <c r="AGN13" s="700"/>
      <c r="AGO13" s="700"/>
      <c r="AGP13" s="700"/>
      <c r="AGQ13" s="700"/>
      <c r="AGR13" s="700"/>
      <c r="AGS13" s="700"/>
      <c r="AGT13" s="700"/>
      <c r="AGU13" s="700"/>
      <c r="AGV13" s="700"/>
      <c r="AGW13" s="700"/>
      <c r="AGX13" s="700"/>
      <c r="AGY13" s="700"/>
      <c r="AGZ13" s="700"/>
      <c r="AHA13" s="700"/>
      <c r="AHB13" s="700"/>
      <c r="AHC13" s="700"/>
      <c r="AHD13" s="700"/>
      <c r="AHE13" s="700"/>
      <c r="AHF13" s="700"/>
      <c r="AHG13" s="700"/>
      <c r="AHH13" s="700"/>
      <c r="AHI13" s="700"/>
      <c r="AHJ13" s="700"/>
      <c r="AHK13" s="700"/>
      <c r="AHL13" s="700"/>
      <c r="AHM13" s="700"/>
      <c r="AHN13" s="700"/>
      <c r="AHO13" s="700"/>
      <c r="AHP13" s="700"/>
      <c r="AHQ13" s="700"/>
      <c r="AHR13" s="700"/>
      <c r="AHS13" s="700"/>
      <c r="AHT13" s="700"/>
      <c r="AHU13" s="700"/>
      <c r="AHV13" s="700"/>
      <c r="AHW13" s="700"/>
      <c r="AHX13" s="700"/>
      <c r="AHY13" s="700"/>
      <c r="AHZ13" s="700"/>
      <c r="AIA13" s="700"/>
      <c r="AIB13" s="700"/>
      <c r="AIC13" s="700"/>
      <c r="AID13" s="700"/>
      <c r="AIE13" s="700"/>
      <c r="AIF13" s="700"/>
      <c r="AIG13" s="700"/>
      <c r="AIH13" s="700"/>
      <c r="AII13" s="700"/>
      <c r="AIJ13" s="700"/>
      <c r="AIK13" s="700"/>
      <c r="AIL13" s="700"/>
      <c r="AIM13" s="700"/>
      <c r="AIN13" s="700"/>
      <c r="AIO13" s="700"/>
      <c r="AIP13" s="700"/>
      <c r="AIQ13" s="700"/>
      <c r="AIR13" s="700"/>
      <c r="AIS13" s="700"/>
      <c r="AIT13" s="700"/>
      <c r="AIU13" s="700"/>
      <c r="AIV13" s="700"/>
      <c r="AIW13" s="700"/>
      <c r="AIX13" s="700"/>
      <c r="AIY13" s="700"/>
      <c r="AIZ13" s="700"/>
      <c r="AJA13" s="700"/>
      <c r="AJB13" s="700"/>
      <c r="AJC13" s="700"/>
      <c r="AJD13" s="700"/>
      <c r="AJE13" s="700"/>
      <c r="AJF13" s="700"/>
      <c r="AJG13" s="700"/>
      <c r="AJH13" s="700"/>
      <c r="AJI13" s="700"/>
      <c r="AJJ13" s="700"/>
      <c r="AJK13" s="700"/>
      <c r="AJL13" s="700"/>
      <c r="AJM13" s="700"/>
      <c r="AJN13" s="700"/>
      <c r="AJO13" s="700"/>
      <c r="AJP13" s="700"/>
      <c r="AJQ13" s="700"/>
      <c r="AJR13" s="700"/>
      <c r="AJS13" s="700"/>
      <c r="AJT13" s="700"/>
      <c r="AJU13" s="700"/>
      <c r="AJV13" s="700"/>
      <c r="AJW13" s="700"/>
      <c r="AJX13" s="700"/>
      <c r="AJY13" s="700"/>
      <c r="AJZ13" s="700"/>
      <c r="AKA13" s="700"/>
      <c r="AKB13" s="700"/>
      <c r="AKC13" s="700"/>
      <c r="AKD13" s="700"/>
      <c r="AKE13" s="700"/>
      <c r="AKF13" s="700"/>
      <c r="AKG13" s="700"/>
      <c r="AKH13" s="700"/>
      <c r="AKI13" s="700"/>
      <c r="AKJ13" s="700"/>
      <c r="AKK13" s="700"/>
      <c r="AKL13" s="700"/>
      <c r="AKM13" s="700"/>
      <c r="AKN13" s="700"/>
      <c r="AKO13" s="700"/>
      <c r="AKP13" s="700"/>
      <c r="AKQ13" s="700"/>
      <c r="AKR13" s="700"/>
      <c r="AKS13" s="700"/>
      <c r="AKT13" s="700"/>
      <c r="AKU13" s="700"/>
      <c r="AKV13" s="700"/>
      <c r="AKW13" s="700"/>
      <c r="AKX13" s="700"/>
      <c r="AKY13" s="700"/>
      <c r="AKZ13" s="700"/>
      <c r="ALA13" s="700"/>
      <c r="ALB13" s="700"/>
      <c r="ALC13" s="700"/>
      <c r="ALD13" s="700"/>
      <c r="ALE13" s="700"/>
      <c r="ALF13" s="700"/>
      <c r="ALG13" s="700"/>
      <c r="ALH13" s="700"/>
      <c r="ALI13" s="700"/>
      <c r="ALJ13" s="700"/>
      <c r="ALK13" s="700"/>
      <c r="ALL13" s="700"/>
      <c r="ALM13" s="700"/>
      <c r="ALN13" s="700"/>
      <c r="ALO13" s="700"/>
      <c r="ALP13" s="700"/>
      <c r="ALQ13" s="700"/>
      <c r="ALR13" s="700"/>
      <c r="ALS13" s="700"/>
      <c r="ALT13" s="700"/>
      <c r="ALU13" s="700"/>
      <c r="ALV13" s="700"/>
      <c r="ALW13" s="700"/>
      <c r="ALX13" s="700"/>
      <c r="ALY13" s="700"/>
      <c r="ALZ13" s="700"/>
      <c r="AMA13" s="700"/>
      <c r="AMB13" s="700"/>
      <c r="AMC13" s="700"/>
      <c r="AMD13" s="700"/>
      <c r="AME13" s="700"/>
      <c r="AMF13" s="700"/>
      <c r="AMG13" s="700"/>
      <c r="AMH13" s="700"/>
      <c r="AMI13" s="700"/>
      <c r="AMJ13" s="700"/>
      <c r="AMK13" s="700"/>
      <c r="AML13" s="700"/>
      <c r="AMM13" s="700"/>
      <c r="AMN13" s="700"/>
      <c r="AMO13" s="700"/>
      <c r="AMP13" s="700"/>
      <c r="AMQ13" s="700"/>
      <c r="AMR13" s="700"/>
      <c r="AMS13" s="700"/>
      <c r="AMT13" s="700"/>
      <c r="AMU13" s="700"/>
      <c r="AMV13" s="700"/>
      <c r="AMW13" s="700"/>
      <c r="AMX13" s="700"/>
      <c r="AMY13" s="700"/>
      <c r="AMZ13" s="700"/>
      <c r="ANA13" s="700"/>
      <c r="ANB13" s="700"/>
      <c r="ANC13" s="700"/>
      <c r="AND13" s="700"/>
      <c r="ANE13" s="700"/>
      <c r="ANF13" s="700"/>
      <c r="ANG13" s="700"/>
      <c r="ANH13" s="700"/>
      <c r="ANI13" s="700"/>
      <c r="ANJ13" s="700"/>
      <c r="ANK13" s="700"/>
      <c r="ANL13" s="700"/>
      <c r="ANM13" s="700"/>
      <c r="ANN13" s="700"/>
      <c r="ANO13" s="700"/>
      <c r="ANP13" s="700"/>
      <c r="ANQ13" s="700"/>
      <c r="ANR13" s="700"/>
      <c r="ANS13" s="700"/>
      <c r="ANT13" s="700"/>
      <c r="ANU13" s="700"/>
      <c r="ANV13" s="700"/>
      <c r="ANW13" s="700"/>
      <c r="ANX13" s="700"/>
      <c r="ANY13" s="700"/>
      <c r="ANZ13" s="700"/>
      <c r="AOA13" s="700"/>
      <c r="AOB13" s="700"/>
      <c r="AOC13" s="700"/>
      <c r="AOD13" s="700"/>
      <c r="AOE13" s="700"/>
      <c r="AOF13" s="700"/>
      <c r="AOG13" s="700"/>
      <c r="AOH13" s="700"/>
      <c r="AOI13" s="700"/>
      <c r="AOJ13" s="700"/>
      <c r="AOK13" s="700"/>
      <c r="AOL13" s="700"/>
      <c r="AOM13" s="700"/>
      <c r="AON13" s="700"/>
      <c r="AOO13" s="700"/>
      <c r="AOP13" s="700"/>
      <c r="AOQ13" s="700"/>
      <c r="AOR13" s="700"/>
      <c r="AOS13" s="700"/>
      <c r="AOT13" s="700"/>
      <c r="AOU13" s="700"/>
      <c r="AOV13" s="700"/>
      <c r="AOW13" s="700"/>
      <c r="AOX13" s="700"/>
      <c r="AOY13" s="700"/>
      <c r="AOZ13" s="700"/>
      <c r="APA13" s="700"/>
      <c r="APB13" s="700"/>
      <c r="APC13" s="700"/>
      <c r="APD13" s="700"/>
      <c r="APE13" s="700"/>
      <c r="APF13" s="700"/>
      <c r="APG13" s="700"/>
      <c r="APH13" s="700"/>
      <c r="API13" s="700"/>
      <c r="APJ13" s="700"/>
      <c r="APK13" s="700"/>
      <c r="APL13" s="700"/>
      <c r="APM13" s="700"/>
      <c r="APN13" s="700"/>
      <c r="APO13" s="700"/>
      <c r="APP13" s="700"/>
      <c r="APQ13" s="700"/>
      <c r="APR13" s="700"/>
      <c r="APS13" s="700"/>
      <c r="APT13" s="700"/>
      <c r="APU13" s="700"/>
      <c r="APV13" s="700"/>
      <c r="APW13" s="700"/>
      <c r="APX13" s="700"/>
      <c r="APY13" s="700"/>
      <c r="APZ13" s="700"/>
      <c r="AQA13" s="700"/>
      <c r="AQB13" s="700"/>
      <c r="AQC13" s="700"/>
      <c r="AQD13" s="700"/>
      <c r="AQE13" s="700"/>
      <c r="AQF13" s="700"/>
      <c r="AQG13" s="700"/>
      <c r="AQH13" s="700"/>
      <c r="AQI13" s="700"/>
      <c r="AQJ13" s="700"/>
      <c r="AQK13" s="700"/>
      <c r="AQL13" s="700"/>
      <c r="AQM13" s="700"/>
      <c r="AQN13" s="700"/>
      <c r="AQO13" s="700"/>
      <c r="AQP13" s="700"/>
      <c r="AQQ13" s="700"/>
      <c r="AQR13" s="700"/>
      <c r="AQS13" s="700"/>
      <c r="AQT13" s="700"/>
      <c r="AQU13" s="700"/>
      <c r="AQV13" s="700"/>
      <c r="AQW13" s="700"/>
      <c r="AQX13" s="700"/>
      <c r="AQY13" s="700"/>
      <c r="AQZ13" s="700"/>
      <c r="ARA13" s="700"/>
      <c r="ARB13" s="700"/>
      <c r="ARC13" s="700"/>
      <c r="ARD13" s="700"/>
      <c r="ARE13" s="700"/>
      <c r="ARF13" s="700"/>
      <c r="ARG13" s="700"/>
      <c r="ARH13" s="700"/>
      <c r="ARI13" s="700"/>
      <c r="ARJ13" s="700"/>
      <c r="ARK13" s="700"/>
      <c r="ARL13" s="700"/>
      <c r="ARM13" s="700"/>
      <c r="ARN13" s="700"/>
      <c r="ARO13" s="700"/>
      <c r="ARP13" s="700"/>
      <c r="ARQ13" s="700"/>
      <c r="ARR13" s="700"/>
      <c r="ARS13" s="700"/>
      <c r="ART13" s="700"/>
      <c r="ARU13" s="700"/>
      <c r="ARV13" s="700"/>
      <c r="ARW13" s="700"/>
      <c r="ARX13" s="700"/>
      <c r="ARY13" s="700"/>
      <c r="ARZ13" s="700"/>
      <c r="ASA13" s="700"/>
      <c r="ASB13" s="700"/>
      <c r="ASC13" s="700"/>
      <c r="ASD13" s="700"/>
      <c r="ASE13" s="700"/>
      <c r="ASF13" s="700"/>
      <c r="ASG13" s="700"/>
      <c r="ASH13" s="700"/>
      <c r="ASI13" s="700"/>
      <c r="ASJ13" s="700"/>
      <c r="ASK13" s="700"/>
      <c r="ASL13" s="700"/>
      <c r="ASM13" s="700"/>
      <c r="ASN13" s="700"/>
      <c r="ASO13" s="700"/>
      <c r="ASP13" s="700"/>
      <c r="ASQ13" s="700"/>
      <c r="ASR13" s="700"/>
      <c r="ASS13" s="700"/>
      <c r="AST13" s="700"/>
      <c r="ASU13" s="700"/>
      <c r="ASV13" s="700"/>
      <c r="ASW13" s="700"/>
      <c r="ASX13" s="700"/>
      <c r="ASY13" s="700"/>
      <c r="ASZ13" s="700"/>
      <c r="ATA13" s="700"/>
      <c r="ATB13" s="700"/>
      <c r="ATC13" s="700"/>
      <c r="ATD13" s="700"/>
      <c r="ATE13" s="700"/>
      <c r="ATF13" s="700"/>
      <c r="ATG13" s="700"/>
      <c r="ATH13" s="700"/>
      <c r="ATI13" s="700"/>
      <c r="ATJ13" s="700"/>
      <c r="ATK13" s="700"/>
      <c r="ATL13" s="700"/>
      <c r="ATM13" s="700"/>
      <c r="ATN13" s="700"/>
      <c r="ATO13" s="700"/>
      <c r="ATP13" s="700"/>
      <c r="ATQ13" s="700"/>
      <c r="ATR13" s="700"/>
      <c r="ATS13" s="700"/>
      <c r="ATT13" s="700"/>
      <c r="ATU13" s="700"/>
      <c r="ATV13" s="700"/>
      <c r="ATW13" s="700"/>
      <c r="ATX13" s="700"/>
      <c r="ATY13" s="700"/>
      <c r="ATZ13" s="700"/>
      <c r="AUA13" s="700"/>
      <c r="AUB13" s="700"/>
      <c r="AUC13" s="700"/>
      <c r="AUD13" s="700"/>
      <c r="AUE13" s="700"/>
      <c r="AUF13" s="700"/>
      <c r="AUG13" s="700"/>
      <c r="AUH13" s="700"/>
      <c r="AUI13" s="700"/>
      <c r="AUJ13" s="700"/>
      <c r="AUK13" s="700"/>
      <c r="AUL13" s="700"/>
      <c r="AUM13" s="700"/>
      <c r="AUN13" s="700"/>
      <c r="AUO13" s="700"/>
      <c r="AUP13" s="700"/>
      <c r="AUQ13" s="700"/>
      <c r="AUR13" s="700"/>
      <c r="AUS13" s="700"/>
      <c r="AUT13" s="700"/>
      <c r="AUU13" s="700"/>
      <c r="AUV13" s="700"/>
      <c r="AUW13" s="700"/>
      <c r="AUX13" s="700"/>
      <c r="AUY13" s="700"/>
      <c r="AUZ13" s="700"/>
      <c r="AVA13" s="700"/>
      <c r="AVB13" s="700"/>
      <c r="AVC13" s="700"/>
      <c r="AVD13" s="700"/>
      <c r="AVE13" s="700"/>
      <c r="AVF13" s="700"/>
      <c r="AVG13" s="700"/>
      <c r="AVH13" s="700"/>
      <c r="AVI13" s="700"/>
      <c r="AVJ13" s="700"/>
      <c r="AVK13" s="700"/>
      <c r="AVL13" s="700"/>
      <c r="AVM13" s="700"/>
      <c r="AVN13" s="700"/>
      <c r="AVO13" s="700"/>
      <c r="AVP13" s="700"/>
      <c r="AVQ13" s="700"/>
      <c r="AVR13" s="700"/>
      <c r="AVS13" s="700"/>
      <c r="AVT13" s="700"/>
      <c r="AVU13" s="700"/>
      <c r="AVV13" s="700"/>
      <c r="AVW13" s="700"/>
      <c r="AVX13" s="700"/>
      <c r="AVY13" s="700"/>
      <c r="AVZ13" s="700"/>
      <c r="AWA13" s="700"/>
      <c r="AWB13" s="700"/>
      <c r="AWC13" s="700"/>
      <c r="AWD13" s="700"/>
      <c r="AWE13" s="700"/>
      <c r="AWF13" s="700"/>
      <c r="AWG13" s="700"/>
      <c r="AWH13" s="700"/>
      <c r="AWI13" s="700"/>
      <c r="AWJ13" s="700"/>
      <c r="AWK13" s="700"/>
      <c r="AWL13" s="700"/>
      <c r="AWM13" s="700"/>
      <c r="AWN13" s="700"/>
      <c r="AWO13" s="700"/>
      <c r="AWP13" s="700"/>
      <c r="AWQ13" s="700"/>
      <c r="AWR13" s="700"/>
      <c r="AWS13" s="700"/>
      <c r="AWT13" s="700"/>
      <c r="AWU13" s="700"/>
      <c r="AWV13" s="700"/>
      <c r="AWW13" s="700"/>
      <c r="AWX13" s="700"/>
      <c r="AWY13" s="700"/>
      <c r="AWZ13" s="700"/>
      <c r="AXA13" s="700"/>
      <c r="AXB13" s="700"/>
      <c r="AXC13" s="700"/>
      <c r="AXD13" s="700"/>
      <c r="AXE13" s="700"/>
      <c r="AXF13" s="700"/>
      <c r="AXG13" s="700"/>
      <c r="AXH13" s="700"/>
      <c r="AXI13" s="700"/>
      <c r="AXJ13" s="700"/>
      <c r="AXK13" s="700"/>
      <c r="AXL13" s="700"/>
      <c r="AXM13" s="700"/>
      <c r="AXN13" s="700"/>
      <c r="AXO13" s="700"/>
      <c r="AXP13" s="700"/>
      <c r="AXQ13" s="700"/>
      <c r="AXR13" s="700"/>
      <c r="AXS13" s="700"/>
      <c r="AXT13" s="700"/>
      <c r="AXU13" s="700"/>
      <c r="AXV13" s="700"/>
      <c r="AXW13" s="700"/>
      <c r="AXX13" s="700"/>
      <c r="AXY13" s="700"/>
      <c r="AXZ13" s="700"/>
      <c r="AYA13" s="700"/>
      <c r="AYB13" s="700"/>
      <c r="AYC13" s="700"/>
      <c r="AYD13" s="700"/>
      <c r="AYE13" s="700"/>
      <c r="AYF13" s="700"/>
      <c r="AYG13" s="700"/>
      <c r="AYH13" s="700"/>
      <c r="AYI13" s="700"/>
      <c r="AYJ13" s="700"/>
      <c r="AYK13" s="700"/>
      <c r="AYL13" s="700"/>
      <c r="AYM13" s="700"/>
      <c r="AYN13" s="700"/>
      <c r="AYO13" s="700"/>
      <c r="AYP13" s="700"/>
      <c r="AYQ13" s="700"/>
      <c r="AYR13" s="700"/>
      <c r="AYS13" s="700"/>
      <c r="AYT13" s="700"/>
      <c r="AYU13" s="700"/>
      <c r="AYV13" s="700"/>
      <c r="AYW13" s="700"/>
      <c r="AYX13" s="700"/>
      <c r="AYY13" s="700"/>
      <c r="AYZ13" s="700"/>
      <c r="AZA13" s="700"/>
      <c r="AZB13" s="700"/>
      <c r="AZC13" s="700"/>
      <c r="AZD13" s="700"/>
      <c r="AZE13" s="700"/>
      <c r="AZF13" s="700"/>
      <c r="AZG13" s="700"/>
      <c r="AZH13" s="700"/>
      <c r="AZI13" s="700"/>
      <c r="AZJ13" s="700"/>
      <c r="AZK13" s="700"/>
      <c r="AZL13" s="700"/>
      <c r="AZM13" s="700"/>
      <c r="AZN13" s="700"/>
      <c r="AZO13" s="700"/>
      <c r="AZP13" s="700"/>
      <c r="AZQ13" s="700"/>
      <c r="AZR13" s="700"/>
      <c r="AZS13" s="700"/>
      <c r="AZT13" s="700"/>
      <c r="AZU13" s="700"/>
      <c r="AZV13" s="700"/>
      <c r="AZW13" s="700"/>
      <c r="AZX13" s="700"/>
      <c r="AZY13" s="700"/>
      <c r="AZZ13" s="700"/>
      <c r="BAA13" s="700"/>
      <c r="BAB13" s="700"/>
      <c r="BAC13" s="700"/>
      <c r="BAD13" s="700"/>
      <c r="BAE13" s="700"/>
      <c r="BAF13" s="700"/>
      <c r="BAG13" s="700"/>
      <c r="BAH13" s="700"/>
      <c r="BAI13" s="700"/>
      <c r="BAJ13" s="700"/>
      <c r="BAK13" s="700"/>
      <c r="BAL13" s="700"/>
      <c r="BAM13" s="700"/>
      <c r="BAN13" s="700"/>
      <c r="BAO13" s="700"/>
      <c r="BAP13" s="700"/>
      <c r="BAQ13" s="700"/>
      <c r="BAR13" s="700"/>
      <c r="BAS13" s="700"/>
      <c r="BAT13" s="700"/>
      <c r="BAU13" s="700"/>
      <c r="BAV13" s="700"/>
      <c r="BAW13" s="700"/>
      <c r="BAX13" s="700"/>
      <c r="BAY13" s="700"/>
      <c r="BAZ13" s="700"/>
      <c r="BBA13" s="700"/>
      <c r="BBB13" s="700"/>
      <c r="BBC13" s="700"/>
      <c r="BBD13" s="700"/>
      <c r="BBE13" s="700"/>
      <c r="BBF13" s="700"/>
      <c r="BBG13" s="700"/>
      <c r="BBH13" s="700"/>
      <c r="BBI13" s="700"/>
      <c r="BBJ13" s="700"/>
      <c r="BBK13" s="700"/>
      <c r="BBL13" s="700"/>
      <c r="BBM13" s="700"/>
      <c r="BBN13" s="700"/>
      <c r="BBO13" s="700"/>
      <c r="BBP13" s="700"/>
      <c r="BBQ13" s="700"/>
      <c r="BBR13" s="700"/>
      <c r="BBS13" s="700"/>
      <c r="BBT13" s="700"/>
      <c r="BBU13" s="700"/>
      <c r="BBV13" s="700"/>
      <c r="BBW13" s="700"/>
      <c r="BBX13" s="700"/>
      <c r="BBY13" s="700"/>
      <c r="BBZ13" s="700"/>
      <c r="BCA13" s="700"/>
      <c r="BCB13" s="700"/>
      <c r="BCC13" s="700"/>
      <c r="BCD13" s="700"/>
      <c r="BCE13" s="700"/>
      <c r="BCF13" s="700"/>
      <c r="BCG13" s="700"/>
      <c r="BCH13" s="700"/>
      <c r="BCI13" s="700"/>
      <c r="BCJ13" s="700"/>
      <c r="BCK13" s="700"/>
      <c r="BCL13" s="700"/>
      <c r="BCM13" s="700"/>
      <c r="BCN13" s="700"/>
      <c r="BCO13" s="700"/>
      <c r="BCP13" s="700"/>
      <c r="BCQ13" s="700"/>
      <c r="BCR13" s="700"/>
      <c r="BCS13" s="700"/>
      <c r="BCT13" s="700"/>
      <c r="BCU13" s="700"/>
      <c r="BCV13" s="700"/>
      <c r="BCW13" s="700"/>
      <c r="BCX13" s="700"/>
      <c r="BCY13" s="700"/>
      <c r="BCZ13" s="700"/>
      <c r="BDA13" s="700"/>
      <c r="BDB13" s="700"/>
      <c r="BDC13" s="700"/>
      <c r="BDD13" s="700"/>
      <c r="BDE13" s="700"/>
      <c r="BDF13" s="700"/>
      <c r="BDG13" s="700"/>
      <c r="BDH13" s="700"/>
      <c r="BDI13" s="700"/>
      <c r="BDJ13" s="700"/>
      <c r="BDK13" s="700"/>
      <c r="BDL13" s="700"/>
      <c r="BDM13" s="700"/>
      <c r="BDN13" s="700"/>
      <c r="BDO13" s="700"/>
      <c r="BDP13" s="700"/>
      <c r="BDQ13" s="700"/>
      <c r="BDR13" s="700"/>
      <c r="BDS13" s="700"/>
      <c r="BDT13" s="700"/>
      <c r="BDU13" s="700"/>
      <c r="BDV13" s="700"/>
      <c r="BDW13" s="700"/>
      <c r="BDX13" s="700"/>
      <c r="BDY13" s="700"/>
      <c r="BDZ13" s="700"/>
      <c r="BEA13" s="700"/>
      <c r="BEB13" s="700"/>
      <c r="BEC13" s="700"/>
      <c r="BED13" s="700"/>
      <c r="BEE13" s="700"/>
      <c r="BEF13" s="700"/>
      <c r="BEG13" s="700"/>
      <c r="BEH13" s="700"/>
      <c r="BEI13" s="700"/>
      <c r="BEJ13" s="700"/>
      <c r="BEK13" s="700"/>
      <c r="BEL13" s="700"/>
      <c r="BEM13" s="700"/>
      <c r="BEN13" s="700"/>
      <c r="BEO13" s="700"/>
      <c r="BEP13" s="700"/>
      <c r="BEQ13" s="700"/>
      <c r="BER13" s="700"/>
      <c r="BES13" s="700"/>
      <c r="BET13" s="700"/>
      <c r="BEU13" s="700"/>
      <c r="BEV13" s="700"/>
      <c r="BEW13" s="700"/>
      <c r="BEX13" s="700"/>
      <c r="BEY13" s="700"/>
      <c r="BEZ13" s="700"/>
      <c r="BFA13" s="700"/>
      <c r="BFB13" s="700"/>
      <c r="BFC13" s="700"/>
      <c r="BFD13" s="700"/>
      <c r="BFE13" s="700"/>
      <c r="BFF13" s="700"/>
      <c r="BFG13" s="700"/>
      <c r="BFH13" s="700"/>
      <c r="BFI13" s="700"/>
      <c r="BFJ13" s="700"/>
      <c r="BFK13" s="700"/>
      <c r="BFL13" s="700"/>
      <c r="BFM13" s="700"/>
      <c r="BFN13" s="700"/>
      <c r="BFO13" s="700"/>
      <c r="BFP13" s="700"/>
      <c r="BFQ13" s="700"/>
      <c r="BFR13" s="700"/>
      <c r="BFS13" s="700"/>
      <c r="BFT13" s="700"/>
      <c r="BFU13" s="700"/>
      <c r="BFV13" s="700"/>
      <c r="BFW13" s="700"/>
      <c r="BFX13" s="700"/>
      <c r="BFY13" s="700"/>
      <c r="BFZ13" s="700"/>
      <c r="BGA13" s="700"/>
      <c r="BGB13" s="700"/>
      <c r="BGC13" s="700"/>
      <c r="BGD13" s="700"/>
      <c r="BGE13" s="700"/>
      <c r="BGF13" s="700"/>
      <c r="BGG13" s="700"/>
      <c r="BGH13" s="700"/>
      <c r="BGI13" s="700"/>
      <c r="BGJ13" s="700"/>
      <c r="BGK13" s="700"/>
      <c r="BGL13" s="700"/>
      <c r="BGM13" s="700"/>
      <c r="BGN13" s="700"/>
      <c r="BGO13" s="700"/>
      <c r="BGP13" s="700"/>
      <c r="BGQ13" s="700"/>
      <c r="BGR13" s="700"/>
      <c r="BGS13" s="700"/>
      <c r="BGT13" s="700"/>
      <c r="BGU13" s="700"/>
      <c r="BGV13" s="700"/>
      <c r="BGW13" s="700"/>
      <c r="BGX13" s="700"/>
      <c r="BGY13" s="700"/>
      <c r="BGZ13" s="700"/>
      <c r="BHA13" s="700"/>
      <c r="BHB13" s="700"/>
      <c r="BHC13" s="700"/>
      <c r="BHD13" s="700"/>
      <c r="BHE13" s="700"/>
      <c r="BHF13" s="700"/>
      <c r="BHG13" s="700"/>
      <c r="BHH13" s="700"/>
      <c r="BHI13" s="700"/>
      <c r="BHJ13" s="700"/>
      <c r="BHK13" s="700"/>
      <c r="BHL13" s="700"/>
      <c r="BHM13" s="700"/>
      <c r="BHN13" s="700"/>
      <c r="BHO13" s="700"/>
      <c r="BHP13" s="700"/>
      <c r="BHQ13" s="700"/>
      <c r="BHR13" s="700"/>
      <c r="BHS13" s="700"/>
      <c r="BHT13" s="700"/>
      <c r="BHU13" s="700"/>
      <c r="BHV13" s="700"/>
      <c r="BHW13" s="700"/>
      <c r="BHX13" s="700"/>
      <c r="BHY13" s="700"/>
      <c r="BHZ13" s="700"/>
      <c r="BIA13" s="700"/>
      <c r="BIB13" s="700"/>
      <c r="BIC13" s="700"/>
      <c r="BID13" s="700"/>
      <c r="BIE13" s="700"/>
      <c r="BIF13" s="700"/>
      <c r="BIG13" s="700"/>
      <c r="BIH13" s="700"/>
      <c r="BII13" s="700"/>
      <c r="BIJ13" s="700"/>
      <c r="BIK13" s="700"/>
      <c r="BIL13" s="700"/>
      <c r="BIM13" s="700"/>
      <c r="BIN13" s="700"/>
      <c r="BIO13" s="700"/>
      <c r="BIP13" s="700"/>
      <c r="BIQ13" s="700"/>
      <c r="BIR13" s="700"/>
      <c r="BIS13" s="700"/>
      <c r="BIT13" s="700"/>
      <c r="BIU13" s="700"/>
      <c r="BIV13" s="700"/>
      <c r="BIW13" s="700"/>
      <c r="BIX13" s="700"/>
      <c r="BIY13" s="700"/>
      <c r="BIZ13" s="700"/>
      <c r="BJA13" s="700"/>
      <c r="BJB13" s="700"/>
      <c r="BJC13" s="700"/>
      <c r="BJD13" s="700"/>
      <c r="BJE13" s="700"/>
      <c r="BJF13" s="700"/>
      <c r="BJG13" s="700"/>
      <c r="BJH13" s="700"/>
      <c r="BJI13" s="700"/>
      <c r="BJJ13" s="700"/>
      <c r="BJK13" s="700"/>
      <c r="BJL13" s="700"/>
      <c r="BJM13" s="700"/>
      <c r="BJN13" s="700"/>
      <c r="BJO13" s="700"/>
      <c r="BJP13" s="700"/>
      <c r="BJQ13" s="700"/>
      <c r="BJR13" s="700"/>
      <c r="BJS13" s="700"/>
      <c r="BJT13" s="700"/>
      <c r="BJU13" s="700"/>
      <c r="BJV13" s="700"/>
      <c r="BJW13" s="700"/>
      <c r="BJX13" s="700"/>
      <c r="BJY13" s="700"/>
      <c r="BJZ13" s="700"/>
      <c r="BKA13" s="700"/>
      <c r="BKB13" s="700"/>
      <c r="BKC13" s="700"/>
      <c r="BKD13" s="700"/>
      <c r="BKE13" s="700"/>
      <c r="BKF13" s="700"/>
      <c r="BKG13" s="700"/>
      <c r="BKH13" s="700"/>
      <c r="BKI13" s="700"/>
      <c r="BKJ13" s="700"/>
      <c r="BKK13" s="700"/>
      <c r="BKL13" s="700"/>
      <c r="BKM13" s="700"/>
      <c r="BKN13" s="700"/>
      <c r="BKO13" s="700"/>
      <c r="BKP13" s="700"/>
      <c r="BKQ13" s="700"/>
      <c r="BKR13" s="700"/>
      <c r="BKS13" s="700"/>
      <c r="BKT13" s="700"/>
      <c r="BKU13" s="700"/>
      <c r="BKV13" s="700"/>
      <c r="BKW13" s="700"/>
      <c r="BKX13" s="700"/>
      <c r="BKY13" s="700"/>
      <c r="BKZ13" s="700"/>
      <c r="BLA13" s="700"/>
      <c r="BLB13" s="700"/>
      <c r="BLC13" s="700"/>
      <c r="BLD13" s="700"/>
      <c r="BLE13" s="700"/>
      <c r="BLF13" s="700"/>
      <c r="BLG13" s="700"/>
      <c r="BLH13" s="700"/>
      <c r="BLI13" s="700"/>
      <c r="BLJ13" s="700"/>
      <c r="BLK13" s="700"/>
      <c r="BLL13" s="700"/>
      <c r="BLM13" s="700"/>
      <c r="BLN13" s="700"/>
      <c r="BLO13" s="700"/>
      <c r="BLP13" s="700"/>
      <c r="BLQ13" s="700"/>
      <c r="BLR13" s="700"/>
      <c r="BLS13" s="700"/>
      <c r="BLT13" s="700"/>
      <c r="BLU13" s="700"/>
      <c r="BLV13" s="700"/>
      <c r="BLW13" s="700"/>
      <c r="BLX13" s="700"/>
      <c r="BLY13" s="700"/>
      <c r="BLZ13" s="700"/>
      <c r="BMA13" s="700"/>
      <c r="BMB13" s="700"/>
      <c r="BMC13" s="700"/>
      <c r="BMD13" s="700"/>
      <c r="BME13" s="700"/>
      <c r="BMF13" s="700"/>
      <c r="BMG13" s="700"/>
      <c r="BMH13" s="700"/>
      <c r="BMI13" s="700"/>
      <c r="BMJ13" s="700"/>
      <c r="BMK13" s="700"/>
      <c r="BML13" s="700"/>
      <c r="BMM13" s="700"/>
      <c r="BMN13" s="700"/>
      <c r="BMO13" s="700"/>
      <c r="BMP13" s="700"/>
      <c r="BMQ13" s="700"/>
      <c r="BMR13" s="700"/>
      <c r="BMS13" s="700"/>
      <c r="BMT13" s="700"/>
      <c r="BMU13" s="700"/>
      <c r="BMV13" s="700"/>
      <c r="BMW13" s="700"/>
      <c r="BMX13" s="700"/>
      <c r="BMY13" s="700"/>
      <c r="BMZ13" s="700"/>
      <c r="BNA13" s="700"/>
      <c r="BNB13" s="700"/>
      <c r="BNC13" s="700"/>
      <c r="BND13" s="700"/>
      <c r="BNE13" s="700"/>
      <c r="BNF13" s="700"/>
      <c r="BNG13" s="700"/>
      <c r="BNH13" s="700"/>
      <c r="BNI13" s="700"/>
      <c r="BNJ13" s="700"/>
      <c r="BNK13" s="700"/>
      <c r="BNL13" s="700"/>
      <c r="BNM13" s="700"/>
      <c r="BNN13" s="700"/>
      <c r="BNO13" s="700"/>
      <c r="BNP13" s="700"/>
      <c r="BNQ13" s="700"/>
      <c r="BNR13" s="700"/>
      <c r="BNS13" s="700"/>
      <c r="BNT13" s="700"/>
      <c r="BNU13" s="700"/>
      <c r="BNV13" s="700"/>
      <c r="BNW13" s="700"/>
      <c r="BNX13" s="700"/>
      <c r="BNY13" s="700"/>
      <c r="BNZ13" s="700"/>
      <c r="BOA13" s="700"/>
      <c r="BOB13" s="700"/>
      <c r="BOC13" s="700"/>
      <c r="BOD13" s="700"/>
      <c r="BOE13" s="700"/>
      <c r="BOF13" s="700"/>
      <c r="BOG13" s="700"/>
      <c r="BOH13" s="700"/>
      <c r="BOI13" s="700"/>
      <c r="BOJ13" s="700"/>
      <c r="BOK13" s="700"/>
      <c r="BOL13" s="700"/>
      <c r="BOM13" s="700"/>
      <c r="BON13" s="700"/>
      <c r="BOO13" s="700"/>
      <c r="BOP13" s="700"/>
      <c r="BOQ13" s="700"/>
      <c r="BOR13" s="700"/>
      <c r="BOS13" s="700"/>
      <c r="BOT13" s="700"/>
      <c r="BOU13" s="700"/>
      <c r="BOV13" s="700"/>
      <c r="BOW13" s="700"/>
      <c r="BOX13" s="700"/>
      <c r="BOY13" s="700"/>
      <c r="BOZ13" s="700"/>
      <c r="BPA13" s="700"/>
      <c r="BPB13" s="700"/>
      <c r="BPC13" s="700"/>
      <c r="BPD13" s="700"/>
      <c r="BPE13" s="700"/>
      <c r="BPF13" s="700"/>
      <c r="BPG13" s="700"/>
      <c r="BPH13" s="700"/>
      <c r="BPI13" s="700"/>
      <c r="BPJ13" s="700"/>
      <c r="BPK13" s="700"/>
      <c r="BPL13" s="700"/>
      <c r="BPM13" s="700"/>
      <c r="BPN13" s="700"/>
      <c r="BPO13" s="700"/>
      <c r="BPP13" s="700"/>
      <c r="BPQ13" s="700"/>
      <c r="BPR13" s="700"/>
      <c r="BPS13" s="700"/>
      <c r="BPT13" s="700"/>
      <c r="BPU13" s="700"/>
      <c r="BPV13" s="700"/>
      <c r="BPW13" s="700"/>
      <c r="BPX13" s="700"/>
      <c r="BPY13" s="700"/>
      <c r="BPZ13" s="700"/>
      <c r="BQA13" s="700"/>
      <c r="BQB13" s="700"/>
      <c r="BQC13" s="700"/>
      <c r="BQD13" s="700"/>
      <c r="BQE13" s="700"/>
      <c r="BQF13" s="700"/>
      <c r="BQG13" s="700"/>
      <c r="BQH13" s="700"/>
      <c r="BQI13" s="700"/>
      <c r="BQJ13" s="700"/>
      <c r="BQK13" s="700"/>
      <c r="BQL13" s="700"/>
      <c r="BQM13" s="700"/>
      <c r="BQN13" s="700"/>
      <c r="BQO13" s="700"/>
      <c r="BQP13" s="700"/>
      <c r="BQQ13" s="700"/>
      <c r="BQR13" s="700"/>
      <c r="BQS13" s="700"/>
      <c r="BQT13" s="700"/>
      <c r="BQU13" s="700"/>
      <c r="BQV13" s="700"/>
      <c r="BQW13" s="700"/>
      <c r="BQX13" s="700"/>
      <c r="BQY13" s="700"/>
      <c r="BQZ13" s="700"/>
      <c r="BRA13" s="700"/>
      <c r="BRB13" s="700"/>
      <c r="BRC13" s="700"/>
      <c r="BRD13" s="700"/>
      <c r="BRE13" s="700"/>
      <c r="BRF13" s="700"/>
      <c r="BRG13" s="700"/>
      <c r="BRH13" s="700"/>
      <c r="BRI13" s="700"/>
      <c r="BRJ13" s="700"/>
      <c r="BRK13" s="700"/>
      <c r="BRL13" s="700"/>
      <c r="BRM13" s="700"/>
      <c r="BRN13" s="700"/>
      <c r="BRO13" s="700"/>
      <c r="BRP13" s="700"/>
      <c r="BRQ13" s="700"/>
      <c r="BRR13" s="700"/>
      <c r="BRS13" s="700"/>
      <c r="BRT13" s="700"/>
      <c r="BRU13" s="700"/>
      <c r="BRV13" s="700"/>
      <c r="BRW13" s="700"/>
      <c r="BRX13" s="700"/>
      <c r="BRY13" s="700"/>
      <c r="BRZ13" s="700"/>
      <c r="BSA13" s="700"/>
      <c r="BSB13" s="700"/>
      <c r="BSC13" s="700"/>
      <c r="BSD13" s="700"/>
      <c r="BSE13" s="700"/>
      <c r="BSF13" s="700"/>
      <c r="BSG13" s="700"/>
      <c r="BSH13" s="700"/>
      <c r="BSI13" s="700"/>
      <c r="BSJ13" s="700"/>
      <c r="BSK13" s="700"/>
      <c r="BSL13" s="700"/>
      <c r="BSM13" s="700"/>
      <c r="BSN13" s="700"/>
      <c r="BSO13" s="700"/>
      <c r="BSP13" s="700"/>
      <c r="BSQ13" s="700"/>
      <c r="BSR13" s="700"/>
      <c r="BSS13" s="700"/>
      <c r="BST13" s="700"/>
      <c r="BSU13" s="700"/>
      <c r="BSV13" s="700"/>
      <c r="BSW13" s="700"/>
      <c r="BSX13" s="700"/>
      <c r="BSY13" s="700"/>
      <c r="BSZ13" s="700"/>
      <c r="BTA13" s="700"/>
      <c r="BTB13" s="700"/>
      <c r="BTC13" s="700"/>
      <c r="BTD13" s="700"/>
      <c r="BTE13" s="700"/>
      <c r="BTF13" s="700"/>
      <c r="BTG13" s="700"/>
      <c r="BTH13" s="700"/>
      <c r="BTI13" s="700"/>
      <c r="BTJ13" s="700"/>
      <c r="BTK13" s="700"/>
      <c r="BTL13" s="700"/>
      <c r="BTM13" s="700"/>
      <c r="BTN13" s="700"/>
      <c r="BTO13" s="700"/>
      <c r="BTP13" s="700"/>
      <c r="BTQ13" s="700"/>
      <c r="BTR13" s="700"/>
      <c r="BTS13" s="700"/>
      <c r="BTT13" s="700"/>
      <c r="BTU13" s="700"/>
      <c r="BTV13" s="700"/>
      <c r="BTW13" s="700"/>
      <c r="BTX13" s="700"/>
      <c r="BTY13" s="700"/>
      <c r="BTZ13" s="700"/>
      <c r="BUA13" s="700"/>
      <c r="BUB13" s="700"/>
      <c r="BUC13" s="700"/>
      <c r="BUD13" s="700"/>
      <c r="BUE13" s="700"/>
      <c r="BUF13" s="700"/>
      <c r="BUG13" s="700"/>
      <c r="BUH13" s="700"/>
      <c r="BUI13" s="700"/>
      <c r="BUJ13" s="700"/>
      <c r="BUK13" s="700"/>
      <c r="BUL13" s="700"/>
      <c r="BUM13" s="700"/>
      <c r="BUN13" s="700"/>
      <c r="BUO13" s="700"/>
      <c r="BUP13" s="700"/>
      <c r="BUQ13" s="700"/>
      <c r="BUR13" s="700"/>
      <c r="BUS13" s="700"/>
      <c r="BUT13" s="700"/>
      <c r="BUU13" s="700"/>
      <c r="BUV13" s="700"/>
      <c r="BUW13" s="700"/>
      <c r="BUX13" s="700"/>
      <c r="BUY13" s="700"/>
      <c r="BUZ13" s="700"/>
      <c r="BVA13" s="700"/>
      <c r="BVB13" s="700"/>
      <c r="BVC13" s="700"/>
      <c r="BVD13" s="700"/>
      <c r="BVE13" s="700"/>
      <c r="BVF13" s="700"/>
      <c r="BVG13" s="700"/>
      <c r="BVH13" s="700"/>
      <c r="BVI13" s="700"/>
      <c r="BVJ13" s="700"/>
      <c r="BVK13" s="700"/>
      <c r="BVL13" s="700"/>
      <c r="BVM13" s="700"/>
      <c r="BVN13" s="700"/>
      <c r="BVO13" s="700"/>
      <c r="BVP13" s="700"/>
      <c r="BVQ13" s="700"/>
      <c r="BVR13" s="700"/>
      <c r="BVS13" s="700"/>
      <c r="BVT13" s="700"/>
      <c r="BVU13" s="700"/>
      <c r="BVV13" s="700"/>
      <c r="BVW13" s="700"/>
      <c r="BVX13" s="700"/>
      <c r="BVY13" s="700"/>
      <c r="BVZ13" s="700"/>
      <c r="BWA13" s="700"/>
      <c r="BWB13" s="700"/>
      <c r="BWC13" s="700"/>
      <c r="BWD13" s="700"/>
      <c r="BWE13" s="700"/>
      <c r="BWF13" s="700"/>
      <c r="BWG13" s="700"/>
      <c r="BWH13" s="700"/>
      <c r="BWI13" s="700"/>
      <c r="BWJ13" s="700"/>
      <c r="BWK13" s="700"/>
      <c r="BWL13" s="700"/>
      <c r="BWM13" s="700"/>
      <c r="BWN13" s="700"/>
      <c r="BWO13" s="700"/>
      <c r="BWP13" s="700"/>
      <c r="BWQ13" s="700"/>
      <c r="BWR13" s="700"/>
      <c r="BWS13" s="700"/>
      <c r="BWT13" s="700"/>
      <c r="BWU13" s="700"/>
      <c r="BWV13" s="700"/>
      <c r="BWW13" s="700"/>
      <c r="BWX13" s="700"/>
      <c r="BWY13" s="700"/>
      <c r="BWZ13" s="700"/>
      <c r="BXA13" s="700"/>
      <c r="BXB13" s="700"/>
      <c r="BXC13" s="700"/>
      <c r="BXD13" s="700"/>
      <c r="BXE13" s="700"/>
      <c r="BXF13" s="700"/>
      <c r="BXG13" s="700"/>
      <c r="BXH13" s="700"/>
      <c r="BXI13" s="700"/>
      <c r="BXJ13" s="700"/>
      <c r="BXK13" s="700"/>
      <c r="BXL13" s="700"/>
      <c r="BXM13" s="700"/>
      <c r="BXN13" s="700"/>
      <c r="BXO13" s="700"/>
      <c r="BXP13" s="700"/>
      <c r="BXQ13" s="700"/>
      <c r="BXR13" s="700"/>
      <c r="BXS13" s="700"/>
      <c r="BXT13" s="700"/>
      <c r="BXU13" s="700"/>
      <c r="BXV13" s="700"/>
      <c r="BXW13" s="700"/>
      <c r="BXX13" s="700"/>
      <c r="BXY13" s="700"/>
      <c r="BXZ13" s="700"/>
    </row>
    <row r="14" spans="1:2002" ht="15">
      <c r="A14" s="717"/>
      <c r="B14" s="706"/>
      <c r="C14" s="721" t="s">
        <v>34</v>
      </c>
      <c r="D14" s="722">
        <v>0</v>
      </c>
      <c r="E14" s="722">
        <v>0</v>
      </c>
      <c r="F14" s="722">
        <v>0</v>
      </c>
      <c r="G14" s="722">
        <v>0</v>
      </c>
      <c r="H14" s="722">
        <v>0</v>
      </c>
      <c r="I14" s="722">
        <v>0</v>
      </c>
      <c r="J14" s="722">
        <v>0</v>
      </c>
      <c r="K14" s="722">
        <v>0</v>
      </c>
      <c r="L14" s="722">
        <v>0</v>
      </c>
      <c r="M14" s="722">
        <v>0</v>
      </c>
      <c r="N14" s="722">
        <v>0</v>
      </c>
      <c r="O14" s="722">
        <v>0</v>
      </c>
      <c r="P14" s="722">
        <v>0</v>
      </c>
      <c r="Q14" s="722">
        <v>0</v>
      </c>
      <c r="R14" s="722">
        <v>0</v>
      </c>
      <c r="S14" s="712"/>
      <c r="T14" s="700"/>
      <c r="U14" s="700"/>
      <c r="V14" s="700"/>
      <c r="W14" s="700"/>
      <c r="X14" s="700"/>
      <c r="Y14" s="700"/>
      <c r="Z14" s="700"/>
      <c r="AA14" s="700"/>
      <c r="AB14" s="700"/>
      <c r="AC14" s="700"/>
      <c r="AD14" s="700"/>
      <c r="AE14" s="700"/>
      <c r="AF14" s="700"/>
      <c r="AG14" s="700"/>
      <c r="AH14" s="700"/>
      <c r="AI14" s="700"/>
      <c r="AJ14" s="700"/>
      <c r="AK14" s="700"/>
      <c r="AL14" s="700"/>
      <c r="AM14" s="700"/>
      <c r="AN14" s="700"/>
      <c r="AO14" s="700"/>
      <c r="AP14" s="700"/>
      <c r="AQ14" s="700"/>
      <c r="AR14" s="700"/>
      <c r="AS14" s="700"/>
      <c r="AT14" s="700"/>
      <c r="AU14" s="700"/>
      <c r="AV14" s="700"/>
      <c r="AW14" s="700"/>
      <c r="AX14" s="700"/>
      <c r="AY14" s="700"/>
      <c r="AZ14" s="700"/>
      <c r="BA14" s="700"/>
      <c r="BB14" s="700"/>
      <c r="BC14" s="700"/>
      <c r="BD14" s="700"/>
      <c r="BE14" s="700"/>
      <c r="BF14" s="700"/>
      <c r="BG14" s="700"/>
      <c r="BH14" s="700"/>
      <c r="BI14" s="700"/>
      <c r="BJ14" s="700"/>
      <c r="BK14" s="700"/>
      <c r="BL14" s="700"/>
      <c r="BM14" s="700"/>
      <c r="BN14" s="700"/>
      <c r="BO14" s="700"/>
      <c r="BP14" s="700"/>
      <c r="BQ14" s="700"/>
      <c r="BR14" s="700"/>
      <c r="BS14" s="700"/>
      <c r="BT14" s="700"/>
      <c r="BU14" s="700"/>
      <c r="BV14" s="700"/>
      <c r="BW14" s="700"/>
      <c r="BX14" s="700"/>
      <c r="BY14" s="700"/>
      <c r="BZ14" s="700"/>
      <c r="CA14" s="700"/>
      <c r="CB14" s="700"/>
      <c r="CC14" s="700"/>
      <c r="CD14" s="700"/>
      <c r="CE14" s="700"/>
      <c r="CF14" s="700"/>
      <c r="CG14" s="700"/>
      <c r="CH14" s="700"/>
      <c r="CI14" s="700"/>
      <c r="CJ14" s="700"/>
      <c r="CK14" s="700"/>
      <c r="CL14" s="700"/>
      <c r="CM14" s="700"/>
      <c r="CN14" s="700"/>
      <c r="CO14" s="700"/>
      <c r="CP14" s="700"/>
      <c r="CQ14" s="700"/>
      <c r="CR14" s="700"/>
      <c r="CS14" s="700"/>
      <c r="CT14" s="700"/>
      <c r="CU14" s="700"/>
      <c r="CV14" s="700"/>
      <c r="CW14" s="700"/>
      <c r="CX14" s="700"/>
      <c r="CY14" s="700"/>
      <c r="CZ14" s="700"/>
      <c r="DA14" s="700"/>
      <c r="DB14" s="700"/>
      <c r="DC14" s="700"/>
      <c r="DD14" s="700"/>
      <c r="DE14" s="700"/>
      <c r="DF14" s="700"/>
      <c r="DG14" s="700"/>
      <c r="DH14" s="700"/>
      <c r="DI14" s="700"/>
      <c r="DJ14" s="700"/>
      <c r="DK14" s="700"/>
      <c r="DL14" s="700"/>
      <c r="DM14" s="700"/>
      <c r="DN14" s="700"/>
      <c r="DO14" s="700"/>
      <c r="DP14" s="700"/>
      <c r="DQ14" s="700"/>
      <c r="DR14" s="700"/>
      <c r="DS14" s="700"/>
      <c r="DT14" s="700"/>
      <c r="DU14" s="700"/>
      <c r="DV14" s="700"/>
      <c r="DW14" s="700"/>
      <c r="DX14" s="700"/>
      <c r="DY14" s="700"/>
      <c r="DZ14" s="700"/>
      <c r="EA14" s="700"/>
      <c r="EB14" s="700"/>
      <c r="EC14" s="700"/>
      <c r="ED14" s="700"/>
      <c r="EE14" s="700"/>
      <c r="EF14" s="700"/>
      <c r="EG14" s="700"/>
      <c r="EH14" s="700"/>
      <c r="EI14" s="700"/>
      <c r="EJ14" s="700"/>
      <c r="EK14" s="700"/>
      <c r="EL14" s="700"/>
      <c r="EM14" s="700"/>
      <c r="EN14" s="700"/>
      <c r="EO14" s="700"/>
      <c r="EP14" s="700"/>
      <c r="EQ14" s="700"/>
      <c r="ER14" s="700"/>
      <c r="ES14" s="700"/>
      <c r="ET14" s="700"/>
      <c r="EU14" s="700"/>
      <c r="EV14" s="700"/>
      <c r="EW14" s="700"/>
      <c r="EX14" s="700"/>
      <c r="EY14" s="700"/>
      <c r="EZ14" s="700"/>
      <c r="FA14" s="700"/>
      <c r="FB14" s="700"/>
      <c r="FC14" s="700"/>
      <c r="FD14" s="700"/>
      <c r="FE14" s="700"/>
      <c r="FF14" s="700"/>
      <c r="FG14" s="700"/>
      <c r="FH14" s="700"/>
      <c r="FI14" s="700"/>
      <c r="FJ14" s="700"/>
      <c r="FK14" s="700"/>
      <c r="FL14" s="700"/>
      <c r="FM14" s="700"/>
      <c r="FN14" s="700"/>
      <c r="FO14" s="700"/>
      <c r="FP14" s="700"/>
      <c r="FQ14" s="700"/>
      <c r="FR14" s="700"/>
      <c r="FS14" s="700"/>
      <c r="FT14" s="700"/>
      <c r="FU14" s="700"/>
      <c r="FV14" s="700"/>
      <c r="FW14" s="700"/>
      <c r="FX14" s="700"/>
      <c r="FY14" s="700"/>
      <c r="FZ14" s="700"/>
      <c r="GA14" s="700"/>
      <c r="GB14" s="700"/>
      <c r="GC14" s="700"/>
      <c r="GD14" s="700"/>
      <c r="GE14" s="700"/>
      <c r="GF14" s="700"/>
      <c r="GG14" s="700"/>
      <c r="GH14" s="700"/>
      <c r="GI14" s="700"/>
      <c r="GJ14" s="700"/>
      <c r="GK14" s="700"/>
      <c r="GL14" s="700"/>
      <c r="GM14" s="700"/>
      <c r="GN14" s="700"/>
      <c r="GO14" s="700"/>
      <c r="GP14" s="700"/>
      <c r="GQ14" s="700"/>
      <c r="GR14" s="700"/>
      <c r="GS14" s="700"/>
      <c r="GT14" s="700"/>
      <c r="GU14" s="700"/>
      <c r="GV14" s="700"/>
      <c r="GW14" s="700"/>
      <c r="GX14" s="700"/>
      <c r="GY14" s="700"/>
      <c r="GZ14" s="700"/>
      <c r="HA14" s="700"/>
      <c r="HB14" s="700"/>
      <c r="HC14" s="700"/>
      <c r="HD14" s="700"/>
      <c r="HE14" s="700"/>
      <c r="HF14" s="700"/>
      <c r="HG14" s="700"/>
      <c r="HH14" s="700"/>
      <c r="HI14" s="700"/>
      <c r="HJ14" s="700"/>
      <c r="HK14" s="700"/>
      <c r="HL14" s="700"/>
      <c r="HM14" s="700"/>
      <c r="HN14" s="700"/>
      <c r="HO14" s="700"/>
      <c r="HP14" s="700"/>
      <c r="HQ14" s="700"/>
      <c r="HR14" s="700"/>
      <c r="HS14" s="700"/>
      <c r="HT14" s="700"/>
      <c r="HU14" s="700"/>
      <c r="HV14" s="700"/>
      <c r="HW14" s="700"/>
      <c r="HX14" s="700"/>
      <c r="HY14" s="700"/>
      <c r="HZ14" s="700"/>
      <c r="IA14" s="700"/>
      <c r="IB14" s="700"/>
      <c r="IC14" s="700"/>
      <c r="ID14" s="700"/>
      <c r="IE14" s="700"/>
      <c r="IF14" s="700"/>
      <c r="IG14" s="700"/>
      <c r="IH14" s="700"/>
      <c r="II14" s="700"/>
      <c r="IJ14" s="700"/>
      <c r="IK14" s="700"/>
      <c r="IL14" s="700"/>
      <c r="IM14" s="700"/>
      <c r="IN14" s="700"/>
      <c r="IO14" s="700"/>
      <c r="IP14" s="700"/>
      <c r="IQ14" s="700"/>
      <c r="IR14" s="700"/>
      <c r="IS14" s="700"/>
      <c r="IT14" s="700"/>
      <c r="IU14" s="700"/>
      <c r="IV14" s="700"/>
      <c r="IW14" s="700"/>
      <c r="IX14" s="700"/>
      <c r="IY14" s="700"/>
      <c r="IZ14" s="700"/>
      <c r="JA14" s="700"/>
      <c r="JB14" s="700"/>
      <c r="JC14" s="700"/>
      <c r="JD14" s="700"/>
      <c r="JE14" s="700"/>
      <c r="JF14" s="700"/>
      <c r="JG14" s="700"/>
      <c r="JH14" s="700"/>
      <c r="JI14" s="700"/>
      <c r="JJ14" s="700"/>
      <c r="JK14" s="700"/>
      <c r="JL14" s="700"/>
      <c r="JM14" s="700"/>
      <c r="JN14" s="700"/>
      <c r="JO14" s="700"/>
      <c r="JP14" s="700"/>
      <c r="JQ14" s="700"/>
      <c r="JR14" s="700"/>
      <c r="JS14" s="700"/>
      <c r="JT14" s="700"/>
      <c r="JU14" s="700"/>
      <c r="JV14" s="700"/>
      <c r="JW14" s="700"/>
      <c r="JX14" s="700"/>
      <c r="JY14" s="700"/>
      <c r="JZ14" s="700"/>
      <c r="KA14" s="700"/>
      <c r="KB14" s="700"/>
      <c r="KC14" s="700"/>
      <c r="KD14" s="700"/>
      <c r="KE14" s="700"/>
      <c r="KF14" s="700"/>
      <c r="KG14" s="700"/>
      <c r="KH14" s="700"/>
      <c r="KI14" s="700"/>
      <c r="KJ14" s="700"/>
      <c r="KK14" s="700"/>
      <c r="KL14" s="700"/>
      <c r="KM14" s="700"/>
      <c r="KN14" s="700"/>
      <c r="KO14" s="700"/>
      <c r="KP14" s="700"/>
      <c r="KQ14" s="700"/>
      <c r="KR14" s="700"/>
      <c r="KS14" s="700"/>
      <c r="KT14" s="700"/>
      <c r="KU14" s="700"/>
      <c r="KV14" s="700"/>
      <c r="KW14" s="700"/>
      <c r="KX14" s="700"/>
      <c r="KY14" s="700"/>
      <c r="KZ14" s="700"/>
      <c r="LA14" s="700"/>
      <c r="LB14" s="700"/>
      <c r="LC14" s="700"/>
      <c r="LD14" s="700"/>
      <c r="LE14" s="700"/>
      <c r="LF14" s="700"/>
      <c r="LG14" s="700"/>
      <c r="LH14" s="700"/>
      <c r="LI14" s="700"/>
      <c r="LJ14" s="700"/>
      <c r="LK14" s="700"/>
      <c r="LL14" s="700"/>
      <c r="LM14" s="700"/>
      <c r="LN14" s="700"/>
      <c r="LO14" s="700"/>
      <c r="LP14" s="700"/>
      <c r="LQ14" s="700"/>
      <c r="LR14" s="700"/>
      <c r="LS14" s="700"/>
      <c r="LT14" s="700"/>
      <c r="LU14" s="700"/>
      <c r="LV14" s="700"/>
      <c r="LW14" s="700"/>
      <c r="LX14" s="700"/>
      <c r="LY14" s="700"/>
      <c r="LZ14" s="700"/>
      <c r="MA14" s="700"/>
      <c r="MB14" s="700"/>
      <c r="MC14" s="700"/>
      <c r="MD14" s="700"/>
      <c r="ME14" s="700"/>
      <c r="MF14" s="700"/>
      <c r="MG14" s="700"/>
      <c r="MH14" s="700"/>
      <c r="MI14" s="700"/>
      <c r="MJ14" s="700"/>
      <c r="MK14" s="700"/>
      <c r="ML14" s="700"/>
      <c r="MM14" s="700"/>
      <c r="MN14" s="700"/>
      <c r="MO14" s="700"/>
      <c r="MP14" s="700"/>
      <c r="MQ14" s="700"/>
      <c r="MR14" s="700"/>
      <c r="MS14" s="700"/>
      <c r="MT14" s="700"/>
      <c r="MU14" s="700"/>
      <c r="MV14" s="700"/>
      <c r="MW14" s="700"/>
      <c r="MX14" s="700"/>
      <c r="MY14" s="700"/>
      <c r="MZ14" s="700"/>
      <c r="NA14" s="700"/>
      <c r="NB14" s="700"/>
      <c r="NC14" s="700"/>
      <c r="ND14" s="700"/>
      <c r="NE14" s="700"/>
      <c r="NF14" s="700"/>
      <c r="NG14" s="700"/>
      <c r="NH14" s="700"/>
      <c r="NI14" s="700"/>
      <c r="NJ14" s="700"/>
      <c r="NK14" s="700"/>
      <c r="NL14" s="700"/>
      <c r="NM14" s="700"/>
      <c r="NN14" s="700"/>
      <c r="NO14" s="700"/>
      <c r="NP14" s="700"/>
      <c r="NQ14" s="700"/>
      <c r="NR14" s="700"/>
      <c r="NS14" s="700"/>
      <c r="NT14" s="700"/>
      <c r="NU14" s="700"/>
      <c r="NV14" s="700"/>
      <c r="NW14" s="700"/>
      <c r="NX14" s="700"/>
      <c r="NY14" s="700"/>
      <c r="NZ14" s="700"/>
      <c r="OA14" s="700"/>
      <c r="OB14" s="700"/>
      <c r="OC14" s="700"/>
      <c r="OD14" s="700"/>
      <c r="OE14" s="700"/>
      <c r="OF14" s="700"/>
      <c r="OG14" s="700"/>
      <c r="OH14" s="700"/>
      <c r="OI14" s="700"/>
      <c r="OJ14" s="700"/>
      <c r="OK14" s="700"/>
      <c r="OL14" s="700"/>
      <c r="OM14" s="700"/>
      <c r="ON14" s="700"/>
      <c r="OO14" s="700"/>
      <c r="OP14" s="700"/>
      <c r="OQ14" s="700"/>
      <c r="OR14" s="700"/>
      <c r="OS14" s="700"/>
      <c r="OT14" s="700"/>
      <c r="OU14" s="700"/>
      <c r="OV14" s="700"/>
      <c r="OW14" s="700"/>
      <c r="OX14" s="700"/>
      <c r="OY14" s="700"/>
      <c r="OZ14" s="700"/>
      <c r="PA14" s="700"/>
      <c r="PB14" s="700"/>
      <c r="PC14" s="700"/>
      <c r="PD14" s="700"/>
      <c r="PE14" s="700"/>
      <c r="PF14" s="700"/>
      <c r="PG14" s="700"/>
      <c r="PH14" s="700"/>
      <c r="PI14" s="700"/>
      <c r="PJ14" s="700"/>
      <c r="PK14" s="700"/>
      <c r="PL14" s="700"/>
      <c r="PM14" s="700"/>
      <c r="PN14" s="700"/>
      <c r="PO14" s="700"/>
      <c r="PP14" s="700"/>
      <c r="PQ14" s="700"/>
      <c r="PR14" s="700"/>
      <c r="PS14" s="700"/>
      <c r="PT14" s="700"/>
      <c r="PU14" s="700"/>
      <c r="PV14" s="700"/>
      <c r="PW14" s="700"/>
      <c r="PX14" s="700"/>
      <c r="PY14" s="700"/>
      <c r="PZ14" s="700"/>
      <c r="QA14" s="700"/>
      <c r="QB14" s="700"/>
      <c r="QC14" s="700"/>
      <c r="QD14" s="700"/>
      <c r="QE14" s="700"/>
      <c r="QF14" s="700"/>
      <c r="QG14" s="700"/>
      <c r="QH14" s="700"/>
      <c r="QI14" s="700"/>
      <c r="QJ14" s="700"/>
      <c r="QK14" s="700"/>
      <c r="QL14" s="700"/>
      <c r="QM14" s="700"/>
      <c r="QN14" s="700"/>
      <c r="QO14" s="700"/>
      <c r="QP14" s="700"/>
      <c r="QQ14" s="700"/>
      <c r="QR14" s="700"/>
      <c r="QS14" s="700"/>
      <c r="QT14" s="700"/>
      <c r="QU14" s="700"/>
      <c r="QV14" s="700"/>
      <c r="QW14" s="700"/>
      <c r="QX14" s="700"/>
      <c r="QY14" s="700"/>
      <c r="QZ14" s="700"/>
      <c r="RA14" s="700"/>
      <c r="RB14" s="700"/>
      <c r="RC14" s="700"/>
      <c r="RD14" s="700"/>
      <c r="RE14" s="700"/>
      <c r="RF14" s="700"/>
      <c r="RG14" s="700"/>
      <c r="RH14" s="700"/>
      <c r="RI14" s="700"/>
      <c r="RJ14" s="700"/>
      <c r="RK14" s="700"/>
      <c r="RL14" s="700"/>
      <c r="RM14" s="700"/>
      <c r="RN14" s="700"/>
      <c r="RO14" s="700"/>
      <c r="RP14" s="700"/>
      <c r="RQ14" s="700"/>
      <c r="RR14" s="700"/>
      <c r="RS14" s="700"/>
      <c r="RT14" s="700"/>
      <c r="RU14" s="700"/>
      <c r="RV14" s="700"/>
      <c r="RW14" s="700"/>
      <c r="RX14" s="700"/>
      <c r="RY14" s="700"/>
      <c r="RZ14" s="700"/>
      <c r="SA14" s="700"/>
      <c r="SB14" s="700"/>
      <c r="SC14" s="700"/>
      <c r="SD14" s="700"/>
      <c r="SE14" s="700"/>
      <c r="SF14" s="700"/>
      <c r="SG14" s="700"/>
      <c r="SH14" s="700"/>
      <c r="SI14" s="700"/>
      <c r="SJ14" s="700"/>
      <c r="SK14" s="700"/>
      <c r="SL14" s="700"/>
      <c r="SM14" s="700"/>
      <c r="SN14" s="700"/>
      <c r="SO14" s="700"/>
      <c r="SP14" s="700"/>
      <c r="SQ14" s="700"/>
      <c r="SR14" s="700"/>
      <c r="SS14" s="700"/>
      <c r="ST14" s="700"/>
      <c r="SU14" s="700"/>
      <c r="SV14" s="700"/>
      <c r="SW14" s="700"/>
      <c r="SX14" s="700"/>
      <c r="SY14" s="700"/>
      <c r="SZ14" s="700"/>
      <c r="TA14" s="700"/>
      <c r="TB14" s="700"/>
      <c r="TC14" s="700"/>
      <c r="TD14" s="700"/>
      <c r="TE14" s="700"/>
      <c r="TF14" s="700"/>
      <c r="TG14" s="700"/>
      <c r="TH14" s="700"/>
      <c r="TI14" s="700"/>
      <c r="TJ14" s="700"/>
      <c r="TK14" s="700"/>
      <c r="TL14" s="700"/>
      <c r="TM14" s="700"/>
      <c r="TN14" s="700"/>
      <c r="TO14" s="700"/>
      <c r="TP14" s="700"/>
      <c r="TQ14" s="700"/>
      <c r="TR14" s="700"/>
      <c r="TS14" s="700"/>
      <c r="TT14" s="700"/>
      <c r="TU14" s="700"/>
      <c r="TV14" s="700"/>
      <c r="TW14" s="700"/>
      <c r="TX14" s="700"/>
      <c r="TY14" s="700"/>
      <c r="TZ14" s="700"/>
      <c r="UA14" s="700"/>
      <c r="UB14" s="700"/>
      <c r="UC14" s="700"/>
      <c r="UD14" s="700"/>
      <c r="UE14" s="700"/>
      <c r="UF14" s="700"/>
      <c r="UG14" s="700"/>
      <c r="UH14" s="700"/>
      <c r="UI14" s="700"/>
      <c r="UJ14" s="700"/>
      <c r="UK14" s="700"/>
      <c r="UL14" s="700"/>
      <c r="UM14" s="700"/>
      <c r="UN14" s="700"/>
      <c r="UO14" s="700"/>
      <c r="UP14" s="700"/>
      <c r="UQ14" s="700"/>
      <c r="UR14" s="700"/>
      <c r="US14" s="700"/>
      <c r="UT14" s="700"/>
      <c r="UU14" s="700"/>
      <c r="UV14" s="700"/>
      <c r="UW14" s="700"/>
      <c r="UX14" s="700"/>
      <c r="UY14" s="700"/>
      <c r="UZ14" s="700"/>
      <c r="VA14" s="700"/>
      <c r="VB14" s="700"/>
      <c r="VC14" s="700"/>
      <c r="VD14" s="700"/>
      <c r="VE14" s="700"/>
      <c r="VF14" s="700"/>
      <c r="VG14" s="700"/>
      <c r="VH14" s="700"/>
      <c r="VI14" s="700"/>
      <c r="VJ14" s="700"/>
      <c r="VK14" s="700"/>
      <c r="VL14" s="700"/>
      <c r="VM14" s="700"/>
      <c r="VN14" s="700"/>
      <c r="VO14" s="700"/>
      <c r="VP14" s="700"/>
      <c r="VQ14" s="700"/>
      <c r="VR14" s="700"/>
      <c r="VS14" s="700"/>
      <c r="VT14" s="700"/>
      <c r="VU14" s="700"/>
      <c r="VV14" s="700"/>
      <c r="VW14" s="700"/>
      <c r="VX14" s="700"/>
      <c r="VY14" s="700"/>
      <c r="VZ14" s="700"/>
      <c r="WA14" s="700"/>
      <c r="WB14" s="700"/>
      <c r="WC14" s="700"/>
      <c r="WD14" s="700"/>
      <c r="WE14" s="700"/>
      <c r="WF14" s="700"/>
      <c r="WG14" s="700"/>
      <c r="WH14" s="700"/>
      <c r="WI14" s="700"/>
      <c r="WJ14" s="700"/>
      <c r="WK14" s="700"/>
      <c r="WL14" s="700"/>
      <c r="WM14" s="700"/>
      <c r="WN14" s="700"/>
      <c r="WO14" s="700"/>
      <c r="WP14" s="700"/>
      <c r="WQ14" s="700"/>
      <c r="WR14" s="700"/>
      <c r="WS14" s="700"/>
      <c r="WT14" s="700"/>
      <c r="WU14" s="700"/>
      <c r="WV14" s="700"/>
      <c r="WW14" s="700"/>
      <c r="WX14" s="700"/>
      <c r="WY14" s="700"/>
      <c r="WZ14" s="700"/>
      <c r="XA14" s="700"/>
      <c r="XB14" s="700"/>
      <c r="XC14" s="700"/>
      <c r="XD14" s="700"/>
      <c r="XE14" s="700"/>
      <c r="XF14" s="700"/>
      <c r="XG14" s="700"/>
      <c r="XH14" s="700"/>
      <c r="XI14" s="700"/>
      <c r="XJ14" s="700"/>
      <c r="XK14" s="700"/>
      <c r="XL14" s="700"/>
      <c r="XM14" s="700"/>
      <c r="XN14" s="700"/>
      <c r="XO14" s="700"/>
      <c r="XP14" s="700"/>
      <c r="XQ14" s="700"/>
      <c r="XR14" s="700"/>
      <c r="XS14" s="700"/>
      <c r="XT14" s="700"/>
      <c r="XU14" s="700"/>
      <c r="XV14" s="700"/>
      <c r="XW14" s="700"/>
      <c r="XX14" s="700"/>
      <c r="XY14" s="700"/>
      <c r="XZ14" s="700"/>
      <c r="YA14" s="700"/>
      <c r="YB14" s="700"/>
      <c r="YC14" s="700"/>
      <c r="YD14" s="700"/>
      <c r="YE14" s="700"/>
      <c r="YF14" s="700"/>
      <c r="YG14" s="700"/>
      <c r="YH14" s="700"/>
      <c r="YI14" s="700"/>
      <c r="YJ14" s="700"/>
      <c r="YK14" s="700"/>
      <c r="YL14" s="700"/>
      <c r="YM14" s="700"/>
      <c r="YN14" s="700"/>
      <c r="YO14" s="700"/>
      <c r="YP14" s="700"/>
      <c r="YQ14" s="700"/>
      <c r="YR14" s="700"/>
      <c r="YS14" s="700"/>
      <c r="YT14" s="700"/>
      <c r="YU14" s="700"/>
      <c r="YV14" s="700"/>
      <c r="YW14" s="700"/>
      <c r="YX14" s="700"/>
      <c r="YY14" s="700"/>
      <c r="YZ14" s="700"/>
      <c r="ZA14" s="700"/>
      <c r="ZB14" s="700"/>
      <c r="ZC14" s="700"/>
      <c r="ZD14" s="700"/>
      <c r="ZE14" s="700"/>
      <c r="ZF14" s="700"/>
      <c r="ZG14" s="700"/>
      <c r="ZH14" s="700"/>
      <c r="ZI14" s="700"/>
      <c r="ZJ14" s="700"/>
      <c r="ZK14" s="700"/>
      <c r="ZL14" s="700"/>
      <c r="ZM14" s="700"/>
      <c r="ZN14" s="700"/>
      <c r="ZO14" s="700"/>
      <c r="ZP14" s="700"/>
      <c r="ZQ14" s="700"/>
      <c r="ZR14" s="700"/>
      <c r="ZS14" s="700"/>
      <c r="ZT14" s="700"/>
      <c r="ZU14" s="700"/>
      <c r="ZV14" s="700"/>
      <c r="ZW14" s="700"/>
      <c r="ZX14" s="700"/>
      <c r="ZY14" s="700"/>
      <c r="ZZ14" s="700"/>
      <c r="AAA14" s="700"/>
      <c r="AAB14" s="700"/>
      <c r="AAC14" s="700"/>
      <c r="AAD14" s="700"/>
      <c r="AAE14" s="700"/>
      <c r="AAF14" s="700"/>
      <c r="AAG14" s="700"/>
      <c r="AAH14" s="700"/>
      <c r="AAI14" s="700"/>
      <c r="AAJ14" s="700"/>
      <c r="AAK14" s="700"/>
      <c r="AAL14" s="700"/>
      <c r="AAM14" s="700"/>
      <c r="AAN14" s="700"/>
      <c r="AAO14" s="700"/>
      <c r="AAP14" s="700"/>
      <c r="AAQ14" s="700"/>
      <c r="AAR14" s="700"/>
      <c r="AAS14" s="700"/>
      <c r="AAT14" s="700"/>
      <c r="AAU14" s="700"/>
      <c r="AAV14" s="700"/>
      <c r="AAW14" s="700"/>
      <c r="AAX14" s="700"/>
      <c r="AAY14" s="700"/>
      <c r="AAZ14" s="700"/>
      <c r="ABA14" s="700"/>
      <c r="ABB14" s="700"/>
      <c r="ABC14" s="700"/>
      <c r="ABD14" s="700"/>
      <c r="ABE14" s="700"/>
      <c r="ABF14" s="700"/>
      <c r="ABG14" s="700"/>
      <c r="ABH14" s="700"/>
      <c r="ABI14" s="700"/>
      <c r="ABJ14" s="700"/>
      <c r="ABK14" s="700"/>
      <c r="ABL14" s="700"/>
      <c r="ABM14" s="700"/>
      <c r="ABN14" s="700"/>
      <c r="ABO14" s="700"/>
      <c r="ABP14" s="700"/>
      <c r="ABQ14" s="700"/>
      <c r="ABR14" s="700"/>
      <c r="ABS14" s="700"/>
      <c r="ABT14" s="700"/>
      <c r="ABU14" s="700"/>
      <c r="ABV14" s="700"/>
      <c r="ABW14" s="700"/>
      <c r="ABX14" s="700"/>
      <c r="ABY14" s="700"/>
      <c r="ABZ14" s="700"/>
      <c r="ACA14" s="700"/>
      <c r="ACB14" s="700"/>
      <c r="ACC14" s="700"/>
      <c r="ACD14" s="700"/>
      <c r="ACE14" s="700"/>
      <c r="ACF14" s="700"/>
      <c r="ACG14" s="700"/>
      <c r="ACH14" s="700"/>
      <c r="ACI14" s="700"/>
      <c r="ACJ14" s="700"/>
      <c r="ACK14" s="700"/>
      <c r="ACL14" s="700"/>
      <c r="ACM14" s="700"/>
      <c r="ACN14" s="700"/>
      <c r="ACO14" s="700"/>
      <c r="ACP14" s="700"/>
      <c r="ACQ14" s="700"/>
      <c r="ACR14" s="700"/>
      <c r="ACS14" s="700"/>
      <c r="ACT14" s="700"/>
      <c r="ACU14" s="700"/>
      <c r="ACV14" s="700"/>
      <c r="ACW14" s="700"/>
      <c r="ACX14" s="700"/>
      <c r="ACY14" s="700"/>
      <c r="ACZ14" s="700"/>
      <c r="ADA14" s="700"/>
      <c r="ADB14" s="700"/>
      <c r="ADC14" s="700"/>
      <c r="ADD14" s="700"/>
      <c r="ADE14" s="700"/>
      <c r="ADF14" s="700"/>
      <c r="ADG14" s="700"/>
      <c r="ADH14" s="700"/>
      <c r="ADI14" s="700"/>
      <c r="ADJ14" s="700"/>
      <c r="ADK14" s="700"/>
      <c r="ADL14" s="700"/>
      <c r="ADM14" s="700"/>
      <c r="ADN14" s="700"/>
      <c r="ADO14" s="700"/>
      <c r="ADP14" s="700"/>
      <c r="ADQ14" s="700"/>
      <c r="ADR14" s="700"/>
      <c r="ADS14" s="700"/>
      <c r="ADT14" s="700"/>
      <c r="ADU14" s="700"/>
      <c r="ADV14" s="700"/>
      <c r="ADW14" s="700"/>
      <c r="ADX14" s="700"/>
      <c r="ADY14" s="700"/>
      <c r="ADZ14" s="700"/>
      <c r="AEA14" s="700"/>
      <c r="AEB14" s="700"/>
      <c r="AEC14" s="700"/>
      <c r="AED14" s="700"/>
      <c r="AEE14" s="700"/>
      <c r="AEF14" s="700"/>
      <c r="AEG14" s="700"/>
      <c r="AEH14" s="700"/>
      <c r="AEI14" s="700"/>
      <c r="AEJ14" s="700"/>
      <c r="AEK14" s="700"/>
      <c r="AEL14" s="700"/>
      <c r="AEM14" s="700"/>
      <c r="AEN14" s="700"/>
      <c r="AEO14" s="700"/>
      <c r="AEP14" s="700"/>
      <c r="AEQ14" s="700"/>
      <c r="AER14" s="700"/>
      <c r="AES14" s="700"/>
      <c r="AET14" s="700"/>
      <c r="AEU14" s="700"/>
      <c r="AEV14" s="700"/>
      <c r="AEW14" s="700"/>
      <c r="AEX14" s="700"/>
      <c r="AEY14" s="700"/>
      <c r="AEZ14" s="700"/>
      <c r="AFA14" s="700"/>
      <c r="AFB14" s="700"/>
      <c r="AFC14" s="700"/>
      <c r="AFD14" s="700"/>
      <c r="AFE14" s="700"/>
      <c r="AFF14" s="700"/>
      <c r="AFG14" s="700"/>
      <c r="AFH14" s="700"/>
      <c r="AFI14" s="700"/>
      <c r="AFJ14" s="700"/>
      <c r="AFK14" s="700"/>
      <c r="AFL14" s="700"/>
      <c r="AFM14" s="700"/>
      <c r="AFN14" s="700"/>
      <c r="AFO14" s="700"/>
      <c r="AFP14" s="700"/>
      <c r="AFQ14" s="700"/>
      <c r="AFR14" s="700"/>
      <c r="AFS14" s="700"/>
      <c r="AFT14" s="700"/>
      <c r="AFU14" s="700"/>
      <c r="AFV14" s="700"/>
      <c r="AFW14" s="700"/>
      <c r="AFX14" s="700"/>
      <c r="AFY14" s="700"/>
      <c r="AFZ14" s="700"/>
      <c r="AGA14" s="700"/>
      <c r="AGB14" s="700"/>
      <c r="AGC14" s="700"/>
      <c r="AGD14" s="700"/>
      <c r="AGE14" s="700"/>
      <c r="AGF14" s="700"/>
      <c r="AGG14" s="700"/>
      <c r="AGH14" s="700"/>
      <c r="AGI14" s="700"/>
      <c r="AGJ14" s="700"/>
      <c r="AGK14" s="700"/>
      <c r="AGL14" s="700"/>
      <c r="AGM14" s="700"/>
      <c r="AGN14" s="700"/>
      <c r="AGO14" s="700"/>
      <c r="AGP14" s="700"/>
      <c r="AGQ14" s="700"/>
      <c r="AGR14" s="700"/>
      <c r="AGS14" s="700"/>
      <c r="AGT14" s="700"/>
      <c r="AGU14" s="700"/>
      <c r="AGV14" s="700"/>
      <c r="AGW14" s="700"/>
      <c r="AGX14" s="700"/>
      <c r="AGY14" s="700"/>
      <c r="AGZ14" s="700"/>
      <c r="AHA14" s="700"/>
      <c r="AHB14" s="700"/>
      <c r="AHC14" s="700"/>
      <c r="AHD14" s="700"/>
      <c r="AHE14" s="700"/>
      <c r="AHF14" s="700"/>
      <c r="AHG14" s="700"/>
      <c r="AHH14" s="700"/>
      <c r="AHI14" s="700"/>
      <c r="AHJ14" s="700"/>
      <c r="AHK14" s="700"/>
      <c r="AHL14" s="700"/>
      <c r="AHM14" s="700"/>
      <c r="AHN14" s="700"/>
      <c r="AHO14" s="700"/>
      <c r="AHP14" s="700"/>
      <c r="AHQ14" s="700"/>
      <c r="AHR14" s="700"/>
      <c r="AHS14" s="700"/>
      <c r="AHT14" s="700"/>
      <c r="AHU14" s="700"/>
      <c r="AHV14" s="700"/>
      <c r="AHW14" s="700"/>
      <c r="AHX14" s="700"/>
      <c r="AHY14" s="700"/>
      <c r="AHZ14" s="700"/>
      <c r="AIA14" s="700"/>
      <c r="AIB14" s="700"/>
      <c r="AIC14" s="700"/>
      <c r="AID14" s="700"/>
      <c r="AIE14" s="700"/>
      <c r="AIF14" s="700"/>
      <c r="AIG14" s="700"/>
      <c r="AIH14" s="700"/>
      <c r="AII14" s="700"/>
      <c r="AIJ14" s="700"/>
      <c r="AIK14" s="700"/>
      <c r="AIL14" s="700"/>
      <c r="AIM14" s="700"/>
      <c r="AIN14" s="700"/>
      <c r="AIO14" s="700"/>
      <c r="AIP14" s="700"/>
      <c r="AIQ14" s="700"/>
      <c r="AIR14" s="700"/>
      <c r="AIS14" s="700"/>
      <c r="AIT14" s="700"/>
      <c r="AIU14" s="700"/>
      <c r="AIV14" s="700"/>
      <c r="AIW14" s="700"/>
      <c r="AIX14" s="700"/>
      <c r="AIY14" s="700"/>
      <c r="AIZ14" s="700"/>
      <c r="AJA14" s="700"/>
      <c r="AJB14" s="700"/>
      <c r="AJC14" s="700"/>
      <c r="AJD14" s="700"/>
      <c r="AJE14" s="700"/>
      <c r="AJF14" s="700"/>
      <c r="AJG14" s="700"/>
      <c r="AJH14" s="700"/>
      <c r="AJI14" s="700"/>
      <c r="AJJ14" s="700"/>
      <c r="AJK14" s="700"/>
      <c r="AJL14" s="700"/>
      <c r="AJM14" s="700"/>
      <c r="AJN14" s="700"/>
      <c r="AJO14" s="700"/>
      <c r="AJP14" s="700"/>
      <c r="AJQ14" s="700"/>
      <c r="AJR14" s="700"/>
      <c r="AJS14" s="700"/>
      <c r="AJT14" s="700"/>
      <c r="AJU14" s="700"/>
      <c r="AJV14" s="700"/>
      <c r="AJW14" s="700"/>
      <c r="AJX14" s="700"/>
      <c r="AJY14" s="700"/>
      <c r="AJZ14" s="700"/>
      <c r="AKA14" s="700"/>
      <c r="AKB14" s="700"/>
      <c r="AKC14" s="700"/>
      <c r="AKD14" s="700"/>
      <c r="AKE14" s="700"/>
      <c r="AKF14" s="700"/>
      <c r="AKG14" s="700"/>
      <c r="AKH14" s="700"/>
      <c r="AKI14" s="700"/>
      <c r="AKJ14" s="700"/>
      <c r="AKK14" s="700"/>
      <c r="AKL14" s="700"/>
      <c r="AKM14" s="700"/>
      <c r="AKN14" s="700"/>
      <c r="AKO14" s="700"/>
      <c r="AKP14" s="700"/>
      <c r="AKQ14" s="700"/>
      <c r="AKR14" s="700"/>
      <c r="AKS14" s="700"/>
      <c r="AKT14" s="700"/>
      <c r="AKU14" s="700"/>
      <c r="AKV14" s="700"/>
      <c r="AKW14" s="700"/>
      <c r="AKX14" s="700"/>
      <c r="AKY14" s="700"/>
      <c r="AKZ14" s="700"/>
      <c r="ALA14" s="700"/>
      <c r="ALB14" s="700"/>
      <c r="ALC14" s="700"/>
      <c r="ALD14" s="700"/>
      <c r="ALE14" s="700"/>
      <c r="ALF14" s="700"/>
      <c r="ALG14" s="700"/>
      <c r="ALH14" s="700"/>
      <c r="ALI14" s="700"/>
      <c r="ALJ14" s="700"/>
      <c r="ALK14" s="700"/>
      <c r="ALL14" s="700"/>
      <c r="ALM14" s="700"/>
      <c r="ALN14" s="700"/>
      <c r="ALO14" s="700"/>
      <c r="ALP14" s="700"/>
      <c r="ALQ14" s="700"/>
      <c r="ALR14" s="700"/>
      <c r="ALS14" s="700"/>
      <c r="ALT14" s="700"/>
      <c r="ALU14" s="700"/>
      <c r="ALV14" s="700"/>
      <c r="ALW14" s="700"/>
      <c r="ALX14" s="700"/>
      <c r="ALY14" s="700"/>
      <c r="ALZ14" s="700"/>
      <c r="AMA14" s="700"/>
      <c r="AMB14" s="700"/>
      <c r="AMC14" s="700"/>
      <c r="AMD14" s="700"/>
      <c r="AME14" s="700"/>
      <c r="AMF14" s="700"/>
      <c r="AMG14" s="700"/>
      <c r="AMH14" s="700"/>
      <c r="AMI14" s="700"/>
      <c r="AMJ14" s="700"/>
      <c r="AMK14" s="700"/>
      <c r="AML14" s="700"/>
      <c r="AMM14" s="700"/>
      <c r="AMN14" s="700"/>
      <c r="AMO14" s="700"/>
      <c r="AMP14" s="700"/>
      <c r="AMQ14" s="700"/>
      <c r="AMR14" s="700"/>
      <c r="AMS14" s="700"/>
      <c r="AMT14" s="700"/>
      <c r="AMU14" s="700"/>
      <c r="AMV14" s="700"/>
      <c r="AMW14" s="700"/>
      <c r="AMX14" s="700"/>
      <c r="AMY14" s="700"/>
      <c r="AMZ14" s="700"/>
      <c r="ANA14" s="700"/>
      <c r="ANB14" s="700"/>
      <c r="ANC14" s="700"/>
      <c r="AND14" s="700"/>
      <c r="ANE14" s="700"/>
      <c r="ANF14" s="700"/>
      <c r="ANG14" s="700"/>
      <c r="ANH14" s="700"/>
      <c r="ANI14" s="700"/>
      <c r="ANJ14" s="700"/>
      <c r="ANK14" s="700"/>
      <c r="ANL14" s="700"/>
      <c r="ANM14" s="700"/>
      <c r="ANN14" s="700"/>
      <c r="ANO14" s="700"/>
      <c r="ANP14" s="700"/>
      <c r="ANQ14" s="700"/>
      <c r="ANR14" s="700"/>
      <c r="ANS14" s="700"/>
      <c r="ANT14" s="700"/>
      <c r="ANU14" s="700"/>
      <c r="ANV14" s="700"/>
      <c r="ANW14" s="700"/>
      <c r="ANX14" s="700"/>
      <c r="ANY14" s="700"/>
      <c r="ANZ14" s="700"/>
      <c r="AOA14" s="700"/>
      <c r="AOB14" s="700"/>
      <c r="AOC14" s="700"/>
      <c r="AOD14" s="700"/>
      <c r="AOE14" s="700"/>
      <c r="AOF14" s="700"/>
      <c r="AOG14" s="700"/>
      <c r="AOH14" s="700"/>
      <c r="AOI14" s="700"/>
      <c r="AOJ14" s="700"/>
      <c r="AOK14" s="700"/>
      <c r="AOL14" s="700"/>
      <c r="AOM14" s="700"/>
      <c r="AON14" s="700"/>
      <c r="AOO14" s="700"/>
      <c r="AOP14" s="700"/>
      <c r="AOQ14" s="700"/>
      <c r="AOR14" s="700"/>
      <c r="AOS14" s="700"/>
      <c r="AOT14" s="700"/>
      <c r="AOU14" s="700"/>
      <c r="AOV14" s="700"/>
      <c r="AOW14" s="700"/>
      <c r="AOX14" s="700"/>
      <c r="AOY14" s="700"/>
      <c r="AOZ14" s="700"/>
      <c r="APA14" s="700"/>
      <c r="APB14" s="700"/>
      <c r="APC14" s="700"/>
      <c r="APD14" s="700"/>
      <c r="APE14" s="700"/>
      <c r="APF14" s="700"/>
      <c r="APG14" s="700"/>
      <c r="APH14" s="700"/>
      <c r="API14" s="700"/>
      <c r="APJ14" s="700"/>
      <c r="APK14" s="700"/>
      <c r="APL14" s="700"/>
      <c r="APM14" s="700"/>
      <c r="APN14" s="700"/>
      <c r="APO14" s="700"/>
      <c r="APP14" s="700"/>
      <c r="APQ14" s="700"/>
      <c r="APR14" s="700"/>
      <c r="APS14" s="700"/>
      <c r="APT14" s="700"/>
      <c r="APU14" s="700"/>
      <c r="APV14" s="700"/>
      <c r="APW14" s="700"/>
      <c r="APX14" s="700"/>
      <c r="APY14" s="700"/>
      <c r="APZ14" s="700"/>
      <c r="AQA14" s="700"/>
      <c r="AQB14" s="700"/>
      <c r="AQC14" s="700"/>
      <c r="AQD14" s="700"/>
      <c r="AQE14" s="700"/>
      <c r="AQF14" s="700"/>
      <c r="AQG14" s="700"/>
      <c r="AQH14" s="700"/>
      <c r="AQI14" s="700"/>
      <c r="AQJ14" s="700"/>
      <c r="AQK14" s="700"/>
      <c r="AQL14" s="700"/>
      <c r="AQM14" s="700"/>
      <c r="AQN14" s="700"/>
      <c r="AQO14" s="700"/>
      <c r="AQP14" s="700"/>
      <c r="AQQ14" s="700"/>
      <c r="AQR14" s="700"/>
      <c r="AQS14" s="700"/>
      <c r="AQT14" s="700"/>
      <c r="AQU14" s="700"/>
      <c r="AQV14" s="700"/>
      <c r="AQW14" s="700"/>
      <c r="AQX14" s="700"/>
      <c r="AQY14" s="700"/>
      <c r="AQZ14" s="700"/>
      <c r="ARA14" s="700"/>
      <c r="ARB14" s="700"/>
      <c r="ARC14" s="700"/>
      <c r="ARD14" s="700"/>
      <c r="ARE14" s="700"/>
      <c r="ARF14" s="700"/>
      <c r="ARG14" s="700"/>
      <c r="ARH14" s="700"/>
      <c r="ARI14" s="700"/>
      <c r="ARJ14" s="700"/>
      <c r="ARK14" s="700"/>
      <c r="ARL14" s="700"/>
      <c r="ARM14" s="700"/>
      <c r="ARN14" s="700"/>
      <c r="ARO14" s="700"/>
      <c r="ARP14" s="700"/>
      <c r="ARQ14" s="700"/>
      <c r="ARR14" s="700"/>
      <c r="ARS14" s="700"/>
      <c r="ART14" s="700"/>
      <c r="ARU14" s="700"/>
      <c r="ARV14" s="700"/>
      <c r="ARW14" s="700"/>
      <c r="ARX14" s="700"/>
      <c r="ARY14" s="700"/>
      <c r="ARZ14" s="700"/>
      <c r="ASA14" s="700"/>
      <c r="ASB14" s="700"/>
      <c r="ASC14" s="700"/>
      <c r="ASD14" s="700"/>
      <c r="ASE14" s="700"/>
      <c r="ASF14" s="700"/>
      <c r="ASG14" s="700"/>
      <c r="ASH14" s="700"/>
      <c r="ASI14" s="700"/>
      <c r="ASJ14" s="700"/>
      <c r="ASK14" s="700"/>
      <c r="ASL14" s="700"/>
      <c r="ASM14" s="700"/>
      <c r="ASN14" s="700"/>
      <c r="ASO14" s="700"/>
      <c r="ASP14" s="700"/>
      <c r="ASQ14" s="700"/>
      <c r="ASR14" s="700"/>
      <c r="ASS14" s="700"/>
      <c r="AST14" s="700"/>
      <c r="ASU14" s="700"/>
      <c r="ASV14" s="700"/>
      <c r="ASW14" s="700"/>
      <c r="ASX14" s="700"/>
      <c r="ASY14" s="700"/>
      <c r="ASZ14" s="700"/>
      <c r="ATA14" s="700"/>
      <c r="ATB14" s="700"/>
      <c r="ATC14" s="700"/>
      <c r="ATD14" s="700"/>
      <c r="ATE14" s="700"/>
      <c r="ATF14" s="700"/>
      <c r="ATG14" s="700"/>
      <c r="ATH14" s="700"/>
      <c r="ATI14" s="700"/>
      <c r="ATJ14" s="700"/>
      <c r="ATK14" s="700"/>
      <c r="ATL14" s="700"/>
      <c r="ATM14" s="700"/>
      <c r="ATN14" s="700"/>
      <c r="ATO14" s="700"/>
      <c r="ATP14" s="700"/>
      <c r="ATQ14" s="700"/>
      <c r="ATR14" s="700"/>
      <c r="ATS14" s="700"/>
      <c r="ATT14" s="700"/>
      <c r="ATU14" s="700"/>
      <c r="ATV14" s="700"/>
      <c r="ATW14" s="700"/>
      <c r="ATX14" s="700"/>
      <c r="ATY14" s="700"/>
      <c r="ATZ14" s="700"/>
      <c r="AUA14" s="700"/>
      <c r="AUB14" s="700"/>
      <c r="AUC14" s="700"/>
      <c r="AUD14" s="700"/>
      <c r="AUE14" s="700"/>
      <c r="AUF14" s="700"/>
      <c r="AUG14" s="700"/>
      <c r="AUH14" s="700"/>
      <c r="AUI14" s="700"/>
      <c r="AUJ14" s="700"/>
      <c r="AUK14" s="700"/>
      <c r="AUL14" s="700"/>
      <c r="AUM14" s="700"/>
      <c r="AUN14" s="700"/>
      <c r="AUO14" s="700"/>
      <c r="AUP14" s="700"/>
      <c r="AUQ14" s="700"/>
      <c r="AUR14" s="700"/>
      <c r="AUS14" s="700"/>
      <c r="AUT14" s="700"/>
      <c r="AUU14" s="700"/>
      <c r="AUV14" s="700"/>
      <c r="AUW14" s="700"/>
      <c r="AUX14" s="700"/>
      <c r="AUY14" s="700"/>
      <c r="AUZ14" s="700"/>
      <c r="AVA14" s="700"/>
      <c r="AVB14" s="700"/>
      <c r="AVC14" s="700"/>
      <c r="AVD14" s="700"/>
      <c r="AVE14" s="700"/>
      <c r="AVF14" s="700"/>
      <c r="AVG14" s="700"/>
      <c r="AVH14" s="700"/>
      <c r="AVI14" s="700"/>
      <c r="AVJ14" s="700"/>
      <c r="AVK14" s="700"/>
      <c r="AVL14" s="700"/>
      <c r="AVM14" s="700"/>
      <c r="AVN14" s="700"/>
      <c r="AVO14" s="700"/>
      <c r="AVP14" s="700"/>
      <c r="AVQ14" s="700"/>
      <c r="AVR14" s="700"/>
      <c r="AVS14" s="700"/>
      <c r="AVT14" s="700"/>
      <c r="AVU14" s="700"/>
      <c r="AVV14" s="700"/>
      <c r="AVW14" s="700"/>
      <c r="AVX14" s="700"/>
      <c r="AVY14" s="700"/>
      <c r="AVZ14" s="700"/>
      <c r="AWA14" s="700"/>
      <c r="AWB14" s="700"/>
      <c r="AWC14" s="700"/>
      <c r="AWD14" s="700"/>
      <c r="AWE14" s="700"/>
      <c r="AWF14" s="700"/>
      <c r="AWG14" s="700"/>
      <c r="AWH14" s="700"/>
      <c r="AWI14" s="700"/>
      <c r="AWJ14" s="700"/>
      <c r="AWK14" s="700"/>
      <c r="AWL14" s="700"/>
      <c r="AWM14" s="700"/>
      <c r="AWN14" s="700"/>
      <c r="AWO14" s="700"/>
      <c r="AWP14" s="700"/>
      <c r="AWQ14" s="700"/>
      <c r="AWR14" s="700"/>
      <c r="AWS14" s="700"/>
      <c r="AWT14" s="700"/>
      <c r="AWU14" s="700"/>
      <c r="AWV14" s="700"/>
      <c r="AWW14" s="700"/>
      <c r="AWX14" s="700"/>
      <c r="AWY14" s="700"/>
      <c r="AWZ14" s="700"/>
      <c r="AXA14" s="700"/>
      <c r="AXB14" s="700"/>
      <c r="AXC14" s="700"/>
      <c r="AXD14" s="700"/>
      <c r="AXE14" s="700"/>
      <c r="AXF14" s="700"/>
      <c r="AXG14" s="700"/>
      <c r="AXH14" s="700"/>
      <c r="AXI14" s="700"/>
      <c r="AXJ14" s="700"/>
      <c r="AXK14" s="700"/>
      <c r="AXL14" s="700"/>
      <c r="AXM14" s="700"/>
      <c r="AXN14" s="700"/>
      <c r="AXO14" s="700"/>
      <c r="AXP14" s="700"/>
      <c r="AXQ14" s="700"/>
      <c r="AXR14" s="700"/>
      <c r="AXS14" s="700"/>
      <c r="AXT14" s="700"/>
      <c r="AXU14" s="700"/>
      <c r="AXV14" s="700"/>
      <c r="AXW14" s="700"/>
      <c r="AXX14" s="700"/>
      <c r="AXY14" s="700"/>
      <c r="AXZ14" s="700"/>
      <c r="AYA14" s="700"/>
      <c r="AYB14" s="700"/>
      <c r="AYC14" s="700"/>
      <c r="AYD14" s="700"/>
      <c r="AYE14" s="700"/>
      <c r="AYF14" s="700"/>
      <c r="AYG14" s="700"/>
      <c r="AYH14" s="700"/>
      <c r="AYI14" s="700"/>
      <c r="AYJ14" s="700"/>
      <c r="AYK14" s="700"/>
      <c r="AYL14" s="700"/>
      <c r="AYM14" s="700"/>
      <c r="AYN14" s="700"/>
      <c r="AYO14" s="700"/>
      <c r="AYP14" s="700"/>
      <c r="AYQ14" s="700"/>
      <c r="AYR14" s="700"/>
      <c r="AYS14" s="700"/>
      <c r="AYT14" s="700"/>
      <c r="AYU14" s="700"/>
      <c r="AYV14" s="700"/>
      <c r="AYW14" s="700"/>
      <c r="AYX14" s="700"/>
      <c r="AYY14" s="700"/>
      <c r="AYZ14" s="700"/>
      <c r="AZA14" s="700"/>
      <c r="AZB14" s="700"/>
      <c r="AZC14" s="700"/>
      <c r="AZD14" s="700"/>
      <c r="AZE14" s="700"/>
      <c r="AZF14" s="700"/>
      <c r="AZG14" s="700"/>
      <c r="AZH14" s="700"/>
      <c r="AZI14" s="700"/>
      <c r="AZJ14" s="700"/>
      <c r="AZK14" s="700"/>
      <c r="AZL14" s="700"/>
      <c r="AZM14" s="700"/>
      <c r="AZN14" s="700"/>
      <c r="AZO14" s="700"/>
      <c r="AZP14" s="700"/>
      <c r="AZQ14" s="700"/>
      <c r="AZR14" s="700"/>
      <c r="AZS14" s="700"/>
      <c r="AZT14" s="700"/>
      <c r="AZU14" s="700"/>
      <c r="AZV14" s="700"/>
      <c r="AZW14" s="700"/>
      <c r="AZX14" s="700"/>
      <c r="AZY14" s="700"/>
      <c r="AZZ14" s="700"/>
      <c r="BAA14" s="700"/>
      <c r="BAB14" s="700"/>
      <c r="BAC14" s="700"/>
      <c r="BAD14" s="700"/>
      <c r="BAE14" s="700"/>
      <c r="BAF14" s="700"/>
      <c r="BAG14" s="700"/>
      <c r="BAH14" s="700"/>
      <c r="BAI14" s="700"/>
      <c r="BAJ14" s="700"/>
      <c r="BAK14" s="700"/>
      <c r="BAL14" s="700"/>
      <c r="BAM14" s="700"/>
      <c r="BAN14" s="700"/>
      <c r="BAO14" s="700"/>
      <c r="BAP14" s="700"/>
      <c r="BAQ14" s="700"/>
      <c r="BAR14" s="700"/>
      <c r="BAS14" s="700"/>
      <c r="BAT14" s="700"/>
      <c r="BAU14" s="700"/>
      <c r="BAV14" s="700"/>
      <c r="BAW14" s="700"/>
      <c r="BAX14" s="700"/>
      <c r="BAY14" s="700"/>
      <c r="BAZ14" s="700"/>
      <c r="BBA14" s="700"/>
      <c r="BBB14" s="700"/>
      <c r="BBC14" s="700"/>
      <c r="BBD14" s="700"/>
      <c r="BBE14" s="700"/>
      <c r="BBF14" s="700"/>
      <c r="BBG14" s="700"/>
      <c r="BBH14" s="700"/>
      <c r="BBI14" s="700"/>
      <c r="BBJ14" s="700"/>
      <c r="BBK14" s="700"/>
      <c r="BBL14" s="700"/>
      <c r="BBM14" s="700"/>
      <c r="BBN14" s="700"/>
      <c r="BBO14" s="700"/>
      <c r="BBP14" s="700"/>
      <c r="BBQ14" s="700"/>
      <c r="BBR14" s="700"/>
      <c r="BBS14" s="700"/>
      <c r="BBT14" s="700"/>
      <c r="BBU14" s="700"/>
      <c r="BBV14" s="700"/>
      <c r="BBW14" s="700"/>
      <c r="BBX14" s="700"/>
      <c r="BBY14" s="700"/>
      <c r="BBZ14" s="700"/>
      <c r="BCA14" s="700"/>
      <c r="BCB14" s="700"/>
      <c r="BCC14" s="700"/>
      <c r="BCD14" s="700"/>
      <c r="BCE14" s="700"/>
      <c r="BCF14" s="700"/>
      <c r="BCG14" s="700"/>
      <c r="BCH14" s="700"/>
      <c r="BCI14" s="700"/>
      <c r="BCJ14" s="700"/>
      <c r="BCK14" s="700"/>
      <c r="BCL14" s="700"/>
      <c r="BCM14" s="700"/>
      <c r="BCN14" s="700"/>
      <c r="BCO14" s="700"/>
      <c r="BCP14" s="700"/>
      <c r="BCQ14" s="700"/>
      <c r="BCR14" s="700"/>
      <c r="BCS14" s="700"/>
      <c r="BCT14" s="700"/>
      <c r="BCU14" s="700"/>
      <c r="BCV14" s="700"/>
      <c r="BCW14" s="700"/>
      <c r="BCX14" s="700"/>
      <c r="BCY14" s="700"/>
      <c r="BCZ14" s="700"/>
      <c r="BDA14" s="700"/>
      <c r="BDB14" s="700"/>
      <c r="BDC14" s="700"/>
      <c r="BDD14" s="700"/>
      <c r="BDE14" s="700"/>
      <c r="BDF14" s="700"/>
      <c r="BDG14" s="700"/>
      <c r="BDH14" s="700"/>
      <c r="BDI14" s="700"/>
      <c r="BDJ14" s="700"/>
      <c r="BDK14" s="700"/>
      <c r="BDL14" s="700"/>
      <c r="BDM14" s="700"/>
      <c r="BDN14" s="700"/>
      <c r="BDO14" s="700"/>
      <c r="BDP14" s="700"/>
      <c r="BDQ14" s="700"/>
      <c r="BDR14" s="700"/>
      <c r="BDS14" s="700"/>
      <c r="BDT14" s="700"/>
      <c r="BDU14" s="700"/>
      <c r="BDV14" s="700"/>
      <c r="BDW14" s="700"/>
      <c r="BDX14" s="700"/>
      <c r="BDY14" s="700"/>
      <c r="BDZ14" s="700"/>
      <c r="BEA14" s="700"/>
      <c r="BEB14" s="700"/>
      <c r="BEC14" s="700"/>
      <c r="BED14" s="700"/>
      <c r="BEE14" s="700"/>
      <c r="BEF14" s="700"/>
      <c r="BEG14" s="700"/>
      <c r="BEH14" s="700"/>
      <c r="BEI14" s="700"/>
      <c r="BEJ14" s="700"/>
      <c r="BEK14" s="700"/>
      <c r="BEL14" s="700"/>
      <c r="BEM14" s="700"/>
      <c r="BEN14" s="700"/>
      <c r="BEO14" s="700"/>
      <c r="BEP14" s="700"/>
      <c r="BEQ14" s="700"/>
      <c r="BER14" s="700"/>
      <c r="BES14" s="700"/>
      <c r="BET14" s="700"/>
      <c r="BEU14" s="700"/>
      <c r="BEV14" s="700"/>
      <c r="BEW14" s="700"/>
      <c r="BEX14" s="700"/>
      <c r="BEY14" s="700"/>
      <c r="BEZ14" s="700"/>
      <c r="BFA14" s="700"/>
      <c r="BFB14" s="700"/>
      <c r="BFC14" s="700"/>
      <c r="BFD14" s="700"/>
      <c r="BFE14" s="700"/>
      <c r="BFF14" s="700"/>
      <c r="BFG14" s="700"/>
      <c r="BFH14" s="700"/>
      <c r="BFI14" s="700"/>
      <c r="BFJ14" s="700"/>
      <c r="BFK14" s="700"/>
      <c r="BFL14" s="700"/>
      <c r="BFM14" s="700"/>
      <c r="BFN14" s="700"/>
      <c r="BFO14" s="700"/>
      <c r="BFP14" s="700"/>
      <c r="BFQ14" s="700"/>
      <c r="BFR14" s="700"/>
      <c r="BFS14" s="700"/>
      <c r="BFT14" s="700"/>
      <c r="BFU14" s="700"/>
      <c r="BFV14" s="700"/>
      <c r="BFW14" s="700"/>
      <c r="BFX14" s="700"/>
      <c r="BFY14" s="700"/>
      <c r="BFZ14" s="700"/>
      <c r="BGA14" s="700"/>
      <c r="BGB14" s="700"/>
      <c r="BGC14" s="700"/>
      <c r="BGD14" s="700"/>
      <c r="BGE14" s="700"/>
      <c r="BGF14" s="700"/>
      <c r="BGG14" s="700"/>
      <c r="BGH14" s="700"/>
      <c r="BGI14" s="700"/>
      <c r="BGJ14" s="700"/>
      <c r="BGK14" s="700"/>
      <c r="BGL14" s="700"/>
      <c r="BGM14" s="700"/>
      <c r="BGN14" s="700"/>
      <c r="BGO14" s="700"/>
      <c r="BGP14" s="700"/>
      <c r="BGQ14" s="700"/>
      <c r="BGR14" s="700"/>
      <c r="BGS14" s="700"/>
      <c r="BGT14" s="700"/>
      <c r="BGU14" s="700"/>
      <c r="BGV14" s="700"/>
      <c r="BGW14" s="700"/>
      <c r="BGX14" s="700"/>
      <c r="BGY14" s="700"/>
      <c r="BGZ14" s="700"/>
      <c r="BHA14" s="700"/>
      <c r="BHB14" s="700"/>
      <c r="BHC14" s="700"/>
      <c r="BHD14" s="700"/>
      <c r="BHE14" s="700"/>
      <c r="BHF14" s="700"/>
      <c r="BHG14" s="700"/>
      <c r="BHH14" s="700"/>
      <c r="BHI14" s="700"/>
      <c r="BHJ14" s="700"/>
      <c r="BHK14" s="700"/>
      <c r="BHL14" s="700"/>
      <c r="BHM14" s="700"/>
      <c r="BHN14" s="700"/>
      <c r="BHO14" s="700"/>
      <c r="BHP14" s="700"/>
      <c r="BHQ14" s="700"/>
      <c r="BHR14" s="700"/>
      <c r="BHS14" s="700"/>
      <c r="BHT14" s="700"/>
      <c r="BHU14" s="700"/>
      <c r="BHV14" s="700"/>
      <c r="BHW14" s="700"/>
      <c r="BHX14" s="700"/>
      <c r="BHY14" s="700"/>
      <c r="BHZ14" s="700"/>
      <c r="BIA14" s="700"/>
      <c r="BIB14" s="700"/>
      <c r="BIC14" s="700"/>
      <c r="BID14" s="700"/>
      <c r="BIE14" s="700"/>
      <c r="BIF14" s="700"/>
      <c r="BIG14" s="700"/>
      <c r="BIH14" s="700"/>
      <c r="BII14" s="700"/>
      <c r="BIJ14" s="700"/>
      <c r="BIK14" s="700"/>
      <c r="BIL14" s="700"/>
      <c r="BIM14" s="700"/>
      <c r="BIN14" s="700"/>
      <c r="BIO14" s="700"/>
      <c r="BIP14" s="700"/>
      <c r="BIQ14" s="700"/>
      <c r="BIR14" s="700"/>
      <c r="BIS14" s="700"/>
      <c r="BIT14" s="700"/>
      <c r="BIU14" s="700"/>
      <c r="BIV14" s="700"/>
      <c r="BIW14" s="700"/>
      <c r="BIX14" s="700"/>
      <c r="BIY14" s="700"/>
      <c r="BIZ14" s="700"/>
      <c r="BJA14" s="700"/>
      <c r="BJB14" s="700"/>
      <c r="BJC14" s="700"/>
      <c r="BJD14" s="700"/>
      <c r="BJE14" s="700"/>
      <c r="BJF14" s="700"/>
      <c r="BJG14" s="700"/>
      <c r="BJH14" s="700"/>
      <c r="BJI14" s="700"/>
      <c r="BJJ14" s="700"/>
      <c r="BJK14" s="700"/>
      <c r="BJL14" s="700"/>
      <c r="BJM14" s="700"/>
      <c r="BJN14" s="700"/>
      <c r="BJO14" s="700"/>
      <c r="BJP14" s="700"/>
      <c r="BJQ14" s="700"/>
      <c r="BJR14" s="700"/>
      <c r="BJS14" s="700"/>
      <c r="BJT14" s="700"/>
      <c r="BJU14" s="700"/>
      <c r="BJV14" s="700"/>
      <c r="BJW14" s="700"/>
      <c r="BJX14" s="700"/>
      <c r="BJY14" s="700"/>
      <c r="BJZ14" s="700"/>
      <c r="BKA14" s="700"/>
      <c r="BKB14" s="700"/>
      <c r="BKC14" s="700"/>
      <c r="BKD14" s="700"/>
      <c r="BKE14" s="700"/>
      <c r="BKF14" s="700"/>
      <c r="BKG14" s="700"/>
      <c r="BKH14" s="700"/>
      <c r="BKI14" s="700"/>
      <c r="BKJ14" s="700"/>
      <c r="BKK14" s="700"/>
      <c r="BKL14" s="700"/>
      <c r="BKM14" s="700"/>
      <c r="BKN14" s="700"/>
      <c r="BKO14" s="700"/>
      <c r="BKP14" s="700"/>
      <c r="BKQ14" s="700"/>
      <c r="BKR14" s="700"/>
      <c r="BKS14" s="700"/>
      <c r="BKT14" s="700"/>
      <c r="BKU14" s="700"/>
      <c r="BKV14" s="700"/>
      <c r="BKW14" s="700"/>
      <c r="BKX14" s="700"/>
      <c r="BKY14" s="700"/>
      <c r="BKZ14" s="700"/>
      <c r="BLA14" s="700"/>
      <c r="BLB14" s="700"/>
      <c r="BLC14" s="700"/>
      <c r="BLD14" s="700"/>
      <c r="BLE14" s="700"/>
      <c r="BLF14" s="700"/>
      <c r="BLG14" s="700"/>
      <c r="BLH14" s="700"/>
      <c r="BLI14" s="700"/>
      <c r="BLJ14" s="700"/>
      <c r="BLK14" s="700"/>
      <c r="BLL14" s="700"/>
      <c r="BLM14" s="700"/>
      <c r="BLN14" s="700"/>
      <c r="BLO14" s="700"/>
      <c r="BLP14" s="700"/>
      <c r="BLQ14" s="700"/>
      <c r="BLR14" s="700"/>
      <c r="BLS14" s="700"/>
      <c r="BLT14" s="700"/>
      <c r="BLU14" s="700"/>
      <c r="BLV14" s="700"/>
      <c r="BLW14" s="700"/>
      <c r="BLX14" s="700"/>
      <c r="BLY14" s="700"/>
      <c r="BLZ14" s="700"/>
      <c r="BMA14" s="700"/>
      <c r="BMB14" s="700"/>
      <c r="BMC14" s="700"/>
      <c r="BMD14" s="700"/>
      <c r="BME14" s="700"/>
      <c r="BMF14" s="700"/>
      <c r="BMG14" s="700"/>
      <c r="BMH14" s="700"/>
      <c r="BMI14" s="700"/>
      <c r="BMJ14" s="700"/>
      <c r="BMK14" s="700"/>
      <c r="BML14" s="700"/>
      <c r="BMM14" s="700"/>
      <c r="BMN14" s="700"/>
      <c r="BMO14" s="700"/>
      <c r="BMP14" s="700"/>
      <c r="BMQ14" s="700"/>
      <c r="BMR14" s="700"/>
      <c r="BMS14" s="700"/>
      <c r="BMT14" s="700"/>
      <c r="BMU14" s="700"/>
      <c r="BMV14" s="700"/>
      <c r="BMW14" s="700"/>
      <c r="BMX14" s="700"/>
      <c r="BMY14" s="700"/>
      <c r="BMZ14" s="700"/>
      <c r="BNA14" s="700"/>
      <c r="BNB14" s="700"/>
      <c r="BNC14" s="700"/>
      <c r="BND14" s="700"/>
      <c r="BNE14" s="700"/>
      <c r="BNF14" s="700"/>
      <c r="BNG14" s="700"/>
      <c r="BNH14" s="700"/>
      <c r="BNI14" s="700"/>
      <c r="BNJ14" s="700"/>
      <c r="BNK14" s="700"/>
      <c r="BNL14" s="700"/>
      <c r="BNM14" s="700"/>
      <c r="BNN14" s="700"/>
      <c r="BNO14" s="700"/>
      <c r="BNP14" s="700"/>
      <c r="BNQ14" s="700"/>
      <c r="BNR14" s="700"/>
      <c r="BNS14" s="700"/>
      <c r="BNT14" s="700"/>
      <c r="BNU14" s="700"/>
      <c r="BNV14" s="700"/>
      <c r="BNW14" s="700"/>
      <c r="BNX14" s="700"/>
      <c r="BNY14" s="700"/>
      <c r="BNZ14" s="700"/>
      <c r="BOA14" s="700"/>
      <c r="BOB14" s="700"/>
      <c r="BOC14" s="700"/>
      <c r="BOD14" s="700"/>
      <c r="BOE14" s="700"/>
      <c r="BOF14" s="700"/>
      <c r="BOG14" s="700"/>
      <c r="BOH14" s="700"/>
      <c r="BOI14" s="700"/>
      <c r="BOJ14" s="700"/>
      <c r="BOK14" s="700"/>
      <c r="BOL14" s="700"/>
      <c r="BOM14" s="700"/>
      <c r="BON14" s="700"/>
      <c r="BOO14" s="700"/>
      <c r="BOP14" s="700"/>
      <c r="BOQ14" s="700"/>
      <c r="BOR14" s="700"/>
      <c r="BOS14" s="700"/>
      <c r="BOT14" s="700"/>
      <c r="BOU14" s="700"/>
      <c r="BOV14" s="700"/>
      <c r="BOW14" s="700"/>
      <c r="BOX14" s="700"/>
      <c r="BOY14" s="700"/>
      <c r="BOZ14" s="700"/>
      <c r="BPA14" s="700"/>
      <c r="BPB14" s="700"/>
      <c r="BPC14" s="700"/>
      <c r="BPD14" s="700"/>
      <c r="BPE14" s="700"/>
      <c r="BPF14" s="700"/>
      <c r="BPG14" s="700"/>
      <c r="BPH14" s="700"/>
      <c r="BPI14" s="700"/>
      <c r="BPJ14" s="700"/>
      <c r="BPK14" s="700"/>
      <c r="BPL14" s="700"/>
      <c r="BPM14" s="700"/>
      <c r="BPN14" s="700"/>
      <c r="BPO14" s="700"/>
      <c r="BPP14" s="700"/>
      <c r="BPQ14" s="700"/>
      <c r="BPR14" s="700"/>
      <c r="BPS14" s="700"/>
      <c r="BPT14" s="700"/>
      <c r="BPU14" s="700"/>
      <c r="BPV14" s="700"/>
      <c r="BPW14" s="700"/>
      <c r="BPX14" s="700"/>
      <c r="BPY14" s="700"/>
      <c r="BPZ14" s="700"/>
      <c r="BQA14" s="700"/>
      <c r="BQB14" s="700"/>
      <c r="BQC14" s="700"/>
      <c r="BQD14" s="700"/>
      <c r="BQE14" s="700"/>
      <c r="BQF14" s="700"/>
      <c r="BQG14" s="700"/>
      <c r="BQH14" s="700"/>
      <c r="BQI14" s="700"/>
      <c r="BQJ14" s="700"/>
      <c r="BQK14" s="700"/>
      <c r="BQL14" s="700"/>
      <c r="BQM14" s="700"/>
      <c r="BQN14" s="700"/>
      <c r="BQO14" s="700"/>
      <c r="BQP14" s="700"/>
      <c r="BQQ14" s="700"/>
      <c r="BQR14" s="700"/>
      <c r="BQS14" s="700"/>
      <c r="BQT14" s="700"/>
      <c r="BQU14" s="700"/>
      <c r="BQV14" s="700"/>
      <c r="BQW14" s="700"/>
      <c r="BQX14" s="700"/>
      <c r="BQY14" s="700"/>
      <c r="BQZ14" s="700"/>
      <c r="BRA14" s="700"/>
      <c r="BRB14" s="700"/>
      <c r="BRC14" s="700"/>
      <c r="BRD14" s="700"/>
      <c r="BRE14" s="700"/>
      <c r="BRF14" s="700"/>
      <c r="BRG14" s="700"/>
      <c r="BRH14" s="700"/>
      <c r="BRI14" s="700"/>
      <c r="BRJ14" s="700"/>
      <c r="BRK14" s="700"/>
      <c r="BRL14" s="700"/>
      <c r="BRM14" s="700"/>
      <c r="BRN14" s="700"/>
      <c r="BRO14" s="700"/>
      <c r="BRP14" s="700"/>
      <c r="BRQ14" s="700"/>
      <c r="BRR14" s="700"/>
      <c r="BRS14" s="700"/>
      <c r="BRT14" s="700"/>
      <c r="BRU14" s="700"/>
      <c r="BRV14" s="700"/>
      <c r="BRW14" s="700"/>
      <c r="BRX14" s="700"/>
      <c r="BRY14" s="700"/>
      <c r="BRZ14" s="700"/>
      <c r="BSA14" s="700"/>
      <c r="BSB14" s="700"/>
      <c r="BSC14" s="700"/>
      <c r="BSD14" s="700"/>
      <c r="BSE14" s="700"/>
      <c r="BSF14" s="700"/>
      <c r="BSG14" s="700"/>
      <c r="BSH14" s="700"/>
      <c r="BSI14" s="700"/>
      <c r="BSJ14" s="700"/>
      <c r="BSK14" s="700"/>
      <c r="BSL14" s="700"/>
      <c r="BSM14" s="700"/>
      <c r="BSN14" s="700"/>
      <c r="BSO14" s="700"/>
      <c r="BSP14" s="700"/>
      <c r="BSQ14" s="700"/>
      <c r="BSR14" s="700"/>
      <c r="BSS14" s="700"/>
      <c r="BST14" s="700"/>
      <c r="BSU14" s="700"/>
      <c r="BSV14" s="700"/>
      <c r="BSW14" s="700"/>
      <c r="BSX14" s="700"/>
      <c r="BSY14" s="700"/>
      <c r="BSZ14" s="700"/>
      <c r="BTA14" s="700"/>
      <c r="BTB14" s="700"/>
      <c r="BTC14" s="700"/>
      <c r="BTD14" s="700"/>
      <c r="BTE14" s="700"/>
      <c r="BTF14" s="700"/>
      <c r="BTG14" s="700"/>
      <c r="BTH14" s="700"/>
      <c r="BTI14" s="700"/>
      <c r="BTJ14" s="700"/>
      <c r="BTK14" s="700"/>
      <c r="BTL14" s="700"/>
      <c r="BTM14" s="700"/>
      <c r="BTN14" s="700"/>
      <c r="BTO14" s="700"/>
      <c r="BTP14" s="700"/>
      <c r="BTQ14" s="700"/>
      <c r="BTR14" s="700"/>
      <c r="BTS14" s="700"/>
      <c r="BTT14" s="700"/>
      <c r="BTU14" s="700"/>
      <c r="BTV14" s="700"/>
      <c r="BTW14" s="700"/>
      <c r="BTX14" s="700"/>
      <c r="BTY14" s="700"/>
      <c r="BTZ14" s="700"/>
      <c r="BUA14" s="700"/>
      <c r="BUB14" s="700"/>
      <c r="BUC14" s="700"/>
      <c r="BUD14" s="700"/>
      <c r="BUE14" s="700"/>
      <c r="BUF14" s="700"/>
      <c r="BUG14" s="700"/>
      <c r="BUH14" s="700"/>
      <c r="BUI14" s="700"/>
      <c r="BUJ14" s="700"/>
      <c r="BUK14" s="700"/>
      <c r="BUL14" s="700"/>
      <c r="BUM14" s="700"/>
      <c r="BUN14" s="700"/>
      <c r="BUO14" s="700"/>
      <c r="BUP14" s="700"/>
      <c r="BUQ14" s="700"/>
      <c r="BUR14" s="700"/>
      <c r="BUS14" s="700"/>
      <c r="BUT14" s="700"/>
      <c r="BUU14" s="700"/>
      <c r="BUV14" s="700"/>
      <c r="BUW14" s="700"/>
      <c r="BUX14" s="700"/>
      <c r="BUY14" s="700"/>
      <c r="BUZ14" s="700"/>
      <c r="BVA14" s="700"/>
      <c r="BVB14" s="700"/>
      <c r="BVC14" s="700"/>
      <c r="BVD14" s="700"/>
      <c r="BVE14" s="700"/>
      <c r="BVF14" s="700"/>
      <c r="BVG14" s="700"/>
      <c r="BVH14" s="700"/>
      <c r="BVI14" s="700"/>
      <c r="BVJ14" s="700"/>
      <c r="BVK14" s="700"/>
      <c r="BVL14" s="700"/>
      <c r="BVM14" s="700"/>
      <c r="BVN14" s="700"/>
      <c r="BVO14" s="700"/>
      <c r="BVP14" s="700"/>
      <c r="BVQ14" s="700"/>
      <c r="BVR14" s="700"/>
      <c r="BVS14" s="700"/>
      <c r="BVT14" s="700"/>
      <c r="BVU14" s="700"/>
      <c r="BVV14" s="700"/>
      <c r="BVW14" s="700"/>
      <c r="BVX14" s="700"/>
      <c r="BVY14" s="700"/>
      <c r="BVZ14" s="700"/>
      <c r="BWA14" s="700"/>
      <c r="BWB14" s="700"/>
      <c r="BWC14" s="700"/>
      <c r="BWD14" s="700"/>
      <c r="BWE14" s="700"/>
      <c r="BWF14" s="700"/>
      <c r="BWG14" s="700"/>
      <c r="BWH14" s="700"/>
      <c r="BWI14" s="700"/>
      <c r="BWJ14" s="700"/>
      <c r="BWK14" s="700"/>
      <c r="BWL14" s="700"/>
      <c r="BWM14" s="700"/>
      <c r="BWN14" s="700"/>
      <c r="BWO14" s="700"/>
      <c r="BWP14" s="700"/>
      <c r="BWQ14" s="700"/>
      <c r="BWR14" s="700"/>
      <c r="BWS14" s="700"/>
      <c r="BWT14" s="700"/>
      <c r="BWU14" s="700"/>
      <c r="BWV14" s="700"/>
      <c r="BWW14" s="700"/>
      <c r="BWX14" s="700"/>
      <c r="BWY14" s="700"/>
      <c r="BWZ14" s="700"/>
      <c r="BXA14" s="700"/>
      <c r="BXB14" s="700"/>
      <c r="BXC14" s="700"/>
      <c r="BXD14" s="700"/>
      <c r="BXE14" s="700"/>
      <c r="BXF14" s="700"/>
      <c r="BXG14" s="700"/>
      <c r="BXH14" s="700"/>
      <c r="BXI14" s="700"/>
      <c r="BXJ14" s="700"/>
      <c r="BXK14" s="700"/>
      <c r="BXL14" s="700"/>
      <c r="BXM14" s="700"/>
      <c r="BXN14" s="700"/>
      <c r="BXO14" s="700"/>
      <c r="BXP14" s="700"/>
      <c r="BXQ14" s="700"/>
      <c r="BXR14" s="700"/>
      <c r="BXS14" s="700"/>
      <c r="BXT14" s="700"/>
      <c r="BXU14" s="700"/>
      <c r="BXV14" s="700"/>
      <c r="BXW14" s="700"/>
      <c r="BXX14" s="700"/>
      <c r="BXY14" s="700"/>
      <c r="BXZ14" s="700"/>
    </row>
    <row r="15" spans="1:2002" ht="15">
      <c r="A15" s="717"/>
      <c r="B15" s="706"/>
      <c r="C15" s="721" t="s">
        <v>35</v>
      </c>
      <c r="D15" s="722">
        <f>IS!Q49</f>
        <v>28000</v>
      </c>
      <c r="E15" s="722">
        <f>IS!P49</f>
        <v>69000</v>
      </c>
      <c r="F15" s="722">
        <f>IS!O49</f>
        <v>128000</v>
      </c>
      <c r="G15" s="722">
        <f>IS!N49</f>
        <v>109000</v>
      </c>
      <c r="H15" s="722">
        <f>IS!M49</f>
        <v>152000</v>
      </c>
      <c r="I15" s="722"/>
      <c r="J15" s="722"/>
      <c r="K15" s="722"/>
      <c r="L15" s="722"/>
      <c r="M15" s="722"/>
      <c r="N15" s="722"/>
      <c r="O15" s="722"/>
      <c r="P15" s="722"/>
      <c r="Q15" s="722"/>
      <c r="R15" s="722"/>
      <c r="S15" s="712"/>
      <c r="T15" s="700"/>
      <c r="U15" s="700"/>
      <c r="V15" s="700"/>
      <c r="W15" s="700"/>
      <c r="X15" s="700"/>
      <c r="Y15" s="700"/>
      <c r="Z15" s="700"/>
      <c r="AA15" s="700"/>
      <c r="AB15" s="700"/>
      <c r="AC15" s="700"/>
      <c r="AD15" s="700"/>
      <c r="AE15" s="700"/>
      <c r="AF15" s="700"/>
      <c r="AG15" s="700"/>
      <c r="AH15" s="700"/>
      <c r="AI15" s="700"/>
      <c r="AJ15" s="700"/>
      <c r="AK15" s="700"/>
      <c r="AL15" s="700"/>
      <c r="AM15" s="700"/>
      <c r="AN15" s="700"/>
      <c r="AO15" s="700"/>
      <c r="AP15" s="700"/>
      <c r="AQ15" s="700"/>
      <c r="AR15" s="700"/>
      <c r="AS15" s="700"/>
      <c r="AT15" s="700"/>
      <c r="AU15" s="700"/>
      <c r="AV15" s="700"/>
      <c r="AW15" s="700"/>
      <c r="AX15" s="700"/>
      <c r="AY15" s="700"/>
      <c r="AZ15" s="700"/>
      <c r="BA15" s="700"/>
      <c r="BB15" s="700"/>
      <c r="BC15" s="700"/>
      <c r="BD15" s="700"/>
      <c r="BE15" s="700"/>
      <c r="BF15" s="700"/>
      <c r="BG15" s="700"/>
      <c r="BH15" s="700"/>
      <c r="BI15" s="700"/>
      <c r="BJ15" s="700"/>
      <c r="BK15" s="700"/>
      <c r="BL15" s="700"/>
      <c r="BM15" s="700"/>
      <c r="BN15" s="700"/>
      <c r="BO15" s="700"/>
      <c r="BP15" s="700"/>
      <c r="BQ15" s="700"/>
      <c r="BR15" s="700"/>
      <c r="BS15" s="700"/>
      <c r="BT15" s="700"/>
      <c r="BU15" s="700"/>
      <c r="BV15" s="700"/>
      <c r="BW15" s="700"/>
      <c r="BX15" s="700"/>
      <c r="BY15" s="700"/>
      <c r="BZ15" s="700"/>
      <c r="CA15" s="700"/>
      <c r="CB15" s="700"/>
      <c r="CC15" s="700"/>
      <c r="CD15" s="700"/>
      <c r="CE15" s="700"/>
      <c r="CF15" s="700"/>
      <c r="CG15" s="700"/>
      <c r="CH15" s="700"/>
      <c r="CI15" s="700"/>
      <c r="CJ15" s="700"/>
      <c r="CK15" s="700"/>
      <c r="CL15" s="700"/>
      <c r="CM15" s="700"/>
      <c r="CN15" s="700"/>
      <c r="CO15" s="700"/>
      <c r="CP15" s="700"/>
      <c r="CQ15" s="700"/>
      <c r="CR15" s="700"/>
      <c r="CS15" s="700"/>
      <c r="CT15" s="700"/>
      <c r="CU15" s="700"/>
      <c r="CV15" s="700"/>
      <c r="CW15" s="700"/>
      <c r="CX15" s="700"/>
      <c r="CY15" s="700"/>
      <c r="CZ15" s="700"/>
      <c r="DA15" s="700"/>
      <c r="DB15" s="700"/>
      <c r="DC15" s="700"/>
      <c r="DD15" s="700"/>
      <c r="DE15" s="700"/>
      <c r="DF15" s="700"/>
      <c r="DG15" s="700"/>
      <c r="DH15" s="700"/>
      <c r="DI15" s="700"/>
      <c r="DJ15" s="700"/>
      <c r="DK15" s="700"/>
      <c r="DL15" s="700"/>
      <c r="DM15" s="700"/>
      <c r="DN15" s="700"/>
      <c r="DO15" s="700"/>
      <c r="DP15" s="700"/>
      <c r="DQ15" s="700"/>
      <c r="DR15" s="700"/>
      <c r="DS15" s="700"/>
      <c r="DT15" s="700"/>
      <c r="DU15" s="700"/>
      <c r="DV15" s="700"/>
      <c r="DW15" s="700"/>
      <c r="DX15" s="700"/>
      <c r="DY15" s="700"/>
      <c r="DZ15" s="700"/>
      <c r="EA15" s="700"/>
      <c r="EB15" s="700"/>
      <c r="EC15" s="700"/>
      <c r="ED15" s="700"/>
      <c r="EE15" s="700"/>
      <c r="EF15" s="700"/>
      <c r="EG15" s="700"/>
      <c r="EH15" s="700"/>
      <c r="EI15" s="700"/>
      <c r="EJ15" s="700"/>
      <c r="EK15" s="700"/>
      <c r="EL15" s="700"/>
      <c r="EM15" s="700"/>
      <c r="EN15" s="700"/>
      <c r="EO15" s="700"/>
      <c r="EP15" s="700"/>
      <c r="EQ15" s="700"/>
      <c r="ER15" s="700"/>
      <c r="ES15" s="700"/>
      <c r="ET15" s="700"/>
      <c r="EU15" s="700"/>
      <c r="EV15" s="700"/>
      <c r="EW15" s="700"/>
      <c r="EX15" s="700"/>
      <c r="EY15" s="700"/>
      <c r="EZ15" s="700"/>
      <c r="FA15" s="700"/>
      <c r="FB15" s="700"/>
      <c r="FC15" s="700"/>
      <c r="FD15" s="700"/>
      <c r="FE15" s="700"/>
      <c r="FF15" s="700"/>
      <c r="FG15" s="700"/>
      <c r="FH15" s="700"/>
      <c r="FI15" s="700"/>
      <c r="FJ15" s="700"/>
      <c r="FK15" s="700"/>
      <c r="FL15" s="700"/>
      <c r="FM15" s="700"/>
      <c r="FN15" s="700"/>
      <c r="FO15" s="700"/>
      <c r="FP15" s="700"/>
      <c r="FQ15" s="700"/>
      <c r="FR15" s="700"/>
      <c r="FS15" s="700"/>
      <c r="FT15" s="700"/>
      <c r="FU15" s="700"/>
      <c r="FV15" s="700"/>
      <c r="FW15" s="700"/>
      <c r="FX15" s="700"/>
      <c r="FY15" s="700"/>
      <c r="FZ15" s="700"/>
      <c r="GA15" s="700"/>
      <c r="GB15" s="700"/>
      <c r="GC15" s="700"/>
      <c r="GD15" s="700"/>
      <c r="GE15" s="700"/>
      <c r="GF15" s="700"/>
      <c r="GG15" s="700"/>
      <c r="GH15" s="700"/>
      <c r="GI15" s="700"/>
      <c r="GJ15" s="700"/>
      <c r="GK15" s="700"/>
      <c r="GL15" s="700"/>
      <c r="GM15" s="700"/>
      <c r="GN15" s="700"/>
      <c r="GO15" s="700"/>
      <c r="GP15" s="700"/>
      <c r="GQ15" s="700"/>
      <c r="GR15" s="700"/>
      <c r="GS15" s="700"/>
      <c r="GT15" s="700"/>
      <c r="GU15" s="700"/>
      <c r="GV15" s="700"/>
      <c r="GW15" s="700"/>
      <c r="GX15" s="700"/>
      <c r="GY15" s="700"/>
      <c r="GZ15" s="700"/>
      <c r="HA15" s="700"/>
      <c r="HB15" s="700"/>
      <c r="HC15" s="700"/>
      <c r="HD15" s="700"/>
      <c r="HE15" s="700"/>
      <c r="HF15" s="700"/>
      <c r="HG15" s="700"/>
      <c r="HH15" s="700"/>
      <c r="HI15" s="700"/>
      <c r="HJ15" s="700"/>
      <c r="HK15" s="700"/>
      <c r="HL15" s="700"/>
      <c r="HM15" s="700"/>
      <c r="HN15" s="700"/>
      <c r="HO15" s="700"/>
      <c r="HP15" s="700"/>
      <c r="HQ15" s="700"/>
      <c r="HR15" s="700"/>
      <c r="HS15" s="700"/>
      <c r="HT15" s="700"/>
      <c r="HU15" s="700"/>
      <c r="HV15" s="700"/>
      <c r="HW15" s="700"/>
      <c r="HX15" s="700"/>
      <c r="HY15" s="700"/>
      <c r="HZ15" s="700"/>
      <c r="IA15" s="700"/>
      <c r="IB15" s="700"/>
      <c r="IC15" s="700"/>
      <c r="ID15" s="700"/>
      <c r="IE15" s="700"/>
      <c r="IF15" s="700"/>
      <c r="IG15" s="700"/>
      <c r="IH15" s="700"/>
      <c r="II15" s="700"/>
      <c r="IJ15" s="700"/>
      <c r="IK15" s="700"/>
      <c r="IL15" s="700"/>
      <c r="IM15" s="700"/>
      <c r="IN15" s="700"/>
      <c r="IO15" s="700"/>
      <c r="IP15" s="700"/>
      <c r="IQ15" s="700"/>
      <c r="IR15" s="700"/>
      <c r="IS15" s="700"/>
      <c r="IT15" s="700"/>
      <c r="IU15" s="700"/>
      <c r="IV15" s="700"/>
      <c r="IW15" s="700"/>
      <c r="IX15" s="700"/>
      <c r="IY15" s="700"/>
      <c r="IZ15" s="700"/>
      <c r="JA15" s="700"/>
      <c r="JB15" s="700"/>
      <c r="JC15" s="700"/>
      <c r="JD15" s="700"/>
      <c r="JE15" s="700"/>
      <c r="JF15" s="700"/>
      <c r="JG15" s="700"/>
      <c r="JH15" s="700"/>
      <c r="JI15" s="700"/>
      <c r="JJ15" s="700"/>
      <c r="JK15" s="700"/>
      <c r="JL15" s="700"/>
      <c r="JM15" s="700"/>
      <c r="JN15" s="700"/>
      <c r="JO15" s="700"/>
      <c r="JP15" s="700"/>
      <c r="JQ15" s="700"/>
      <c r="JR15" s="700"/>
      <c r="JS15" s="700"/>
      <c r="JT15" s="700"/>
      <c r="JU15" s="700"/>
      <c r="JV15" s="700"/>
      <c r="JW15" s="700"/>
      <c r="JX15" s="700"/>
      <c r="JY15" s="700"/>
      <c r="JZ15" s="700"/>
      <c r="KA15" s="700"/>
      <c r="KB15" s="700"/>
      <c r="KC15" s="700"/>
      <c r="KD15" s="700"/>
      <c r="KE15" s="700"/>
      <c r="KF15" s="700"/>
      <c r="KG15" s="700"/>
      <c r="KH15" s="700"/>
      <c r="KI15" s="700"/>
      <c r="KJ15" s="700"/>
      <c r="KK15" s="700"/>
      <c r="KL15" s="700"/>
      <c r="KM15" s="700"/>
      <c r="KN15" s="700"/>
      <c r="KO15" s="700"/>
      <c r="KP15" s="700"/>
      <c r="KQ15" s="700"/>
      <c r="KR15" s="700"/>
      <c r="KS15" s="700"/>
      <c r="KT15" s="700"/>
      <c r="KU15" s="700"/>
      <c r="KV15" s="700"/>
      <c r="KW15" s="700"/>
      <c r="KX15" s="700"/>
      <c r="KY15" s="700"/>
      <c r="KZ15" s="700"/>
      <c r="LA15" s="700"/>
      <c r="LB15" s="700"/>
      <c r="LC15" s="700"/>
      <c r="LD15" s="700"/>
      <c r="LE15" s="700"/>
      <c r="LF15" s="700"/>
      <c r="LG15" s="700"/>
      <c r="LH15" s="700"/>
      <c r="LI15" s="700"/>
      <c r="LJ15" s="700"/>
      <c r="LK15" s="700"/>
      <c r="LL15" s="700"/>
      <c r="LM15" s="700"/>
      <c r="LN15" s="700"/>
      <c r="LO15" s="700"/>
      <c r="LP15" s="700"/>
      <c r="LQ15" s="700"/>
      <c r="LR15" s="700"/>
      <c r="LS15" s="700"/>
      <c r="LT15" s="700"/>
      <c r="LU15" s="700"/>
      <c r="LV15" s="700"/>
      <c r="LW15" s="700"/>
      <c r="LX15" s="700"/>
      <c r="LY15" s="700"/>
      <c r="LZ15" s="700"/>
      <c r="MA15" s="700"/>
      <c r="MB15" s="700"/>
      <c r="MC15" s="700"/>
      <c r="MD15" s="700"/>
      <c r="ME15" s="700"/>
      <c r="MF15" s="700"/>
      <c r="MG15" s="700"/>
      <c r="MH15" s="700"/>
      <c r="MI15" s="700"/>
      <c r="MJ15" s="700"/>
      <c r="MK15" s="700"/>
      <c r="ML15" s="700"/>
      <c r="MM15" s="700"/>
      <c r="MN15" s="700"/>
      <c r="MO15" s="700"/>
      <c r="MP15" s="700"/>
      <c r="MQ15" s="700"/>
      <c r="MR15" s="700"/>
      <c r="MS15" s="700"/>
      <c r="MT15" s="700"/>
      <c r="MU15" s="700"/>
      <c r="MV15" s="700"/>
      <c r="MW15" s="700"/>
      <c r="MX15" s="700"/>
      <c r="MY15" s="700"/>
      <c r="MZ15" s="700"/>
      <c r="NA15" s="700"/>
      <c r="NB15" s="700"/>
      <c r="NC15" s="700"/>
      <c r="ND15" s="700"/>
      <c r="NE15" s="700"/>
      <c r="NF15" s="700"/>
      <c r="NG15" s="700"/>
      <c r="NH15" s="700"/>
      <c r="NI15" s="700"/>
      <c r="NJ15" s="700"/>
      <c r="NK15" s="700"/>
      <c r="NL15" s="700"/>
      <c r="NM15" s="700"/>
      <c r="NN15" s="700"/>
      <c r="NO15" s="700"/>
      <c r="NP15" s="700"/>
      <c r="NQ15" s="700"/>
      <c r="NR15" s="700"/>
      <c r="NS15" s="700"/>
      <c r="NT15" s="700"/>
      <c r="NU15" s="700"/>
      <c r="NV15" s="700"/>
      <c r="NW15" s="700"/>
      <c r="NX15" s="700"/>
      <c r="NY15" s="700"/>
      <c r="NZ15" s="700"/>
      <c r="OA15" s="700"/>
      <c r="OB15" s="700"/>
      <c r="OC15" s="700"/>
      <c r="OD15" s="700"/>
      <c r="OE15" s="700"/>
      <c r="OF15" s="700"/>
      <c r="OG15" s="700"/>
      <c r="OH15" s="700"/>
      <c r="OI15" s="700"/>
      <c r="OJ15" s="700"/>
      <c r="OK15" s="700"/>
      <c r="OL15" s="700"/>
      <c r="OM15" s="700"/>
      <c r="ON15" s="700"/>
      <c r="OO15" s="700"/>
      <c r="OP15" s="700"/>
      <c r="OQ15" s="700"/>
      <c r="OR15" s="700"/>
      <c r="OS15" s="700"/>
      <c r="OT15" s="700"/>
      <c r="OU15" s="700"/>
      <c r="OV15" s="700"/>
      <c r="OW15" s="700"/>
      <c r="OX15" s="700"/>
      <c r="OY15" s="700"/>
      <c r="OZ15" s="700"/>
      <c r="PA15" s="700"/>
      <c r="PB15" s="700"/>
      <c r="PC15" s="700"/>
      <c r="PD15" s="700"/>
      <c r="PE15" s="700"/>
      <c r="PF15" s="700"/>
      <c r="PG15" s="700"/>
      <c r="PH15" s="700"/>
      <c r="PI15" s="700"/>
      <c r="PJ15" s="700"/>
      <c r="PK15" s="700"/>
      <c r="PL15" s="700"/>
      <c r="PM15" s="700"/>
      <c r="PN15" s="700"/>
      <c r="PO15" s="700"/>
      <c r="PP15" s="700"/>
      <c r="PQ15" s="700"/>
      <c r="PR15" s="700"/>
      <c r="PS15" s="700"/>
      <c r="PT15" s="700"/>
      <c r="PU15" s="700"/>
      <c r="PV15" s="700"/>
      <c r="PW15" s="700"/>
      <c r="PX15" s="700"/>
      <c r="PY15" s="700"/>
      <c r="PZ15" s="700"/>
      <c r="QA15" s="700"/>
      <c r="QB15" s="700"/>
      <c r="QC15" s="700"/>
      <c r="QD15" s="700"/>
      <c r="QE15" s="700"/>
      <c r="QF15" s="700"/>
      <c r="QG15" s="700"/>
      <c r="QH15" s="700"/>
      <c r="QI15" s="700"/>
      <c r="QJ15" s="700"/>
      <c r="QK15" s="700"/>
      <c r="QL15" s="700"/>
      <c r="QM15" s="700"/>
      <c r="QN15" s="700"/>
      <c r="QO15" s="700"/>
      <c r="QP15" s="700"/>
      <c r="QQ15" s="700"/>
      <c r="QR15" s="700"/>
      <c r="QS15" s="700"/>
      <c r="QT15" s="700"/>
      <c r="QU15" s="700"/>
      <c r="QV15" s="700"/>
      <c r="QW15" s="700"/>
      <c r="QX15" s="700"/>
      <c r="QY15" s="700"/>
      <c r="QZ15" s="700"/>
      <c r="RA15" s="700"/>
      <c r="RB15" s="700"/>
      <c r="RC15" s="700"/>
      <c r="RD15" s="700"/>
      <c r="RE15" s="700"/>
      <c r="RF15" s="700"/>
      <c r="RG15" s="700"/>
      <c r="RH15" s="700"/>
      <c r="RI15" s="700"/>
      <c r="RJ15" s="700"/>
      <c r="RK15" s="700"/>
      <c r="RL15" s="700"/>
      <c r="RM15" s="700"/>
      <c r="RN15" s="700"/>
      <c r="RO15" s="700"/>
      <c r="RP15" s="700"/>
      <c r="RQ15" s="700"/>
      <c r="RR15" s="700"/>
      <c r="RS15" s="700"/>
      <c r="RT15" s="700"/>
      <c r="RU15" s="700"/>
      <c r="RV15" s="700"/>
      <c r="RW15" s="700"/>
      <c r="RX15" s="700"/>
      <c r="RY15" s="700"/>
      <c r="RZ15" s="700"/>
      <c r="SA15" s="700"/>
      <c r="SB15" s="700"/>
      <c r="SC15" s="700"/>
      <c r="SD15" s="700"/>
      <c r="SE15" s="700"/>
      <c r="SF15" s="700"/>
      <c r="SG15" s="700"/>
      <c r="SH15" s="700"/>
      <c r="SI15" s="700"/>
      <c r="SJ15" s="700"/>
      <c r="SK15" s="700"/>
      <c r="SL15" s="700"/>
      <c r="SM15" s="700"/>
      <c r="SN15" s="700"/>
      <c r="SO15" s="700"/>
      <c r="SP15" s="700"/>
      <c r="SQ15" s="700"/>
      <c r="SR15" s="700"/>
      <c r="SS15" s="700"/>
      <c r="ST15" s="700"/>
      <c r="SU15" s="700"/>
      <c r="SV15" s="700"/>
      <c r="SW15" s="700"/>
      <c r="SX15" s="700"/>
      <c r="SY15" s="700"/>
      <c r="SZ15" s="700"/>
      <c r="TA15" s="700"/>
      <c r="TB15" s="700"/>
      <c r="TC15" s="700"/>
      <c r="TD15" s="700"/>
      <c r="TE15" s="700"/>
      <c r="TF15" s="700"/>
      <c r="TG15" s="700"/>
      <c r="TH15" s="700"/>
      <c r="TI15" s="700"/>
      <c r="TJ15" s="700"/>
      <c r="TK15" s="700"/>
      <c r="TL15" s="700"/>
      <c r="TM15" s="700"/>
      <c r="TN15" s="700"/>
      <c r="TO15" s="700"/>
      <c r="TP15" s="700"/>
      <c r="TQ15" s="700"/>
      <c r="TR15" s="700"/>
      <c r="TS15" s="700"/>
      <c r="TT15" s="700"/>
      <c r="TU15" s="700"/>
      <c r="TV15" s="700"/>
      <c r="TW15" s="700"/>
      <c r="TX15" s="700"/>
      <c r="TY15" s="700"/>
      <c r="TZ15" s="700"/>
      <c r="UA15" s="700"/>
      <c r="UB15" s="700"/>
      <c r="UC15" s="700"/>
      <c r="UD15" s="700"/>
      <c r="UE15" s="700"/>
      <c r="UF15" s="700"/>
      <c r="UG15" s="700"/>
      <c r="UH15" s="700"/>
      <c r="UI15" s="700"/>
      <c r="UJ15" s="700"/>
      <c r="UK15" s="700"/>
      <c r="UL15" s="700"/>
      <c r="UM15" s="700"/>
      <c r="UN15" s="700"/>
      <c r="UO15" s="700"/>
      <c r="UP15" s="700"/>
      <c r="UQ15" s="700"/>
      <c r="UR15" s="700"/>
      <c r="US15" s="700"/>
      <c r="UT15" s="700"/>
      <c r="UU15" s="700"/>
      <c r="UV15" s="700"/>
      <c r="UW15" s="700"/>
      <c r="UX15" s="700"/>
      <c r="UY15" s="700"/>
      <c r="UZ15" s="700"/>
      <c r="VA15" s="700"/>
      <c r="VB15" s="700"/>
      <c r="VC15" s="700"/>
      <c r="VD15" s="700"/>
      <c r="VE15" s="700"/>
      <c r="VF15" s="700"/>
      <c r="VG15" s="700"/>
      <c r="VH15" s="700"/>
      <c r="VI15" s="700"/>
      <c r="VJ15" s="700"/>
      <c r="VK15" s="700"/>
      <c r="VL15" s="700"/>
      <c r="VM15" s="700"/>
      <c r="VN15" s="700"/>
      <c r="VO15" s="700"/>
      <c r="VP15" s="700"/>
      <c r="VQ15" s="700"/>
      <c r="VR15" s="700"/>
      <c r="VS15" s="700"/>
      <c r="VT15" s="700"/>
      <c r="VU15" s="700"/>
      <c r="VV15" s="700"/>
      <c r="VW15" s="700"/>
      <c r="VX15" s="700"/>
      <c r="VY15" s="700"/>
      <c r="VZ15" s="700"/>
      <c r="WA15" s="700"/>
      <c r="WB15" s="700"/>
      <c r="WC15" s="700"/>
      <c r="WD15" s="700"/>
      <c r="WE15" s="700"/>
      <c r="WF15" s="700"/>
      <c r="WG15" s="700"/>
      <c r="WH15" s="700"/>
      <c r="WI15" s="700"/>
      <c r="WJ15" s="700"/>
      <c r="WK15" s="700"/>
      <c r="WL15" s="700"/>
      <c r="WM15" s="700"/>
      <c r="WN15" s="700"/>
      <c r="WO15" s="700"/>
      <c r="WP15" s="700"/>
      <c r="WQ15" s="700"/>
      <c r="WR15" s="700"/>
      <c r="WS15" s="700"/>
      <c r="WT15" s="700"/>
      <c r="WU15" s="700"/>
      <c r="WV15" s="700"/>
      <c r="WW15" s="700"/>
      <c r="WX15" s="700"/>
      <c r="WY15" s="700"/>
      <c r="WZ15" s="700"/>
      <c r="XA15" s="700"/>
      <c r="XB15" s="700"/>
      <c r="XC15" s="700"/>
      <c r="XD15" s="700"/>
      <c r="XE15" s="700"/>
      <c r="XF15" s="700"/>
      <c r="XG15" s="700"/>
      <c r="XH15" s="700"/>
      <c r="XI15" s="700"/>
      <c r="XJ15" s="700"/>
      <c r="XK15" s="700"/>
      <c r="XL15" s="700"/>
      <c r="XM15" s="700"/>
      <c r="XN15" s="700"/>
      <c r="XO15" s="700"/>
      <c r="XP15" s="700"/>
      <c r="XQ15" s="700"/>
      <c r="XR15" s="700"/>
      <c r="XS15" s="700"/>
      <c r="XT15" s="700"/>
      <c r="XU15" s="700"/>
      <c r="XV15" s="700"/>
      <c r="XW15" s="700"/>
      <c r="XX15" s="700"/>
      <c r="XY15" s="700"/>
      <c r="XZ15" s="700"/>
      <c r="YA15" s="700"/>
      <c r="YB15" s="700"/>
      <c r="YC15" s="700"/>
      <c r="YD15" s="700"/>
      <c r="YE15" s="700"/>
      <c r="YF15" s="700"/>
      <c r="YG15" s="700"/>
      <c r="YH15" s="700"/>
      <c r="YI15" s="700"/>
      <c r="YJ15" s="700"/>
      <c r="YK15" s="700"/>
      <c r="YL15" s="700"/>
      <c r="YM15" s="700"/>
      <c r="YN15" s="700"/>
      <c r="YO15" s="700"/>
      <c r="YP15" s="700"/>
      <c r="YQ15" s="700"/>
      <c r="YR15" s="700"/>
      <c r="YS15" s="700"/>
      <c r="YT15" s="700"/>
      <c r="YU15" s="700"/>
      <c r="YV15" s="700"/>
      <c r="YW15" s="700"/>
      <c r="YX15" s="700"/>
      <c r="YY15" s="700"/>
      <c r="YZ15" s="700"/>
      <c r="ZA15" s="700"/>
      <c r="ZB15" s="700"/>
      <c r="ZC15" s="700"/>
      <c r="ZD15" s="700"/>
      <c r="ZE15" s="700"/>
      <c r="ZF15" s="700"/>
      <c r="ZG15" s="700"/>
      <c r="ZH15" s="700"/>
      <c r="ZI15" s="700"/>
      <c r="ZJ15" s="700"/>
      <c r="ZK15" s="700"/>
      <c r="ZL15" s="700"/>
      <c r="ZM15" s="700"/>
      <c r="ZN15" s="700"/>
      <c r="ZO15" s="700"/>
      <c r="ZP15" s="700"/>
      <c r="ZQ15" s="700"/>
      <c r="ZR15" s="700"/>
      <c r="ZS15" s="700"/>
      <c r="ZT15" s="700"/>
      <c r="ZU15" s="700"/>
      <c r="ZV15" s="700"/>
      <c r="ZW15" s="700"/>
      <c r="ZX15" s="700"/>
      <c r="ZY15" s="700"/>
      <c r="ZZ15" s="700"/>
      <c r="AAA15" s="700"/>
      <c r="AAB15" s="700"/>
      <c r="AAC15" s="700"/>
      <c r="AAD15" s="700"/>
      <c r="AAE15" s="700"/>
      <c r="AAF15" s="700"/>
      <c r="AAG15" s="700"/>
      <c r="AAH15" s="700"/>
      <c r="AAI15" s="700"/>
      <c r="AAJ15" s="700"/>
      <c r="AAK15" s="700"/>
      <c r="AAL15" s="700"/>
      <c r="AAM15" s="700"/>
      <c r="AAN15" s="700"/>
      <c r="AAO15" s="700"/>
      <c r="AAP15" s="700"/>
      <c r="AAQ15" s="700"/>
      <c r="AAR15" s="700"/>
      <c r="AAS15" s="700"/>
      <c r="AAT15" s="700"/>
      <c r="AAU15" s="700"/>
      <c r="AAV15" s="700"/>
      <c r="AAW15" s="700"/>
      <c r="AAX15" s="700"/>
      <c r="AAY15" s="700"/>
      <c r="AAZ15" s="700"/>
      <c r="ABA15" s="700"/>
      <c r="ABB15" s="700"/>
      <c r="ABC15" s="700"/>
      <c r="ABD15" s="700"/>
      <c r="ABE15" s="700"/>
      <c r="ABF15" s="700"/>
      <c r="ABG15" s="700"/>
      <c r="ABH15" s="700"/>
      <c r="ABI15" s="700"/>
      <c r="ABJ15" s="700"/>
      <c r="ABK15" s="700"/>
      <c r="ABL15" s="700"/>
      <c r="ABM15" s="700"/>
      <c r="ABN15" s="700"/>
      <c r="ABO15" s="700"/>
      <c r="ABP15" s="700"/>
      <c r="ABQ15" s="700"/>
      <c r="ABR15" s="700"/>
      <c r="ABS15" s="700"/>
      <c r="ABT15" s="700"/>
      <c r="ABU15" s="700"/>
      <c r="ABV15" s="700"/>
      <c r="ABW15" s="700"/>
      <c r="ABX15" s="700"/>
      <c r="ABY15" s="700"/>
      <c r="ABZ15" s="700"/>
      <c r="ACA15" s="700"/>
      <c r="ACB15" s="700"/>
      <c r="ACC15" s="700"/>
      <c r="ACD15" s="700"/>
      <c r="ACE15" s="700"/>
      <c r="ACF15" s="700"/>
      <c r="ACG15" s="700"/>
      <c r="ACH15" s="700"/>
      <c r="ACI15" s="700"/>
      <c r="ACJ15" s="700"/>
      <c r="ACK15" s="700"/>
      <c r="ACL15" s="700"/>
      <c r="ACM15" s="700"/>
      <c r="ACN15" s="700"/>
      <c r="ACO15" s="700"/>
      <c r="ACP15" s="700"/>
      <c r="ACQ15" s="700"/>
      <c r="ACR15" s="700"/>
      <c r="ACS15" s="700"/>
      <c r="ACT15" s="700"/>
      <c r="ACU15" s="700"/>
      <c r="ACV15" s="700"/>
      <c r="ACW15" s="700"/>
      <c r="ACX15" s="700"/>
      <c r="ACY15" s="700"/>
      <c r="ACZ15" s="700"/>
      <c r="ADA15" s="700"/>
      <c r="ADB15" s="700"/>
      <c r="ADC15" s="700"/>
      <c r="ADD15" s="700"/>
      <c r="ADE15" s="700"/>
      <c r="ADF15" s="700"/>
      <c r="ADG15" s="700"/>
      <c r="ADH15" s="700"/>
      <c r="ADI15" s="700"/>
      <c r="ADJ15" s="700"/>
      <c r="ADK15" s="700"/>
      <c r="ADL15" s="700"/>
      <c r="ADM15" s="700"/>
      <c r="ADN15" s="700"/>
      <c r="ADO15" s="700"/>
      <c r="ADP15" s="700"/>
      <c r="ADQ15" s="700"/>
      <c r="ADR15" s="700"/>
      <c r="ADS15" s="700"/>
      <c r="ADT15" s="700"/>
      <c r="ADU15" s="700"/>
      <c r="ADV15" s="700"/>
      <c r="ADW15" s="700"/>
      <c r="ADX15" s="700"/>
      <c r="ADY15" s="700"/>
      <c r="ADZ15" s="700"/>
      <c r="AEA15" s="700"/>
      <c r="AEB15" s="700"/>
      <c r="AEC15" s="700"/>
      <c r="AED15" s="700"/>
      <c r="AEE15" s="700"/>
      <c r="AEF15" s="700"/>
      <c r="AEG15" s="700"/>
      <c r="AEH15" s="700"/>
      <c r="AEI15" s="700"/>
      <c r="AEJ15" s="700"/>
      <c r="AEK15" s="700"/>
      <c r="AEL15" s="700"/>
      <c r="AEM15" s="700"/>
      <c r="AEN15" s="700"/>
      <c r="AEO15" s="700"/>
      <c r="AEP15" s="700"/>
      <c r="AEQ15" s="700"/>
      <c r="AER15" s="700"/>
      <c r="AES15" s="700"/>
      <c r="AET15" s="700"/>
      <c r="AEU15" s="700"/>
      <c r="AEV15" s="700"/>
      <c r="AEW15" s="700"/>
      <c r="AEX15" s="700"/>
      <c r="AEY15" s="700"/>
      <c r="AEZ15" s="700"/>
      <c r="AFA15" s="700"/>
      <c r="AFB15" s="700"/>
      <c r="AFC15" s="700"/>
      <c r="AFD15" s="700"/>
      <c r="AFE15" s="700"/>
      <c r="AFF15" s="700"/>
      <c r="AFG15" s="700"/>
      <c r="AFH15" s="700"/>
      <c r="AFI15" s="700"/>
      <c r="AFJ15" s="700"/>
      <c r="AFK15" s="700"/>
      <c r="AFL15" s="700"/>
      <c r="AFM15" s="700"/>
      <c r="AFN15" s="700"/>
      <c r="AFO15" s="700"/>
      <c r="AFP15" s="700"/>
      <c r="AFQ15" s="700"/>
      <c r="AFR15" s="700"/>
      <c r="AFS15" s="700"/>
      <c r="AFT15" s="700"/>
      <c r="AFU15" s="700"/>
      <c r="AFV15" s="700"/>
      <c r="AFW15" s="700"/>
      <c r="AFX15" s="700"/>
      <c r="AFY15" s="700"/>
      <c r="AFZ15" s="700"/>
      <c r="AGA15" s="700"/>
      <c r="AGB15" s="700"/>
      <c r="AGC15" s="700"/>
      <c r="AGD15" s="700"/>
      <c r="AGE15" s="700"/>
      <c r="AGF15" s="700"/>
      <c r="AGG15" s="700"/>
      <c r="AGH15" s="700"/>
      <c r="AGI15" s="700"/>
      <c r="AGJ15" s="700"/>
      <c r="AGK15" s="700"/>
      <c r="AGL15" s="700"/>
      <c r="AGM15" s="700"/>
      <c r="AGN15" s="700"/>
      <c r="AGO15" s="700"/>
      <c r="AGP15" s="700"/>
      <c r="AGQ15" s="700"/>
      <c r="AGR15" s="700"/>
      <c r="AGS15" s="700"/>
      <c r="AGT15" s="700"/>
      <c r="AGU15" s="700"/>
      <c r="AGV15" s="700"/>
      <c r="AGW15" s="700"/>
      <c r="AGX15" s="700"/>
      <c r="AGY15" s="700"/>
      <c r="AGZ15" s="700"/>
      <c r="AHA15" s="700"/>
      <c r="AHB15" s="700"/>
      <c r="AHC15" s="700"/>
      <c r="AHD15" s="700"/>
      <c r="AHE15" s="700"/>
      <c r="AHF15" s="700"/>
      <c r="AHG15" s="700"/>
      <c r="AHH15" s="700"/>
      <c r="AHI15" s="700"/>
      <c r="AHJ15" s="700"/>
      <c r="AHK15" s="700"/>
      <c r="AHL15" s="700"/>
      <c r="AHM15" s="700"/>
      <c r="AHN15" s="700"/>
      <c r="AHO15" s="700"/>
      <c r="AHP15" s="700"/>
      <c r="AHQ15" s="700"/>
      <c r="AHR15" s="700"/>
      <c r="AHS15" s="700"/>
      <c r="AHT15" s="700"/>
      <c r="AHU15" s="700"/>
      <c r="AHV15" s="700"/>
      <c r="AHW15" s="700"/>
      <c r="AHX15" s="700"/>
      <c r="AHY15" s="700"/>
      <c r="AHZ15" s="700"/>
      <c r="AIA15" s="700"/>
      <c r="AIB15" s="700"/>
      <c r="AIC15" s="700"/>
      <c r="AID15" s="700"/>
      <c r="AIE15" s="700"/>
      <c r="AIF15" s="700"/>
      <c r="AIG15" s="700"/>
      <c r="AIH15" s="700"/>
      <c r="AII15" s="700"/>
      <c r="AIJ15" s="700"/>
      <c r="AIK15" s="700"/>
      <c r="AIL15" s="700"/>
      <c r="AIM15" s="700"/>
      <c r="AIN15" s="700"/>
      <c r="AIO15" s="700"/>
      <c r="AIP15" s="700"/>
      <c r="AIQ15" s="700"/>
      <c r="AIR15" s="700"/>
      <c r="AIS15" s="700"/>
      <c r="AIT15" s="700"/>
      <c r="AIU15" s="700"/>
      <c r="AIV15" s="700"/>
      <c r="AIW15" s="700"/>
      <c r="AIX15" s="700"/>
      <c r="AIY15" s="700"/>
      <c r="AIZ15" s="700"/>
      <c r="AJA15" s="700"/>
      <c r="AJB15" s="700"/>
      <c r="AJC15" s="700"/>
      <c r="AJD15" s="700"/>
      <c r="AJE15" s="700"/>
      <c r="AJF15" s="700"/>
      <c r="AJG15" s="700"/>
      <c r="AJH15" s="700"/>
      <c r="AJI15" s="700"/>
      <c r="AJJ15" s="700"/>
      <c r="AJK15" s="700"/>
      <c r="AJL15" s="700"/>
      <c r="AJM15" s="700"/>
      <c r="AJN15" s="700"/>
      <c r="AJO15" s="700"/>
      <c r="AJP15" s="700"/>
      <c r="AJQ15" s="700"/>
      <c r="AJR15" s="700"/>
      <c r="AJS15" s="700"/>
      <c r="AJT15" s="700"/>
      <c r="AJU15" s="700"/>
      <c r="AJV15" s="700"/>
      <c r="AJW15" s="700"/>
      <c r="AJX15" s="700"/>
      <c r="AJY15" s="700"/>
      <c r="AJZ15" s="700"/>
      <c r="AKA15" s="700"/>
      <c r="AKB15" s="700"/>
      <c r="AKC15" s="700"/>
      <c r="AKD15" s="700"/>
      <c r="AKE15" s="700"/>
      <c r="AKF15" s="700"/>
      <c r="AKG15" s="700"/>
      <c r="AKH15" s="700"/>
      <c r="AKI15" s="700"/>
      <c r="AKJ15" s="700"/>
      <c r="AKK15" s="700"/>
      <c r="AKL15" s="700"/>
      <c r="AKM15" s="700"/>
      <c r="AKN15" s="700"/>
      <c r="AKO15" s="700"/>
      <c r="AKP15" s="700"/>
      <c r="AKQ15" s="700"/>
      <c r="AKR15" s="700"/>
      <c r="AKS15" s="700"/>
      <c r="AKT15" s="700"/>
      <c r="AKU15" s="700"/>
      <c r="AKV15" s="700"/>
      <c r="AKW15" s="700"/>
      <c r="AKX15" s="700"/>
      <c r="AKY15" s="700"/>
      <c r="AKZ15" s="700"/>
      <c r="ALA15" s="700"/>
      <c r="ALB15" s="700"/>
      <c r="ALC15" s="700"/>
      <c r="ALD15" s="700"/>
      <c r="ALE15" s="700"/>
      <c r="ALF15" s="700"/>
      <c r="ALG15" s="700"/>
      <c r="ALH15" s="700"/>
      <c r="ALI15" s="700"/>
      <c r="ALJ15" s="700"/>
      <c r="ALK15" s="700"/>
      <c r="ALL15" s="700"/>
      <c r="ALM15" s="700"/>
      <c r="ALN15" s="700"/>
      <c r="ALO15" s="700"/>
      <c r="ALP15" s="700"/>
      <c r="ALQ15" s="700"/>
      <c r="ALR15" s="700"/>
      <c r="ALS15" s="700"/>
      <c r="ALT15" s="700"/>
      <c r="ALU15" s="700"/>
      <c r="ALV15" s="700"/>
      <c r="ALW15" s="700"/>
      <c r="ALX15" s="700"/>
      <c r="ALY15" s="700"/>
      <c r="ALZ15" s="700"/>
      <c r="AMA15" s="700"/>
      <c r="AMB15" s="700"/>
      <c r="AMC15" s="700"/>
      <c r="AMD15" s="700"/>
      <c r="AME15" s="700"/>
      <c r="AMF15" s="700"/>
      <c r="AMG15" s="700"/>
      <c r="AMH15" s="700"/>
      <c r="AMI15" s="700"/>
      <c r="AMJ15" s="700"/>
      <c r="AMK15" s="700"/>
      <c r="AML15" s="700"/>
      <c r="AMM15" s="700"/>
      <c r="AMN15" s="700"/>
      <c r="AMO15" s="700"/>
      <c r="AMP15" s="700"/>
      <c r="AMQ15" s="700"/>
      <c r="AMR15" s="700"/>
      <c r="AMS15" s="700"/>
      <c r="AMT15" s="700"/>
      <c r="AMU15" s="700"/>
      <c r="AMV15" s="700"/>
      <c r="AMW15" s="700"/>
      <c r="AMX15" s="700"/>
      <c r="AMY15" s="700"/>
      <c r="AMZ15" s="700"/>
      <c r="ANA15" s="700"/>
      <c r="ANB15" s="700"/>
      <c r="ANC15" s="700"/>
      <c r="AND15" s="700"/>
      <c r="ANE15" s="700"/>
      <c r="ANF15" s="700"/>
      <c r="ANG15" s="700"/>
      <c r="ANH15" s="700"/>
      <c r="ANI15" s="700"/>
      <c r="ANJ15" s="700"/>
      <c r="ANK15" s="700"/>
      <c r="ANL15" s="700"/>
      <c r="ANM15" s="700"/>
      <c r="ANN15" s="700"/>
      <c r="ANO15" s="700"/>
      <c r="ANP15" s="700"/>
      <c r="ANQ15" s="700"/>
      <c r="ANR15" s="700"/>
      <c r="ANS15" s="700"/>
      <c r="ANT15" s="700"/>
      <c r="ANU15" s="700"/>
      <c r="ANV15" s="700"/>
      <c r="ANW15" s="700"/>
      <c r="ANX15" s="700"/>
      <c r="ANY15" s="700"/>
      <c r="ANZ15" s="700"/>
      <c r="AOA15" s="700"/>
      <c r="AOB15" s="700"/>
      <c r="AOC15" s="700"/>
      <c r="AOD15" s="700"/>
      <c r="AOE15" s="700"/>
      <c r="AOF15" s="700"/>
      <c r="AOG15" s="700"/>
      <c r="AOH15" s="700"/>
      <c r="AOI15" s="700"/>
      <c r="AOJ15" s="700"/>
      <c r="AOK15" s="700"/>
      <c r="AOL15" s="700"/>
      <c r="AOM15" s="700"/>
      <c r="AON15" s="700"/>
      <c r="AOO15" s="700"/>
      <c r="AOP15" s="700"/>
      <c r="AOQ15" s="700"/>
      <c r="AOR15" s="700"/>
      <c r="AOS15" s="700"/>
      <c r="AOT15" s="700"/>
      <c r="AOU15" s="700"/>
      <c r="AOV15" s="700"/>
      <c r="AOW15" s="700"/>
      <c r="AOX15" s="700"/>
      <c r="AOY15" s="700"/>
      <c r="AOZ15" s="700"/>
      <c r="APA15" s="700"/>
      <c r="APB15" s="700"/>
      <c r="APC15" s="700"/>
      <c r="APD15" s="700"/>
      <c r="APE15" s="700"/>
      <c r="APF15" s="700"/>
      <c r="APG15" s="700"/>
      <c r="APH15" s="700"/>
      <c r="API15" s="700"/>
      <c r="APJ15" s="700"/>
      <c r="APK15" s="700"/>
      <c r="APL15" s="700"/>
      <c r="APM15" s="700"/>
      <c r="APN15" s="700"/>
      <c r="APO15" s="700"/>
      <c r="APP15" s="700"/>
      <c r="APQ15" s="700"/>
      <c r="APR15" s="700"/>
      <c r="APS15" s="700"/>
      <c r="APT15" s="700"/>
      <c r="APU15" s="700"/>
      <c r="APV15" s="700"/>
      <c r="APW15" s="700"/>
      <c r="APX15" s="700"/>
      <c r="APY15" s="700"/>
      <c r="APZ15" s="700"/>
      <c r="AQA15" s="700"/>
      <c r="AQB15" s="700"/>
      <c r="AQC15" s="700"/>
      <c r="AQD15" s="700"/>
      <c r="AQE15" s="700"/>
      <c r="AQF15" s="700"/>
      <c r="AQG15" s="700"/>
      <c r="AQH15" s="700"/>
      <c r="AQI15" s="700"/>
      <c r="AQJ15" s="700"/>
      <c r="AQK15" s="700"/>
      <c r="AQL15" s="700"/>
      <c r="AQM15" s="700"/>
      <c r="AQN15" s="700"/>
      <c r="AQO15" s="700"/>
      <c r="AQP15" s="700"/>
      <c r="AQQ15" s="700"/>
      <c r="AQR15" s="700"/>
      <c r="AQS15" s="700"/>
      <c r="AQT15" s="700"/>
      <c r="AQU15" s="700"/>
      <c r="AQV15" s="700"/>
      <c r="AQW15" s="700"/>
      <c r="AQX15" s="700"/>
      <c r="AQY15" s="700"/>
      <c r="AQZ15" s="700"/>
      <c r="ARA15" s="700"/>
      <c r="ARB15" s="700"/>
      <c r="ARC15" s="700"/>
      <c r="ARD15" s="700"/>
      <c r="ARE15" s="700"/>
      <c r="ARF15" s="700"/>
      <c r="ARG15" s="700"/>
      <c r="ARH15" s="700"/>
      <c r="ARI15" s="700"/>
      <c r="ARJ15" s="700"/>
      <c r="ARK15" s="700"/>
      <c r="ARL15" s="700"/>
      <c r="ARM15" s="700"/>
      <c r="ARN15" s="700"/>
      <c r="ARO15" s="700"/>
      <c r="ARP15" s="700"/>
      <c r="ARQ15" s="700"/>
      <c r="ARR15" s="700"/>
      <c r="ARS15" s="700"/>
      <c r="ART15" s="700"/>
      <c r="ARU15" s="700"/>
      <c r="ARV15" s="700"/>
      <c r="ARW15" s="700"/>
      <c r="ARX15" s="700"/>
      <c r="ARY15" s="700"/>
      <c r="ARZ15" s="700"/>
      <c r="ASA15" s="700"/>
      <c r="ASB15" s="700"/>
      <c r="ASC15" s="700"/>
      <c r="ASD15" s="700"/>
      <c r="ASE15" s="700"/>
      <c r="ASF15" s="700"/>
      <c r="ASG15" s="700"/>
      <c r="ASH15" s="700"/>
      <c r="ASI15" s="700"/>
      <c r="ASJ15" s="700"/>
      <c r="ASK15" s="700"/>
      <c r="ASL15" s="700"/>
      <c r="ASM15" s="700"/>
      <c r="ASN15" s="700"/>
      <c r="ASO15" s="700"/>
      <c r="ASP15" s="700"/>
      <c r="ASQ15" s="700"/>
      <c r="ASR15" s="700"/>
      <c r="ASS15" s="700"/>
      <c r="AST15" s="700"/>
      <c r="ASU15" s="700"/>
      <c r="ASV15" s="700"/>
      <c r="ASW15" s="700"/>
      <c r="ASX15" s="700"/>
      <c r="ASY15" s="700"/>
      <c r="ASZ15" s="700"/>
      <c r="ATA15" s="700"/>
      <c r="ATB15" s="700"/>
      <c r="ATC15" s="700"/>
      <c r="ATD15" s="700"/>
      <c r="ATE15" s="700"/>
      <c r="ATF15" s="700"/>
      <c r="ATG15" s="700"/>
      <c r="ATH15" s="700"/>
      <c r="ATI15" s="700"/>
      <c r="ATJ15" s="700"/>
      <c r="ATK15" s="700"/>
      <c r="ATL15" s="700"/>
      <c r="ATM15" s="700"/>
      <c r="ATN15" s="700"/>
      <c r="ATO15" s="700"/>
      <c r="ATP15" s="700"/>
      <c r="ATQ15" s="700"/>
      <c r="ATR15" s="700"/>
      <c r="ATS15" s="700"/>
      <c r="ATT15" s="700"/>
      <c r="ATU15" s="700"/>
      <c r="ATV15" s="700"/>
      <c r="ATW15" s="700"/>
      <c r="ATX15" s="700"/>
      <c r="ATY15" s="700"/>
      <c r="ATZ15" s="700"/>
      <c r="AUA15" s="700"/>
      <c r="AUB15" s="700"/>
      <c r="AUC15" s="700"/>
      <c r="AUD15" s="700"/>
      <c r="AUE15" s="700"/>
      <c r="AUF15" s="700"/>
      <c r="AUG15" s="700"/>
      <c r="AUH15" s="700"/>
      <c r="AUI15" s="700"/>
      <c r="AUJ15" s="700"/>
      <c r="AUK15" s="700"/>
      <c r="AUL15" s="700"/>
      <c r="AUM15" s="700"/>
      <c r="AUN15" s="700"/>
      <c r="AUO15" s="700"/>
      <c r="AUP15" s="700"/>
      <c r="AUQ15" s="700"/>
      <c r="AUR15" s="700"/>
      <c r="AUS15" s="700"/>
      <c r="AUT15" s="700"/>
      <c r="AUU15" s="700"/>
      <c r="AUV15" s="700"/>
      <c r="AUW15" s="700"/>
      <c r="AUX15" s="700"/>
      <c r="AUY15" s="700"/>
      <c r="AUZ15" s="700"/>
      <c r="AVA15" s="700"/>
      <c r="AVB15" s="700"/>
      <c r="AVC15" s="700"/>
      <c r="AVD15" s="700"/>
      <c r="AVE15" s="700"/>
      <c r="AVF15" s="700"/>
      <c r="AVG15" s="700"/>
      <c r="AVH15" s="700"/>
      <c r="AVI15" s="700"/>
      <c r="AVJ15" s="700"/>
      <c r="AVK15" s="700"/>
      <c r="AVL15" s="700"/>
      <c r="AVM15" s="700"/>
      <c r="AVN15" s="700"/>
      <c r="AVO15" s="700"/>
      <c r="AVP15" s="700"/>
      <c r="AVQ15" s="700"/>
      <c r="AVR15" s="700"/>
      <c r="AVS15" s="700"/>
      <c r="AVT15" s="700"/>
      <c r="AVU15" s="700"/>
      <c r="AVV15" s="700"/>
      <c r="AVW15" s="700"/>
      <c r="AVX15" s="700"/>
      <c r="AVY15" s="700"/>
      <c r="AVZ15" s="700"/>
      <c r="AWA15" s="700"/>
      <c r="AWB15" s="700"/>
      <c r="AWC15" s="700"/>
      <c r="AWD15" s="700"/>
      <c r="AWE15" s="700"/>
      <c r="AWF15" s="700"/>
      <c r="AWG15" s="700"/>
      <c r="AWH15" s="700"/>
      <c r="AWI15" s="700"/>
      <c r="AWJ15" s="700"/>
      <c r="AWK15" s="700"/>
      <c r="AWL15" s="700"/>
      <c r="AWM15" s="700"/>
      <c r="AWN15" s="700"/>
      <c r="AWO15" s="700"/>
      <c r="AWP15" s="700"/>
      <c r="AWQ15" s="700"/>
      <c r="AWR15" s="700"/>
      <c r="AWS15" s="700"/>
      <c r="AWT15" s="700"/>
      <c r="AWU15" s="700"/>
      <c r="AWV15" s="700"/>
      <c r="AWW15" s="700"/>
      <c r="AWX15" s="700"/>
      <c r="AWY15" s="700"/>
      <c r="AWZ15" s="700"/>
      <c r="AXA15" s="700"/>
      <c r="AXB15" s="700"/>
      <c r="AXC15" s="700"/>
      <c r="AXD15" s="700"/>
      <c r="AXE15" s="700"/>
      <c r="AXF15" s="700"/>
      <c r="AXG15" s="700"/>
      <c r="AXH15" s="700"/>
      <c r="AXI15" s="700"/>
      <c r="AXJ15" s="700"/>
      <c r="AXK15" s="700"/>
      <c r="AXL15" s="700"/>
      <c r="AXM15" s="700"/>
      <c r="AXN15" s="700"/>
      <c r="AXO15" s="700"/>
      <c r="AXP15" s="700"/>
      <c r="AXQ15" s="700"/>
      <c r="AXR15" s="700"/>
      <c r="AXS15" s="700"/>
      <c r="AXT15" s="700"/>
      <c r="AXU15" s="700"/>
      <c r="AXV15" s="700"/>
      <c r="AXW15" s="700"/>
      <c r="AXX15" s="700"/>
      <c r="AXY15" s="700"/>
      <c r="AXZ15" s="700"/>
      <c r="AYA15" s="700"/>
      <c r="AYB15" s="700"/>
      <c r="AYC15" s="700"/>
      <c r="AYD15" s="700"/>
      <c r="AYE15" s="700"/>
      <c r="AYF15" s="700"/>
      <c r="AYG15" s="700"/>
      <c r="AYH15" s="700"/>
      <c r="AYI15" s="700"/>
      <c r="AYJ15" s="700"/>
      <c r="AYK15" s="700"/>
      <c r="AYL15" s="700"/>
      <c r="AYM15" s="700"/>
      <c r="AYN15" s="700"/>
      <c r="AYO15" s="700"/>
      <c r="AYP15" s="700"/>
      <c r="AYQ15" s="700"/>
      <c r="AYR15" s="700"/>
      <c r="AYS15" s="700"/>
      <c r="AYT15" s="700"/>
      <c r="AYU15" s="700"/>
      <c r="AYV15" s="700"/>
      <c r="AYW15" s="700"/>
      <c r="AYX15" s="700"/>
      <c r="AYY15" s="700"/>
      <c r="AYZ15" s="700"/>
      <c r="AZA15" s="700"/>
      <c r="AZB15" s="700"/>
      <c r="AZC15" s="700"/>
      <c r="AZD15" s="700"/>
      <c r="AZE15" s="700"/>
      <c r="AZF15" s="700"/>
      <c r="AZG15" s="700"/>
      <c r="AZH15" s="700"/>
      <c r="AZI15" s="700"/>
      <c r="AZJ15" s="700"/>
      <c r="AZK15" s="700"/>
      <c r="AZL15" s="700"/>
      <c r="AZM15" s="700"/>
      <c r="AZN15" s="700"/>
      <c r="AZO15" s="700"/>
      <c r="AZP15" s="700"/>
      <c r="AZQ15" s="700"/>
      <c r="AZR15" s="700"/>
      <c r="AZS15" s="700"/>
      <c r="AZT15" s="700"/>
      <c r="AZU15" s="700"/>
      <c r="AZV15" s="700"/>
      <c r="AZW15" s="700"/>
      <c r="AZX15" s="700"/>
      <c r="AZY15" s="700"/>
      <c r="AZZ15" s="700"/>
      <c r="BAA15" s="700"/>
      <c r="BAB15" s="700"/>
      <c r="BAC15" s="700"/>
      <c r="BAD15" s="700"/>
      <c r="BAE15" s="700"/>
      <c r="BAF15" s="700"/>
      <c r="BAG15" s="700"/>
      <c r="BAH15" s="700"/>
      <c r="BAI15" s="700"/>
      <c r="BAJ15" s="700"/>
      <c r="BAK15" s="700"/>
      <c r="BAL15" s="700"/>
      <c r="BAM15" s="700"/>
      <c r="BAN15" s="700"/>
      <c r="BAO15" s="700"/>
      <c r="BAP15" s="700"/>
      <c r="BAQ15" s="700"/>
      <c r="BAR15" s="700"/>
      <c r="BAS15" s="700"/>
      <c r="BAT15" s="700"/>
      <c r="BAU15" s="700"/>
      <c r="BAV15" s="700"/>
      <c r="BAW15" s="700"/>
      <c r="BAX15" s="700"/>
      <c r="BAY15" s="700"/>
      <c r="BAZ15" s="700"/>
      <c r="BBA15" s="700"/>
      <c r="BBB15" s="700"/>
      <c r="BBC15" s="700"/>
      <c r="BBD15" s="700"/>
      <c r="BBE15" s="700"/>
      <c r="BBF15" s="700"/>
      <c r="BBG15" s="700"/>
      <c r="BBH15" s="700"/>
      <c r="BBI15" s="700"/>
      <c r="BBJ15" s="700"/>
      <c r="BBK15" s="700"/>
      <c r="BBL15" s="700"/>
      <c r="BBM15" s="700"/>
      <c r="BBN15" s="700"/>
      <c r="BBO15" s="700"/>
      <c r="BBP15" s="700"/>
      <c r="BBQ15" s="700"/>
      <c r="BBR15" s="700"/>
      <c r="BBS15" s="700"/>
      <c r="BBT15" s="700"/>
      <c r="BBU15" s="700"/>
      <c r="BBV15" s="700"/>
      <c r="BBW15" s="700"/>
      <c r="BBX15" s="700"/>
      <c r="BBY15" s="700"/>
      <c r="BBZ15" s="700"/>
      <c r="BCA15" s="700"/>
      <c r="BCB15" s="700"/>
      <c r="BCC15" s="700"/>
      <c r="BCD15" s="700"/>
      <c r="BCE15" s="700"/>
      <c r="BCF15" s="700"/>
      <c r="BCG15" s="700"/>
      <c r="BCH15" s="700"/>
      <c r="BCI15" s="700"/>
      <c r="BCJ15" s="700"/>
      <c r="BCK15" s="700"/>
      <c r="BCL15" s="700"/>
      <c r="BCM15" s="700"/>
      <c r="BCN15" s="700"/>
      <c r="BCO15" s="700"/>
      <c r="BCP15" s="700"/>
      <c r="BCQ15" s="700"/>
      <c r="BCR15" s="700"/>
      <c r="BCS15" s="700"/>
      <c r="BCT15" s="700"/>
      <c r="BCU15" s="700"/>
      <c r="BCV15" s="700"/>
      <c r="BCW15" s="700"/>
      <c r="BCX15" s="700"/>
      <c r="BCY15" s="700"/>
      <c r="BCZ15" s="700"/>
      <c r="BDA15" s="700"/>
      <c r="BDB15" s="700"/>
      <c r="BDC15" s="700"/>
      <c r="BDD15" s="700"/>
      <c r="BDE15" s="700"/>
      <c r="BDF15" s="700"/>
      <c r="BDG15" s="700"/>
      <c r="BDH15" s="700"/>
      <c r="BDI15" s="700"/>
      <c r="BDJ15" s="700"/>
      <c r="BDK15" s="700"/>
      <c r="BDL15" s="700"/>
      <c r="BDM15" s="700"/>
      <c r="BDN15" s="700"/>
      <c r="BDO15" s="700"/>
      <c r="BDP15" s="700"/>
      <c r="BDQ15" s="700"/>
      <c r="BDR15" s="700"/>
      <c r="BDS15" s="700"/>
      <c r="BDT15" s="700"/>
      <c r="BDU15" s="700"/>
      <c r="BDV15" s="700"/>
      <c r="BDW15" s="700"/>
      <c r="BDX15" s="700"/>
      <c r="BDY15" s="700"/>
      <c r="BDZ15" s="700"/>
      <c r="BEA15" s="700"/>
      <c r="BEB15" s="700"/>
      <c r="BEC15" s="700"/>
      <c r="BED15" s="700"/>
      <c r="BEE15" s="700"/>
      <c r="BEF15" s="700"/>
      <c r="BEG15" s="700"/>
      <c r="BEH15" s="700"/>
      <c r="BEI15" s="700"/>
      <c r="BEJ15" s="700"/>
      <c r="BEK15" s="700"/>
      <c r="BEL15" s="700"/>
      <c r="BEM15" s="700"/>
      <c r="BEN15" s="700"/>
      <c r="BEO15" s="700"/>
      <c r="BEP15" s="700"/>
      <c r="BEQ15" s="700"/>
      <c r="BER15" s="700"/>
      <c r="BES15" s="700"/>
      <c r="BET15" s="700"/>
      <c r="BEU15" s="700"/>
      <c r="BEV15" s="700"/>
      <c r="BEW15" s="700"/>
      <c r="BEX15" s="700"/>
      <c r="BEY15" s="700"/>
      <c r="BEZ15" s="700"/>
      <c r="BFA15" s="700"/>
      <c r="BFB15" s="700"/>
      <c r="BFC15" s="700"/>
      <c r="BFD15" s="700"/>
      <c r="BFE15" s="700"/>
      <c r="BFF15" s="700"/>
      <c r="BFG15" s="700"/>
      <c r="BFH15" s="700"/>
      <c r="BFI15" s="700"/>
      <c r="BFJ15" s="700"/>
      <c r="BFK15" s="700"/>
      <c r="BFL15" s="700"/>
      <c r="BFM15" s="700"/>
      <c r="BFN15" s="700"/>
      <c r="BFO15" s="700"/>
      <c r="BFP15" s="700"/>
      <c r="BFQ15" s="700"/>
      <c r="BFR15" s="700"/>
      <c r="BFS15" s="700"/>
      <c r="BFT15" s="700"/>
      <c r="BFU15" s="700"/>
      <c r="BFV15" s="700"/>
      <c r="BFW15" s="700"/>
      <c r="BFX15" s="700"/>
      <c r="BFY15" s="700"/>
      <c r="BFZ15" s="700"/>
      <c r="BGA15" s="700"/>
      <c r="BGB15" s="700"/>
      <c r="BGC15" s="700"/>
      <c r="BGD15" s="700"/>
      <c r="BGE15" s="700"/>
      <c r="BGF15" s="700"/>
      <c r="BGG15" s="700"/>
      <c r="BGH15" s="700"/>
      <c r="BGI15" s="700"/>
      <c r="BGJ15" s="700"/>
      <c r="BGK15" s="700"/>
      <c r="BGL15" s="700"/>
      <c r="BGM15" s="700"/>
      <c r="BGN15" s="700"/>
      <c r="BGO15" s="700"/>
      <c r="BGP15" s="700"/>
      <c r="BGQ15" s="700"/>
      <c r="BGR15" s="700"/>
      <c r="BGS15" s="700"/>
      <c r="BGT15" s="700"/>
      <c r="BGU15" s="700"/>
      <c r="BGV15" s="700"/>
      <c r="BGW15" s="700"/>
      <c r="BGX15" s="700"/>
      <c r="BGY15" s="700"/>
      <c r="BGZ15" s="700"/>
      <c r="BHA15" s="700"/>
      <c r="BHB15" s="700"/>
      <c r="BHC15" s="700"/>
      <c r="BHD15" s="700"/>
      <c r="BHE15" s="700"/>
      <c r="BHF15" s="700"/>
      <c r="BHG15" s="700"/>
      <c r="BHH15" s="700"/>
      <c r="BHI15" s="700"/>
      <c r="BHJ15" s="700"/>
      <c r="BHK15" s="700"/>
      <c r="BHL15" s="700"/>
      <c r="BHM15" s="700"/>
      <c r="BHN15" s="700"/>
      <c r="BHO15" s="700"/>
      <c r="BHP15" s="700"/>
      <c r="BHQ15" s="700"/>
      <c r="BHR15" s="700"/>
      <c r="BHS15" s="700"/>
      <c r="BHT15" s="700"/>
      <c r="BHU15" s="700"/>
      <c r="BHV15" s="700"/>
      <c r="BHW15" s="700"/>
      <c r="BHX15" s="700"/>
      <c r="BHY15" s="700"/>
      <c r="BHZ15" s="700"/>
      <c r="BIA15" s="700"/>
      <c r="BIB15" s="700"/>
      <c r="BIC15" s="700"/>
      <c r="BID15" s="700"/>
      <c r="BIE15" s="700"/>
      <c r="BIF15" s="700"/>
      <c r="BIG15" s="700"/>
      <c r="BIH15" s="700"/>
      <c r="BII15" s="700"/>
      <c r="BIJ15" s="700"/>
      <c r="BIK15" s="700"/>
      <c r="BIL15" s="700"/>
      <c r="BIM15" s="700"/>
      <c r="BIN15" s="700"/>
      <c r="BIO15" s="700"/>
      <c r="BIP15" s="700"/>
      <c r="BIQ15" s="700"/>
      <c r="BIR15" s="700"/>
      <c r="BIS15" s="700"/>
      <c r="BIT15" s="700"/>
      <c r="BIU15" s="700"/>
      <c r="BIV15" s="700"/>
      <c r="BIW15" s="700"/>
      <c r="BIX15" s="700"/>
      <c r="BIY15" s="700"/>
      <c r="BIZ15" s="700"/>
      <c r="BJA15" s="700"/>
      <c r="BJB15" s="700"/>
      <c r="BJC15" s="700"/>
      <c r="BJD15" s="700"/>
      <c r="BJE15" s="700"/>
      <c r="BJF15" s="700"/>
      <c r="BJG15" s="700"/>
      <c r="BJH15" s="700"/>
      <c r="BJI15" s="700"/>
      <c r="BJJ15" s="700"/>
      <c r="BJK15" s="700"/>
      <c r="BJL15" s="700"/>
      <c r="BJM15" s="700"/>
      <c r="BJN15" s="700"/>
      <c r="BJO15" s="700"/>
      <c r="BJP15" s="700"/>
      <c r="BJQ15" s="700"/>
      <c r="BJR15" s="700"/>
      <c r="BJS15" s="700"/>
      <c r="BJT15" s="700"/>
      <c r="BJU15" s="700"/>
      <c r="BJV15" s="700"/>
      <c r="BJW15" s="700"/>
      <c r="BJX15" s="700"/>
      <c r="BJY15" s="700"/>
      <c r="BJZ15" s="700"/>
      <c r="BKA15" s="700"/>
      <c r="BKB15" s="700"/>
      <c r="BKC15" s="700"/>
      <c r="BKD15" s="700"/>
      <c r="BKE15" s="700"/>
      <c r="BKF15" s="700"/>
      <c r="BKG15" s="700"/>
      <c r="BKH15" s="700"/>
      <c r="BKI15" s="700"/>
      <c r="BKJ15" s="700"/>
      <c r="BKK15" s="700"/>
      <c r="BKL15" s="700"/>
      <c r="BKM15" s="700"/>
      <c r="BKN15" s="700"/>
      <c r="BKO15" s="700"/>
      <c r="BKP15" s="700"/>
      <c r="BKQ15" s="700"/>
      <c r="BKR15" s="700"/>
      <c r="BKS15" s="700"/>
      <c r="BKT15" s="700"/>
      <c r="BKU15" s="700"/>
      <c r="BKV15" s="700"/>
      <c r="BKW15" s="700"/>
      <c r="BKX15" s="700"/>
      <c r="BKY15" s="700"/>
      <c r="BKZ15" s="700"/>
      <c r="BLA15" s="700"/>
      <c r="BLB15" s="700"/>
      <c r="BLC15" s="700"/>
      <c r="BLD15" s="700"/>
      <c r="BLE15" s="700"/>
      <c r="BLF15" s="700"/>
      <c r="BLG15" s="700"/>
      <c r="BLH15" s="700"/>
      <c r="BLI15" s="700"/>
      <c r="BLJ15" s="700"/>
      <c r="BLK15" s="700"/>
      <c r="BLL15" s="700"/>
      <c r="BLM15" s="700"/>
      <c r="BLN15" s="700"/>
      <c r="BLO15" s="700"/>
      <c r="BLP15" s="700"/>
      <c r="BLQ15" s="700"/>
      <c r="BLR15" s="700"/>
      <c r="BLS15" s="700"/>
      <c r="BLT15" s="700"/>
      <c r="BLU15" s="700"/>
      <c r="BLV15" s="700"/>
      <c r="BLW15" s="700"/>
      <c r="BLX15" s="700"/>
      <c r="BLY15" s="700"/>
      <c r="BLZ15" s="700"/>
      <c r="BMA15" s="700"/>
      <c r="BMB15" s="700"/>
      <c r="BMC15" s="700"/>
      <c r="BMD15" s="700"/>
      <c r="BME15" s="700"/>
      <c r="BMF15" s="700"/>
      <c r="BMG15" s="700"/>
      <c r="BMH15" s="700"/>
      <c r="BMI15" s="700"/>
      <c r="BMJ15" s="700"/>
      <c r="BMK15" s="700"/>
      <c r="BML15" s="700"/>
      <c r="BMM15" s="700"/>
      <c r="BMN15" s="700"/>
      <c r="BMO15" s="700"/>
      <c r="BMP15" s="700"/>
      <c r="BMQ15" s="700"/>
      <c r="BMR15" s="700"/>
      <c r="BMS15" s="700"/>
      <c r="BMT15" s="700"/>
      <c r="BMU15" s="700"/>
      <c r="BMV15" s="700"/>
      <c r="BMW15" s="700"/>
      <c r="BMX15" s="700"/>
      <c r="BMY15" s="700"/>
      <c r="BMZ15" s="700"/>
      <c r="BNA15" s="700"/>
      <c r="BNB15" s="700"/>
      <c r="BNC15" s="700"/>
      <c r="BND15" s="700"/>
      <c r="BNE15" s="700"/>
      <c r="BNF15" s="700"/>
      <c r="BNG15" s="700"/>
      <c r="BNH15" s="700"/>
      <c r="BNI15" s="700"/>
      <c r="BNJ15" s="700"/>
      <c r="BNK15" s="700"/>
      <c r="BNL15" s="700"/>
      <c r="BNM15" s="700"/>
      <c r="BNN15" s="700"/>
      <c r="BNO15" s="700"/>
      <c r="BNP15" s="700"/>
      <c r="BNQ15" s="700"/>
      <c r="BNR15" s="700"/>
      <c r="BNS15" s="700"/>
      <c r="BNT15" s="700"/>
      <c r="BNU15" s="700"/>
      <c r="BNV15" s="700"/>
      <c r="BNW15" s="700"/>
      <c r="BNX15" s="700"/>
      <c r="BNY15" s="700"/>
      <c r="BNZ15" s="700"/>
      <c r="BOA15" s="700"/>
      <c r="BOB15" s="700"/>
      <c r="BOC15" s="700"/>
      <c r="BOD15" s="700"/>
      <c r="BOE15" s="700"/>
      <c r="BOF15" s="700"/>
      <c r="BOG15" s="700"/>
      <c r="BOH15" s="700"/>
      <c r="BOI15" s="700"/>
      <c r="BOJ15" s="700"/>
      <c r="BOK15" s="700"/>
      <c r="BOL15" s="700"/>
      <c r="BOM15" s="700"/>
      <c r="BON15" s="700"/>
      <c r="BOO15" s="700"/>
      <c r="BOP15" s="700"/>
      <c r="BOQ15" s="700"/>
      <c r="BOR15" s="700"/>
      <c r="BOS15" s="700"/>
      <c r="BOT15" s="700"/>
      <c r="BOU15" s="700"/>
      <c r="BOV15" s="700"/>
      <c r="BOW15" s="700"/>
      <c r="BOX15" s="700"/>
      <c r="BOY15" s="700"/>
      <c r="BOZ15" s="700"/>
      <c r="BPA15" s="700"/>
      <c r="BPB15" s="700"/>
      <c r="BPC15" s="700"/>
      <c r="BPD15" s="700"/>
      <c r="BPE15" s="700"/>
      <c r="BPF15" s="700"/>
      <c r="BPG15" s="700"/>
      <c r="BPH15" s="700"/>
      <c r="BPI15" s="700"/>
      <c r="BPJ15" s="700"/>
      <c r="BPK15" s="700"/>
      <c r="BPL15" s="700"/>
      <c r="BPM15" s="700"/>
      <c r="BPN15" s="700"/>
      <c r="BPO15" s="700"/>
      <c r="BPP15" s="700"/>
      <c r="BPQ15" s="700"/>
      <c r="BPR15" s="700"/>
      <c r="BPS15" s="700"/>
      <c r="BPT15" s="700"/>
      <c r="BPU15" s="700"/>
      <c r="BPV15" s="700"/>
      <c r="BPW15" s="700"/>
      <c r="BPX15" s="700"/>
      <c r="BPY15" s="700"/>
      <c r="BPZ15" s="700"/>
      <c r="BQA15" s="700"/>
      <c r="BQB15" s="700"/>
      <c r="BQC15" s="700"/>
      <c r="BQD15" s="700"/>
      <c r="BQE15" s="700"/>
      <c r="BQF15" s="700"/>
      <c r="BQG15" s="700"/>
      <c r="BQH15" s="700"/>
      <c r="BQI15" s="700"/>
      <c r="BQJ15" s="700"/>
      <c r="BQK15" s="700"/>
      <c r="BQL15" s="700"/>
      <c r="BQM15" s="700"/>
      <c r="BQN15" s="700"/>
      <c r="BQO15" s="700"/>
      <c r="BQP15" s="700"/>
      <c r="BQQ15" s="700"/>
      <c r="BQR15" s="700"/>
      <c r="BQS15" s="700"/>
      <c r="BQT15" s="700"/>
      <c r="BQU15" s="700"/>
      <c r="BQV15" s="700"/>
      <c r="BQW15" s="700"/>
      <c r="BQX15" s="700"/>
      <c r="BQY15" s="700"/>
      <c r="BQZ15" s="700"/>
      <c r="BRA15" s="700"/>
      <c r="BRB15" s="700"/>
      <c r="BRC15" s="700"/>
      <c r="BRD15" s="700"/>
      <c r="BRE15" s="700"/>
      <c r="BRF15" s="700"/>
      <c r="BRG15" s="700"/>
      <c r="BRH15" s="700"/>
      <c r="BRI15" s="700"/>
      <c r="BRJ15" s="700"/>
      <c r="BRK15" s="700"/>
      <c r="BRL15" s="700"/>
      <c r="BRM15" s="700"/>
      <c r="BRN15" s="700"/>
      <c r="BRO15" s="700"/>
      <c r="BRP15" s="700"/>
      <c r="BRQ15" s="700"/>
      <c r="BRR15" s="700"/>
      <c r="BRS15" s="700"/>
      <c r="BRT15" s="700"/>
      <c r="BRU15" s="700"/>
      <c r="BRV15" s="700"/>
      <c r="BRW15" s="700"/>
      <c r="BRX15" s="700"/>
      <c r="BRY15" s="700"/>
      <c r="BRZ15" s="700"/>
      <c r="BSA15" s="700"/>
      <c r="BSB15" s="700"/>
      <c r="BSC15" s="700"/>
      <c r="BSD15" s="700"/>
      <c r="BSE15" s="700"/>
      <c r="BSF15" s="700"/>
      <c r="BSG15" s="700"/>
      <c r="BSH15" s="700"/>
      <c r="BSI15" s="700"/>
      <c r="BSJ15" s="700"/>
      <c r="BSK15" s="700"/>
      <c r="BSL15" s="700"/>
      <c r="BSM15" s="700"/>
      <c r="BSN15" s="700"/>
      <c r="BSO15" s="700"/>
      <c r="BSP15" s="700"/>
      <c r="BSQ15" s="700"/>
      <c r="BSR15" s="700"/>
      <c r="BSS15" s="700"/>
      <c r="BST15" s="700"/>
      <c r="BSU15" s="700"/>
      <c r="BSV15" s="700"/>
      <c r="BSW15" s="700"/>
      <c r="BSX15" s="700"/>
      <c r="BSY15" s="700"/>
      <c r="BSZ15" s="700"/>
      <c r="BTA15" s="700"/>
      <c r="BTB15" s="700"/>
      <c r="BTC15" s="700"/>
      <c r="BTD15" s="700"/>
      <c r="BTE15" s="700"/>
      <c r="BTF15" s="700"/>
      <c r="BTG15" s="700"/>
      <c r="BTH15" s="700"/>
      <c r="BTI15" s="700"/>
      <c r="BTJ15" s="700"/>
      <c r="BTK15" s="700"/>
      <c r="BTL15" s="700"/>
      <c r="BTM15" s="700"/>
      <c r="BTN15" s="700"/>
      <c r="BTO15" s="700"/>
      <c r="BTP15" s="700"/>
      <c r="BTQ15" s="700"/>
      <c r="BTR15" s="700"/>
      <c r="BTS15" s="700"/>
      <c r="BTT15" s="700"/>
      <c r="BTU15" s="700"/>
      <c r="BTV15" s="700"/>
      <c r="BTW15" s="700"/>
      <c r="BTX15" s="700"/>
      <c r="BTY15" s="700"/>
      <c r="BTZ15" s="700"/>
      <c r="BUA15" s="700"/>
      <c r="BUB15" s="700"/>
      <c r="BUC15" s="700"/>
      <c r="BUD15" s="700"/>
      <c r="BUE15" s="700"/>
      <c r="BUF15" s="700"/>
      <c r="BUG15" s="700"/>
      <c r="BUH15" s="700"/>
      <c r="BUI15" s="700"/>
      <c r="BUJ15" s="700"/>
      <c r="BUK15" s="700"/>
      <c r="BUL15" s="700"/>
      <c r="BUM15" s="700"/>
      <c r="BUN15" s="700"/>
      <c r="BUO15" s="700"/>
      <c r="BUP15" s="700"/>
      <c r="BUQ15" s="700"/>
      <c r="BUR15" s="700"/>
      <c r="BUS15" s="700"/>
      <c r="BUT15" s="700"/>
      <c r="BUU15" s="700"/>
      <c r="BUV15" s="700"/>
      <c r="BUW15" s="700"/>
      <c r="BUX15" s="700"/>
      <c r="BUY15" s="700"/>
      <c r="BUZ15" s="700"/>
      <c r="BVA15" s="700"/>
      <c r="BVB15" s="700"/>
      <c r="BVC15" s="700"/>
      <c r="BVD15" s="700"/>
      <c r="BVE15" s="700"/>
      <c r="BVF15" s="700"/>
      <c r="BVG15" s="700"/>
      <c r="BVH15" s="700"/>
      <c r="BVI15" s="700"/>
      <c r="BVJ15" s="700"/>
      <c r="BVK15" s="700"/>
      <c r="BVL15" s="700"/>
      <c r="BVM15" s="700"/>
      <c r="BVN15" s="700"/>
      <c r="BVO15" s="700"/>
      <c r="BVP15" s="700"/>
      <c r="BVQ15" s="700"/>
      <c r="BVR15" s="700"/>
      <c r="BVS15" s="700"/>
      <c r="BVT15" s="700"/>
      <c r="BVU15" s="700"/>
      <c r="BVV15" s="700"/>
      <c r="BVW15" s="700"/>
      <c r="BVX15" s="700"/>
      <c r="BVY15" s="700"/>
      <c r="BVZ15" s="700"/>
      <c r="BWA15" s="700"/>
      <c r="BWB15" s="700"/>
      <c r="BWC15" s="700"/>
      <c r="BWD15" s="700"/>
      <c r="BWE15" s="700"/>
      <c r="BWF15" s="700"/>
      <c r="BWG15" s="700"/>
      <c r="BWH15" s="700"/>
      <c r="BWI15" s="700"/>
      <c r="BWJ15" s="700"/>
      <c r="BWK15" s="700"/>
      <c r="BWL15" s="700"/>
      <c r="BWM15" s="700"/>
      <c r="BWN15" s="700"/>
      <c r="BWO15" s="700"/>
      <c r="BWP15" s="700"/>
      <c r="BWQ15" s="700"/>
      <c r="BWR15" s="700"/>
      <c r="BWS15" s="700"/>
      <c r="BWT15" s="700"/>
      <c r="BWU15" s="700"/>
      <c r="BWV15" s="700"/>
      <c r="BWW15" s="700"/>
      <c r="BWX15" s="700"/>
      <c r="BWY15" s="700"/>
      <c r="BWZ15" s="700"/>
      <c r="BXA15" s="700"/>
      <c r="BXB15" s="700"/>
      <c r="BXC15" s="700"/>
      <c r="BXD15" s="700"/>
      <c r="BXE15" s="700"/>
      <c r="BXF15" s="700"/>
      <c r="BXG15" s="700"/>
      <c r="BXH15" s="700"/>
      <c r="BXI15" s="700"/>
      <c r="BXJ15" s="700"/>
      <c r="BXK15" s="700"/>
      <c r="BXL15" s="700"/>
      <c r="BXM15" s="700"/>
      <c r="BXN15" s="700"/>
      <c r="BXO15" s="700"/>
      <c r="BXP15" s="700"/>
      <c r="BXQ15" s="700"/>
      <c r="BXR15" s="700"/>
      <c r="BXS15" s="700"/>
      <c r="BXT15" s="700"/>
      <c r="BXU15" s="700"/>
      <c r="BXV15" s="700"/>
      <c r="BXW15" s="700"/>
      <c r="BXX15" s="700"/>
      <c r="BXY15" s="700"/>
      <c r="BXZ15" s="700"/>
    </row>
    <row r="16" spans="1:2002" ht="15">
      <c r="A16" s="717"/>
      <c r="B16" s="706"/>
      <c r="C16" s="721" t="s">
        <v>36</v>
      </c>
      <c r="D16" s="722">
        <f>IS!Q34</f>
        <v>1675000</v>
      </c>
      <c r="E16" s="722">
        <f>IS!P34</f>
        <v>58000</v>
      </c>
      <c r="F16" s="722">
        <f>IS!O34</f>
        <v>-98000</v>
      </c>
      <c r="G16" s="722">
        <f>IS!N34</f>
        <v>-146000</v>
      </c>
      <c r="H16" s="722">
        <f>IS!M34</f>
        <v>-96000</v>
      </c>
      <c r="I16" s="722"/>
      <c r="J16" s="722"/>
      <c r="K16" s="722"/>
      <c r="L16" s="722"/>
      <c r="M16" s="722"/>
      <c r="N16" s="722"/>
      <c r="O16" s="722"/>
      <c r="P16" s="722"/>
      <c r="Q16" s="722"/>
      <c r="R16" s="722"/>
      <c r="S16" s="712"/>
      <c r="T16" s="700"/>
      <c r="U16" s="700"/>
      <c r="V16" s="700"/>
      <c r="W16" s="700"/>
      <c r="X16" s="700"/>
      <c r="Y16" s="700"/>
      <c r="Z16" s="700"/>
      <c r="AA16" s="700"/>
      <c r="AB16" s="700"/>
      <c r="AC16" s="700"/>
      <c r="AD16" s="700"/>
      <c r="AE16" s="700"/>
      <c r="AF16" s="700"/>
      <c r="AG16" s="700"/>
      <c r="AH16" s="700"/>
      <c r="AI16" s="700"/>
      <c r="AJ16" s="700"/>
      <c r="AK16" s="700"/>
      <c r="AL16" s="700"/>
      <c r="AM16" s="700"/>
      <c r="AN16" s="700"/>
      <c r="AO16" s="700"/>
      <c r="AP16" s="700"/>
      <c r="AQ16" s="700"/>
      <c r="AR16" s="700"/>
      <c r="AS16" s="700"/>
      <c r="AT16" s="700"/>
      <c r="AU16" s="700"/>
      <c r="AV16" s="700"/>
      <c r="AW16" s="700"/>
      <c r="AX16" s="700"/>
      <c r="AY16" s="700"/>
      <c r="AZ16" s="700"/>
      <c r="BA16" s="700"/>
      <c r="BB16" s="700"/>
      <c r="BC16" s="700"/>
      <c r="BD16" s="700"/>
      <c r="BE16" s="700"/>
      <c r="BF16" s="700"/>
      <c r="BG16" s="700"/>
      <c r="BH16" s="700"/>
      <c r="BI16" s="700"/>
      <c r="BJ16" s="700"/>
      <c r="BK16" s="700"/>
      <c r="BL16" s="700"/>
      <c r="BM16" s="700"/>
      <c r="BN16" s="700"/>
      <c r="BO16" s="700"/>
      <c r="BP16" s="700"/>
      <c r="BQ16" s="700"/>
      <c r="BR16" s="700"/>
      <c r="BS16" s="700"/>
      <c r="BT16" s="700"/>
      <c r="BU16" s="700"/>
      <c r="BV16" s="700"/>
      <c r="BW16" s="700"/>
      <c r="BX16" s="700"/>
      <c r="BY16" s="700"/>
      <c r="BZ16" s="700"/>
      <c r="CA16" s="700"/>
      <c r="CB16" s="700"/>
      <c r="CC16" s="700"/>
      <c r="CD16" s="700"/>
      <c r="CE16" s="700"/>
      <c r="CF16" s="700"/>
      <c r="CG16" s="700"/>
      <c r="CH16" s="700"/>
      <c r="CI16" s="700"/>
      <c r="CJ16" s="700"/>
      <c r="CK16" s="700"/>
      <c r="CL16" s="700"/>
      <c r="CM16" s="700"/>
      <c r="CN16" s="700"/>
      <c r="CO16" s="700"/>
      <c r="CP16" s="700"/>
      <c r="CQ16" s="700"/>
      <c r="CR16" s="700"/>
      <c r="CS16" s="700"/>
      <c r="CT16" s="700"/>
      <c r="CU16" s="700"/>
      <c r="CV16" s="700"/>
      <c r="CW16" s="700"/>
      <c r="CX16" s="700"/>
      <c r="CY16" s="700"/>
      <c r="CZ16" s="700"/>
      <c r="DA16" s="700"/>
      <c r="DB16" s="700"/>
      <c r="DC16" s="700"/>
      <c r="DD16" s="700"/>
      <c r="DE16" s="700"/>
      <c r="DF16" s="700"/>
      <c r="DG16" s="700"/>
      <c r="DH16" s="700"/>
      <c r="DI16" s="700"/>
      <c r="DJ16" s="700"/>
      <c r="DK16" s="700"/>
      <c r="DL16" s="700"/>
      <c r="DM16" s="700"/>
      <c r="DN16" s="700"/>
      <c r="DO16" s="700"/>
      <c r="DP16" s="700"/>
      <c r="DQ16" s="700"/>
      <c r="DR16" s="700"/>
      <c r="DS16" s="700"/>
      <c r="DT16" s="700"/>
      <c r="DU16" s="700"/>
      <c r="DV16" s="700"/>
      <c r="DW16" s="700"/>
      <c r="DX16" s="700"/>
      <c r="DY16" s="700"/>
      <c r="DZ16" s="700"/>
      <c r="EA16" s="700"/>
      <c r="EB16" s="700"/>
      <c r="EC16" s="700"/>
      <c r="ED16" s="700"/>
      <c r="EE16" s="700"/>
      <c r="EF16" s="700"/>
      <c r="EG16" s="700"/>
      <c r="EH16" s="700"/>
      <c r="EI16" s="700"/>
      <c r="EJ16" s="700"/>
      <c r="EK16" s="700"/>
      <c r="EL16" s="700"/>
      <c r="EM16" s="700"/>
      <c r="EN16" s="700"/>
      <c r="EO16" s="700"/>
      <c r="EP16" s="700"/>
      <c r="EQ16" s="700"/>
      <c r="ER16" s="700"/>
      <c r="ES16" s="700"/>
      <c r="ET16" s="700"/>
      <c r="EU16" s="700"/>
      <c r="EV16" s="700"/>
      <c r="EW16" s="700"/>
      <c r="EX16" s="700"/>
      <c r="EY16" s="700"/>
      <c r="EZ16" s="700"/>
      <c r="FA16" s="700"/>
      <c r="FB16" s="700"/>
      <c r="FC16" s="700"/>
      <c r="FD16" s="700"/>
      <c r="FE16" s="700"/>
      <c r="FF16" s="700"/>
      <c r="FG16" s="700"/>
      <c r="FH16" s="700"/>
      <c r="FI16" s="700"/>
      <c r="FJ16" s="700"/>
      <c r="FK16" s="700"/>
      <c r="FL16" s="700"/>
      <c r="FM16" s="700"/>
      <c r="FN16" s="700"/>
      <c r="FO16" s="700"/>
      <c r="FP16" s="700"/>
      <c r="FQ16" s="700"/>
      <c r="FR16" s="700"/>
      <c r="FS16" s="700"/>
      <c r="FT16" s="700"/>
      <c r="FU16" s="700"/>
      <c r="FV16" s="700"/>
      <c r="FW16" s="700"/>
      <c r="FX16" s="700"/>
      <c r="FY16" s="700"/>
      <c r="FZ16" s="700"/>
      <c r="GA16" s="700"/>
      <c r="GB16" s="700"/>
      <c r="GC16" s="700"/>
      <c r="GD16" s="700"/>
      <c r="GE16" s="700"/>
      <c r="GF16" s="700"/>
      <c r="GG16" s="700"/>
      <c r="GH16" s="700"/>
      <c r="GI16" s="700"/>
      <c r="GJ16" s="700"/>
      <c r="GK16" s="700"/>
      <c r="GL16" s="700"/>
      <c r="GM16" s="700"/>
      <c r="GN16" s="700"/>
      <c r="GO16" s="700"/>
      <c r="GP16" s="700"/>
      <c r="GQ16" s="700"/>
      <c r="GR16" s="700"/>
      <c r="GS16" s="700"/>
      <c r="GT16" s="700"/>
      <c r="GU16" s="700"/>
      <c r="GV16" s="700"/>
      <c r="GW16" s="700"/>
      <c r="GX16" s="700"/>
      <c r="GY16" s="700"/>
      <c r="GZ16" s="700"/>
      <c r="HA16" s="700"/>
      <c r="HB16" s="700"/>
      <c r="HC16" s="700"/>
      <c r="HD16" s="700"/>
      <c r="HE16" s="700"/>
      <c r="HF16" s="700"/>
      <c r="HG16" s="700"/>
      <c r="HH16" s="700"/>
      <c r="HI16" s="700"/>
      <c r="HJ16" s="700"/>
      <c r="HK16" s="700"/>
      <c r="HL16" s="700"/>
      <c r="HM16" s="700"/>
      <c r="HN16" s="700"/>
      <c r="HO16" s="700"/>
      <c r="HP16" s="700"/>
      <c r="HQ16" s="700"/>
      <c r="HR16" s="700"/>
      <c r="HS16" s="700"/>
      <c r="HT16" s="700"/>
      <c r="HU16" s="700"/>
      <c r="HV16" s="700"/>
      <c r="HW16" s="700"/>
      <c r="HX16" s="700"/>
      <c r="HY16" s="700"/>
      <c r="HZ16" s="700"/>
      <c r="IA16" s="700"/>
      <c r="IB16" s="700"/>
      <c r="IC16" s="700"/>
      <c r="ID16" s="700"/>
      <c r="IE16" s="700"/>
      <c r="IF16" s="700"/>
      <c r="IG16" s="700"/>
      <c r="IH16" s="700"/>
      <c r="II16" s="700"/>
      <c r="IJ16" s="700"/>
      <c r="IK16" s="700"/>
      <c r="IL16" s="700"/>
      <c r="IM16" s="700"/>
      <c r="IN16" s="700"/>
      <c r="IO16" s="700"/>
      <c r="IP16" s="700"/>
      <c r="IQ16" s="700"/>
      <c r="IR16" s="700"/>
      <c r="IS16" s="700"/>
      <c r="IT16" s="700"/>
      <c r="IU16" s="700"/>
      <c r="IV16" s="700"/>
      <c r="IW16" s="700"/>
      <c r="IX16" s="700"/>
      <c r="IY16" s="700"/>
      <c r="IZ16" s="700"/>
      <c r="JA16" s="700"/>
      <c r="JB16" s="700"/>
      <c r="JC16" s="700"/>
      <c r="JD16" s="700"/>
      <c r="JE16" s="700"/>
      <c r="JF16" s="700"/>
      <c r="JG16" s="700"/>
      <c r="JH16" s="700"/>
      <c r="JI16" s="700"/>
      <c r="JJ16" s="700"/>
      <c r="JK16" s="700"/>
      <c r="JL16" s="700"/>
      <c r="JM16" s="700"/>
      <c r="JN16" s="700"/>
      <c r="JO16" s="700"/>
      <c r="JP16" s="700"/>
      <c r="JQ16" s="700"/>
      <c r="JR16" s="700"/>
      <c r="JS16" s="700"/>
      <c r="JT16" s="700"/>
      <c r="JU16" s="700"/>
      <c r="JV16" s="700"/>
      <c r="JW16" s="700"/>
      <c r="JX16" s="700"/>
      <c r="JY16" s="700"/>
      <c r="JZ16" s="700"/>
      <c r="KA16" s="700"/>
      <c r="KB16" s="700"/>
      <c r="KC16" s="700"/>
      <c r="KD16" s="700"/>
      <c r="KE16" s="700"/>
      <c r="KF16" s="700"/>
      <c r="KG16" s="700"/>
      <c r="KH16" s="700"/>
      <c r="KI16" s="700"/>
      <c r="KJ16" s="700"/>
      <c r="KK16" s="700"/>
      <c r="KL16" s="700"/>
      <c r="KM16" s="700"/>
      <c r="KN16" s="700"/>
      <c r="KO16" s="700"/>
      <c r="KP16" s="700"/>
      <c r="KQ16" s="700"/>
      <c r="KR16" s="700"/>
      <c r="KS16" s="700"/>
      <c r="KT16" s="700"/>
      <c r="KU16" s="700"/>
      <c r="KV16" s="700"/>
      <c r="KW16" s="700"/>
      <c r="KX16" s="700"/>
      <c r="KY16" s="700"/>
      <c r="KZ16" s="700"/>
      <c r="LA16" s="700"/>
      <c r="LB16" s="700"/>
      <c r="LC16" s="700"/>
      <c r="LD16" s="700"/>
      <c r="LE16" s="700"/>
      <c r="LF16" s="700"/>
      <c r="LG16" s="700"/>
      <c r="LH16" s="700"/>
      <c r="LI16" s="700"/>
      <c r="LJ16" s="700"/>
      <c r="LK16" s="700"/>
      <c r="LL16" s="700"/>
      <c r="LM16" s="700"/>
      <c r="LN16" s="700"/>
      <c r="LO16" s="700"/>
      <c r="LP16" s="700"/>
      <c r="LQ16" s="700"/>
      <c r="LR16" s="700"/>
      <c r="LS16" s="700"/>
      <c r="LT16" s="700"/>
      <c r="LU16" s="700"/>
      <c r="LV16" s="700"/>
      <c r="LW16" s="700"/>
      <c r="LX16" s="700"/>
      <c r="LY16" s="700"/>
      <c r="LZ16" s="700"/>
      <c r="MA16" s="700"/>
      <c r="MB16" s="700"/>
      <c r="MC16" s="700"/>
      <c r="MD16" s="700"/>
      <c r="ME16" s="700"/>
      <c r="MF16" s="700"/>
      <c r="MG16" s="700"/>
      <c r="MH16" s="700"/>
      <c r="MI16" s="700"/>
      <c r="MJ16" s="700"/>
      <c r="MK16" s="700"/>
      <c r="ML16" s="700"/>
      <c r="MM16" s="700"/>
      <c r="MN16" s="700"/>
      <c r="MO16" s="700"/>
      <c r="MP16" s="700"/>
      <c r="MQ16" s="700"/>
      <c r="MR16" s="700"/>
      <c r="MS16" s="700"/>
      <c r="MT16" s="700"/>
      <c r="MU16" s="700"/>
      <c r="MV16" s="700"/>
      <c r="MW16" s="700"/>
      <c r="MX16" s="700"/>
      <c r="MY16" s="700"/>
      <c r="MZ16" s="700"/>
      <c r="NA16" s="700"/>
      <c r="NB16" s="700"/>
      <c r="NC16" s="700"/>
      <c r="ND16" s="700"/>
      <c r="NE16" s="700"/>
      <c r="NF16" s="700"/>
      <c r="NG16" s="700"/>
      <c r="NH16" s="700"/>
      <c r="NI16" s="700"/>
      <c r="NJ16" s="700"/>
      <c r="NK16" s="700"/>
      <c r="NL16" s="700"/>
      <c r="NM16" s="700"/>
      <c r="NN16" s="700"/>
      <c r="NO16" s="700"/>
      <c r="NP16" s="700"/>
      <c r="NQ16" s="700"/>
      <c r="NR16" s="700"/>
      <c r="NS16" s="700"/>
      <c r="NT16" s="700"/>
      <c r="NU16" s="700"/>
      <c r="NV16" s="700"/>
      <c r="NW16" s="700"/>
      <c r="NX16" s="700"/>
      <c r="NY16" s="700"/>
      <c r="NZ16" s="700"/>
      <c r="OA16" s="700"/>
      <c r="OB16" s="700"/>
      <c r="OC16" s="700"/>
      <c r="OD16" s="700"/>
      <c r="OE16" s="700"/>
      <c r="OF16" s="700"/>
      <c r="OG16" s="700"/>
      <c r="OH16" s="700"/>
      <c r="OI16" s="700"/>
      <c r="OJ16" s="700"/>
      <c r="OK16" s="700"/>
      <c r="OL16" s="700"/>
      <c r="OM16" s="700"/>
      <c r="ON16" s="700"/>
      <c r="OO16" s="700"/>
      <c r="OP16" s="700"/>
      <c r="OQ16" s="700"/>
      <c r="OR16" s="700"/>
      <c r="OS16" s="700"/>
      <c r="OT16" s="700"/>
      <c r="OU16" s="700"/>
      <c r="OV16" s="700"/>
      <c r="OW16" s="700"/>
      <c r="OX16" s="700"/>
      <c r="OY16" s="700"/>
      <c r="OZ16" s="700"/>
      <c r="PA16" s="700"/>
      <c r="PB16" s="700"/>
      <c r="PC16" s="700"/>
      <c r="PD16" s="700"/>
      <c r="PE16" s="700"/>
      <c r="PF16" s="700"/>
      <c r="PG16" s="700"/>
      <c r="PH16" s="700"/>
      <c r="PI16" s="700"/>
      <c r="PJ16" s="700"/>
      <c r="PK16" s="700"/>
      <c r="PL16" s="700"/>
      <c r="PM16" s="700"/>
      <c r="PN16" s="700"/>
      <c r="PO16" s="700"/>
      <c r="PP16" s="700"/>
      <c r="PQ16" s="700"/>
      <c r="PR16" s="700"/>
      <c r="PS16" s="700"/>
      <c r="PT16" s="700"/>
      <c r="PU16" s="700"/>
      <c r="PV16" s="700"/>
      <c r="PW16" s="700"/>
      <c r="PX16" s="700"/>
      <c r="PY16" s="700"/>
      <c r="PZ16" s="700"/>
      <c r="QA16" s="700"/>
      <c r="QB16" s="700"/>
      <c r="QC16" s="700"/>
      <c r="QD16" s="700"/>
      <c r="QE16" s="700"/>
      <c r="QF16" s="700"/>
      <c r="QG16" s="700"/>
      <c r="QH16" s="700"/>
      <c r="QI16" s="700"/>
      <c r="QJ16" s="700"/>
      <c r="QK16" s="700"/>
      <c r="QL16" s="700"/>
      <c r="QM16" s="700"/>
      <c r="QN16" s="700"/>
      <c r="QO16" s="700"/>
      <c r="QP16" s="700"/>
      <c r="QQ16" s="700"/>
      <c r="QR16" s="700"/>
      <c r="QS16" s="700"/>
      <c r="QT16" s="700"/>
      <c r="QU16" s="700"/>
      <c r="QV16" s="700"/>
      <c r="QW16" s="700"/>
      <c r="QX16" s="700"/>
      <c r="QY16" s="700"/>
      <c r="QZ16" s="700"/>
      <c r="RA16" s="700"/>
      <c r="RB16" s="700"/>
      <c r="RC16" s="700"/>
      <c r="RD16" s="700"/>
      <c r="RE16" s="700"/>
      <c r="RF16" s="700"/>
      <c r="RG16" s="700"/>
      <c r="RH16" s="700"/>
      <c r="RI16" s="700"/>
      <c r="RJ16" s="700"/>
      <c r="RK16" s="700"/>
      <c r="RL16" s="700"/>
      <c r="RM16" s="700"/>
      <c r="RN16" s="700"/>
      <c r="RO16" s="700"/>
      <c r="RP16" s="700"/>
      <c r="RQ16" s="700"/>
      <c r="RR16" s="700"/>
      <c r="RS16" s="700"/>
      <c r="RT16" s="700"/>
      <c r="RU16" s="700"/>
      <c r="RV16" s="700"/>
      <c r="RW16" s="700"/>
      <c r="RX16" s="700"/>
      <c r="RY16" s="700"/>
      <c r="RZ16" s="700"/>
      <c r="SA16" s="700"/>
      <c r="SB16" s="700"/>
      <c r="SC16" s="700"/>
      <c r="SD16" s="700"/>
      <c r="SE16" s="700"/>
      <c r="SF16" s="700"/>
      <c r="SG16" s="700"/>
      <c r="SH16" s="700"/>
      <c r="SI16" s="700"/>
      <c r="SJ16" s="700"/>
      <c r="SK16" s="700"/>
      <c r="SL16" s="700"/>
      <c r="SM16" s="700"/>
      <c r="SN16" s="700"/>
      <c r="SO16" s="700"/>
      <c r="SP16" s="700"/>
      <c r="SQ16" s="700"/>
      <c r="SR16" s="700"/>
      <c r="SS16" s="700"/>
      <c r="ST16" s="700"/>
      <c r="SU16" s="700"/>
      <c r="SV16" s="700"/>
      <c r="SW16" s="700"/>
      <c r="SX16" s="700"/>
      <c r="SY16" s="700"/>
      <c r="SZ16" s="700"/>
      <c r="TA16" s="700"/>
      <c r="TB16" s="700"/>
      <c r="TC16" s="700"/>
      <c r="TD16" s="700"/>
      <c r="TE16" s="700"/>
      <c r="TF16" s="700"/>
      <c r="TG16" s="700"/>
      <c r="TH16" s="700"/>
      <c r="TI16" s="700"/>
      <c r="TJ16" s="700"/>
      <c r="TK16" s="700"/>
      <c r="TL16" s="700"/>
      <c r="TM16" s="700"/>
      <c r="TN16" s="700"/>
      <c r="TO16" s="700"/>
      <c r="TP16" s="700"/>
      <c r="TQ16" s="700"/>
      <c r="TR16" s="700"/>
      <c r="TS16" s="700"/>
      <c r="TT16" s="700"/>
      <c r="TU16" s="700"/>
      <c r="TV16" s="700"/>
      <c r="TW16" s="700"/>
      <c r="TX16" s="700"/>
      <c r="TY16" s="700"/>
      <c r="TZ16" s="700"/>
      <c r="UA16" s="700"/>
      <c r="UB16" s="700"/>
      <c r="UC16" s="700"/>
      <c r="UD16" s="700"/>
      <c r="UE16" s="700"/>
      <c r="UF16" s="700"/>
      <c r="UG16" s="700"/>
      <c r="UH16" s="700"/>
      <c r="UI16" s="700"/>
      <c r="UJ16" s="700"/>
      <c r="UK16" s="700"/>
      <c r="UL16" s="700"/>
      <c r="UM16" s="700"/>
      <c r="UN16" s="700"/>
      <c r="UO16" s="700"/>
      <c r="UP16" s="700"/>
      <c r="UQ16" s="700"/>
      <c r="UR16" s="700"/>
      <c r="US16" s="700"/>
      <c r="UT16" s="700"/>
      <c r="UU16" s="700"/>
      <c r="UV16" s="700"/>
      <c r="UW16" s="700"/>
      <c r="UX16" s="700"/>
      <c r="UY16" s="700"/>
      <c r="UZ16" s="700"/>
      <c r="VA16" s="700"/>
      <c r="VB16" s="700"/>
      <c r="VC16" s="700"/>
      <c r="VD16" s="700"/>
      <c r="VE16" s="700"/>
      <c r="VF16" s="700"/>
      <c r="VG16" s="700"/>
      <c r="VH16" s="700"/>
      <c r="VI16" s="700"/>
      <c r="VJ16" s="700"/>
      <c r="VK16" s="700"/>
      <c r="VL16" s="700"/>
      <c r="VM16" s="700"/>
      <c r="VN16" s="700"/>
      <c r="VO16" s="700"/>
      <c r="VP16" s="700"/>
      <c r="VQ16" s="700"/>
      <c r="VR16" s="700"/>
      <c r="VS16" s="700"/>
      <c r="VT16" s="700"/>
      <c r="VU16" s="700"/>
      <c r="VV16" s="700"/>
      <c r="VW16" s="700"/>
      <c r="VX16" s="700"/>
      <c r="VY16" s="700"/>
      <c r="VZ16" s="700"/>
      <c r="WA16" s="700"/>
      <c r="WB16" s="700"/>
      <c r="WC16" s="700"/>
      <c r="WD16" s="700"/>
      <c r="WE16" s="700"/>
      <c r="WF16" s="700"/>
      <c r="WG16" s="700"/>
      <c r="WH16" s="700"/>
      <c r="WI16" s="700"/>
      <c r="WJ16" s="700"/>
      <c r="WK16" s="700"/>
      <c r="WL16" s="700"/>
      <c r="WM16" s="700"/>
      <c r="WN16" s="700"/>
      <c r="WO16" s="700"/>
      <c r="WP16" s="700"/>
      <c r="WQ16" s="700"/>
      <c r="WR16" s="700"/>
      <c r="WS16" s="700"/>
      <c r="WT16" s="700"/>
      <c r="WU16" s="700"/>
      <c r="WV16" s="700"/>
      <c r="WW16" s="700"/>
      <c r="WX16" s="700"/>
      <c r="WY16" s="700"/>
      <c r="WZ16" s="700"/>
      <c r="XA16" s="700"/>
      <c r="XB16" s="700"/>
      <c r="XC16" s="700"/>
      <c r="XD16" s="700"/>
      <c r="XE16" s="700"/>
      <c r="XF16" s="700"/>
      <c r="XG16" s="700"/>
      <c r="XH16" s="700"/>
      <c r="XI16" s="700"/>
      <c r="XJ16" s="700"/>
      <c r="XK16" s="700"/>
      <c r="XL16" s="700"/>
      <c r="XM16" s="700"/>
      <c r="XN16" s="700"/>
      <c r="XO16" s="700"/>
      <c r="XP16" s="700"/>
      <c r="XQ16" s="700"/>
      <c r="XR16" s="700"/>
      <c r="XS16" s="700"/>
      <c r="XT16" s="700"/>
      <c r="XU16" s="700"/>
      <c r="XV16" s="700"/>
      <c r="XW16" s="700"/>
      <c r="XX16" s="700"/>
      <c r="XY16" s="700"/>
      <c r="XZ16" s="700"/>
      <c r="YA16" s="700"/>
      <c r="YB16" s="700"/>
      <c r="YC16" s="700"/>
      <c r="YD16" s="700"/>
      <c r="YE16" s="700"/>
      <c r="YF16" s="700"/>
      <c r="YG16" s="700"/>
      <c r="YH16" s="700"/>
      <c r="YI16" s="700"/>
      <c r="YJ16" s="700"/>
      <c r="YK16" s="700"/>
      <c r="YL16" s="700"/>
      <c r="YM16" s="700"/>
      <c r="YN16" s="700"/>
      <c r="YO16" s="700"/>
      <c r="YP16" s="700"/>
      <c r="YQ16" s="700"/>
      <c r="YR16" s="700"/>
      <c r="YS16" s="700"/>
      <c r="YT16" s="700"/>
      <c r="YU16" s="700"/>
      <c r="YV16" s="700"/>
      <c r="YW16" s="700"/>
      <c r="YX16" s="700"/>
      <c r="YY16" s="700"/>
      <c r="YZ16" s="700"/>
      <c r="ZA16" s="700"/>
      <c r="ZB16" s="700"/>
      <c r="ZC16" s="700"/>
      <c r="ZD16" s="700"/>
      <c r="ZE16" s="700"/>
      <c r="ZF16" s="700"/>
      <c r="ZG16" s="700"/>
      <c r="ZH16" s="700"/>
      <c r="ZI16" s="700"/>
      <c r="ZJ16" s="700"/>
      <c r="ZK16" s="700"/>
      <c r="ZL16" s="700"/>
      <c r="ZM16" s="700"/>
      <c r="ZN16" s="700"/>
      <c r="ZO16" s="700"/>
      <c r="ZP16" s="700"/>
      <c r="ZQ16" s="700"/>
      <c r="ZR16" s="700"/>
      <c r="ZS16" s="700"/>
      <c r="ZT16" s="700"/>
      <c r="ZU16" s="700"/>
      <c r="ZV16" s="700"/>
      <c r="ZW16" s="700"/>
      <c r="ZX16" s="700"/>
      <c r="ZY16" s="700"/>
      <c r="ZZ16" s="700"/>
      <c r="AAA16" s="700"/>
      <c r="AAB16" s="700"/>
      <c r="AAC16" s="700"/>
      <c r="AAD16" s="700"/>
      <c r="AAE16" s="700"/>
      <c r="AAF16" s="700"/>
      <c r="AAG16" s="700"/>
      <c r="AAH16" s="700"/>
      <c r="AAI16" s="700"/>
      <c r="AAJ16" s="700"/>
      <c r="AAK16" s="700"/>
      <c r="AAL16" s="700"/>
      <c r="AAM16" s="700"/>
      <c r="AAN16" s="700"/>
      <c r="AAO16" s="700"/>
      <c r="AAP16" s="700"/>
      <c r="AAQ16" s="700"/>
      <c r="AAR16" s="700"/>
      <c r="AAS16" s="700"/>
      <c r="AAT16" s="700"/>
      <c r="AAU16" s="700"/>
      <c r="AAV16" s="700"/>
      <c r="AAW16" s="700"/>
      <c r="AAX16" s="700"/>
      <c r="AAY16" s="700"/>
      <c r="AAZ16" s="700"/>
      <c r="ABA16" s="700"/>
      <c r="ABB16" s="700"/>
      <c r="ABC16" s="700"/>
      <c r="ABD16" s="700"/>
      <c r="ABE16" s="700"/>
      <c r="ABF16" s="700"/>
      <c r="ABG16" s="700"/>
      <c r="ABH16" s="700"/>
      <c r="ABI16" s="700"/>
      <c r="ABJ16" s="700"/>
      <c r="ABK16" s="700"/>
      <c r="ABL16" s="700"/>
      <c r="ABM16" s="700"/>
      <c r="ABN16" s="700"/>
      <c r="ABO16" s="700"/>
      <c r="ABP16" s="700"/>
      <c r="ABQ16" s="700"/>
      <c r="ABR16" s="700"/>
      <c r="ABS16" s="700"/>
      <c r="ABT16" s="700"/>
      <c r="ABU16" s="700"/>
      <c r="ABV16" s="700"/>
      <c r="ABW16" s="700"/>
      <c r="ABX16" s="700"/>
      <c r="ABY16" s="700"/>
      <c r="ABZ16" s="700"/>
      <c r="ACA16" s="700"/>
      <c r="ACB16" s="700"/>
      <c r="ACC16" s="700"/>
      <c r="ACD16" s="700"/>
      <c r="ACE16" s="700"/>
      <c r="ACF16" s="700"/>
      <c r="ACG16" s="700"/>
      <c r="ACH16" s="700"/>
      <c r="ACI16" s="700"/>
      <c r="ACJ16" s="700"/>
      <c r="ACK16" s="700"/>
      <c r="ACL16" s="700"/>
      <c r="ACM16" s="700"/>
      <c r="ACN16" s="700"/>
      <c r="ACO16" s="700"/>
      <c r="ACP16" s="700"/>
      <c r="ACQ16" s="700"/>
      <c r="ACR16" s="700"/>
      <c r="ACS16" s="700"/>
      <c r="ACT16" s="700"/>
      <c r="ACU16" s="700"/>
      <c r="ACV16" s="700"/>
      <c r="ACW16" s="700"/>
      <c r="ACX16" s="700"/>
      <c r="ACY16" s="700"/>
      <c r="ACZ16" s="700"/>
      <c r="ADA16" s="700"/>
      <c r="ADB16" s="700"/>
      <c r="ADC16" s="700"/>
      <c r="ADD16" s="700"/>
      <c r="ADE16" s="700"/>
      <c r="ADF16" s="700"/>
      <c r="ADG16" s="700"/>
      <c r="ADH16" s="700"/>
      <c r="ADI16" s="700"/>
      <c r="ADJ16" s="700"/>
      <c r="ADK16" s="700"/>
      <c r="ADL16" s="700"/>
      <c r="ADM16" s="700"/>
      <c r="ADN16" s="700"/>
      <c r="ADO16" s="700"/>
      <c r="ADP16" s="700"/>
      <c r="ADQ16" s="700"/>
      <c r="ADR16" s="700"/>
      <c r="ADS16" s="700"/>
      <c r="ADT16" s="700"/>
      <c r="ADU16" s="700"/>
      <c r="ADV16" s="700"/>
      <c r="ADW16" s="700"/>
      <c r="ADX16" s="700"/>
      <c r="ADY16" s="700"/>
      <c r="ADZ16" s="700"/>
      <c r="AEA16" s="700"/>
      <c r="AEB16" s="700"/>
      <c r="AEC16" s="700"/>
      <c r="AED16" s="700"/>
      <c r="AEE16" s="700"/>
      <c r="AEF16" s="700"/>
      <c r="AEG16" s="700"/>
      <c r="AEH16" s="700"/>
      <c r="AEI16" s="700"/>
      <c r="AEJ16" s="700"/>
      <c r="AEK16" s="700"/>
      <c r="AEL16" s="700"/>
      <c r="AEM16" s="700"/>
      <c r="AEN16" s="700"/>
      <c r="AEO16" s="700"/>
      <c r="AEP16" s="700"/>
      <c r="AEQ16" s="700"/>
      <c r="AER16" s="700"/>
      <c r="AES16" s="700"/>
      <c r="AET16" s="700"/>
      <c r="AEU16" s="700"/>
      <c r="AEV16" s="700"/>
      <c r="AEW16" s="700"/>
      <c r="AEX16" s="700"/>
      <c r="AEY16" s="700"/>
      <c r="AEZ16" s="700"/>
      <c r="AFA16" s="700"/>
      <c r="AFB16" s="700"/>
      <c r="AFC16" s="700"/>
      <c r="AFD16" s="700"/>
      <c r="AFE16" s="700"/>
      <c r="AFF16" s="700"/>
      <c r="AFG16" s="700"/>
      <c r="AFH16" s="700"/>
      <c r="AFI16" s="700"/>
      <c r="AFJ16" s="700"/>
      <c r="AFK16" s="700"/>
      <c r="AFL16" s="700"/>
      <c r="AFM16" s="700"/>
      <c r="AFN16" s="700"/>
      <c r="AFO16" s="700"/>
      <c r="AFP16" s="700"/>
      <c r="AFQ16" s="700"/>
      <c r="AFR16" s="700"/>
      <c r="AFS16" s="700"/>
      <c r="AFT16" s="700"/>
      <c r="AFU16" s="700"/>
      <c r="AFV16" s="700"/>
      <c r="AFW16" s="700"/>
      <c r="AFX16" s="700"/>
      <c r="AFY16" s="700"/>
      <c r="AFZ16" s="700"/>
      <c r="AGA16" s="700"/>
      <c r="AGB16" s="700"/>
      <c r="AGC16" s="700"/>
      <c r="AGD16" s="700"/>
      <c r="AGE16" s="700"/>
      <c r="AGF16" s="700"/>
      <c r="AGG16" s="700"/>
      <c r="AGH16" s="700"/>
      <c r="AGI16" s="700"/>
      <c r="AGJ16" s="700"/>
      <c r="AGK16" s="700"/>
      <c r="AGL16" s="700"/>
      <c r="AGM16" s="700"/>
      <c r="AGN16" s="700"/>
      <c r="AGO16" s="700"/>
      <c r="AGP16" s="700"/>
      <c r="AGQ16" s="700"/>
      <c r="AGR16" s="700"/>
      <c r="AGS16" s="700"/>
      <c r="AGT16" s="700"/>
      <c r="AGU16" s="700"/>
      <c r="AGV16" s="700"/>
      <c r="AGW16" s="700"/>
      <c r="AGX16" s="700"/>
      <c r="AGY16" s="700"/>
      <c r="AGZ16" s="700"/>
      <c r="AHA16" s="700"/>
      <c r="AHB16" s="700"/>
      <c r="AHC16" s="700"/>
      <c r="AHD16" s="700"/>
      <c r="AHE16" s="700"/>
      <c r="AHF16" s="700"/>
      <c r="AHG16" s="700"/>
      <c r="AHH16" s="700"/>
      <c r="AHI16" s="700"/>
      <c r="AHJ16" s="700"/>
      <c r="AHK16" s="700"/>
      <c r="AHL16" s="700"/>
      <c r="AHM16" s="700"/>
      <c r="AHN16" s="700"/>
      <c r="AHO16" s="700"/>
      <c r="AHP16" s="700"/>
      <c r="AHQ16" s="700"/>
      <c r="AHR16" s="700"/>
      <c r="AHS16" s="700"/>
      <c r="AHT16" s="700"/>
      <c r="AHU16" s="700"/>
      <c r="AHV16" s="700"/>
      <c r="AHW16" s="700"/>
      <c r="AHX16" s="700"/>
      <c r="AHY16" s="700"/>
      <c r="AHZ16" s="700"/>
      <c r="AIA16" s="700"/>
      <c r="AIB16" s="700"/>
      <c r="AIC16" s="700"/>
      <c r="AID16" s="700"/>
      <c r="AIE16" s="700"/>
      <c r="AIF16" s="700"/>
      <c r="AIG16" s="700"/>
      <c r="AIH16" s="700"/>
      <c r="AII16" s="700"/>
      <c r="AIJ16" s="700"/>
      <c r="AIK16" s="700"/>
      <c r="AIL16" s="700"/>
      <c r="AIM16" s="700"/>
      <c r="AIN16" s="700"/>
      <c r="AIO16" s="700"/>
      <c r="AIP16" s="700"/>
      <c r="AIQ16" s="700"/>
      <c r="AIR16" s="700"/>
      <c r="AIS16" s="700"/>
      <c r="AIT16" s="700"/>
      <c r="AIU16" s="700"/>
      <c r="AIV16" s="700"/>
      <c r="AIW16" s="700"/>
      <c r="AIX16" s="700"/>
      <c r="AIY16" s="700"/>
      <c r="AIZ16" s="700"/>
      <c r="AJA16" s="700"/>
      <c r="AJB16" s="700"/>
      <c r="AJC16" s="700"/>
      <c r="AJD16" s="700"/>
      <c r="AJE16" s="700"/>
      <c r="AJF16" s="700"/>
      <c r="AJG16" s="700"/>
      <c r="AJH16" s="700"/>
      <c r="AJI16" s="700"/>
      <c r="AJJ16" s="700"/>
      <c r="AJK16" s="700"/>
      <c r="AJL16" s="700"/>
      <c r="AJM16" s="700"/>
      <c r="AJN16" s="700"/>
      <c r="AJO16" s="700"/>
      <c r="AJP16" s="700"/>
      <c r="AJQ16" s="700"/>
      <c r="AJR16" s="700"/>
      <c r="AJS16" s="700"/>
      <c r="AJT16" s="700"/>
      <c r="AJU16" s="700"/>
      <c r="AJV16" s="700"/>
      <c r="AJW16" s="700"/>
      <c r="AJX16" s="700"/>
      <c r="AJY16" s="700"/>
      <c r="AJZ16" s="700"/>
      <c r="AKA16" s="700"/>
      <c r="AKB16" s="700"/>
      <c r="AKC16" s="700"/>
      <c r="AKD16" s="700"/>
      <c r="AKE16" s="700"/>
      <c r="AKF16" s="700"/>
      <c r="AKG16" s="700"/>
      <c r="AKH16" s="700"/>
      <c r="AKI16" s="700"/>
      <c r="AKJ16" s="700"/>
      <c r="AKK16" s="700"/>
      <c r="AKL16" s="700"/>
      <c r="AKM16" s="700"/>
      <c r="AKN16" s="700"/>
      <c r="AKO16" s="700"/>
      <c r="AKP16" s="700"/>
      <c r="AKQ16" s="700"/>
      <c r="AKR16" s="700"/>
      <c r="AKS16" s="700"/>
      <c r="AKT16" s="700"/>
      <c r="AKU16" s="700"/>
      <c r="AKV16" s="700"/>
      <c r="AKW16" s="700"/>
      <c r="AKX16" s="700"/>
      <c r="AKY16" s="700"/>
      <c r="AKZ16" s="700"/>
      <c r="ALA16" s="700"/>
      <c r="ALB16" s="700"/>
      <c r="ALC16" s="700"/>
      <c r="ALD16" s="700"/>
      <c r="ALE16" s="700"/>
      <c r="ALF16" s="700"/>
      <c r="ALG16" s="700"/>
      <c r="ALH16" s="700"/>
      <c r="ALI16" s="700"/>
      <c r="ALJ16" s="700"/>
      <c r="ALK16" s="700"/>
      <c r="ALL16" s="700"/>
      <c r="ALM16" s="700"/>
      <c r="ALN16" s="700"/>
      <c r="ALO16" s="700"/>
      <c r="ALP16" s="700"/>
      <c r="ALQ16" s="700"/>
      <c r="ALR16" s="700"/>
      <c r="ALS16" s="700"/>
      <c r="ALT16" s="700"/>
      <c r="ALU16" s="700"/>
      <c r="ALV16" s="700"/>
      <c r="ALW16" s="700"/>
      <c r="ALX16" s="700"/>
      <c r="ALY16" s="700"/>
      <c r="ALZ16" s="700"/>
      <c r="AMA16" s="700"/>
      <c r="AMB16" s="700"/>
      <c r="AMC16" s="700"/>
      <c r="AMD16" s="700"/>
      <c r="AME16" s="700"/>
      <c r="AMF16" s="700"/>
      <c r="AMG16" s="700"/>
      <c r="AMH16" s="700"/>
      <c r="AMI16" s="700"/>
      <c r="AMJ16" s="700"/>
      <c r="AMK16" s="700"/>
      <c r="AML16" s="700"/>
      <c r="AMM16" s="700"/>
      <c r="AMN16" s="700"/>
      <c r="AMO16" s="700"/>
      <c r="AMP16" s="700"/>
      <c r="AMQ16" s="700"/>
      <c r="AMR16" s="700"/>
      <c r="AMS16" s="700"/>
      <c r="AMT16" s="700"/>
      <c r="AMU16" s="700"/>
      <c r="AMV16" s="700"/>
      <c r="AMW16" s="700"/>
      <c r="AMX16" s="700"/>
      <c r="AMY16" s="700"/>
      <c r="AMZ16" s="700"/>
      <c r="ANA16" s="700"/>
      <c r="ANB16" s="700"/>
      <c r="ANC16" s="700"/>
      <c r="AND16" s="700"/>
      <c r="ANE16" s="700"/>
      <c r="ANF16" s="700"/>
      <c r="ANG16" s="700"/>
      <c r="ANH16" s="700"/>
      <c r="ANI16" s="700"/>
      <c r="ANJ16" s="700"/>
      <c r="ANK16" s="700"/>
      <c r="ANL16" s="700"/>
      <c r="ANM16" s="700"/>
      <c r="ANN16" s="700"/>
      <c r="ANO16" s="700"/>
      <c r="ANP16" s="700"/>
      <c r="ANQ16" s="700"/>
      <c r="ANR16" s="700"/>
      <c r="ANS16" s="700"/>
      <c r="ANT16" s="700"/>
      <c r="ANU16" s="700"/>
      <c r="ANV16" s="700"/>
      <c r="ANW16" s="700"/>
      <c r="ANX16" s="700"/>
      <c r="ANY16" s="700"/>
      <c r="ANZ16" s="700"/>
      <c r="AOA16" s="700"/>
      <c r="AOB16" s="700"/>
      <c r="AOC16" s="700"/>
      <c r="AOD16" s="700"/>
      <c r="AOE16" s="700"/>
      <c r="AOF16" s="700"/>
      <c r="AOG16" s="700"/>
      <c r="AOH16" s="700"/>
      <c r="AOI16" s="700"/>
      <c r="AOJ16" s="700"/>
      <c r="AOK16" s="700"/>
      <c r="AOL16" s="700"/>
      <c r="AOM16" s="700"/>
      <c r="AON16" s="700"/>
      <c r="AOO16" s="700"/>
      <c r="AOP16" s="700"/>
      <c r="AOQ16" s="700"/>
      <c r="AOR16" s="700"/>
      <c r="AOS16" s="700"/>
      <c r="AOT16" s="700"/>
      <c r="AOU16" s="700"/>
      <c r="AOV16" s="700"/>
      <c r="AOW16" s="700"/>
      <c r="AOX16" s="700"/>
      <c r="AOY16" s="700"/>
      <c r="AOZ16" s="700"/>
      <c r="APA16" s="700"/>
      <c r="APB16" s="700"/>
      <c r="APC16" s="700"/>
      <c r="APD16" s="700"/>
      <c r="APE16" s="700"/>
      <c r="APF16" s="700"/>
      <c r="APG16" s="700"/>
      <c r="APH16" s="700"/>
      <c r="API16" s="700"/>
      <c r="APJ16" s="700"/>
      <c r="APK16" s="700"/>
      <c r="APL16" s="700"/>
      <c r="APM16" s="700"/>
      <c r="APN16" s="700"/>
      <c r="APO16" s="700"/>
      <c r="APP16" s="700"/>
      <c r="APQ16" s="700"/>
      <c r="APR16" s="700"/>
      <c r="APS16" s="700"/>
      <c r="APT16" s="700"/>
      <c r="APU16" s="700"/>
      <c r="APV16" s="700"/>
      <c r="APW16" s="700"/>
      <c r="APX16" s="700"/>
      <c r="APY16" s="700"/>
      <c r="APZ16" s="700"/>
      <c r="AQA16" s="700"/>
      <c r="AQB16" s="700"/>
      <c r="AQC16" s="700"/>
      <c r="AQD16" s="700"/>
      <c r="AQE16" s="700"/>
      <c r="AQF16" s="700"/>
      <c r="AQG16" s="700"/>
      <c r="AQH16" s="700"/>
      <c r="AQI16" s="700"/>
      <c r="AQJ16" s="700"/>
      <c r="AQK16" s="700"/>
      <c r="AQL16" s="700"/>
      <c r="AQM16" s="700"/>
      <c r="AQN16" s="700"/>
      <c r="AQO16" s="700"/>
      <c r="AQP16" s="700"/>
      <c r="AQQ16" s="700"/>
      <c r="AQR16" s="700"/>
      <c r="AQS16" s="700"/>
      <c r="AQT16" s="700"/>
      <c r="AQU16" s="700"/>
      <c r="AQV16" s="700"/>
      <c r="AQW16" s="700"/>
      <c r="AQX16" s="700"/>
      <c r="AQY16" s="700"/>
      <c r="AQZ16" s="700"/>
      <c r="ARA16" s="700"/>
      <c r="ARB16" s="700"/>
      <c r="ARC16" s="700"/>
      <c r="ARD16" s="700"/>
      <c r="ARE16" s="700"/>
      <c r="ARF16" s="700"/>
      <c r="ARG16" s="700"/>
      <c r="ARH16" s="700"/>
      <c r="ARI16" s="700"/>
      <c r="ARJ16" s="700"/>
      <c r="ARK16" s="700"/>
      <c r="ARL16" s="700"/>
      <c r="ARM16" s="700"/>
      <c r="ARN16" s="700"/>
      <c r="ARO16" s="700"/>
      <c r="ARP16" s="700"/>
      <c r="ARQ16" s="700"/>
      <c r="ARR16" s="700"/>
      <c r="ARS16" s="700"/>
      <c r="ART16" s="700"/>
      <c r="ARU16" s="700"/>
      <c r="ARV16" s="700"/>
      <c r="ARW16" s="700"/>
      <c r="ARX16" s="700"/>
      <c r="ARY16" s="700"/>
      <c r="ARZ16" s="700"/>
      <c r="ASA16" s="700"/>
      <c r="ASB16" s="700"/>
      <c r="ASC16" s="700"/>
      <c r="ASD16" s="700"/>
      <c r="ASE16" s="700"/>
      <c r="ASF16" s="700"/>
      <c r="ASG16" s="700"/>
      <c r="ASH16" s="700"/>
      <c r="ASI16" s="700"/>
      <c r="ASJ16" s="700"/>
      <c r="ASK16" s="700"/>
      <c r="ASL16" s="700"/>
      <c r="ASM16" s="700"/>
      <c r="ASN16" s="700"/>
      <c r="ASO16" s="700"/>
      <c r="ASP16" s="700"/>
      <c r="ASQ16" s="700"/>
      <c r="ASR16" s="700"/>
      <c r="ASS16" s="700"/>
      <c r="AST16" s="700"/>
      <c r="ASU16" s="700"/>
      <c r="ASV16" s="700"/>
      <c r="ASW16" s="700"/>
      <c r="ASX16" s="700"/>
      <c r="ASY16" s="700"/>
      <c r="ASZ16" s="700"/>
      <c r="ATA16" s="700"/>
      <c r="ATB16" s="700"/>
      <c r="ATC16" s="700"/>
      <c r="ATD16" s="700"/>
      <c r="ATE16" s="700"/>
      <c r="ATF16" s="700"/>
      <c r="ATG16" s="700"/>
      <c r="ATH16" s="700"/>
      <c r="ATI16" s="700"/>
      <c r="ATJ16" s="700"/>
      <c r="ATK16" s="700"/>
      <c r="ATL16" s="700"/>
      <c r="ATM16" s="700"/>
      <c r="ATN16" s="700"/>
      <c r="ATO16" s="700"/>
      <c r="ATP16" s="700"/>
      <c r="ATQ16" s="700"/>
      <c r="ATR16" s="700"/>
      <c r="ATS16" s="700"/>
      <c r="ATT16" s="700"/>
      <c r="ATU16" s="700"/>
      <c r="ATV16" s="700"/>
      <c r="ATW16" s="700"/>
      <c r="ATX16" s="700"/>
      <c r="ATY16" s="700"/>
      <c r="ATZ16" s="700"/>
      <c r="AUA16" s="700"/>
      <c r="AUB16" s="700"/>
      <c r="AUC16" s="700"/>
      <c r="AUD16" s="700"/>
      <c r="AUE16" s="700"/>
      <c r="AUF16" s="700"/>
      <c r="AUG16" s="700"/>
      <c r="AUH16" s="700"/>
      <c r="AUI16" s="700"/>
      <c r="AUJ16" s="700"/>
      <c r="AUK16" s="700"/>
      <c r="AUL16" s="700"/>
      <c r="AUM16" s="700"/>
      <c r="AUN16" s="700"/>
      <c r="AUO16" s="700"/>
      <c r="AUP16" s="700"/>
      <c r="AUQ16" s="700"/>
      <c r="AUR16" s="700"/>
      <c r="AUS16" s="700"/>
      <c r="AUT16" s="700"/>
      <c r="AUU16" s="700"/>
      <c r="AUV16" s="700"/>
      <c r="AUW16" s="700"/>
      <c r="AUX16" s="700"/>
      <c r="AUY16" s="700"/>
      <c r="AUZ16" s="700"/>
      <c r="AVA16" s="700"/>
      <c r="AVB16" s="700"/>
      <c r="AVC16" s="700"/>
      <c r="AVD16" s="700"/>
      <c r="AVE16" s="700"/>
      <c r="AVF16" s="700"/>
      <c r="AVG16" s="700"/>
      <c r="AVH16" s="700"/>
      <c r="AVI16" s="700"/>
      <c r="AVJ16" s="700"/>
      <c r="AVK16" s="700"/>
      <c r="AVL16" s="700"/>
      <c r="AVM16" s="700"/>
      <c r="AVN16" s="700"/>
      <c r="AVO16" s="700"/>
      <c r="AVP16" s="700"/>
      <c r="AVQ16" s="700"/>
      <c r="AVR16" s="700"/>
      <c r="AVS16" s="700"/>
      <c r="AVT16" s="700"/>
      <c r="AVU16" s="700"/>
      <c r="AVV16" s="700"/>
      <c r="AVW16" s="700"/>
      <c r="AVX16" s="700"/>
      <c r="AVY16" s="700"/>
      <c r="AVZ16" s="700"/>
      <c r="AWA16" s="700"/>
      <c r="AWB16" s="700"/>
      <c r="AWC16" s="700"/>
      <c r="AWD16" s="700"/>
      <c r="AWE16" s="700"/>
      <c r="AWF16" s="700"/>
      <c r="AWG16" s="700"/>
      <c r="AWH16" s="700"/>
      <c r="AWI16" s="700"/>
      <c r="AWJ16" s="700"/>
      <c r="AWK16" s="700"/>
      <c r="AWL16" s="700"/>
      <c r="AWM16" s="700"/>
      <c r="AWN16" s="700"/>
      <c r="AWO16" s="700"/>
      <c r="AWP16" s="700"/>
      <c r="AWQ16" s="700"/>
      <c r="AWR16" s="700"/>
      <c r="AWS16" s="700"/>
      <c r="AWT16" s="700"/>
      <c r="AWU16" s="700"/>
      <c r="AWV16" s="700"/>
      <c r="AWW16" s="700"/>
      <c r="AWX16" s="700"/>
      <c r="AWY16" s="700"/>
      <c r="AWZ16" s="700"/>
      <c r="AXA16" s="700"/>
      <c r="AXB16" s="700"/>
      <c r="AXC16" s="700"/>
      <c r="AXD16" s="700"/>
      <c r="AXE16" s="700"/>
      <c r="AXF16" s="700"/>
      <c r="AXG16" s="700"/>
      <c r="AXH16" s="700"/>
      <c r="AXI16" s="700"/>
      <c r="AXJ16" s="700"/>
      <c r="AXK16" s="700"/>
      <c r="AXL16" s="700"/>
      <c r="AXM16" s="700"/>
      <c r="AXN16" s="700"/>
      <c r="AXO16" s="700"/>
      <c r="AXP16" s="700"/>
      <c r="AXQ16" s="700"/>
      <c r="AXR16" s="700"/>
      <c r="AXS16" s="700"/>
      <c r="AXT16" s="700"/>
      <c r="AXU16" s="700"/>
      <c r="AXV16" s="700"/>
      <c r="AXW16" s="700"/>
      <c r="AXX16" s="700"/>
      <c r="AXY16" s="700"/>
      <c r="AXZ16" s="700"/>
      <c r="AYA16" s="700"/>
      <c r="AYB16" s="700"/>
      <c r="AYC16" s="700"/>
      <c r="AYD16" s="700"/>
      <c r="AYE16" s="700"/>
      <c r="AYF16" s="700"/>
      <c r="AYG16" s="700"/>
      <c r="AYH16" s="700"/>
      <c r="AYI16" s="700"/>
      <c r="AYJ16" s="700"/>
      <c r="AYK16" s="700"/>
      <c r="AYL16" s="700"/>
      <c r="AYM16" s="700"/>
      <c r="AYN16" s="700"/>
      <c r="AYO16" s="700"/>
      <c r="AYP16" s="700"/>
      <c r="AYQ16" s="700"/>
      <c r="AYR16" s="700"/>
      <c r="AYS16" s="700"/>
      <c r="AYT16" s="700"/>
      <c r="AYU16" s="700"/>
      <c r="AYV16" s="700"/>
      <c r="AYW16" s="700"/>
      <c r="AYX16" s="700"/>
      <c r="AYY16" s="700"/>
      <c r="AYZ16" s="700"/>
      <c r="AZA16" s="700"/>
      <c r="AZB16" s="700"/>
      <c r="AZC16" s="700"/>
      <c r="AZD16" s="700"/>
      <c r="AZE16" s="700"/>
      <c r="AZF16" s="700"/>
      <c r="AZG16" s="700"/>
      <c r="AZH16" s="700"/>
      <c r="AZI16" s="700"/>
      <c r="AZJ16" s="700"/>
      <c r="AZK16" s="700"/>
      <c r="AZL16" s="700"/>
      <c r="AZM16" s="700"/>
      <c r="AZN16" s="700"/>
      <c r="AZO16" s="700"/>
      <c r="AZP16" s="700"/>
      <c r="AZQ16" s="700"/>
      <c r="AZR16" s="700"/>
      <c r="AZS16" s="700"/>
      <c r="AZT16" s="700"/>
      <c r="AZU16" s="700"/>
      <c r="AZV16" s="700"/>
      <c r="AZW16" s="700"/>
      <c r="AZX16" s="700"/>
      <c r="AZY16" s="700"/>
      <c r="AZZ16" s="700"/>
      <c r="BAA16" s="700"/>
      <c r="BAB16" s="700"/>
      <c r="BAC16" s="700"/>
      <c r="BAD16" s="700"/>
      <c r="BAE16" s="700"/>
      <c r="BAF16" s="700"/>
      <c r="BAG16" s="700"/>
      <c r="BAH16" s="700"/>
      <c r="BAI16" s="700"/>
      <c r="BAJ16" s="700"/>
      <c r="BAK16" s="700"/>
      <c r="BAL16" s="700"/>
      <c r="BAM16" s="700"/>
      <c r="BAN16" s="700"/>
      <c r="BAO16" s="700"/>
      <c r="BAP16" s="700"/>
      <c r="BAQ16" s="700"/>
      <c r="BAR16" s="700"/>
      <c r="BAS16" s="700"/>
      <c r="BAT16" s="700"/>
      <c r="BAU16" s="700"/>
      <c r="BAV16" s="700"/>
      <c r="BAW16" s="700"/>
      <c r="BAX16" s="700"/>
      <c r="BAY16" s="700"/>
      <c r="BAZ16" s="700"/>
      <c r="BBA16" s="700"/>
      <c r="BBB16" s="700"/>
      <c r="BBC16" s="700"/>
      <c r="BBD16" s="700"/>
      <c r="BBE16" s="700"/>
      <c r="BBF16" s="700"/>
      <c r="BBG16" s="700"/>
      <c r="BBH16" s="700"/>
      <c r="BBI16" s="700"/>
      <c r="BBJ16" s="700"/>
      <c r="BBK16" s="700"/>
      <c r="BBL16" s="700"/>
      <c r="BBM16" s="700"/>
      <c r="BBN16" s="700"/>
      <c r="BBO16" s="700"/>
      <c r="BBP16" s="700"/>
      <c r="BBQ16" s="700"/>
      <c r="BBR16" s="700"/>
      <c r="BBS16" s="700"/>
      <c r="BBT16" s="700"/>
      <c r="BBU16" s="700"/>
      <c r="BBV16" s="700"/>
      <c r="BBW16" s="700"/>
      <c r="BBX16" s="700"/>
      <c r="BBY16" s="700"/>
      <c r="BBZ16" s="700"/>
      <c r="BCA16" s="700"/>
      <c r="BCB16" s="700"/>
      <c r="BCC16" s="700"/>
      <c r="BCD16" s="700"/>
      <c r="BCE16" s="700"/>
      <c r="BCF16" s="700"/>
      <c r="BCG16" s="700"/>
      <c r="BCH16" s="700"/>
      <c r="BCI16" s="700"/>
      <c r="BCJ16" s="700"/>
      <c r="BCK16" s="700"/>
      <c r="BCL16" s="700"/>
      <c r="BCM16" s="700"/>
      <c r="BCN16" s="700"/>
      <c r="BCO16" s="700"/>
      <c r="BCP16" s="700"/>
      <c r="BCQ16" s="700"/>
      <c r="BCR16" s="700"/>
      <c r="BCS16" s="700"/>
      <c r="BCT16" s="700"/>
      <c r="BCU16" s="700"/>
      <c r="BCV16" s="700"/>
      <c r="BCW16" s="700"/>
      <c r="BCX16" s="700"/>
      <c r="BCY16" s="700"/>
      <c r="BCZ16" s="700"/>
      <c r="BDA16" s="700"/>
      <c r="BDB16" s="700"/>
      <c r="BDC16" s="700"/>
      <c r="BDD16" s="700"/>
      <c r="BDE16" s="700"/>
      <c r="BDF16" s="700"/>
      <c r="BDG16" s="700"/>
      <c r="BDH16" s="700"/>
      <c r="BDI16" s="700"/>
      <c r="BDJ16" s="700"/>
      <c r="BDK16" s="700"/>
      <c r="BDL16" s="700"/>
      <c r="BDM16" s="700"/>
      <c r="BDN16" s="700"/>
      <c r="BDO16" s="700"/>
      <c r="BDP16" s="700"/>
      <c r="BDQ16" s="700"/>
      <c r="BDR16" s="700"/>
      <c r="BDS16" s="700"/>
      <c r="BDT16" s="700"/>
      <c r="BDU16" s="700"/>
      <c r="BDV16" s="700"/>
      <c r="BDW16" s="700"/>
      <c r="BDX16" s="700"/>
      <c r="BDY16" s="700"/>
      <c r="BDZ16" s="700"/>
      <c r="BEA16" s="700"/>
      <c r="BEB16" s="700"/>
      <c r="BEC16" s="700"/>
      <c r="BED16" s="700"/>
      <c r="BEE16" s="700"/>
      <c r="BEF16" s="700"/>
      <c r="BEG16" s="700"/>
      <c r="BEH16" s="700"/>
      <c r="BEI16" s="700"/>
      <c r="BEJ16" s="700"/>
      <c r="BEK16" s="700"/>
      <c r="BEL16" s="700"/>
      <c r="BEM16" s="700"/>
      <c r="BEN16" s="700"/>
      <c r="BEO16" s="700"/>
      <c r="BEP16" s="700"/>
      <c r="BEQ16" s="700"/>
      <c r="BER16" s="700"/>
      <c r="BES16" s="700"/>
      <c r="BET16" s="700"/>
      <c r="BEU16" s="700"/>
      <c r="BEV16" s="700"/>
      <c r="BEW16" s="700"/>
      <c r="BEX16" s="700"/>
      <c r="BEY16" s="700"/>
      <c r="BEZ16" s="700"/>
      <c r="BFA16" s="700"/>
      <c r="BFB16" s="700"/>
      <c r="BFC16" s="700"/>
      <c r="BFD16" s="700"/>
      <c r="BFE16" s="700"/>
      <c r="BFF16" s="700"/>
      <c r="BFG16" s="700"/>
      <c r="BFH16" s="700"/>
      <c r="BFI16" s="700"/>
      <c r="BFJ16" s="700"/>
      <c r="BFK16" s="700"/>
      <c r="BFL16" s="700"/>
      <c r="BFM16" s="700"/>
      <c r="BFN16" s="700"/>
      <c r="BFO16" s="700"/>
      <c r="BFP16" s="700"/>
      <c r="BFQ16" s="700"/>
      <c r="BFR16" s="700"/>
      <c r="BFS16" s="700"/>
      <c r="BFT16" s="700"/>
      <c r="BFU16" s="700"/>
      <c r="BFV16" s="700"/>
      <c r="BFW16" s="700"/>
      <c r="BFX16" s="700"/>
      <c r="BFY16" s="700"/>
      <c r="BFZ16" s="700"/>
      <c r="BGA16" s="700"/>
      <c r="BGB16" s="700"/>
      <c r="BGC16" s="700"/>
      <c r="BGD16" s="700"/>
      <c r="BGE16" s="700"/>
      <c r="BGF16" s="700"/>
      <c r="BGG16" s="700"/>
      <c r="BGH16" s="700"/>
      <c r="BGI16" s="700"/>
      <c r="BGJ16" s="700"/>
      <c r="BGK16" s="700"/>
      <c r="BGL16" s="700"/>
      <c r="BGM16" s="700"/>
      <c r="BGN16" s="700"/>
      <c r="BGO16" s="700"/>
      <c r="BGP16" s="700"/>
      <c r="BGQ16" s="700"/>
      <c r="BGR16" s="700"/>
      <c r="BGS16" s="700"/>
      <c r="BGT16" s="700"/>
      <c r="BGU16" s="700"/>
      <c r="BGV16" s="700"/>
      <c r="BGW16" s="700"/>
      <c r="BGX16" s="700"/>
      <c r="BGY16" s="700"/>
      <c r="BGZ16" s="700"/>
      <c r="BHA16" s="700"/>
      <c r="BHB16" s="700"/>
      <c r="BHC16" s="700"/>
      <c r="BHD16" s="700"/>
      <c r="BHE16" s="700"/>
      <c r="BHF16" s="700"/>
      <c r="BHG16" s="700"/>
      <c r="BHH16" s="700"/>
      <c r="BHI16" s="700"/>
      <c r="BHJ16" s="700"/>
      <c r="BHK16" s="700"/>
      <c r="BHL16" s="700"/>
      <c r="BHM16" s="700"/>
      <c r="BHN16" s="700"/>
      <c r="BHO16" s="700"/>
      <c r="BHP16" s="700"/>
      <c r="BHQ16" s="700"/>
      <c r="BHR16" s="700"/>
      <c r="BHS16" s="700"/>
      <c r="BHT16" s="700"/>
      <c r="BHU16" s="700"/>
      <c r="BHV16" s="700"/>
      <c r="BHW16" s="700"/>
      <c r="BHX16" s="700"/>
      <c r="BHY16" s="700"/>
      <c r="BHZ16" s="700"/>
      <c r="BIA16" s="700"/>
      <c r="BIB16" s="700"/>
      <c r="BIC16" s="700"/>
      <c r="BID16" s="700"/>
      <c r="BIE16" s="700"/>
      <c r="BIF16" s="700"/>
      <c r="BIG16" s="700"/>
      <c r="BIH16" s="700"/>
      <c r="BII16" s="700"/>
      <c r="BIJ16" s="700"/>
      <c r="BIK16" s="700"/>
      <c r="BIL16" s="700"/>
      <c r="BIM16" s="700"/>
      <c r="BIN16" s="700"/>
      <c r="BIO16" s="700"/>
      <c r="BIP16" s="700"/>
      <c r="BIQ16" s="700"/>
      <c r="BIR16" s="700"/>
      <c r="BIS16" s="700"/>
      <c r="BIT16" s="700"/>
      <c r="BIU16" s="700"/>
      <c r="BIV16" s="700"/>
      <c r="BIW16" s="700"/>
      <c r="BIX16" s="700"/>
      <c r="BIY16" s="700"/>
      <c r="BIZ16" s="700"/>
      <c r="BJA16" s="700"/>
      <c r="BJB16" s="700"/>
      <c r="BJC16" s="700"/>
      <c r="BJD16" s="700"/>
      <c r="BJE16" s="700"/>
      <c r="BJF16" s="700"/>
      <c r="BJG16" s="700"/>
      <c r="BJH16" s="700"/>
      <c r="BJI16" s="700"/>
      <c r="BJJ16" s="700"/>
      <c r="BJK16" s="700"/>
      <c r="BJL16" s="700"/>
      <c r="BJM16" s="700"/>
      <c r="BJN16" s="700"/>
      <c r="BJO16" s="700"/>
      <c r="BJP16" s="700"/>
      <c r="BJQ16" s="700"/>
      <c r="BJR16" s="700"/>
      <c r="BJS16" s="700"/>
      <c r="BJT16" s="700"/>
      <c r="BJU16" s="700"/>
      <c r="BJV16" s="700"/>
      <c r="BJW16" s="700"/>
      <c r="BJX16" s="700"/>
      <c r="BJY16" s="700"/>
      <c r="BJZ16" s="700"/>
      <c r="BKA16" s="700"/>
      <c r="BKB16" s="700"/>
      <c r="BKC16" s="700"/>
      <c r="BKD16" s="700"/>
      <c r="BKE16" s="700"/>
      <c r="BKF16" s="700"/>
      <c r="BKG16" s="700"/>
      <c r="BKH16" s="700"/>
      <c r="BKI16" s="700"/>
      <c r="BKJ16" s="700"/>
      <c r="BKK16" s="700"/>
      <c r="BKL16" s="700"/>
      <c r="BKM16" s="700"/>
      <c r="BKN16" s="700"/>
      <c r="BKO16" s="700"/>
      <c r="BKP16" s="700"/>
      <c r="BKQ16" s="700"/>
      <c r="BKR16" s="700"/>
      <c r="BKS16" s="700"/>
      <c r="BKT16" s="700"/>
      <c r="BKU16" s="700"/>
      <c r="BKV16" s="700"/>
      <c r="BKW16" s="700"/>
      <c r="BKX16" s="700"/>
      <c r="BKY16" s="700"/>
      <c r="BKZ16" s="700"/>
      <c r="BLA16" s="700"/>
      <c r="BLB16" s="700"/>
      <c r="BLC16" s="700"/>
      <c r="BLD16" s="700"/>
      <c r="BLE16" s="700"/>
      <c r="BLF16" s="700"/>
      <c r="BLG16" s="700"/>
      <c r="BLH16" s="700"/>
      <c r="BLI16" s="700"/>
      <c r="BLJ16" s="700"/>
      <c r="BLK16" s="700"/>
      <c r="BLL16" s="700"/>
      <c r="BLM16" s="700"/>
      <c r="BLN16" s="700"/>
      <c r="BLO16" s="700"/>
      <c r="BLP16" s="700"/>
      <c r="BLQ16" s="700"/>
      <c r="BLR16" s="700"/>
      <c r="BLS16" s="700"/>
      <c r="BLT16" s="700"/>
      <c r="BLU16" s="700"/>
      <c r="BLV16" s="700"/>
      <c r="BLW16" s="700"/>
      <c r="BLX16" s="700"/>
      <c r="BLY16" s="700"/>
      <c r="BLZ16" s="700"/>
      <c r="BMA16" s="700"/>
      <c r="BMB16" s="700"/>
      <c r="BMC16" s="700"/>
      <c r="BMD16" s="700"/>
      <c r="BME16" s="700"/>
      <c r="BMF16" s="700"/>
      <c r="BMG16" s="700"/>
      <c r="BMH16" s="700"/>
      <c r="BMI16" s="700"/>
      <c r="BMJ16" s="700"/>
      <c r="BMK16" s="700"/>
      <c r="BML16" s="700"/>
      <c r="BMM16" s="700"/>
      <c r="BMN16" s="700"/>
      <c r="BMO16" s="700"/>
      <c r="BMP16" s="700"/>
      <c r="BMQ16" s="700"/>
      <c r="BMR16" s="700"/>
      <c r="BMS16" s="700"/>
      <c r="BMT16" s="700"/>
      <c r="BMU16" s="700"/>
      <c r="BMV16" s="700"/>
      <c r="BMW16" s="700"/>
      <c r="BMX16" s="700"/>
      <c r="BMY16" s="700"/>
      <c r="BMZ16" s="700"/>
      <c r="BNA16" s="700"/>
      <c r="BNB16" s="700"/>
      <c r="BNC16" s="700"/>
      <c r="BND16" s="700"/>
      <c r="BNE16" s="700"/>
      <c r="BNF16" s="700"/>
      <c r="BNG16" s="700"/>
      <c r="BNH16" s="700"/>
      <c r="BNI16" s="700"/>
      <c r="BNJ16" s="700"/>
      <c r="BNK16" s="700"/>
      <c r="BNL16" s="700"/>
      <c r="BNM16" s="700"/>
      <c r="BNN16" s="700"/>
      <c r="BNO16" s="700"/>
      <c r="BNP16" s="700"/>
      <c r="BNQ16" s="700"/>
      <c r="BNR16" s="700"/>
      <c r="BNS16" s="700"/>
      <c r="BNT16" s="700"/>
      <c r="BNU16" s="700"/>
      <c r="BNV16" s="700"/>
      <c r="BNW16" s="700"/>
      <c r="BNX16" s="700"/>
      <c r="BNY16" s="700"/>
      <c r="BNZ16" s="700"/>
      <c r="BOA16" s="700"/>
      <c r="BOB16" s="700"/>
      <c r="BOC16" s="700"/>
      <c r="BOD16" s="700"/>
      <c r="BOE16" s="700"/>
      <c r="BOF16" s="700"/>
      <c r="BOG16" s="700"/>
      <c r="BOH16" s="700"/>
      <c r="BOI16" s="700"/>
      <c r="BOJ16" s="700"/>
      <c r="BOK16" s="700"/>
      <c r="BOL16" s="700"/>
      <c r="BOM16" s="700"/>
      <c r="BON16" s="700"/>
      <c r="BOO16" s="700"/>
      <c r="BOP16" s="700"/>
      <c r="BOQ16" s="700"/>
      <c r="BOR16" s="700"/>
      <c r="BOS16" s="700"/>
      <c r="BOT16" s="700"/>
      <c r="BOU16" s="700"/>
      <c r="BOV16" s="700"/>
      <c r="BOW16" s="700"/>
      <c r="BOX16" s="700"/>
      <c r="BOY16" s="700"/>
      <c r="BOZ16" s="700"/>
      <c r="BPA16" s="700"/>
      <c r="BPB16" s="700"/>
      <c r="BPC16" s="700"/>
      <c r="BPD16" s="700"/>
      <c r="BPE16" s="700"/>
      <c r="BPF16" s="700"/>
      <c r="BPG16" s="700"/>
      <c r="BPH16" s="700"/>
      <c r="BPI16" s="700"/>
      <c r="BPJ16" s="700"/>
      <c r="BPK16" s="700"/>
      <c r="BPL16" s="700"/>
      <c r="BPM16" s="700"/>
      <c r="BPN16" s="700"/>
      <c r="BPO16" s="700"/>
      <c r="BPP16" s="700"/>
      <c r="BPQ16" s="700"/>
      <c r="BPR16" s="700"/>
      <c r="BPS16" s="700"/>
      <c r="BPT16" s="700"/>
      <c r="BPU16" s="700"/>
      <c r="BPV16" s="700"/>
      <c r="BPW16" s="700"/>
      <c r="BPX16" s="700"/>
      <c r="BPY16" s="700"/>
      <c r="BPZ16" s="700"/>
      <c r="BQA16" s="700"/>
      <c r="BQB16" s="700"/>
      <c r="BQC16" s="700"/>
      <c r="BQD16" s="700"/>
      <c r="BQE16" s="700"/>
      <c r="BQF16" s="700"/>
      <c r="BQG16" s="700"/>
      <c r="BQH16" s="700"/>
      <c r="BQI16" s="700"/>
      <c r="BQJ16" s="700"/>
      <c r="BQK16" s="700"/>
      <c r="BQL16" s="700"/>
      <c r="BQM16" s="700"/>
      <c r="BQN16" s="700"/>
      <c r="BQO16" s="700"/>
      <c r="BQP16" s="700"/>
      <c r="BQQ16" s="700"/>
      <c r="BQR16" s="700"/>
      <c r="BQS16" s="700"/>
      <c r="BQT16" s="700"/>
      <c r="BQU16" s="700"/>
      <c r="BQV16" s="700"/>
      <c r="BQW16" s="700"/>
      <c r="BQX16" s="700"/>
      <c r="BQY16" s="700"/>
      <c r="BQZ16" s="700"/>
      <c r="BRA16" s="700"/>
      <c r="BRB16" s="700"/>
      <c r="BRC16" s="700"/>
      <c r="BRD16" s="700"/>
      <c r="BRE16" s="700"/>
      <c r="BRF16" s="700"/>
      <c r="BRG16" s="700"/>
      <c r="BRH16" s="700"/>
      <c r="BRI16" s="700"/>
      <c r="BRJ16" s="700"/>
      <c r="BRK16" s="700"/>
      <c r="BRL16" s="700"/>
      <c r="BRM16" s="700"/>
      <c r="BRN16" s="700"/>
      <c r="BRO16" s="700"/>
      <c r="BRP16" s="700"/>
      <c r="BRQ16" s="700"/>
      <c r="BRR16" s="700"/>
      <c r="BRS16" s="700"/>
      <c r="BRT16" s="700"/>
      <c r="BRU16" s="700"/>
      <c r="BRV16" s="700"/>
      <c r="BRW16" s="700"/>
      <c r="BRX16" s="700"/>
      <c r="BRY16" s="700"/>
      <c r="BRZ16" s="700"/>
      <c r="BSA16" s="700"/>
      <c r="BSB16" s="700"/>
      <c r="BSC16" s="700"/>
      <c r="BSD16" s="700"/>
      <c r="BSE16" s="700"/>
      <c r="BSF16" s="700"/>
      <c r="BSG16" s="700"/>
      <c r="BSH16" s="700"/>
      <c r="BSI16" s="700"/>
      <c r="BSJ16" s="700"/>
      <c r="BSK16" s="700"/>
      <c r="BSL16" s="700"/>
      <c r="BSM16" s="700"/>
      <c r="BSN16" s="700"/>
      <c r="BSO16" s="700"/>
      <c r="BSP16" s="700"/>
      <c r="BSQ16" s="700"/>
      <c r="BSR16" s="700"/>
      <c r="BSS16" s="700"/>
      <c r="BST16" s="700"/>
      <c r="BSU16" s="700"/>
      <c r="BSV16" s="700"/>
      <c r="BSW16" s="700"/>
      <c r="BSX16" s="700"/>
      <c r="BSY16" s="700"/>
      <c r="BSZ16" s="700"/>
      <c r="BTA16" s="700"/>
      <c r="BTB16" s="700"/>
      <c r="BTC16" s="700"/>
      <c r="BTD16" s="700"/>
      <c r="BTE16" s="700"/>
      <c r="BTF16" s="700"/>
      <c r="BTG16" s="700"/>
      <c r="BTH16" s="700"/>
      <c r="BTI16" s="700"/>
      <c r="BTJ16" s="700"/>
      <c r="BTK16" s="700"/>
      <c r="BTL16" s="700"/>
      <c r="BTM16" s="700"/>
      <c r="BTN16" s="700"/>
      <c r="BTO16" s="700"/>
      <c r="BTP16" s="700"/>
      <c r="BTQ16" s="700"/>
      <c r="BTR16" s="700"/>
      <c r="BTS16" s="700"/>
      <c r="BTT16" s="700"/>
      <c r="BTU16" s="700"/>
      <c r="BTV16" s="700"/>
      <c r="BTW16" s="700"/>
      <c r="BTX16" s="700"/>
      <c r="BTY16" s="700"/>
      <c r="BTZ16" s="700"/>
      <c r="BUA16" s="700"/>
      <c r="BUB16" s="700"/>
      <c r="BUC16" s="700"/>
      <c r="BUD16" s="700"/>
      <c r="BUE16" s="700"/>
      <c r="BUF16" s="700"/>
      <c r="BUG16" s="700"/>
      <c r="BUH16" s="700"/>
      <c r="BUI16" s="700"/>
      <c r="BUJ16" s="700"/>
      <c r="BUK16" s="700"/>
      <c r="BUL16" s="700"/>
      <c r="BUM16" s="700"/>
      <c r="BUN16" s="700"/>
      <c r="BUO16" s="700"/>
      <c r="BUP16" s="700"/>
      <c r="BUQ16" s="700"/>
      <c r="BUR16" s="700"/>
      <c r="BUS16" s="700"/>
      <c r="BUT16" s="700"/>
      <c r="BUU16" s="700"/>
      <c r="BUV16" s="700"/>
      <c r="BUW16" s="700"/>
      <c r="BUX16" s="700"/>
      <c r="BUY16" s="700"/>
      <c r="BUZ16" s="700"/>
      <c r="BVA16" s="700"/>
      <c r="BVB16" s="700"/>
      <c r="BVC16" s="700"/>
      <c r="BVD16" s="700"/>
      <c r="BVE16" s="700"/>
      <c r="BVF16" s="700"/>
      <c r="BVG16" s="700"/>
      <c r="BVH16" s="700"/>
      <c r="BVI16" s="700"/>
      <c r="BVJ16" s="700"/>
      <c r="BVK16" s="700"/>
      <c r="BVL16" s="700"/>
      <c r="BVM16" s="700"/>
      <c r="BVN16" s="700"/>
      <c r="BVO16" s="700"/>
      <c r="BVP16" s="700"/>
      <c r="BVQ16" s="700"/>
      <c r="BVR16" s="700"/>
      <c r="BVS16" s="700"/>
      <c r="BVT16" s="700"/>
      <c r="BVU16" s="700"/>
      <c r="BVV16" s="700"/>
      <c r="BVW16" s="700"/>
      <c r="BVX16" s="700"/>
      <c r="BVY16" s="700"/>
      <c r="BVZ16" s="700"/>
      <c r="BWA16" s="700"/>
      <c r="BWB16" s="700"/>
      <c r="BWC16" s="700"/>
      <c r="BWD16" s="700"/>
      <c r="BWE16" s="700"/>
      <c r="BWF16" s="700"/>
      <c r="BWG16" s="700"/>
      <c r="BWH16" s="700"/>
      <c r="BWI16" s="700"/>
      <c r="BWJ16" s="700"/>
      <c r="BWK16" s="700"/>
      <c r="BWL16" s="700"/>
      <c r="BWM16" s="700"/>
      <c r="BWN16" s="700"/>
      <c r="BWO16" s="700"/>
      <c r="BWP16" s="700"/>
      <c r="BWQ16" s="700"/>
      <c r="BWR16" s="700"/>
      <c r="BWS16" s="700"/>
      <c r="BWT16" s="700"/>
      <c r="BWU16" s="700"/>
      <c r="BWV16" s="700"/>
      <c r="BWW16" s="700"/>
      <c r="BWX16" s="700"/>
      <c r="BWY16" s="700"/>
      <c r="BWZ16" s="700"/>
      <c r="BXA16" s="700"/>
      <c r="BXB16" s="700"/>
      <c r="BXC16" s="700"/>
      <c r="BXD16" s="700"/>
      <c r="BXE16" s="700"/>
      <c r="BXF16" s="700"/>
      <c r="BXG16" s="700"/>
      <c r="BXH16" s="700"/>
      <c r="BXI16" s="700"/>
      <c r="BXJ16" s="700"/>
      <c r="BXK16" s="700"/>
      <c r="BXL16" s="700"/>
      <c r="BXM16" s="700"/>
      <c r="BXN16" s="700"/>
      <c r="BXO16" s="700"/>
      <c r="BXP16" s="700"/>
      <c r="BXQ16" s="700"/>
      <c r="BXR16" s="700"/>
      <c r="BXS16" s="700"/>
      <c r="BXT16" s="700"/>
      <c r="BXU16" s="700"/>
      <c r="BXV16" s="700"/>
      <c r="BXW16" s="700"/>
      <c r="BXX16" s="700"/>
      <c r="BXY16" s="700"/>
      <c r="BXZ16" s="700"/>
    </row>
    <row r="17" spans="1:2002" ht="15">
      <c r="A17" s="717"/>
      <c r="B17" s="706"/>
      <c r="C17" s="721" t="s">
        <v>37</v>
      </c>
      <c r="D17" s="722">
        <f>IS!Q53</f>
        <v>3000</v>
      </c>
      <c r="E17" s="722">
        <f>IS!P53</f>
        <v>6000</v>
      </c>
      <c r="F17" s="722">
        <f>IS!O53</f>
        <v>19000</v>
      </c>
      <c r="G17" s="722">
        <f>IS!N53</f>
        <v>63000</v>
      </c>
      <c r="H17" s="722">
        <f>IS!M53</f>
        <v>69000</v>
      </c>
      <c r="I17" s="722"/>
      <c r="J17" s="722"/>
      <c r="K17" s="722"/>
      <c r="L17" s="722"/>
      <c r="M17" s="722"/>
      <c r="N17" s="722"/>
      <c r="O17" s="722"/>
      <c r="P17" s="722"/>
      <c r="Q17" s="722"/>
      <c r="R17" s="722"/>
      <c r="T17" s="700"/>
      <c r="U17" s="700"/>
      <c r="V17" s="700"/>
      <c r="W17" s="700"/>
      <c r="X17" s="700"/>
      <c r="Y17" s="700"/>
      <c r="Z17" s="700"/>
      <c r="AA17" s="700"/>
      <c r="AB17" s="700"/>
      <c r="AC17" s="700"/>
      <c r="AD17" s="700"/>
      <c r="AE17" s="700"/>
      <c r="AF17" s="700"/>
      <c r="AG17" s="700"/>
      <c r="AH17" s="700"/>
      <c r="AI17" s="700"/>
      <c r="AJ17" s="700"/>
      <c r="AK17" s="700"/>
      <c r="AL17" s="700"/>
      <c r="AM17" s="700"/>
      <c r="AN17" s="700"/>
      <c r="AO17" s="700"/>
      <c r="AP17" s="700"/>
      <c r="AQ17" s="700"/>
      <c r="AR17" s="700"/>
      <c r="AS17" s="700"/>
      <c r="AT17" s="700"/>
      <c r="AU17" s="700"/>
      <c r="AV17" s="700"/>
      <c r="AW17" s="700"/>
      <c r="AX17" s="700"/>
      <c r="AY17" s="700"/>
      <c r="AZ17" s="700"/>
      <c r="BA17" s="700"/>
      <c r="BB17" s="700"/>
      <c r="BC17" s="700"/>
      <c r="BD17" s="700"/>
      <c r="BE17" s="700"/>
      <c r="BF17" s="700"/>
      <c r="BG17" s="700"/>
      <c r="BH17" s="700"/>
      <c r="BI17" s="700"/>
      <c r="BJ17" s="700"/>
      <c r="BK17" s="700"/>
      <c r="BL17" s="700"/>
      <c r="BM17" s="700"/>
      <c r="BN17" s="700"/>
      <c r="BO17" s="700"/>
      <c r="BP17" s="700"/>
      <c r="BQ17" s="700"/>
      <c r="BR17" s="700"/>
      <c r="BS17" s="700"/>
      <c r="BT17" s="700"/>
      <c r="BU17" s="700"/>
      <c r="BV17" s="700"/>
      <c r="BW17" s="700"/>
      <c r="BX17" s="700"/>
      <c r="BY17" s="700"/>
      <c r="BZ17" s="700"/>
      <c r="CA17" s="700"/>
      <c r="CB17" s="700"/>
      <c r="CC17" s="700"/>
      <c r="CD17" s="700"/>
      <c r="CE17" s="700"/>
      <c r="CF17" s="700"/>
      <c r="CG17" s="700"/>
      <c r="CH17" s="700"/>
      <c r="CI17" s="700"/>
      <c r="CJ17" s="700"/>
      <c r="CK17" s="700"/>
      <c r="CL17" s="700"/>
      <c r="CM17" s="700"/>
      <c r="CN17" s="700"/>
      <c r="CO17" s="700"/>
      <c r="CP17" s="700"/>
      <c r="CQ17" s="700"/>
      <c r="CR17" s="700"/>
      <c r="CS17" s="700"/>
      <c r="CT17" s="700"/>
      <c r="CU17" s="700"/>
      <c r="CV17" s="700"/>
      <c r="CW17" s="700"/>
      <c r="CX17" s="700"/>
      <c r="CY17" s="700"/>
      <c r="CZ17" s="700"/>
      <c r="DA17" s="700"/>
      <c r="DB17" s="700"/>
      <c r="DC17" s="700"/>
      <c r="DD17" s="700"/>
      <c r="DE17" s="700"/>
      <c r="DF17" s="700"/>
      <c r="DG17" s="700"/>
      <c r="DH17" s="700"/>
      <c r="DI17" s="700"/>
      <c r="DJ17" s="700"/>
      <c r="DK17" s="700"/>
      <c r="DL17" s="700"/>
      <c r="DM17" s="700"/>
      <c r="DN17" s="700"/>
      <c r="DO17" s="700"/>
      <c r="DP17" s="700"/>
      <c r="DQ17" s="700"/>
      <c r="DR17" s="700"/>
      <c r="DS17" s="700"/>
      <c r="DT17" s="700"/>
      <c r="DU17" s="700"/>
      <c r="DV17" s="700"/>
      <c r="DW17" s="700"/>
      <c r="DX17" s="700"/>
      <c r="DY17" s="700"/>
      <c r="DZ17" s="700"/>
      <c r="EA17" s="700"/>
      <c r="EB17" s="700"/>
      <c r="EC17" s="700"/>
      <c r="ED17" s="700"/>
      <c r="EE17" s="700"/>
      <c r="EF17" s="700"/>
      <c r="EG17" s="700"/>
      <c r="EH17" s="700"/>
      <c r="EI17" s="700"/>
      <c r="EJ17" s="700"/>
      <c r="EK17" s="700"/>
      <c r="EL17" s="700"/>
      <c r="EM17" s="700"/>
      <c r="EN17" s="700"/>
      <c r="EO17" s="700"/>
      <c r="EP17" s="700"/>
      <c r="EQ17" s="700"/>
      <c r="ER17" s="700"/>
      <c r="ES17" s="700"/>
      <c r="ET17" s="700"/>
      <c r="EU17" s="700"/>
      <c r="EV17" s="700"/>
      <c r="EW17" s="700"/>
      <c r="EX17" s="700"/>
      <c r="EY17" s="700"/>
      <c r="EZ17" s="700"/>
      <c r="FA17" s="700"/>
      <c r="FB17" s="700"/>
      <c r="FC17" s="700"/>
      <c r="FD17" s="700"/>
      <c r="FE17" s="700"/>
      <c r="FF17" s="700"/>
      <c r="FG17" s="700"/>
      <c r="FH17" s="700"/>
      <c r="FI17" s="700"/>
      <c r="FJ17" s="700"/>
      <c r="FK17" s="700"/>
      <c r="FL17" s="700"/>
      <c r="FM17" s="700"/>
      <c r="FN17" s="700"/>
      <c r="FO17" s="700"/>
      <c r="FP17" s="700"/>
      <c r="FQ17" s="700"/>
      <c r="FR17" s="700"/>
      <c r="FS17" s="700"/>
      <c r="FT17" s="700"/>
      <c r="FU17" s="700"/>
      <c r="FV17" s="700"/>
      <c r="FW17" s="700"/>
      <c r="FX17" s="700"/>
      <c r="FY17" s="700"/>
      <c r="FZ17" s="700"/>
      <c r="GA17" s="700"/>
      <c r="GB17" s="700"/>
      <c r="GC17" s="700"/>
      <c r="GD17" s="700"/>
      <c r="GE17" s="700"/>
      <c r="GF17" s="700"/>
      <c r="GG17" s="700"/>
      <c r="GH17" s="700"/>
      <c r="GI17" s="700"/>
      <c r="GJ17" s="700"/>
      <c r="GK17" s="700"/>
      <c r="GL17" s="700"/>
      <c r="GM17" s="700"/>
      <c r="GN17" s="700"/>
      <c r="GO17" s="700"/>
      <c r="GP17" s="700"/>
      <c r="GQ17" s="700"/>
      <c r="GR17" s="700"/>
      <c r="GS17" s="700"/>
      <c r="GT17" s="700"/>
      <c r="GU17" s="700"/>
      <c r="GV17" s="700"/>
      <c r="GW17" s="700"/>
      <c r="GX17" s="700"/>
      <c r="GY17" s="700"/>
      <c r="GZ17" s="700"/>
      <c r="HA17" s="700"/>
      <c r="HB17" s="700"/>
      <c r="HC17" s="700"/>
      <c r="HD17" s="700"/>
      <c r="HE17" s="700"/>
      <c r="HF17" s="700"/>
      <c r="HG17" s="700"/>
      <c r="HH17" s="700"/>
      <c r="HI17" s="700"/>
      <c r="HJ17" s="700"/>
      <c r="HK17" s="700"/>
      <c r="HL17" s="700"/>
      <c r="HM17" s="700"/>
      <c r="HN17" s="700"/>
      <c r="HO17" s="700"/>
      <c r="HP17" s="700"/>
      <c r="HQ17" s="700"/>
      <c r="HR17" s="700"/>
      <c r="HS17" s="700"/>
      <c r="HT17" s="700"/>
      <c r="HU17" s="700"/>
      <c r="HV17" s="700"/>
      <c r="HW17" s="700"/>
      <c r="HX17" s="700"/>
      <c r="HY17" s="700"/>
      <c r="HZ17" s="700"/>
      <c r="IA17" s="700"/>
      <c r="IB17" s="700"/>
      <c r="IC17" s="700"/>
      <c r="ID17" s="700"/>
      <c r="IE17" s="700"/>
      <c r="IF17" s="700"/>
      <c r="IG17" s="700"/>
      <c r="IH17" s="700"/>
      <c r="II17" s="700"/>
      <c r="IJ17" s="700"/>
      <c r="IK17" s="700"/>
      <c r="IL17" s="700"/>
      <c r="IM17" s="700"/>
      <c r="IN17" s="700"/>
      <c r="IO17" s="700"/>
      <c r="IP17" s="700"/>
      <c r="IQ17" s="700"/>
      <c r="IR17" s="700"/>
      <c r="IS17" s="700"/>
      <c r="IT17" s="700"/>
      <c r="IU17" s="700"/>
      <c r="IV17" s="700"/>
      <c r="IW17" s="700"/>
      <c r="IX17" s="700"/>
      <c r="IY17" s="700"/>
      <c r="IZ17" s="700"/>
      <c r="JA17" s="700"/>
      <c r="JB17" s="700"/>
      <c r="JC17" s="700"/>
      <c r="JD17" s="700"/>
      <c r="JE17" s="700"/>
      <c r="JF17" s="700"/>
      <c r="JG17" s="700"/>
      <c r="JH17" s="700"/>
      <c r="JI17" s="700"/>
      <c r="JJ17" s="700"/>
      <c r="JK17" s="700"/>
      <c r="JL17" s="700"/>
      <c r="JM17" s="700"/>
      <c r="JN17" s="700"/>
      <c r="JO17" s="700"/>
      <c r="JP17" s="700"/>
      <c r="JQ17" s="700"/>
      <c r="JR17" s="700"/>
      <c r="JS17" s="700"/>
      <c r="JT17" s="700"/>
      <c r="JU17" s="700"/>
      <c r="JV17" s="700"/>
      <c r="JW17" s="700"/>
      <c r="JX17" s="700"/>
      <c r="JY17" s="700"/>
      <c r="JZ17" s="700"/>
      <c r="KA17" s="700"/>
      <c r="KB17" s="700"/>
      <c r="KC17" s="700"/>
      <c r="KD17" s="700"/>
      <c r="KE17" s="700"/>
      <c r="KF17" s="700"/>
      <c r="KG17" s="700"/>
      <c r="KH17" s="700"/>
      <c r="KI17" s="700"/>
      <c r="KJ17" s="700"/>
      <c r="KK17" s="700"/>
      <c r="KL17" s="700"/>
      <c r="KM17" s="700"/>
      <c r="KN17" s="700"/>
      <c r="KO17" s="700"/>
      <c r="KP17" s="700"/>
      <c r="KQ17" s="700"/>
      <c r="KR17" s="700"/>
      <c r="KS17" s="700"/>
      <c r="KT17" s="700"/>
      <c r="KU17" s="700"/>
      <c r="KV17" s="700"/>
      <c r="KW17" s="700"/>
      <c r="KX17" s="700"/>
      <c r="KY17" s="700"/>
      <c r="KZ17" s="700"/>
      <c r="LA17" s="700"/>
      <c r="LB17" s="700"/>
      <c r="LC17" s="700"/>
      <c r="LD17" s="700"/>
      <c r="LE17" s="700"/>
      <c r="LF17" s="700"/>
      <c r="LG17" s="700"/>
      <c r="LH17" s="700"/>
      <c r="LI17" s="700"/>
      <c r="LJ17" s="700"/>
      <c r="LK17" s="700"/>
      <c r="LL17" s="700"/>
      <c r="LM17" s="700"/>
      <c r="LN17" s="700"/>
      <c r="LO17" s="700"/>
      <c r="LP17" s="700"/>
      <c r="LQ17" s="700"/>
      <c r="LR17" s="700"/>
      <c r="LS17" s="700"/>
      <c r="LT17" s="700"/>
      <c r="LU17" s="700"/>
      <c r="LV17" s="700"/>
      <c r="LW17" s="700"/>
      <c r="LX17" s="700"/>
      <c r="LY17" s="700"/>
      <c r="LZ17" s="700"/>
      <c r="MA17" s="700"/>
      <c r="MB17" s="700"/>
      <c r="MC17" s="700"/>
      <c r="MD17" s="700"/>
      <c r="ME17" s="700"/>
      <c r="MF17" s="700"/>
      <c r="MG17" s="700"/>
      <c r="MH17" s="700"/>
      <c r="MI17" s="700"/>
      <c r="MJ17" s="700"/>
      <c r="MK17" s="700"/>
      <c r="ML17" s="700"/>
      <c r="MM17" s="700"/>
      <c r="MN17" s="700"/>
      <c r="MO17" s="700"/>
      <c r="MP17" s="700"/>
      <c r="MQ17" s="700"/>
      <c r="MR17" s="700"/>
      <c r="MS17" s="700"/>
      <c r="MT17" s="700"/>
      <c r="MU17" s="700"/>
      <c r="MV17" s="700"/>
      <c r="MW17" s="700"/>
      <c r="MX17" s="700"/>
      <c r="MY17" s="700"/>
      <c r="MZ17" s="700"/>
      <c r="NA17" s="700"/>
      <c r="NB17" s="700"/>
      <c r="NC17" s="700"/>
      <c r="ND17" s="700"/>
      <c r="NE17" s="700"/>
      <c r="NF17" s="700"/>
      <c r="NG17" s="700"/>
      <c r="NH17" s="700"/>
      <c r="NI17" s="700"/>
      <c r="NJ17" s="700"/>
      <c r="NK17" s="700"/>
      <c r="NL17" s="700"/>
      <c r="NM17" s="700"/>
      <c r="NN17" s="700"/>
      <c r="NO17" s="700"/>
      <c r="NP17" s="700"/>
      <c r="NQ17" s="700"/>
      <c r="NR17" s="700"/>
      <c r="NS17" s="700"/>
      <c r="NT17" s="700"/>
      <c r="NU17" s="700"/>
      <c r="NV17" s="700"/>
      <c r="NW17" s="700"/>
      <c r="NX17" s="700"/>
      <c r="NY17" s="700"/>
      <c r="NZ17" s="700"/>
      <c r="OA17" s="700"/>
      <c r="OB17" s="700"/>
      <c r="OC17" s="700"/>
      <c r="OD17" s="700"/>
      <c r="OE17" s="700"/>
      <c r="OF17" s="700"/>
      <c r="OG17" s="700"/>
      <c r="OH17" s="700"/>
      <c r="OI17" s="700"/>
      <c r="OJ17" s="700"/>
      <c r="OK17" s="700"/>
      <c r="OL17" s="700"/>
      <c r="OM17" s="700"/>
      <c r="ON17" s="700"/>
      <c r="OO17" s="700"/>
      <c r="OP17" s="700"/>
      <c r="OQ17" s="700"/>
      <c r="OR17" s="700"/>
      <c r="OS17" s="700"/>
      <c r="OT17" s="700"/>
      <c r="OU17" s="700"/>
      <c r="OV17" s="700"/>
      <c r="OW17" s="700"/>
      <c r="OX17" s="700"/>
      <c r="OY17" s="700"/>
      <c r="OZ17" s="700"/>
      <c r="PA17" s="700"/>
      <c r="PB17" s="700"/>
      <c r="PC17" s="700"/>
      <c r="PD17" s="700"/>
      <c r="PE17" s="700"/>
      <c r="PF17" s="700"/>
      <c r="PG17" s="700"/>
      <c r="PH17" s="700"/>
      <c r="PI17" s="700"/>
      <c r="PJ17" s="700"/>
      <c r="PK17" s="700"/>
      <c r="PL17" s="700"/>
      <c r="PM17" s="700"/>
      <c r="PN17" s="700"/>
      <c r="PO17" s="700"/>
      <c r="PP17" s="700"/>
      <c r="PQ17" s="700"/>
      <c r="PR17" s="700"/>
      <c r="PS17" s="700"/>
      <c r="PT17" s="700"/>
      <c r="PU17" s="700"/>
      <c r="PV17" s="700"/>
      <c r="PW17" s="700"/>
      <c r="PX17" s="700"/>
      <c r="PY17" s="700"/>
      <c r="PZ17" s="700"/>
      <c r="QA17" s="700"/>
      <c r="QB17" s="700"/>
      <c r="QC17" s="700"/>
      <c r="QD17" s="700"/>
      <c r="QE17" s="700"/>
      <c r="QF17" s="700"/>
      <c r="QG17" s="700"/>
      <c r="QH17" s="700"/>
      <c r="QI17" s="700"/>
      <c r="QJ17" s="700"/>
      <c r="QK17" s="700"/>
      <c r="QL17" s="700"/>
      <c r="QM17" s="700"/>
      <c r="QN17" s="700"/>
      <c r="QO17" s="700"/>
      <c r="QP17" s="700"/>
      <c r="QQ17" s="700"/>
      <c r="QR17" s="700"/>
      <c r="QS17" s="700"/>
      <c r="QT17" s="700"/>
      <c r="QU17" s="700"/>
      <c r="QV17" s="700"/>
      <c r="QW17" s="700"/>
      <c r="QX17" s="700"/>
      <c r="QY17" s="700"/>
      <c r="QZ17" s="700"/>
      <c r="RA17" s="700"/>
      <c r="RB17" s="700"/>
      <c r="RC17" s="700"/>
      <c r="RD17" s="700"/>
      <c r="RE17" s="700"/>
      <c r="RF17" s="700"/>
      <c r="RG17" s="700"/>
      <c r="RH17" s="700"/>
      <c r="RI17" s="700"/>
      <c r="RJ17" s="700"/>
      <c r="RK17" s="700"/>
      <c r="RL17" s="700"/>
      <c r="RM17" s="700"/>
      <c r="RN17" s="700"/>
      <c r="RO17" s="700"/>
      <c r="RP17" s="700"/>
      <c r="RQ17" s="700"/>
      <c r="RR17" s="700"/>
      <c r="RS17" s="700"/>
      <c r="RT17" s="700"/>
      <c r="RU17" s="700"/>
      <c r="RV17" s="700"/>
      <c r="RW17" s="700"/>
      <c r="RX17" s="700"/>
      <c r="RY17" s="700"/>
      <c r="RZ17" s="700"/>
      <c r="SA17" s="700"/>
      <c r="SB17" s="700"/>
      <c r="SC17" s="700"/>
      <c r="SD17" s="700"/>
      <c r="SE17" s="700"/>
      <c r="SF17" s="700"/>
      <c r="SG17" s="700"/>
      <c r="SH17" s="700"/>
      <c r="SI17" s="700"/>
      <c r="SJ17" s="700"/>
      <c r="SK17" s="700"/>
      <c r="SL17" s="700"/>
      <c r="SM17" s="700"/>
      <c r="SN17" s="700"/>
      <c r="SO17" s="700"/>
      <c r="SP17" s="700"/>
      <c r="SQ17" s="700"/>
      <c r="SR17" s="700"/>
      <c r="SS17" s="700"/>
      <c r="ST17" s="700"/>
      <c r="SU17" s="700"/>
      <c r="SV17" s="700"/>
      <c r="SW17" s="700"/>
      <c r="SX17" s="700"/>
      <c r="SY17" s="700"/>
      <c r="SZ17" s="700"/>
      <c r="TA17" s="700"/>
      <c r="TB17" s="700"/>
      <c r="TC17" s="700"/>
      <c r="TD17" s="700"/>
      <c r="TE17" s="700"/>
      <c r="TF17" s="700"/>
      <c r="TG17" s="700"/>
      <c r="TH17" s="700"/>
      <c r="TI17" s="700"/>
      <c r="TJ17" s="700"/>
      <c r="TK17" s="700"/>
      <c r="TL17" s="700"/>
      <c r="TM17" s="700"/>
      <c r="TN17" s="700"/>
      <c r="TO17" s="700"/>
      <c r="TP17" s="700"/>
      <c r="TQ17" s="700"/>
      <c r="TR17" s="700"/>
      <c r="TS17" s="700"/>
      <c r="TT17" s="700"/>
      <c r="TU17" s="700"/>
      <c r="TV17" s="700"/>
      <c r="TW17" s="700"/>
      <c r="TX17" s="700"/>
      <c r="TY17" s="700"/>
      <c r="TZ17" s="700"/>
      <c r="UA17" s="700"/>
      <c r="UB17" s="700"/>
      <c r="UC17" s="700"/>
      <c r="UD17" s="700"/>
      <c r="UE17" s="700"/>
      <c r="UF17" s="700"/>
      <c r="UG17" s="700"/>
      <c r="UH17" s="700"/>
      <c r="UI17" s="700"/>
      <c r="UJ17" s="700"/>
      <c r="UK17" s="700"/>
      <c r="UL17" s="700"/>
      <c r="UM17" s="700"/>
      <c r="UN17" s="700"/>
      <c r="UO17" s="700"/>
      <c r="UP17" s="700"/>
      <c r="UQ17" s="700"/>
      <c r="UR17" s="700"/>
      <c r="US17" s="700"/>
      <c r="UT17" s="700"/>
      <c r="UU17" s="700"/>
      <c r="UV17" s="700"/>
      <c r="UW17" s="700"/>
      <c r="UX17" s="700"/>
      <c r="UY17" s="700"/>
      <c r="UZ17" s="700"/>
      <c r="VA17" s="700"/>
      <c r="VB17" s="700"/>
      <c r="VC17" s="700"/>
      <c r="VD17" s="700"/>
      <c r="VE17" s="700"/>
      <c r="VF17" s="700"/>
      <c r="VG17" s="700"/>
      <c r="VH17" s="700"/>
      <c r="VI17" s="700"/>
      <c r="VJ17" s="700"/>
      <c r="VK17" s="700"/>
      <c r="VL17" s="700"/>
      <c r="VM17" s="700"/>
      <c r="VN17" s="700"/>
      <c r="VO17" s="700"/>
      <c r="VP17" s="700"/>
      <c r="VQ17" s="700"/>
      <c r="VR17" s="700"/>
      <c r="VS17" s="700"/>
      <c r="VT17" s="700"/>
      <c r="VU17" s="700"/>
      <c r="VV17" s="700"/>
      <c r="VW17" s="700"/>
      <c r="VX17" s="700"/>
      <c r="VY17" s="700"/>
      <c r="VZ17" s="700"/>
      <c r="WA17" s="700"/>
      <c r="WB17" s="700"/>
      <c r="WC17" s="700"/>
      <c r="WD17" s="700"/>
      <c r="WE17" s="700"/>
      <c r="WF17" s="700"/>
      <c r="WG17" s="700"/>
      <c r="WH17" s="700"/>
      <c r="WI17" s="700"/>
      <c r="WJ17" s="700"/>
      <c r="WK17" s="700"/>
      <c r="WL17" s="700"/>
      <c r="WM17" s="700"/>
      <c r="WN17" s="700"/>
      <c r="WO17" s="700"/>
      <c r="WP17" s="700"/>
      <c r="WQ17" s="700"/>
      <c r="WR17" s="700"/>
      <c r="WS17" s="700"/>
      <c r="WT17" s="700"/>
      <c r="WU17" s="700"/>
      <c r="WV17" s="700"/>
      <c r="WW17" s="700"/>
      <c r="WX17" s="700"/>
      <c r="WY17" s="700"/>
      <c r="WZ17" s="700"/>
      <c r="XA17" s="700"/>
      <c r="XB17" s="700"/>
      <c r="XC17" s="700"/>
      <c r="XD17" s="700"/>
      <c r="XE17" s="700"/>
      <c r="XF17" s="700"/>
      <c r="XG17" s="700"/>
      <c r="XH17" s="700"/>
      <c r="XI17" s="700"/>
      <c r="XJ17" s="700"/>
      <c r="XK17" s="700"/>
      <c r="XL17" s="700"/>
      <c r="XM17" s="700"/>
      <c r="XN17" s="700"/>
      <c r="XO17" s="700"/>
      <c r="XP17" s="700"/>
      <c r="XQ17" s="700"/>
      <c r="XR17" s="700"/>
      <c r="XS17" s="700"/>
      <c r="XT17" s="700"/>
      <c r="XU17" s="700"/>
      <c r="XV17" s="700"/>
      <c r="XW17" s="700"/>
      <c r="XX17" s="700"/>
      <c r="XY17" s="700"/>
      <c r="XZ17" s="700"/>
      <c r="YA17" s="700"/>
      <c r="YB17" s="700"/>
      <c r="YC17" s="700"/>
      <c r="YD17" s="700"/>
      <c r="YE17" s="700"/>
      <c r="YF17" s="700"/>
      <c r="YG17" s="700"/>
      <c r="YH17" s="700"/>
      <c r="YI17" s="700"/>
      <c r="YJ17" s="700"/>
      <c r="YK17" s="700"/>
      <c r="YL17" s="700"/>
      <c r="YM17" s="700"/>
      <c r="YN17" s="700"/>
      <c r="YO17" s="700"/>
      <c r="YP17" s="700"/>
      <c r="YQ17" s="700"/>
      <c r="YR17" s="700"/>
      <c r="YS17" s="700"/>
      <c r="YT17" s="700"/>
      <c r="YU17" s="700"/>
      <c r="YV17" s="700"/>
      <c r="YW17" s="700"/>
      <c r="YX17" s="700"/>
      <c r="YY17" s="700"/>
      <c r="YZ17" s="700"/>
      <c r="ZA17" s="700"/>
      <c r="ZB17" s="700"/>
      <c r="ZC17" s="700"/>
      <c r="ZD17" s="700"/>
      <c r="ZE17" s="700"/>
      <c r="ZF17" s="700"/>
      <c r="ZG17" s="700"/>
      <c r="ZH17" s="700"/>
      <c r="ZI17" s="700"/>
      <c r="ZJ17" s="700"/>
      <c r="ZK17" s="700"/>
      <c r="ZL17" s="700"/>
      <c r="ZM17" s="700"/>
      <c r="ZN17" s="700"/>
      <c r="ZO17" s="700"/>
      <c r="ZP17" s="700"/>
      <c r="ZQ17" s="700"/>
      <c r="ZR17" s="700"/>
      <c r="ZS17" s="700"/>
      <c r="ZT17" s="700"/>
      <c r="ZU17" s="700"/>
      <c r="ZV17" s="700"/>
      <c r="ZW17" s="700"/>
      <c r="ZX17" s="700"/>
      <c r="ZY17" s="700"/>
      <c r="ZZ17" s="700"/>
      <c r="AAA17" s="700"/>
      <c r="AAB17" s="700"/>
      <c r="AAC17" s="700"/>
      <c r="AAD17" s="700"/>
      <c r="AAE17" s="700"/>
      <c r="AAF17" s="700"/>
      <c r="AAG17" s="700"/>
      <c r="AAH17" s="700"/>
      <c r="AAI17" s="700"/>
      <c r="AAJ17" s="700"/>
      <c r="AAK17" s="700"/>
      <c r="AAL17" s="700"/>
      <c r="AAM17" s="700"/>
      <c r="AAN17" s="700"/>
      <c r="AAO17" s="700"/>
      <c r="AAP17" s="700"/>
      <c r="AAQ17" s="700"/>
      <c r="AAR17" s="700"/>
      <c r="AAS17" s="700"/>
      <c r="AAT17" s="700"/>
      <c r="AAU17" s="700"/>
      <c r="AAV17" s="700"/>
      <c r="AAW17" s="700"/>
      <c r="AAX17" s="700"/>
      <c r="AAY17" s="700"/>
      <c r="AAZ17" s="700"/>
      <c r="ABA17" s="700"/>
      <c r="ABB17" s="700"/>
      <c r="ABC17" s="700"/>
      <c r="ABD17" s="700"/>
      <c r="ABE17" s="700"/>
      <c r="ABF17" s="700"/>
      <c r="ABG17" s="700"/>
      <c r="ABH17" s="700"/>
      <c r="ABI17" s="700"/>
      <c r="ABJ17" s="700"/>
      <c r="ABK17" s="700"/>
      <c r="ABL17" s="700"/>
      <c r="ABM17" s="700"/>
      <c r="ABN17" s="700"/>
      <c r="ABO17" s="700"/>
      <c r="ABP17" s="700"/>
      <c r="ABQ17" s="700"/>
      <c r="ABR17" s="700"/>
      <c r="ABS17" s="700"/>
      <c r="ABT17" s="700"/>
      <c r="ABU17" s="700"/>
      <c r="ABV17" s="700"/>
      <c r="ABW17" s="700"/>
      <c r="ABX17" s="700"/>
      <c r="ABY17" s="700"/>
      <c r="ABZ17" s="700"/>
      <c r="ACA17" s="700"/>
      <c r="ACB17" s="700"/>
      <c r="ACC17" s="700"/>
      <c r="ACD17" s="700"/>
      <c r="ACE17" s="700"/>
      <c r="ACF17" s="700"/>
      <c r="ACG17" s="700"/>
      <c r="ACH17" s="700"/>
      <c r="ACI17" s="700"/>
      <c r="ACJ17" s="700"/>
      <c r="ACK17" s="700"/>
      <c r="ACL17" s="700"/>
      <c r="ACM17" s="700"/>
      <c r="ACN17" s="700"/>
      <c r="ACO17" s="700"/>
      <c r="ACP17" s="700"/>
      <c r="ACQ17" s="700"/>
      <c r="ACR17" s="700"/>
      <c r="ACS17" s="700"/>
      <c r="ACT17" s="700"/>
      <c r="ACU17" s="700"/>
      <c r="ACV17" s="700"/>
      <c r="ACW17" s="700"/>
      <c r="ACX17" s="700"/>
      <c r="ACY17" s="700"/>
      <c r="ACZ17" s="700"/>
      <c r="ADA17" s="700"/>
      <c r="ADB17" s="700"/>
      <c r="ADC17" s="700"/>
      <c r="ADD17" s="700"/>
      <c r="ADE17" s="700"/>
      <c r="ADF17" s="700"/>
      <c r="ADG17" s="700"/>
      <c r="ADH17" s="700"/>
      <c r="ADI17" s="700"/>
      <c r="ADJ17" s="700"/>
      <c r="ADK17" s="700"/>
      <c r="ADL17" s="700"/>
      <c r="ADM17" s="700"/>
      <c r="ADN17" s="700"/>
      <c r="ADO17" s="700"/>
      <c r="ADP17" s="700"/>
      <c r="ADQ17" s="700"/>
      <c r="ADR17" s="700"/>
      <c r="ADS17" s="700"/>
      <c r="ADT17" s="700"/>
      <c r="ADU17" s="700"/>
      <c r="ADV17" s="700"/>
      <c r="ADW17" s="700"/>
      <c r="ADX17" s="700"/>
      <c r="ADY17" s="700"/>
      <c r="ADZ17" s="700"/>
      <c r="AEA17" s="700"/>
      <c r="AEB17" s="700"/>
      <c r="AEC17" s="700"/>
      <c r="AED17" s="700"/>
      <c r="AEE17" s="700"/>
      <c r="AEF17" s="700"/>
      <c r="AEG17" s="700"/>
      <c r="AEH17" s="700"/>
      <c r="AEI17" s="700"/>
      <c r="AEJ17" s="700"/>
      <c r="AEK17" s="700"/>
      <c r="AEL17" s="700"/>
      <c r="AEM17" s="700"/>
      <c r="AEN17" s="700"/>
      <c r="AEO17" s="700"/>
      <c r="AEP17" s="700"/>
      <c r="AEQ17" s="700"/>
      <c r="AER17" s="700"/>
      <c r="AES17" s="700"/>
      <c r="AET17" s="700"/>
      <c r="AEU17" s="700"/>
      <c r="AEV17" s="700"/>
      <c r="AEW17" s="700"/>
      <c r="AEX17" s="700"/>
      <c r="AEY17" s="700"/>
      <c r="AEZ17" s="700"/>
      <c r="AFA17" s="700"/>
      <c r="AFB17" s="700"/>
      <c r="AFC17" s="700"/>
      <c r="AFD17" s="700"/>
      <c r="AFE17" s="700"/>
      <c r="AFF17" s="700"/>
      <c r="AFG17" s="700"/>
      <c r="AFH17" s="700"/>
      <c r="AFI17" s="700"/>
      <c r="AFJ17" s="700"/>
      <c r="AFK17" s="700"/>
      <c r="AFL17" s="700"/>
      <c r="AFM17" s="700"/>
      <c r="AFN17" s="700"/>
      <c r="AFO17" s="700"/>
      <c r="AFP17" s="700"/>
      <c r="AFQ17" s="700"/>
      <c r="AFR17" s="700"/>
      <c r="AFS17" s="700"/>
      <c r="AFT17" s="700"/>
      <c r="AFU17" s="700"/>
      <c r="AFV17" s="700"/>
      <c r="AFW17" s="700"/>
      <c r="AFX17" s="700"/>
      <c r="AFY17" s="700"/>
      <c r="AFZ17" s="700"/>
      <c r="AGA17" s="700"/>
      <c r="AGB17" s="700"/>
      <c r="AGC17" s="700"/>
      <c r="AGD17" s="700"/>
      <c r="AGE17" s="700"/>
      <c r="AGF17" s="700"/>
      <c r="AGG17" s="700"/>
      <c r="AGH17" s="700"/>
      <c r="AGI17" s="700"/>
      <c r="AGJ17" s="700"/>
      <c r="AGK17" s="700"/>
      <c r="AGL17" s="700"/>
      <c r="AGM17" s="700"/>
      <c r="AGN17" s="700"/>
      <c r="AGO17" s="700"/>
      <c r="AGP17" s="700"/>
      <c r="AGQ17" s="700"/>
      <c r="AGR17" s="700"/>
      <c r="AGS17" s="700"/>
      <c r="AGT17" s="700"/>
      <c r="AGU17" s="700"/>
      <c r="AGV17" s="700"/>
      <c r="AGW17" s="700"/>
      <c r="AGX17" s="700"/>
      <c r="AGY17" s="700"/>
      <c r="AGZ17" s="700"/>
      <c r="AHA17" s="700"/>
      <c r="AHB17" s="700"/>
      <c r="AHC17" s="700"/>
      <c r="AHD17" s="700"/>
      <c r="AHE17" s="700"/>
      <c r="AHF17" s="700"/>
      <c r="AHG17" s="700"/>
      <c r="AHH17" s="700"/>
      <c r="AHI17" s="700"/>
      <c r="AHJ17" s="700"/>
      <c r="AHK17" s="700"/>
      <c r="AHL17" s="700"/>
      <c r="AHM17" s="700"/>
      <c r="AHN17" s="700"/>
      <c r="AHO17" s="700"/>
      <c r="AHP17" s="700"/>
      <c r="AHQ17" s="700"/>
      <c r="AHR17" s="700"/>
      <c r="AHS17" s="700"/>
      <c r="AHT17" s="700"/>
      <c r="AHU17" s="700"/>
      <c r="AHV17" s="700"/>
      <c r="AHW17" s="700"/>
      <c r="AHX17" s="700"/>
      <c r="AHY17" s="700"/>
      <c r="AHZ17" s="700"/>
      <c r="AIA17" s="700"/>
      <c r="AIB17" s="700"/>
      <c r="AIC17" s="700"/>
      <c r="AID17" s="700"/>
      <c r="AIE17" s="700"/>
      <c r="AIF17" s="700"/>
      <c r="AIG17" s="700"/>
      <c r="AIH17" s="700"/>
      <c r="AII17" s="700"/>
      <c r="AIJ17" s="700"/>
      <c r="AIK17" s="700"/>
      <c r="AIL17" s="700"/>
      <c r="AIM17" s="700"/>
      <c r="AIN17" s="700"/>
      <c r="AIO17" s="700"/>
      <c r="AIP17" s="700"/>
      <c r="AIQ17" s="700"/>
      <c r="AIR17" s="700"/>
      <c r="AIS17" s="700"/>
      <c r="AIT17" s="700"/>
      <c r="AIU17" s="700"/>
      <c r="AIV17" s="700"/>
      <c r="AIW17" s="700"/>
      <c r="AIX17" s="700"/>
      <c r="AIY17" s="700"/>
      <c r="AIZ17" s="700"/>
      <c r="AJA17" s="700"/>
      <c r="AJB17" s="700"/>
      <c r="AJC17" s="700"/>
      <c r="AJD17" s="700"/>
      <c r="AJE17" s="700"/>
      <c r="AJF17" s="700"/>
      <c r="AJG17" s="700"/>
      <c r="AJH17" s="700"/>
      <c r="AJI17" s="700"/>
      <c r="AJJ17" s="700"/>
      <c r="AJK17" s="700"/>
      <c r="AJL17" s="700"/>
      <c r="AJM17" s="700"/>
      <c r="AJN17" s="700"/>
      <c r="AJO17" s="700"/>
      <c r="AJP17" s="700"/>
      <c r="AJQ17" s="700"/>
      <c r="AJR17" s="700"/>
      <c r="AJS17" s="700"/>
      <c r="AJT17" s="700"/>
      <c r="AJU17" s="700"/>
      <c r="AJV17" s="700"/>
      <c r="AJW17" s="700"/>
      <c r="AJX17" s="700"/>
      <c r="AJY17" s="700"/>
      <c r="AJZ17" s="700"/>
      <c r="AKA17" s="700"/>
      <c r="AKB17" s="700"/>
      <c r="AKC17" s="700"/>
      <c r="AKD17" s="700"/>
      <c r="AKE17" s="700"/>
      <c r="AKF17" s="700"/>
      <c r="AKG17" s="700"/>
      <c r="AKH17" s="700"/>
      <c r="AKI17" s="700"/>
      <c r="AKJ17" s="700"/>
      <c r="AKK17" s="700"/>
      <c r="AKL17" s="700"/>
      <c r="AKM17" s="700"/>
      <c r="AKN17" s="700"/>
      <c r="AKO17" s="700"/>
      <c r="AKP17" s="700"/>
      <c r="AKQ17" s="700"/>
      <c r="AKR17" s="700"/>
      <c r="AKS17" s="700"/>
      <c r="AKT17" s="700"/>
      <c r="AKU17" s="700"/>
      <c r="AKV17" s="700"/>
      <c r="AKW17" s="700"/>
      <c r="AKX17" s="700"/>
      <c r="AKY17" s="700"/>
      <c r="AKZ17" s="700"/>
      <c r="ALA17" s="700"/>
      <c r="ALB17" s="700"/>
      <c r="ALC17" s="700"/>
      <c r="ALD17" s="700"/>
      <c r="ALE17" s="700"/>
      <c r="ALF17" s="700"/>
      <c r="ALG17" s="700"/>
      <c r="ALH17" s="700"/>
      <c r="ALI17" s="700"/>
      <c r="ALJ17" s="700"/>
      <c r="ALK17" s="700"/>
      <c r="ALL17" s="700"/>
      <c r="ALM17" s="700"/>
      <c r="ALN17" s="700"/>
      <c r="ALO17" s="700"/>
      <c r="ALP17" s="700"/>
      <c r="ALQ17" s="700"/>
      <c r="ALR17" s="700"/>
      <c r="ALS17" s="700"/>
      <c r="ALT17" s="700"/>
      <c r="ALU17" s="700"/>
      <c r="ALV17" s="700"/>
      <c r="ALW17" s="700"/>
      <c r="ALX17" s="700"/>
      <c r="ALY17" s="700"/>
      <c r="ALZ17" s="700"/>
      <c r="AMA17" s="700"/>
      <c r="AMB17" s="700"/>
      <c r="AMC17" s="700"/>
      <c r="AMD17" s="700"/>
      <c r="AME17" s="700"/>
      <c r="AMF17" s="700"/>
      <c r="AMG17" s="700"/>
      <c r="AMH17" s="700"/>
      <c r="AMI17" s="700"/>
      <c r="AMJ17" s="700"/>
      <c r="AMK17" s="700"/>
      <c r="AML17" s="700"/>
      <c r="AMM17" s="700"/>
      <c r="AMN17" s="700"/>
      <c r="AMO17" s="700"/>
      <c r="AMP17" s="700"/>
      <c r="AMQ17" s="700"/>
      <c r="AMR17" s="700"/>
      <c r="AMS17" s="700"/>
      <c r="AMT17" s="700"/>
      <c r="AMU17" s="700"/>
      <c r="AMV17" s="700"/>
      <c r="AMW17" s="700"/>
      <c r="AMX17" s="700"/>
      <c r="AMY17" s="700"/>
      <c r="AMZ17" s="700"/>
      <c r="ANA17" s="700"/>
      <c r="ANB17" s="700"/>
      <c r="ANC17" s="700"/>
      <c r="AND17" s="700"/>
      <c r="ANE17" s="700"/>
      <c r="ANF17" s="700"/>
      <c r="ANG17" s="700"/>
      <c r="ANH17" s="700"/>
      <c r="ANI17" s="700"/>
      <c r="ANJ17" s="700"/>
      <c r="ANK17" s="700"/>
      <c r="ANL17" s="700"/>
      <c r="ANM17" s="700"/>
      <c r="ANN17" s="700"/>
      <c r="ANO17" s="700"/>
      <c r="ANP17" s="700"/>
      <c r="ANQ17" s="700"/>
      <c r="ANR17" s="700"/>
      <c r="ANS17" s="700"/>
      <c r="ANT17" s="700"/>
      <c r="ANU17" s="700"/>
      <c r="ANV17" s="700"/>
      <c r="ANW17" s="700"/>
      <c r="ANX17" s="700"/>
      <c r="ANY17" s="700"/>
      <c r="ANZ17" s="700"/>
      <c r="AOA17" s="700"/>
      <c r="AOB17" s="700"/>
      <c r="AOC17" s="700"/>
      <c r="AOD17" s="700"/>
      <c r="AOE17" s="700"/>
      <c r="AOF17" s="700"/>
      <c r="AOG17" s="700"/>
      <c r="AOH17" s="700"/>
      <c r="AOI17" s="700"/>
      <c r="AOJ17" s="700"/>
      <c r="AOK17" s="700"/>
      <c r="AOL17" s="700"/>
      <c r="AOM17" s="700"/>
      <c r="AON17" s="700"/>
      <c r="AOO17" s="700"/>
      <c r="AOP17" s="700"/>
      <c r="AOQ17" s="700"/>
      <c r="AOR17" s="700"/>
      <c r="AOS17" s="700"/>
      <c r="AOT17" s="700"/>
      <c r="AOU17" s="700"/>
      <c r="AOV17" s="700"/>
      <c r="AOW17" s="700"/>
      <c r="AOX17" s="700"/>
      <c r="AOY17" s="700"/>
      <c r="AOZ17" s="700"/>
      <c r="APA17" s="700"/>
      <c r="APB17" s="700"/>
      <c r="APC17" s="700"/>
      <c r="APD17" s="700"/>
      <c r="APE17" s="700"/>
      <c r="APF17" s="700"/>
      <c r="APG17" s="700"/>
      <c r="APH17" s="700"/>
      <c r="API17" s="700"/>
      <c r="APJ17" s="700"/>
      <c r="APK17" s="700"/>
      <c r="APL17" s="700"/>
      <c r="APM17" s="700"/>
      <c r="APN17" s="700"/>
      <c r="APO17" s="700"/>
      <c r="APP17" s="700"/>
      <c r="APQ17" s="700"/>
      <c r="APR17" s="700"/>
      <c r="APS17" s="700"/>
      <c r="APT17" s="700"/>
      <c r="APU17" s="700"/>
      <c r="APV17" s="700"/>
      <c r="APW17" s="700"/>
      <c r="APX17" s="700"/>
      <c r="APY17" s="700"/>
      <c r="APZ17" s="700"/>
      <c r="AQA17" s="700"/>
      <c r="AQB17" s="700"/>
      <c r="AQC17" s="700"/>
      <c r="AQD17" s="700"/>
      <c r="AQE17" s="700"/>
      <c r="AQF17" s="700"/>
      <c r="AQG17" s="700"/>
      <c r="AQH17" s="700"/>
      <c r="AQI17" s="700"/>
      <c r="AQJ17" s="700"/>
      <c r="AQK17" s="700"/>
      <c r="AQL17" s="700"/>
      <c r="AQM17" s="700"/>
      <c r="AQN17" s="700"/>
      <c r="AQO17" s="700"/>
      <c r="AQP17" s="700"/>
      <c r="AQQ17" s="700"/>
      <c r="AQR17" s="700"/>
      <c r="AQS17" s="700"/>
      <c r="AQT17" s="700"/>
      <c r="AQU17" s="700"/>
      <c r="AQV17" s="700"/>
      <c r="AQW17" s="700"/>
      <c r="AQX17" s="700"/>
      <c r="AQY17" s="700"/>
      <c r="AQZ17" s="700"/>
      <c r="ARA17" s="700"/>
      <c r="ARB17" s="700"/>
      <c r="ARC17" s="700"/>
      <c r="ARD17" s="700"/>
      <c r="ARE17" s="700"/>
      <c r="ARF17" s="700"/>
      <c r="ARG17" s="700"/>
      <c r="ARH17" s="700"/>
      <c r="ARI17" s="700"/>
      <c r="ARJ17" s="700"/>
      <c r="ARK17" s="700"/>
      <c r="ARL17" s="700"/>
      <c r="ARM17" s="700"/>
      <c r="ARN17" s="700"/>
      <c r="ARO17" s="700"/>
      <c r="ARP17" s="700"/>
      <c r="ARQ17" s="700"/>
      <c r="ARR17" s="700"/>
      <c r="ARS17" s="700"/>
      <c r="ART17" s="700"/>
      <c r="ARU17" s="700"/>
      <c r="ARV17" s="700"/>
      <c r="ARW17" s="700"/>
      <c r="ARX17" s="700"/>
      <c r="ARY17" s="700"/>
      <c r="ARZ17" s="700"/>
      <c r="ASA17" s="700"/>
      <c r="ASB17" s="700"/>
      <c r="ASC17" s="700"/>
      <c r="ASD17" s="700"/>
      <c r="ASE17" s="700"/>
      <c r="ASF17" s="700"/>
      <c r="ASG17" s="700"/>
      <c r="ASH17" s="700"/>
      <c r="ASI17" s="700"/>
      <c r="ASJ17" s="700"/>
      <c r="ASK17" s="700"/>
      <c r="ASL17" s="700"/>
      <c r="ASM17" s="700"/>
      <c r="ASN17" s="700"/>
      <c r="ASO17" s="700"/>
      <c r="ASP17" s="700"/>
      <c r="ASQ17" s="700"/>
      <c r="ASR17" s="700"/>
      <c r="ASS17" s="700"/>
      <c r="AST17" s="700"/>
      <c r="ASU17" s="700"/>
      <c r="ASV17" s="700"/>
      <c r="ASW17" s="700"/>
      <c r="ASX17" s="700"/>
      <c r="ASY17" s="700"/>
      <c r="ASZ17" s="700"/>
      <c r="ATA17" s="700"/>
      <c r="ATB17" s="700"/>
      <c r="ATC17" s="700"/>
      <c r="ATD17" s="700"/>
      <c r="ATE17" s="700"/>
      <c r="ATF17" s="700"/>
      <c r="ATG17" s="700"/>
      <c r="ATH17" s="700"/>
      <c r="ATI17" s="700"/>
      <c r="ATJ17" s="700"/>
      <c r="ATK17" s="700"/>
      <c r="ATL17" s="700"/>
      <c r="ATM17" s="700"/>
      <c r="ATN17" s="700"/>
      <c r="ATO17" s="700"/>
      <c r="ATP17" s="700"/>
      <c r="ATQ17" s="700"/>
      <c r="ATR17" s="700"/>
      <c r="ATS17" s="700"/>
      <c r="ATT17" s="700"/>
      <c r="ATU17" s="700"/>
      <c r="ATV17" s="700"/>
      <c r="ATW17" s="700"/>
      <c r="ATX17" s="700"/>
      <c r="ATY17" s="700"/>
      <c r="ATZ17" s="700"/>
      <c r="AUA17" s="700"/>
      <c r="AUB17" s="700"/>
      <c r="AUC17" s="700"/>
      <c r="AUD17" s="700"/>
      <c r="AUE17" s="700"/>
      <c r="AUF17" s="700"/>
      <c r="AUG17" s="700"/>
      <c r="AUH17" s="700"/>
      <c r="AUI17" s="700"/>
      <c r="AUJ17" s="700"/>
      <c r="AUK17" s="700"/>
      <c r="AUL17" s="700"/>
      <c r="AUM17" s="700"/>
      <c r="AUN17" s="700"/>
      <c r="AUO17" s="700"/>
      <c r="AUP17" s="700"/>
      <c r="AUQ17" s="700"/>
      <c r="AUR17" s="700"/>
      <c r="AUS17" s="700"/>
      <c r="AUT17" s="700"/>
      <c r="AUU17" s="700"/>
      <c r="AUV17" s="700"/>
      <c r="AUW17" s="700"/>
      <c r="AUX17" s="700"/>
      <c r="AUY17" s="700"/>
      <c r="AUZ17" s="700"/>
      <c r="AVA17" s="700"/>
      <c r="AVB17" s="700"/>
      <c r="AVC17" s="700"/>
      <c r="AVD17" s="700"/>
      <c r="AVE17" s="700"/>
      <c r="AVF17" s="700"/>
      <c r="AVG17" s="700"/>
      <c r="AVH17" s="700"/>
      <c r="AVI17" s="700"/>
      <c r="AVJ17" s="700"/>
      <c r="AVK17" s="700"/>
      <c r="AVL17" s="700"/>
      <c r="AVM17" s="700"/>
      <c r="AVN17" s="700"/>
      <c r="AVO17" s="700"/>
      <c r="AVP17" s="700"/>
      <c r="AVQ17" s="700"/>
      <c r="AVR17" s="700"/>
      <c r="AVS17" s="700"/>
      <c r="AVT17" s="700"/>
      <c r="AVU17" s="700"/>
      <c r="AVV17" s="700"/>
      <c r="AVW17" s="700"/>
      <c r="AVX17" s="700"/>
      <c r="AVY17" s="700"/>
      <c r="AVZ17" s="700"/>
      <c r="AWA17" s="700"/>
      <c r="AWB17" s="700"/>
      <c r="AWC17" s="700"/>
      <c r="AWD17" s="700"/>
      <c r="AWE17" s="700"/>
      <c r="AWF17" s="700"/>
      <c r="AWG17" s="700"/>
      <c r="AWH17" s="700"/>
      <c r="AWI17" s="700"/>
      <c r="AWJ17" s="700"/>
      <c r="AWK17" s="700"/>
      <c r="AWL17" s="700"/>
      <c r="AWM17" s="700"/>
      <c r="AWN17" s="700"/>
      <c r="AWO17" s="700"/>
      <c r="AWP17" s="700"/>
      <c r="AWQ17" s="700"/>
      <c r="AWR17" s="700"/>
      <c r="AWS17" s="700"/>
      <c r="AWT17" s="700"/>
      <c r="AWU17" s="700"/>
      <c r="AWV17" s="700"/>
      <c r="AWW17" s="700"/>
      <c r="AWX17" s="700"/>
      <c r="AWY17" s="700"/>
      <c r="AWZ17" s="700"/>
      <c r="AXA17" s="700"/>
      <c r="AXB17" s="700"/>
      <c r="AXC17" s="700"/>
      <c r="AXD17" s="700"/>
      <c r="AXE17" s="700"/>
      <c r="AXF17" s="700"/>
      <c r="AXG17" s="700"/>
      <c r="AXH17" s="700"/>
      <c r="AXI17" s="700"/>
      <c r="AXJ17" s="700"/>
      <c r="AXK17" s="700"/>
      <c r="AXL17" s="700"/>
      <c r="AXM17" s="700"/>
      <c r="AXN17" s="700"/>
      <c r="AXO17" s="700"/>
      <c r="AXP17" s="700"/>
      <c r="AXQ17" s="700"/>
      <c r="AXR17" s="700"/>
      <c r="AXS17" s="700"/>
      <c r="AXT17" s="700"/>
      <c r="AXU17" s="700"/>
      <c r="AXV17" s="700"/>
      <c r="AXW17" s="700"/>
      <c r="AXX17" s="700"/>
      <c r="AXY17" s="700"/>
      <c r="AXZ17" s="700"/>
      <c r="AYA17" s="700"/>
      <c r="AYB17" s="700"/>
      <c r="AYC17" s="700"/>
      <c r="AYD17" s="700"/>
      <c r="AYE17" s="700"/>
      <c r="AYF17" s="700"/>
      <c r="AYG17" s="700"/>
      <c r="AYH17" s="700"/>
      <c r="AYI17" s="700"/>
      <c r="AYJ17" s="700"/>
      <c r="AYK17" s="700"/>
      <c r="AYL17" s="700"/>
      <c r="AYM17" s="700"/>
      <c r="AYN17" s="700"/>
      <c r="AYO17" s="700"/>
      <c r="AYP17" s="700"/>
      <c r="AYQ17" s="700"/>
      <c r="AYR17" s="700"/>
      <c r="AYS17" s="700"/>
      <c r="AYT17" s="700"/>
      <c r="AYU17" s="700"/>
      <c r="AYV17" s="700"/>
      <c r="AYW17" s="700"/>
      <c r="AYX17" s="700"/>
      <c r="AYY17" s="700"/>
      <c r="AYZ17" s="700"/>
      <c r="AZA17" s="700"/>
      <c r="AZB17" s="700"/>
      <c r="AZC17" s="700"/>
      <c r="AZD17" s="700"/>
      <c r="AZE17" s="700"/>
      <c r="AZF17" s="700"/>
      <c r="AZG17" s="700"/>
      <c r="AZH17" s="700"/>
      <c r="AZI17" s="700"/>
      <c r="AZJ17" s="700"/>
      <c r="AZK17" s="700"/>
      <c r="AZL17" s="700"/>
      <c r="AZM17" s="700"/>
      <c r="AZN17" s="700"/>
      <c r="AZO17" s="700"/>
      <c r="AZP17" s="700"/>
      <c r="AZQ17" s="700"/>
      <c r="AZR17" s="700"/>
      <c r="AZS17" s="700"/>
      <c r="AZT17" s="700"/>
      <c r="AZU17" s="700"/>
      <c r="AZV17" s="700"/>
      <c r="AZW17" s="700"/>
      <c r="AZX17" s="700"/>
      <c r="AZY17" s="700"/>
      <c r="AZZ17" s="700"/>
      <c r="BAA17" s="700"/>
      <c r="BAB17" s="700"/>
      <c r="BAC17" s="700"/>
      <c r="BAD17" s="700"/>
      <c r="BAE17" s="700"/>
      <c r="BAF17" s="700"/>
      <c r="BAG17" s="700"/>
      <c r="BAH17" s="700"/>
      <c r="BAI17" s="700"/>
      <c r="BAJ17" s="700"/>
      <c r="BAK17" s="700"/>
      <c r="BAL17" s="700"/>
      <c r="BAM17" s="700"/>
      <c r="BAN17" s="700"/>
      <c r="BAO17" s="700"/>
      <c r="BAP17" s="700"/>
      <c r="BAQ17" s="700"/>
      <c r="BAR17" s="700"/>
      <c r="BAS17" s="700"/>
      <c r="BAT17" s="700"/>
      <c r="BAU17" s="700"/>
      <c r="BAV17" s="700"/>
      <c r="BAW17" s="700"/>
      <c r="BAX17" s="700"/>
      <c r="BAY17" s="700"/>
      <c r="BAZ17" s="700"/>
      <c r="BBA17" s="700"/>
      <c r="BBB17" s="700"/>
      <c r="BBC17" s="700"/>
      <c r="BBD17" s="700"/>
      <c r="BBE17" s="700"/>
      <c r="BBF17" s="700"/>
      <c r="BBG17" s="700"/>
      <c r="BBH17" s="700"/>
      <c r="BBI17" s="700"/>
      <c r="BBJ17" s="700"/>
      <c r="BBK17" s="700"/>
      <c r="BBL17" s="700"/>
      <c r="BBM17" s="700"/>
      <c r="BBN17" s="700"/>
      <c r="BBO17" s="700"/>
      <c r="BBP17" s="700"/>
      <c r="BBQ17" s="700"/>
      <c r="BBR17" s="700"/>
      <c r="BBS17" s="700"/>
      <c r="BBT17" s="700"/>
      <c r="BBU17" s="700"/>
      <c r="BBV17" s="700"/>
      <c r="BBW17" s="700"/>
      <c r="BBX17" s="700"/>
      <c r="BBY17" s="700"/>
      <c r="BBZ17" s="700"/>
      <c r="BCA17" s="700"/>
      <c r="BCB17" s="700"/>
      <c r="BCC17" s="700"/>
      <c r="BCD17" s="700"/>
      <c r="BCE17" s="700"/>
      <c r="BCF17" s="700"/>
      <c r="BCG17" s="700"/>
      <c r="BCH17" s="700"/>
      <c r="BCI17" s="700"/>
      <c r="BCJ17" s="700"/>
      <c r="BCK17" s="700"/>
      <c r="BCL17" s="700"/>
      <c r="BCM17" s="700"/>
      <c r="BCN17" s="700"/>
      <c r="BCO17" s="700"/>
      <c r="BCP17" s="700"/>
      <c r="BCQ17" s="700"/>
      <c r="BCR17" s="700"/>
      <c r="BCS17" s="700"/>
      <c r="BCT17" s="700"/>
      <c r="BCU17" s="700"/>
      <c r="BCV17" s="700"/>
      <c r="BCW17" s="700"/>
      <c r="BCX17" s="700"/>
      <c r="BCY17" s="700"/>
      <c r="BCZ17" s="700"/>
      <c r="BDA17" s="700"/>
      <c r="BDB17" s="700"/>
      <c r="BDC17" s="700"/>
      <c r="BDD17" s="700"/>
      <c r="BDE17" s="700"/>
      <c r="BDF17" s="700"/>
      <c r="BDG17" s="700"/>
      <c r="BDH17" s="700"/>
      <c r="BDI17" s="700"/>
      <c r="BDJ17" s="700"/>
      <c r="BDK17" s="700"/>
      <c r="BDL17" s="700"/>
      <c r="BDM17" s="700"/>
      <c r="BDN17" s="700"/>
      <c r="BDO17" s="700"/>
      <c r="BDP17" s="700"/>
      <c r="BDQ17" s="700"/>
      <c r="BDR17" s="700"/>
      <c r="BDS17" s="700"/>
      <c r="BDT17" s="700"/>
      <c r="BDU17" s="700"/>
      <c r="BDV17" s="700"/>
      <c r="BDW17" s="700"/>
      <c r="BDX17" s="700"/>
      <c r="BDY17" s="700"/>
      <c r="BDZ17" s="700"/>
      <c r="BEA17" s="700"/>
      <c r="BEB17" s="700"/>
      <c r="BEC17" s="700"/>
      <c r="BED17" s="700"/>
      <c r="BEE17" s="700"/>
      <c r="BEF17" s="700"/>
      <c r="BEG17" s="700"/>
      <c r="BEH17" s="700"/>
      <c r="BEI17" s="700"/>
      <c r="BEJ17" s="700"/>
      <c r="BEK17" s="700"/>
      <c r="BEL17" s="700"/>
      <c r="BEM17" s="700"/>
      <c r="BEN17" s="700"/>
      <c r="BEO17" s="700"/>
      <c r="BEP17" s="700"/>
      <c r="BEQ17" s="700"/>
      <c r="BER17" s="700"/>
      <c r="BES17" s="700"/>
      <c r="BET17" s="700"/>
      <c r="BEU17" s="700"/>
      <c r="BEV17" s="700"/>
      <c r="BEW17" s="700"/>
      <c r="BEX17" s="700"/>
      <c r="BEY17" s="700"/>
      <c r="BEZ17" s="700"/>
      <c r="BFA17" s="700"/>
      <c r="BFB17" s="700"/>
      <c r="BFC17" s="700"/>
      <c r="BFD17" s="700"/>
      <c r="BFE17" s="700"/>
      <c r="BFF17" s="700"/>
      <c r="BFG17" s="700"/>
      <c r="BFH17" s="700"/>
      <c r="BFI17" s="700"/>
      <c r="BFJ17" s="700"/>
      <c r="BFK17" s="700"/>
      <c r="BFL17" s="700"/>
      <c r="BFM17" s="700"/>
      <c r="BFN17" s="700"/>
      <c r="BFO17" s="700"/>
      <c r="BFP17" s="700"/>
      <c r="BFQ17" s="700"/>
      <c r="BFR17" s="700"/>
      <c r="BFS17" s="700"/>
      <c r="BFT17" s="700"/>
      <c r="BFU17" s="700"/>
      <c r="BFV17" s="700"/>
      <c r="BFW17" s="700"/>
      <c r="BFX17" s="700"/>
      <c r="BFY17" s="700"/>
      <c r="BFZ17" s="700"/>
      <c r="BGA17" s="700"/>
      <c r="BGB17" s="700"/>
      <c r="BGC17" s="700"/>
      <c r="BGD17" s="700"/>
      <c r="BGE17" s="700"/>
      <c r="BGF17" s="700"/>
      <c r="BGG17" s="700"/>
      <c r="BGH17" s="700"/>
      <c r="BGI17" s="700"/>
      <c r="BGJ17" s="700"/>
      <c r="BGK17" s="700"/>
      <c r="BGL17" s="700"/>
      <c r="BGM17" s="700"/>
      <c r="BGN17" s="700"/>
      <c r="BGO17" s="700"/>
      <c r="BGP17" s="700"/>
      <c r="BGQ17" s="700"/>
      <c r="BGR17" s="700"/>
      <c r="BGS17" s="700"/>
      <c r="BGT17" s="700"/>
      <c r="BGU17" s="700"/>
      <c r="BGV17" s="700"/>
      <c r="BGW17" s="700"/>
      <c r="BGX17" s="700"/>
      <c r="BGY17" s="700"/>
      <c r="BGZ17" s="700"/>
      <c r="BHA17" s="700"/>
      <c r="BHB17" s="700"/>
      <c r="BHC17" s="700"/>
      <c r="BHD17" s="700"/>
      <c r="BHE17" s="700"/>
      <c r="BHF17" s="700"/>
      <c r="BHG17" s="700"/>
      <c r="BHH17" s="700"/>
      <c r="BHI17" s="700"/>
      <c r="BHJ17" s="700"/>
      <c r="BHK17" s="700"/>
      <c r="BHL17" s="700"/>
      <c r="BHM17" s="700"/>
      <c r="BHN17" s="700"/>
      <c r="BHO17" s="700"/>
      <c r="BHP17" s="700"/>
      <c r="BHQ17" s="700"/>
      <c r="BHR17" s="700"/>
      <c r="BHS17" s="700"/>
      <c r="BHT17" s="700"/>
      <c r="BHU17" s="700"/>
      <c r="BHV17" s="700"/>
      <c r="BHW17" s="700"/>
      <c r="BHX17" s="700"/>
      <c r="BHY17" s="700"/>
      <c r="BHZ17" s="700"/>
      <c r="BIA17" s="700"/>
      <c r="BIB17" s="700"/>
      <c r="BIC17" s="700"/>
      <c r="BID17" s="700"/>
      <c r="BIE17" s="700"/>
      <c r="BIF17" s="700"/>
      <c r="BIG17" s="700"/>
      <c r="BIH17" s="700"/>
      <c r="BII17" s="700"/>
      <c r="BIJ17" s="700"/>
      <c r="BIK17" s="700"/>
      <c r="BIL17" s="700"/>
      <c r="BIM17" s="700"/>
      <c r="BIN17" s="700"/>
      <c r="BIO17" s="700"/>
      <c r="BIP17" s="700"/>
      <c r="BIQ17" s="700"/>
      <c r="BIR17" s="700"/>
      <c r="BIS17" s="700"/>
      <c r="BIT17" s="700"/>
      <c r="BIU17" s="700"/>
      <c r="BIV17" s="700"/>
      <c r="BIW17" s="700"/>
      <c r="BIX17" s="700"/>
      <c r="BIY17" s="700"/>
      <c r="BIZ17" s="700"/>
      <c r="BJA17" s="700"/>
      <c r="BJB17" s="700"/>
      <c r="BJC17" s="700"/>
      <c r="BJD17" s="700"/>
      <c r="BJE17" s="700"/>
      <c r="BJF17" s="700"/>
      <c r="BJG17" s="700"/>
      <c r="BJH17" s="700"/>
      <c r="BJI17" s="700"/>
      <c r="BJJ17" s="700"/>
      <c r="BJK17" s="700"/>
      <c r="BJL17" s="700"/>
      <c r="BJM17" s="700"/>
      <c r="BJN17" s="700"/>
      <c r="BJO17" s="700"/>
      <c r="BJP17" s="700"/>
      <c r="BJQ17" s="700"/>
      <c r="BJR17" s="700"/>
      <c r="BJS17" s="700"/>
      <c r="BJT17" s="700"/>
      <c r="BJU17" s="700"/>
      <c r="BJV17" s="700"/>
      <c r="BJW17" s="700"/>
      <c r="BJX17" s="700"/>
      <c r="BJY17" s="700"/>
      <c r="BJZ17" s="700"/>
      <c r="BKA17" s="700"/>
      <c r="BKB17" s="700"/>
      <c r="BKC17" s="700"/>
      <c r="BKD17" s="700"/>
      <c r="BKE17" s="700"/>
      <c r="BKF17" s="700"/>
      <c r="BKG17" s="700"/>
      <c r="BKH17" s="700"/>
      <c r="BKI17" s="700"/>
      <c r="BKJ17" s="700"/>
      <c r="BKK17" s="700"/>
      <c r="BKL17" s="700"/>
      <c r="BKM17" s="700"/>
      <c r="BKN17" s="700"/>
      <c r="BKO17" s="700"/>
      <c r="BKP17" s="700"/>
      <c r="BKQ17" s="700"/>
      <c r="BKR17" s="700"/>
      <c r="BKS17" s="700"/>
      <c r="BKT17" s="700"/>
      <c r="BKU17" s="700"/>
      <c r="BKV17" s="700"/>
      <c r="BKW17" s="700"/>
      <c r="BKX17" s="700"/>
      <c r="BKY17" s="700"/>
      <c r="BKZ17" s="700"/>
      <c r="BLA17" s="700"/>
      <c r="BLB17" s="700"/>
      <c r="BLC17" s="700"/>
      <c r="BLD17" s="700"/>
      <c r="BLE17" s="700"/>
      <c r="BLF17" s="700"/>
      <c r="BLG17" s="700"/>
      <c r="BLH17" s="700"/>
      <c r="BLI17" s="700"/>
      <c r="BLJ17" s="700"/>
      <c r="BLK17" s="700"/>
      <c r="BLL17" s="700"/>
      <c r="BLM17" s="700"/>
      <c r="BLN17" s="700"/>
      <c r="BLO17" s="700"/>
      <c r="BLP17" s="700"/>
      <c r="BLQ17" s="700"/>
      <c r="BLR17" s="700"/>
      <c r="BLS17" s="700"/>
      <c r="BLT17" s="700"/>
      <c r="BLU17" s="700"/>
      <c r="BLV17" s="700"/>
      <c r="BLW17" s="700"/>
      <c r="BLX17" s="700"/>
      <c r="BLY17" s="700"/>
      <c r="BLZ17" s="700"/>
      <c r="BMA17" s="700"/>
      <c r="BMB17" s="700"/>
      <c r="BMC17" s="700"/>
      <c r="BMD17" s="700"/>
      <c r="BME17" s="700"/>
      <c r="BMF17" s="700"/>
      <c r="BMG17" s="700"/>
      <c r="BMH17" s="700"/>
      <c r="BMI17" s="700"/>
      <c r="BMJ17" s="700"/>
      <c r="BMK17" s="700"/>
      <c r="BML17" s="700"/>
      <c r="BMM17" s="700"/>
      <c r="BMN17" s="700"/>
      <c r="BMO17" s="700"/>
      <c r="BMP17" s="700"/>
      <c r="BMQ17" s="700"/>
      <c r="BMR17" s="700"/>
      <c r="BMS17" s="700"/>
      <c r="BMT17" s="700"/>
      <c r="BMU17" s="700"/>
      <c r="BMV17" s="700"/>
      <c r="BMW17" s="700"/>
      <c r="BMX17" s="700"/>
      <c r="BMY17" s="700"/>
      <c r="BMZ17" s="700"/>
      <c r="BNA17" s="700"/>
      <c r="BNB17" s="700"/>
      <c r="BNC17" s="700"/>
      <c r="BND17" s="700"/>
      <c r="BNE17" s="700"/>
      <c r="BNF17" s="700"/>
      <c r="BNG17" s="700"/>
      <c r="BNH17" s="700"/>
      <c r="BNI17" s="700"/>
      <c r="BNJ17" s="700"/>
      <c r="BNK17" s="700"/>
      <c r="BNL17" s="700"/>
      <c r="BNM17" s="700"/>
      <c r="BNN17" s="700"/>
      <c r="BNO17" s="700"/>
      <c r="BNP17" s="700"/>
      <c r="BNQ17" s="700"/>
      <c r="BNR17" s="700"/>
      <c r="BNS17" s="700"/>
      <c r="BNT17" s="700"/>
      <c r="BNU17" s="700"/>
      <c r="BNV17" s="700"/>
      <c r="BNW17" s="700"/>
      <c r="BNX17" s="700"/>
      <c r="BNY17" s="700"/>
      <c r="BNZ17" s="700"/>
      <c r="BOA17" s="700"/>
      <c r="BOB17" s="700"/>
      <c r="BOC17" s="700"/>
      <c r="BOD17" s="700"/>
      <c r="BOE17" s="700"/>
      <c r="BOF17" s="700"/>
      <c r="BOG17" s="700"/>
      <c r="BOH17" s="700"/>
      <c r="BOI17" s="700"/>
      <c r="BOJ17" s="700"/>
      <c r="BOK17" s="700"/>
      <c r="BOL17" s="700"/>
      <c r="BOM17" s="700"/>
      <c r="BON17" s="700"/>
      <c r="BOO17" s="700"/>
      <c r="BOP17" s="700"/>
      <c r="BOQ17" s="700"/>
      <c r="BOR17" s="700"/>
      <c r="BOS17" s="700"/>
      <c r="BOT17" s="700"/>
      <c r="BOU17" s="700"/>
      <c r="BOV17" s="700"/>
      <c r="BOW17" s="700"/>
      <c r="BOX17" s="700"/>
      <c r="BOY17" s="700"/>
      <c r="BOZ17" s="700"/>
      <c r="BPA17" s="700"/>
      <c r="BPB17" s="700"/>
      <c r="BPC17" s="700"/>
      <c r="BPD17" s="700"/>
      <c r="BPE17" s="700"/>
      <c r="BPF17" s="700"/>
      <c r="BPG17" s="700"/>
      <c r="BPH17" s="700"/>
      <c r="BPI17" s="700"/>
      <c r="BPJ17" s="700"/>
      <c r="BPK17" s="700"/>
      <c r="BPL17" s="700"/>
      <c r="BPM17" s="700"/>
      <c r="BPN17" s="700"/>
      <c r="BPO17" s="700"/>
      <c r="BPP17" s="700"/>
      <c r="BPQ17" s="700"/>
      <c r="BPR17" s="700"/>
      <c r="BPS17" s="700"/>
      <c r="BPT17" s="700"/>
      <c r="BPU17" s="700"/>
      <c r="BPV17" s="700"/>
      <c r="BPW17" s="700"/>
      <c r="BPX17" s="700"/>
      <c r="BPY17" s="700"/>
      <c r="BPZ17" s="700"/>
      <c r="BQA17" s="700"/>
      <c r="BQB17" s="700"/>
      <c r="BQC17" s="700"/>
      <c r="BQD17" s="700"/>
      <c r="BQE17" s="700"/>
      <c r="BQF17" s="700"/>
      <c r="BQG17" s="700"/>
      <c r="BQH17" s="700"/>
      <c r="BQI17" s="700"/>
      <c r="BQJ17" s="700"/>
      <c r="BQK17" s="700"/>
      <c r="BQL17" s="700"/>
      <c r="BQM17" s="700"/>
      <c r="BQN17" s="700"/>
      <c r="BQO17" s="700"/>
      <c r="BQP17" s="700"/>
      <c r="BQQ17" s="700"/>
      <c r="BQR17" s="700"/>
      <c r="BQS17" s="700"/>
      <c r="BQT17" s="700"/>
      <c r="BQU17" s="700"/>
      <c r="BQV17" s="700"/>
      <c r="BQW17" s="700"/>
      <c r="BQX17" s="700"/>
      <c r="BQY17" s="700"/>
      <c r="BQZ17" s="700"/>
      <c r="BRA17" s="700"/>
      <c r="BRB17" s="700"/>
      <c r="BRC17" s="700"/>
      <c r="BRD17" s="700"/>
      <c r="BRE17" s="700"/>
      <c r="BRF17" s="700"/>
      <c r="BRG17" s="700"/>
      <c r="BRH17" s="700"/>
      <c r="BRI17" s="700"/>
      <c r="BRJ17" s="700"/>
      <c r="BRK17" s="700"/>
      <c r="BRL17" s="700"/>
      <c r="BRM17" s="700"/>
      <c r="BRN17" s="700"/>
      <c r="BRO17" s="700"/>
      <c r="BRP17" s="700"/>
      <c r="BRQ17" s="700"/>
      <c r="BRR17" s="700"/>
      <c r="BRS17" s="700"/>
      <c r="BRT17" s="700"/>
      <c r="BRU17" s="700"/>
      <c r="BRV17" s="700"/>
      <c r="BRW17" s="700"/>
      <c r="BRX17" s="700"/>
      <c r="BRY17" s="700"/>
      <c r="BRZ17" s="700"/>
      <c r="BSA17" s="700"/>
      <c r="BSB17" s="700"/>
      <c r="BSC17" s="700"/>
      <c r="BSD17" s="700"/>
      <c r="BSE17" s="700"/>
      <c r="BSF17" s="700"/>
      <c r="BSG17" s="700"/>
      <c r="BSH17" s="700"/>
      <c r="BSI17" s="700"/>
      <c r="BSJ17" s="700"/>
      <c r="BSK17" s="700"/>
      <c r="BSL17" s="700"/>
      <c r="BSM17" s="700"/>
      <c r="BSN17" s="700"/>
      <c r="BSO17" s="700"/>
      <c r="BSP17" s="700"/>
      <c r="BSQ17" s="700"/>
      <c r="BSR17" s="700"/>
      <c r="BSS17" s="700"/>
      <c r="BST17" s="700"/>
      <c r="BSU17" s="700"/>
      <c r="BSV17" s="700"/>
      <c r="BSW17" s="700"/>
      <c r="BSX17" s="700"/>
      <c r="BSY17" s="700"/>
      <c r="BSZ17" s="700"/>
      <c r="BTA17" s="700"/>
      <c r="BTB17" s="700"/>
      <c r="BTC17" s="700"/>
      <c r="BTD17" s="700"/>
      <c r="BTE17" s="700"/>
      <c r="BTF17" s="700"/>
      <c r="BTG17" s="700"/>
      <c r="BTH17" s="700"/>
      <c r="BTI17" s="700"/>
      <c r="BTJ17" s="700"/>
      <c r="BTK17" s="700"/>
      <c r="BTL17" s="700"/>
      <c r="BTM17" s="700"/>
      <c r="BTN17" s="700"/>
      <c r="BTO17" s="700"/>
      <c r="BTP17" s="700"/>
      <c r="BTQ17" s="700"/>
      <c r="BTR17" s="700"/>
      <c r="BTS17" s="700"/>
      <c r="BTT17" s="700"/>
      <c r="BTU17" s="700"/>
      <c r="BTV17" s="700"/>
      <c r="BTW17" s="700"/>
      <c r="BTX17" s="700"/>
      <c r="BTY17" s="700"/>
      <c r="BTZ17" s="700"/>
      <c r="BUA17" s="700"/>
      <c r="BUB17" s="700"/>
      <c r="BUC17" s="700"/>
      <c r="BUD17" s="700"/>
      <c r="BUE17" s="700"/>
      <c r="BUF17" s="700"/>
      <c r="BUG17" s="700"/>
      <c r="BUH17" s="700"/>
      <c r="BUI17" s="700"/>
      <c r="BUJ17" s="700"/>
      <c r="BUK17" s="700"/>
      <c r="BUL17" s="700"/>
      <c r="BUM17" s="700"/>
      <c r="BUN17" s="700"/>
      <c r="BUO17" s="700"/>
      <c r="BUP17" s="700"/>
      <c r="BUQ17" s="700"/>
      <c r="BUR17" s="700"/>
      <c r="BUS17" s="700"/>
      <c r="BUT17" s="700"/>
      <c r="BUU17" s="700"/>
      <c r="BUV17" s="700"/>
      <c r="BUW17" s="700"/>
      <c r="BUX17" s="700"/>
      <c r="BUY17" s="700"/>
      <c r="BUZ17" s="700"/>
      <c r="BVA17" s="700"/>
      <c r="BVB17" s="700"/>
      <c r="BVC17" s="700"/>
      <c r="BVD17" s="700"/>
      <c r="BVE17" s="700"/>
      <c r="BVF17" s="700"/>
      <c r="BVG17" s="700"/>
      <c r="BVH17" s="700"/>
      <c r="BVI17" s="700"/>
      <c r="BVJ17" s="700"/>
      <c r="BVK17" s="700"/>
      <c r="BVL17" s="700"/>
      <c r="BVM17" s="700"/>
      <c r="BVN17" s="700"/>
      <c r="BVO17" s="700"/>
      <c r="BVP17" s="700"/>
      <c r="BVQ17" s="700"/>
      <c r="BVR17" s="700"/>
      <c r="BVS17" s="700"/>
      <c r="BVT17" s="700"/>
      <c r="BVU17" s="700"/>
      <c r="BVV17" s="700"/>
      <c r="BVW17" s="700"/>
      <c r="BVX17" s="700"/>
      <c r="BVY17" s="700"/>
      <c r="BVZ17" s="700"/>
      <c r="BWA17" s="700"/>
      <c r="BWB17" s="700"/>
      <c r="BWC17" s="700"/>
      <c r="BWD17" s="700"/>
      <c r="BWE17" s="700"/>
      <c r="BWF17" s="700"/>
      <c r="BWG17" s="700"/>
      <c r="BWH17" s="700"/>
      <c r="BWI17" s="700"/>
      <c r="BWJ17" s="700"/>
      <c r="BWK17" s="700"/>
      <c r="BWL17" s="700"/>
      <c r="BWM17" s="700"/>
      <c r="BWN17" s="700"/>
      <c r="BWO17" s="700"/>
      <c r="BWP17" s="700"/>
      <c r="BWQ17" s="700"/>
      <c r="BWR17" s="700"/>
      <c r="BWS17" s="700"/>
      <c r="BWT17" s="700"/>
      <c r="BWU17" s="700"/>
      <c r="BWV17" s="700"/>
      <c r="BWW17" s="700"/>
      <c r="BWX17" s="700"/>
      <c r="BWY17" s="700"/>
      <c r="BWZ17" s="700"/>
      <c r="BXA17" s="700"/>
      <c r="BXB17" s="700"/>
      <c r="BXC17" s="700"/>
      <c r="BXD17" s="700"/>
      <c r="BXE17" s="700"/>
      <c r="BXF17" s="700"/>
      <c r="BXG17" s="700"/>
      <c r="BXH17" s="700"/>
      <c r="BXI17" s="700"/>
      <c r="BXJ17" s="700"/>
      <c r="BXK17" s="700"/>
      <c r="BXL17" s="700"/>
      <c r="BXM17" s="700"/>
      <c r="BXN17" s="700"/>
      <c r="BXO17" s="700"/>
      <c r="BXP17" s="700"/>
      <c r="BXQ17" s="700"/>
      <c r="BXR17" s="700"/>
      <c r="BXS17" s="700"/>
      <c r="BXT17" s="700"/>
      <c r="BXU17" s="700"/>
      <c r="BXV17" s="700"/>
      <c r="BXW17" s="700"/>
      <c r="BXX17" s="700"/>
      <c r="BXY17" s="700"/>
      <c r="BXZ17" s="700"/>
    </row>
    <row r="18" spans="1:2002" ht="15">
      <c r="A18" s="717"/>
      <c r="B18" s="706"/>
      <c r="C18" s="725" t="s">
        <v>38</v>
      </c>
      <c r="D18" s="726">
        <f>D13-SUM(D14:D17)</f>
        <v>-3230000</v>
      </c>
      <c r="E18" s="726">
        <f t="shared" ref="E18:H18" si="12">E13-SUM(E14:E17)</f>
        <v>-1428000</v>
      </c>
      <c r="F18" s="726">
        <f t="shared" si="12"/>
        <v>-436000</v>
      </c>
      <c r="G18" s="726">
        <f t="shared" si="12"/>
        <v>-81000</v>
      </c>
      <c r="H18" s="726">
        <f t="shared" si="12"/>
        <v>97000</v>
      </c>
      <c r="I18" s="727"/>
      <c r="J18" s="726"/>
      <c r="K18" s="726"/>
      <c r="L18" s="726"/>
      <c r="M18" s="726"/>
      <c r="N18" s="726"/>
      <c r="O18" s="726"/>
      <c r="P18" s="726"/>
      <c r="Q18" s="726"/>
      <c r="R18" s="726"/>
      <c r="S18" s="712" t="s">
        <v>39</v>
      </c>
      <c r="T18" s="700"/>
      <c r="U18" s="700"/>
      <c r="V18" s="700"/>
      <c r="W18" s="700"/>
      <c r="X18" s="700"/>
      <c r="Y18" s="700"/>
      <c r="Z18" s="700"/>
      <c r="AA18" s="700"/>
      <c r="AB18" s="700"/>
      <c r="AC18" s="700"/>
      <c r="AD18" s="700"/>
      <c r="AE18" s="700"/>
      <c r="AF18" s="700"/>
      <c r="AG18" s="700"/>
      <c r="AH18" s="700"/>
      <c r="AI18" s="700"/>
      <c r="AJ18" s="700"/>
      <c r="AK18" s="700"/>
      <c r="AL18" s="700"/>
      <c r="AM18" s="700"/>
      <c r="AN18" s="700"/>
      <c r="AO18" s="700"/>
      <c r="AP18" s="700"/>
      <c r="AQ18" s="700"/>
      <c r="AR18" s="700"/>
      <c r="AS18" s="700"/>
      <c r="AT18" s="700"/>
      <c r="AU18" s="700"/>
      <c r="AV18" s="700"/>
      <c r="AW18" s="700"/>
      <c r="AX18" s="700"/>
      <c r="AY18" s="700"/>
      <c r="AZ18" s="700"/>
      <c r="BA18" s="700"/>
      <c r="BB18" s="700"/>
      <c r="BC18" s="700"/>
      <c r="BD18" s="700"/>
      <c r="BE18" s="700"/>
      <c r="BF18" s="700"/>
      <c r="BG18" s="700"/>
      <c r="BH18" s="700"/>
      <c r="BI18" s="700"/>
      <c r="BJ18" s="700"/>
      <c r="BK18" s="700"/>
      <c r="BL18" s="700"/>
      <c r="BM18" s="700"/>
      <c r="BN18" s="700"/>
      <c r="BO18" s="700"/>
      <c r="BP18" s="700"/>
      <c r="BQ18" s="700"/>
      <c r="BR18" s="700"/>
      <c r="BS18" s="700"/>
      <c r="BT18" s="700"/>
      <c r="BU18" s="700"/>
      <c r="BV18" s="700"/>
      <c r="BW18" s="700"/>
      <c r="BX18" s="700"/>
      <c r="BY18" s="700"/>
      <c r="BZ18" s="700"/>
      <c r="CA18" s="700"/>
      <c r="CB18" s="700"/>
      <c r="CC18" s="700"/>
      <c r="CD18" s="700"/>
      <c r="CE18" s="700"/>
      <c r="CF18" s="700"/>
      <c r="CG18" s="700"/>
      <c r="CH18" s="700"/>
      <c r="CI18" s="700"/>
      <c r="CJ18" s="700"/>
      <c r="CK18" s="700"/>
      <c r="CL18" s="700"/>
      <c r="CM18" s="700"/>
      <c r="CN18" s="700"/>
      <c r="CO18" s="700"/>
      <c r="CP18" s="700"/>
      <c r="CQ18" s="700"/>
      <c r="CR18" s="700"/>
      <c r="CS18" s="700"/>
      <c r="CT18" s="700"/>
      <c r="CU18" s="700"/>
      <c r="CV18" s="700"/>
      <c r="CW18" s="700"/>
      <c r="CX18" s="700"/>
      <c r="CY18" s="700"/>
      <c r="CZ18" s="700"/>
      <c r="DA18" s="700"/>
      <c r="DB18" s="700"/>
      <c r="DC18" s="700"/>
      <c r="DD18" s="700"/>
      <c r="DE18" s="700"/>
      <c r="DF18" s="700"/>
      <c r="DG18" s="700"/>
      <c r="DH18" s="700"/>
      <c r="DI18" s="700"/>
      <c r="DJ18" s="700"/>
      <c r="DK18" s="700"/>
      <c r="DL18" s="700"/>
      <c r="DM18" s="700"/>
      <c r="DN18" s="700"/>
      <c r="DO18" s="700"/>
      <c r="DP18" s="700"/>
      <c r="DQ18" s="700"/>
      <c r="DR18" s="700"/>
      <c r="DS18" s="700"/>
      <c r="DT18" s="700"/>
      <c r="DU18" s="700"/>
      <c r="DV18" s="700"/>
      <c r="DW18" s="700"/>
      <c r="DX18" s="700"/>
      <c r="DY18" s="700"/>
      <c r="DZ18" s="700"/>
      <c r="EA18" s="700"/>
      <c r="EB18" s="700"/>
      <c r="EC18" s="700"/>
      <c r="ED18" s="700"/>
      <c r="EE18" s="700"/>
      <c r="EF18" s="700"/>
      <c r="EG18" s="700"/>
      <c r="EH18" s="700"/>
      <c r="EI18" s="700"/>
      <c r="EJ18" s="700"/>
      <c r="EK18" s="700"/>
      <c r="EL18" s="700"/>
      <c r="EM18" s="700"/>
      <c r="EN18" s="700"/>
      <c r="EO18" s="700"/>
      <c r="EP18" s="700"/>
      <c r="EQ18" s="700"/>
      <c r="ER18" s="700"/>
      <c r="ES18" s="700"/>
      <c r="ET18" s="700"/>
      <c r="EU18" s="700"/>
      <c r="EV18" s="700"/>
      <c r="EW18" s="700"/>
      <c r="EX18" s="700"/>
      <c r="EY18" s="700"/>
      <c r="EZ18" s="700"/>
      <c r="FA18" s="700"/>
      <c r="FB18" s="700"/>
      <c r="FC18" s="700"/>
      <c r="FD18" s="700"/>
      <c r="FE18" s="700"/>
      <c r="FF18" s="700"/>
      <c r="FG18" s="700"/>
      <c r="FH18" s="700"/>
      <c r="FI18" s="700"/>
      <c r="FJ18" s="700"/>
      <c r="FK18" s="700"/>
      <c r="FL18" s="700"/>
      <c r="FM18" s="700"/>
      <c r="FN18" s="700"/>
      <c r="FO18" s="700"/>
      <c r="FP18" s="700"/>
      <c r="FQ18" s="700"/>
      <c r="FR18" s="700"/>
      <c r="FS18" s="700"/>
      <c r="FT18" s="700"/>
      <c r="FU18" s="700"/>
      <c r="FV18" s="700"/>
      <c r="FW18" s="700"/>
      <c r="FX18" s="700"/>
      <c r="FY18" s="700"/>
      <c r="FZ18" s="700"/>
      <c r="GA18" s="700"/>
      <c r="GB18" s="700"/>
      <c r="GC18" s="700"/>
      <c r="GD18" s="700"/>
      <c r="GE18" s="700"/>
      <c r="GF18" s="700"/>
      <c r="GG18" s="700"/>
      <c r="GH18" s="700"/>
      <c r="GI18" s="700"/>
      <c r="GJ18" s="700"/>
      <c r="GK18" s="700"/>
      <c r="GL18" s="700"/>
      <c r="GM18" s="700"/>
      <c r="GN18" s="700"/>
      <c r="GO18" s="700"/>
      <c r="GP18" s="700"/>
      <c r="GQ18" s="700"/>
      <c r="GR18" s="700"/>
      <c r="GS18" s="700"/>
      <c r="GT18" s="700"/>
      <c r="GU18" s="700"/>
      <c r="GV18" s="700"/>
      <c r="GW18" s="700"/>
      <c r="GX18" s="700"/>
      <c r="GY18" s="700"/>
      <c r="GZ18" s="700"/>
      <c r="HA18" s="700"/>
      <c r="HB18" s="700"/>
      <c r="HC18" s="700"/>
      <c r="HD18" s="700"/>
      <c r="HE18" s="700"/>
      <c r="HF18" s="700"/>
      <c r="HG18" s="700"/>
      <c r="HH18" s="700"/>
      <c r="HI18" s="700"/>
      <c r="HJ18" s="700"/>
      <c r="HK18" s="700"/>
      <c r="HL18" s="700"/>
      <c r="HM18" s="700"/>
      <c r="HN18" s="700"/>
      <c r="HO18" s="700"/>
      <c r="HP18" s="700"/>
      <c r="HQ18" s="700"/>
      <c r="HR18" s="700"/>
      <c r="HS18" s="700"/>
      <c r="HT18" s="700"/>
      <c r="HU18" s="700"/>
      <c r="HV18" s="700"/>
      <c r="HW18" s="700"/>
      <c r="HX18" s="700"/>
      <c r="HY18" s="700"/>
      <c r="HZ18" s="700"/>
      <c r="IA18" s="700"/>
      <c r="IB18" s="700"/>
      <c r="IC18" s="700"/>
      <c r="ID18" s="700"/>
      <c r="IE18" s="700"/>
      <c r="IF18" s="700"/>
      <c r="IG18" s="700"/>
      <c r="IH18" s="700"/>
      <c r="II18" s="700"/>
      <c r="IJ18" s="700"/>
      <c r="IK18" s="700"/>
      <c r="IL18" s="700"/>
      <c r="IM18" s="700"/>
      <c r="IN18" s="700"/>
      <c r="IO18" s="700"/>
      <c r="IP18" s="700"/>
      <c r="IQ18" s="700"/>
      <c r="IR18" s="700"/>
      <c r="IS18" s="700"/>
      <c r="IT18" s="700"/>
      <c r="IU18" s="700"/>
      <c r="IV18" s="700"/>
      <c r="IW18" s="700"/>
      <c r="IX18" s="700"/>
      <c r="IY18" s="700"/>
      <c r="IZ18" s="700"/>
      <c r="JA18" s="700"/>
      <c r="JB18" s="700"/>
      <c r="JC18" s="700"/>
      <c r="JD18" s="700"/>
      <c r="JE18" s="700"/>
      <c r="JF18" s="700"/>
      <c r="JG18" s="700"/>
      <c r="JH18" s="700"/>
      <c r="JI18" s="700"/>
      <c r="JJ18" s="700"/>
      <c r="JK18" s="700"/>
      <c r="JL18" s="700"/>
      <c r="JM18" s="700"/>
      <c r="JN18" s="700"/>
      <c r="JO18" s="700"/>
      <c r="JP18" s="700"/>
      <c r="JQ18" s="700"/>
      <c r="JR18" s="700"/>
      <c r="JS18" s="700"/>
      <c r="JT18" s="700"/>
      <c r="JU18" s="700"/>
      <c r="JV18" s="700"/>
      <c r="JW18" s="700"/>
      <c r="JX18" s="700"/>
      <c r="JY18" s="700"/>
      <c r="JZ18" s="700"/>
      <c r="KA18" s="700"/>
      <c r="KB18" s="700"/>
      <c r="KC18" s="700"/>
      <c r="KD18" s="700"/>
      <c r="KE18" s="700"/>
      <c r="KF18" s="700"/>
      <c r="KG18" s="700"/>
      <c r="KH18" s="700"/>
      <c r="KI18" s="700"/>
      <c r="KJ18" s="700"/>
      <c r="KK18" s="700"/>
      <c r="KL18" s="700"/>
      <c r="KM18" s="700"/>
      <c r="KN18" s="700"/>
      <c r="KO18" s="700"/>
      <c r="KP18" s="700"/>
      <c r="KQ18" s="700"/>
      <c r="KR18" s="700"/>
      <c r="KS18" s="700"/>
      <c r="KT18" s="700"/>
      <c r="KU18" s="700"/>
      <c r="KV18" s="700"/>
      <c r="KW18" s="700"/>
      <c r="KX18" s="700"/>
      <c r="KY18" s="700"/>
      <c r="KZ18" s="700"/>
      <c r="LA18" s="700"/>
      <c r="LB18" s="700"/>
      <c r="LC18" s="700"/>
      <c r="LD18" s="700"/>
      <c r="LE18" s="700"/>
      <c r="LF18" s="700"/>
      <c r="LG18" s="700"/>
      <c r="LH18" s="700"/>
      <c r="LI18" s="700"/>
      <c r="LJ18" s="700"/>
      <c r="LK18" s="700"/>
      <c r="LL18" s="700"/>
      <c r="LM18" s="700"/>
      <c r="LN18" s="700"/>
      <c r="LO18" s="700"/>
      <c r="LP18" s="700"/>
      <c r="LQ18" s="700"/>
      <c r="LR18" s="700"/>
      <c r="LS18" s="700"/>
      <c r="LT18" s="700"/>
      <c r="LU18" s="700"/>
      <c r="LV18" s="700"/>
      <c r="LW18" s="700"/>
      <c r="LX18" s="700"/>
      <c r="LY18" s="700"/>
      <c r="LZ18" s="700"/>
      <c r="MA18" s="700"/>
      <c r="MB18" s="700"/>
      <c r="MC18" s="700"/>
      <c r="MD18" s="700"/>
      <c r="ME18" s="700"/>
      <c r="MF18" s="700"/>
      <c r="MG18" s="700"/>
      <c r="MH18" s="700"/>
      <c r="MI18" s="700"/>
      <c r="MJ18" s="700"/>
      <c r="MK18" s="700"/>
      <c r="ML18" s="700"/>
      <c r="MM18" s="700"/>
      <c r="MN18" s="700"/>
      <c r="MO18" s="700"/>
      <c r="MP18" s="700"/>
      <c r="MQ18" s="700"/>
      <c r="MR18" s="700"/>
      <c r="MS18" s="700"/>
      <c r="MT18" s="700"/>
      <c r="MU18" s="700"/>
      <c r="MV18" s="700"/>
      <c r="MW18" s="700"/>
      <c r="MX18" s="700"/>
      <c r="MY18" s="700"/>
      <c r="MZ18" s="700"/>
      <c r="NA18" s="700"/>
      <c r="NB18" s="700"/>
      <c r="NC18" s="700"/>
      <c r="ND18" s="700"/>
      <c r="NE18" s="700"/>
      <c r="NF18" s="700"/>
      <c r="NG18" s="700"/>
      <c r="NH18" s="700"/>
      <c r="NI18" s="700"/>
      <c r="NJ18" s="700"/>
      <c r="NK18" s="700"/>
      <c r="NL18" s="700"/>
      <c r="NM18" s="700"/>
      <c r="NN18" s="700"/>
      <c r="NO18" s="700"/>
      <c r="NP18" s="700"/>
      <c r="NQ18" s="700"/>
      <c r="NR18" s="700"/>
      <c r="NS18" s="700"/>
      <c r="NT18" s="700"/>
      <c r="NU18" s="700"/>
      <c r="NV18" s="700"/>
      <c r="NW18" s="700"/>
      <c r="NX18" s="700"/>
      <c r="NY18" s="700"/>
      <c r="NZ18" s="700"/>
      <c r="OA18" s="700"/>
      <c r="OB18" s="700"/>
      <c r="OC18" s="700"/>
      <c r="OD18" s="700"/>
      <c r="OE18" s="700"/>
      <c r="OF18" s="700"/>
      <c r="OG18" s="700"/>
      <c r="OH18" s="700"/>
      <c r="OI18" s="700"/>
      <c r="OJ18" s="700"/>
      <c r="OK18" s="700"/>
      <c r="OL18" s="700"/>
      <c r="OM18" s="700"/>
      <c r="ON18" s="700"/>
      <c r="OO18" s="700"/>
      <c r="OP18" s="700"/>
      <c r="OQ18" s="700"/>
      <c r="OR18" s="700"/>
      <c r="OS18" s="700"/>
      <c r="OT18" s="700"/>
      <c r="OU18" s="700"/>
      <c r="OV18" s="700"/>
      <c r="OW18" s="700"/>
      <c r="OX18" s="700"/>
      <c r="OY18" s="700"/>
      <c r="OZ18" s="700"/>
      <c r="PA18" s="700"/>
      <c r="PB18" s="700"/>
      <c r="PC18" s="700"/>
      <c r="PD18" s="700"/>
      <c r="PE18" s="700"/>
      <c r="PF18" s="700"/>
      <c r="PG18" s="700"/>
      <c r="PH18" s="700"/>
      <c r="PI18" s="700"/>
      <c r="PJ18" s="700"/>
      <c r="PK18" s="700"/>
      <c r="PL18" s="700"/>
      <c r="PM18" s="700"/>
      <c r="PN18" s="700"/>
      <c r="PO18" s="700"/>
      <c r="PP18" s="700"/>
      <c r="PQ18" s="700"/>
      <c r="PR18" s="700"/>
      <c r="PS18" s="700"/>
      <c r="PT18" s="700"/>
      <c r="PU18" s="700"/>
      <c r="PV18" s="700"/>
      <c r="PW18" s="700"/>
      <c r="PX18" s="700"/>
      <c r="PY18" s="700"/>
      <c r="PZ18" s="700"/>
      <c r="QA18" s="700"/>
      <c r="QB18" s="700"/>
      <c r="QC18" s="700"/>
      <c r="QD18" s="700"/>
      <c r="QE18" s="700"/>
      <c r="QF18" s="700"/>
      <c r="QG18" s="700"/>
      <c r="QH18" s="700"/>
      <c r="QI18" s="700"/>
      <c r="QJ18" s="700"/>
      <c r="QK18" s="700"/>
      <c r="QL18" s="700"/>
      <c r="QM18" s="700"/>
      <c r="QN18" s="700"/>
      <c r="QO18" s="700"/>
      <c r="QP18" s="700"/>
      <c r="QQ18" s="700"/>
      <c r="QR18" s="700"/>
      <c r="QS18" s="700"/>
      <c r="QT18" s="700"/>
      <c r="QU18" s="700"/>
      <c r="QV18" s="700"/>
      <c r="QW18" s="700"/>
      <c r="QX18" s="700"/>
      <c r="QY18" s="700"/>
      <c r="QZ18" s="700"/>
      <c r="RA18" s="700"/>
      <c r="RB18" s="700"/>
      <c r="RC18" s="700"/>
      <c r="RD18" s="700"/>
      <c r="RE18" s="700"/>
      <c r="RF18" s="700"/>
      <c r="RG18" s="700"/>
      <c r="RH18" s="700"/>
      <c r="RI18" s="700"/>
      <c r="RJ18" s="700"/>
      <c r="RK18" s="700"/>
      <c r="RL18" s="700"/>
      <c r="RM18" s="700"/>
      <c r="RN18" s="700"/>
      <c r="RO18" s="700"/>
      <c r="RP18" s="700"/>
      <c r="RQ18" s="700"/>
      <c r="RR18" s="700"/>
      <c r="RS18" s="700"/>
      <c r="RT18" s="700"/>
      <c r="RU18" s="700"/>
      <c r="RV18" s="700"/>
      <c r="RW18" s="700"/>
      <c r="RX18" s="700"/>
      <c r="RY18" s="700"/>
      <c r="RZ18" s="700"/>
      <c r="SA18" s="700"/>
      <c r="SB18" s="700"/>
      <c r="SC18" s="700"/>
      <c r="SD18" s="700"/>
      <c r="SE18" s="700"/>
      <c r="SF18" s="700"/>
      <c r="SG18" s="700"/>
      <c r="SH18" s="700"/>
      <c r="SI18" s="700"/>
      <c r="SJ18" s="700"/>
      <c r="SK18" s="700"/>
      <c r="SL18" s="700"/>
      <c r="SM18" s="700"/>
      <c r="SN18" s="700"/>
      <c r="SO18" s="700"/>
      <c r="SP18" s="700"/>
      <c r="SQ18" s="700"/>
      <c r="SR18" s="700"/>
      <c r="SS18" s="700"/>
      <c r="ST18" s="700"/>
      <c r="SU18" s="700"/>
      <c r="SV18" s="700"/>
      <c r="SW18" s="700"/>
      <c r="SX18" s="700"/>
      <c r="SY18" s="700"/>
      <c r="SZ18" s="700"/>
      <c r="TA18" s="700"/>
      <c r="TB18" s="700"/>
      <c r="TC18" s="700"/>
      <c r="TD18" s="700"/>
      <c r="TE18" s="700"/>
      <c r="TF18" s="700"/>
      <c r="TG18" s="700"/>
      <c r="TH18" s="700"/>
      <c r="TI18" s="700"/>
      <c r="TJ18" s="700"/>
      <c r="TK18" s="700"/>
      <c r="TL18" s="700"/>
      <c r="TM18" s="700"/>
      <c r="TN18" s="700"/>
      <c r="TO18" s="700"/>
      <c r="TP18" s="700"/>
      <c r="TQ18" s="700"/>
      <c r="TR18" s="700"/>
      <c r="TS18" s="700"/>
      <c r="TT18" s="700"/>
      <c r="TU18" s="700"/>
      <c r="TV18" s="700"/>
      <c r="TW18" s="700"/>
      <c r="TX18" s="700"/>
      <c r="TY18" s="700"/>
      <c r="TZ18" s="700"/>
      <c r="UA18" s="700"/>
      <c r="UB18" s="700"/>
      <c r="UC18" s="700"/>
      <c r="UD18" s="700"/>
      <c r="UE18" s="700"/>
      <c r="UF18" s="700"/>
      <c r="UG18" s="700"/>
      <c r="UH18" s="700"/>
      <c r="UI18" s="700"/>
      <c r="UJ18" s="700"/>
      <c r="UK18" s="700"/>
      <c r="UL18" s="700"/>
      <c r="UM18" s="700"/>
      <c r="UN18" s="700"/>
      <c r="UO18" s="700"/>
      <c r="UP18" s="700"/>
      <c r="UQ18" s="700"/>
      <c r="UR18" s="700"/>
      <c r="US18" s="700"/>
      <c r="UT18" s="700"/>
      <c r="UU18" s="700"/>
      <c r="UV18" s="700"/>
      <c r="UW18" s="700"/>
      <c r="UX18" s="700"/>
      <c r="UY18" s="700"/>
      <c r="UZ18" s="700"/>
      <c r="VA18" s="700"/>
      <c r="VB18" s="700"/>
      <c r="VC18" s="700"/>
      <c r="VD18" s="700"/>
      <c r="VE18" s="700"/>
      <c r="VF18" s="700"/>
      <c r="VG18" s="700"/>
      <c r="VH18" s="700"/>
      <c r="VI18" s="700"/>
      <c r="VJ18" s="700"/>
      <c r="VK18" s="700"/>
      <c r="VL18" s="700"/>
      <c r="VM18" s="700"/>
      <c r="VN18" s="700"/>
      <c r="VO18" s="700"/>
      <c r="VP18" s="700"/>
      <c r="VQ18" s="700"/>
      <c r="VR18" s="700"/>
      <c r="VS18" s="700"/>
      <c r="VT18" s="700"/>
      <c r="VU18" s="700"/>
      <c r="VV18" s="700"/>
      <c r="VW18" s="700"/>
      <c r="VX18" s="700"/>
      <c r="VY18" s="700"/>
      <c r="VZ18" s="700"/>
      <c r="WA18" s="700"/>
      <c r="WB18" s="700"/>
      <c r="WC18" s="700"/>
      <c r="WD18" s="700"/>
      <c r="WE18" s="700"/>
      <c r="WF18" s="700"/>
      <c r="WG18" s="700"/>
      <c r="WH18" s="700"/>
      <c r="WI18" s="700"/>
      <c r="WJ18" s="700"/>
      <c r="WK18" s="700"/>
      <c r="WL18" s="700"/>
      <c r="WM18" s="700"/>
      <c r="WN18" s="700"/>
      <c r="WO18" s="700"/>
      <c r="WP18" s="700"/>
      <c r="WQ18" s="700"/>
      <c r="WR18" s="700"/>
      <c r="WS18" s="700"/>
      <c r="WT18" s="700"/>
      <c r="WU18" s="700"/>
      <c r="WV18" s="700"/>
      <c r="WW18" s="700"/>
      <c r="WX18" s="700"/>
      <c r="WY18" s="700"/>
      <c r="WZ18" s="700"/>
      <c r="XA18" s="700"/>
      <c r="XB18" s="700"/>
      <c r="XC18" s="700"/>
      <c r="XD18" s="700"/>
      <c r="XE18" s="700"/>
      <c r="XF18" s="700"/>
      <c r="XG18" s="700"/>
      <c r="XH18" s="700"/>
      <c r="XI18" s="700"/>
      <c r="XJ18" s="700"/>
      <c r="XK18" s="700"/>
      <c r="XL18" s="700"/>
      <c r="XM18" s="700"/>
      <c r="XN18" s="700"/>
      <c r="XO18" s="700"/>
      <c r="XP18" s="700"/>
      <c r="XQ18" s="700"/>
      <c r="XR18" s="700"/>
      <c r="XS18" s="700"/>
      <c r="XT18" s="700"/>
      <c r="XU18" s="700"/>
      <c r="XV18" s="700"/>
      <c r="XW18" s="700"/>
      <c r="XX18" s="700"/>
      <c r="XY18" s="700"/>
      <c r="XZ18" s="700"/>
      <c r="YA18" s="700"/>
      <c r="YB18" s="700"/>
      <c r="YC18" s="700"/>
      <c r="YD18" s="700"/>
      <c r="YE18" s="700"/>
      <c r="YF18" s="700"/>
      <c r="YG18" s="700"/>
      <c r="YH18" s="700"/>
      <c r="YI18" s="700"/>
      <c r="YJ18" s="700"/>
      <c r="YK18" s="700"/>
      <c r="YL18" s="700"/>
      <c r="YM18" s="700"/>
      <c r="YN18" s="700"/>
      <c r="YO18" s="700"/>
      <c r="YP18" s="700"/>
      <c r="YQ18" s="700"/>
      <c r="YR18" s="700"/>
      <c r="YS18" s="700"/>
      <c r="YT18" s="700"/>
      <c r="YU18" s="700"/>
      <c r="YV18" s="700"/>
      <c r="YW18" s="700"/>
      <c r="YX18" s="700"/>
      <c r="YY18" s="700"/>
      <c r="YZ18" s="700"/>
      <c r="ZA18" s="700"/>
      <c r="ZB18" s="700"/>
      <c r="ZC18" s="700"/>
      <c r="ZD18" s="700"/>
      <c r="ZE18" s="700"/>
      <c r="ZF18" s="700"/>
      <c r="ZG18" s="700"/>
      <c r="ZH18" s="700"/>
      <c r="ZI18" s="700"/>
      <c r="ZJ18" s="700"/>
      <c r="ZK18" s="700"/>
      <c r="ZL18" s="700"/>
      <c r="ZM18" s="700"/>
      <c r="ZN18" s="700"/>
      <c r="ZO18" s="700"/>
      <c r="ZP18" s="700"/>
      <c r="ZQ18" s="700"/>
      <c r="ZR18" s="700"/>
      <c r="ZS18" s="700"/>
      <c r="ZT18" s="700"/>
      <c r="ZU18" s="700"/>
      <c r="ZV18" s="700"/>
      <c r="ZW18" s="700"/>
      <c r="ZX18" s="700"/>
      <c r="ZY18" s="700"/>
      <c r="ZZ18" s="700"/>
      <c r="AAA18" s="700"/>
      <c r="AAB18" s="700"/>
      <c r="AAC18" s="700"/>
      <c r="AAD18" s="700"/>
      <c r="AAE18" s="700"/>
      <c r="AAF18" s="700"/>
      <c r="AAG18" s="700"/>
      <c r="AAH18" s="700"/>
      <c r="AAI18" s="700"/>
      <c r="AAJ18" s="700"/>
      <c r="AAK18" s="700"/>
      <c r="AAL18" s="700"/>
      <c r="AAM18" s="700"/>
      <c r="AAN18" s="700"/>
      <c r="AAO18" s="700"/>
      <c r="AAP18" s="700"/>
      <c r="AAQ18" s="700"/>
      <c r="AAR18" s="700"/>
      <c r="AAS18" s="700"/>
      <c r="AAT18" s="700"/>
      <c r="AAU18" s="700"/>
      <c r="AAV18" s="700"/>
      <c r="AAW18" s="700"/>
      <c r="AAX18" s="700"/>
      <c r="AAY18" s="700"/>
      <c r="AAZ18" s="700"/>
      <c r="ABA18" s="700"/>
      <c r="ABB18" s="700"/>
      <c r="ABC18" s="700"/>
      <c r="ABD18" s="700"/>
      <c r="ABE18" s="700"/>
      <c r="ABF18" s="700"/>
      <c r="ABG18" s="700"/>
      <c r="ABH18" s="700"/>
      <c r="ABI18" s="700"/>
      <c r="ABJ18" s="700"/>
      <c r="ABK18" s="700"/>
      <c r="ABL18" s="700"/>
      <c r="ABM18" s="700"/>
      <c r="ABN18" s="700"/>
      <c r="ABO18" s="700"/>
      <c r="ABP18" s="700"/>
      <c r="ABQ18" s="700"/>
      <c r="ABR18" s="700"/>
      <c r="ABS18" s="700"/>
      <c r="ABT18" s="700"/>
      <c r="ABU18" s="700"/>
      <c r="ABV18" s="700"/>
      <c r="ABW18" s="700"/>
      <c r="ABX18" s="700"/>
      <c r="ABY18" s="700"/>
      <c r="ABZ18" s="700"/>
      <c r="ACA18" s="700"/>
      <c r="ACB18" s="700"/>
      <c r="ACC18" s="700"/>
      <c r="ACD18" s="700"/>
      <c r="ACE18" s="700"/>
      <c r="ACF18" s="700"/>
      <c r="ACG18" s="700"/>
      <c r="ACH18" s="700"/>
      <c r="ACI18" s="700"/>
      <c r="ACJ18" s="700"/>
      <c r="ACK18" s="700"/>
      <c r="ACL18" s="700"/>
      <c r="ACM18" s="700"/>
      <c r="ACN18" s="700"/>
      <c r="ACO18" s="700"/>
      <c r="ACP18" s="700"/>
      <c r="ACQ18" s="700"/>
      <c r="ACR18" s="700"/>
      <c r="ACS18" s="700"/>
      <c r="ACT18" s="700"/>
      <c r="ACU18" s="700"/>
      <c r="ACV18" s="700"/>
      <c r="ACW18" s="700"/>
      <c r="ACX18" s="700"/>
      <c r="ACY18" s="700"/>
      <c r="ACZ18" s="700"/>
      <c r="ADA18" s="700"/>
      <c r="ADB18" s="700"/>
      <c r="ADC18" s="700"/>
      <c r="ADD18" s="700"/>
      <c r="ADE18" s="700"/>
      <c r="ADF18" s="700"/>
      <c r="ADG18" s="700"/>
      <c r="ADH18" s="700"/>
      <c r="ADI18" s="700"/>
      <c r="ADJ18" s="700"/>
      <c r="ADK18" s="700"/>
      <c r="ADL18" s="700"/>
      <c r="ADM18" s="700"/>
      <c r="ADN18" s="700"/>
      <c r="ADO18" s="700"/>
      <c r="ADP18" s="700"/>
      <c r="ADQ18" s="700"/>
      <c r="ADR18" s="700"/>
      <c r="ADS18" s="700"/>
      <c r="ADT18" s="700"/>
      <c r="ADU18" s="700"/>
      <c r="ADV18" s="700"/>
      <c r="ADW18" s="700"/>
      <c r="ADX18" s="700"/>
      <c r="ADY18" s="700"/>
      <c r="ADZ18" s="700"/>
      <c r="AEA18" s="700"/>
      <c r="AEB18" s="700"/>
      <c r="AEC18" s="700"/>
      <c r="AED18" s="700"/>
      <c r="AEE18" s="700"/>
      <c r="AEF18" s="700"/>
      <c r="AEG18" s="700"/>
      <c r="AEH18" s="700"/>
      <c r="AEI18" s="700"/>
      <c r="AEJ18" s="700"/>
      <c r="AEK18" s="700"/>
      <c r="AEL18" s="700"/>
      <c r="AEM18" s="700"/>
      <c r="AEN18" s="700"/>
      <c r="AEO18" s="700"/>
      <c r="AEP18" s="700"/>
      <c r="AEQ18" s="700"/>
      <c r="AER18" s="700"/>
      <c r="AES18" s="700"/>
      <c r="AET18" s="700"/>
      <c r="AEU18" s="700"/>
      <c r="AEV18" s="700"/>
      <c r="AEW18" s="700"/>
      <c r="AEX18" s="700"/>
      <c r="AEY18" s="700"/>
      <c r="AEZ18" s="700"/>
      <c r="AFA18" s="700"/>
      <c r="AFB18" s="700"/>
      <c r="AFC18" s="700"/>
      <c r="AFD18" s="700"/>
      <c r="AFE18" s="700"/>
      <c r="AFF18" s="700"/>
      <c r="AFG18" s="700"/>
      <c r="AFH18" s="700"/>
      <c r="AFI18" s="700"/>
      <c r="AFJ18" s="700"/>
      <c r="AFK18" s="700"/>
      <c r="AFL18" s="700"/>
      <c r="AFM18" s="700"/>
      <c r="AFN18" s="700"/>
      <c r="AFO18" s="700"/>
      <c r="AFP18" s="700"/>
      <c r="AFQ18" s="700"/>
      <c r="AFR18" s="700"/>
      <c r="AFS18" s="700"/>
      <c r="AFT18" s="700"/>
      <c r="AFU18" s="700"/>
      <c r="AFV18" s="700"/>
      <c r="AFW18" s="700"/>
      <c r="AFX18" s="700"/>
      <c r="AFY18" s="700"/>
      <c r="AFZ18" s="700"/>
      <c r="AGA18" s="700"/>
      <c r="AGB18" s="700"/>
      <c r="AGC18" s="700"/>
      <c r="AGD18" s="700"/>
      <c r="AGE18" s="700"/>
      <c r="AGF18" s="700"/>
      <c r="AGG18" s="700"/>
      <c r="AGH18" s="700"/>
      <c r="AGI18" s="700"/>
      <c r="AGJ18" s="700"/>
      <c r="AGK18" s="700"/>
      <c r="AGL18" s="700"/>
      <c r="AGM18" s="700"/>
      <c r="AGN18" s="700"/>
      <c r="AGO18" s="700"/>
      <c r="AGP18" s="700"/>
      <c r="AGQ18" s="700"/>
      <c r="AGR18" s="700"/>
      <c r="AGS18" s="700"/>
      <c r="AGT18" s="700"/>
      <c r="AGU18" s="700"/>
      <c r="AGV18" s="700"/>
      <c r="AGW18" s="700"/>
      <c r="AGX18" s="700"/>
      <c r="AGY18" s="700"/>
      <c r="AGZ18" s="700"/>
      <c r="AHA18" s="700"/>
      <c r="AHB18" s="700"/>
      <c r="AHC18" s="700"/>
      <c r="AHD18" s="700"/>
      <c r="AHE18" s="700"/>
      <c r="AHF18" s="700"/>
      <c r="AHG18" s="700"/>
      <c r="AHH18" s="700"/>
      <c r="AHI18" s="700"/>
      <c r="AHJ18" s="700"/>
      <c r="AHK18" s="700"/>
      <c r="AHL18" s="700"/>
      <c r="AHM18" s="700"/>
      <c r="AHN18" s="700"/>
      <c r="AHO18" s="700"/>
      <c r="AHP18" s="700"/>
      <c r="AHQ18" s="700"/>
      <c r="AHR18" s="700"/>
      <c r="AHS18" s="700"/>
      <c r="AHT18" s="700"/>
      <c r="AHU18" s="700"/>
      <c r="AHV18" s="700"/>
      <c r="AHW18" s="700"/>
      <c r="AHX18" s="700"/>
      <c r="AHY18" s="700"/>
      <c r="AHZ18" s="700"/>
      <c r="AIA18" s="700"/>
      <c r="AIB18" s="700"/>
      <c r="AIC18" s="700"/>
      <c r="AID18" s="700"/>
      <c r="AIE18" s="700"/>
      <c r="AIF18" s="700"/>
      <c r="AIG18" s="700"/>
      <c r="AIH18" s="700"/>
      <c r="AII18" s="700"/>
      <c r="AIJ18" s="700"/>
      <c r="AIK18" s="700"/>
      <c r="AIL18" s="700"/>
      <c r="AIM18" s="700"/>
      <c r="AIN18" s="700"/>
      <c r="AIO18" s="700"/>
      <c r="AIP18" s="700"/>
      <c r="AIQ18" s="700"/>
      <c r="AIR18" s="700"/>
      <c r="AIS18" s="700"/>
      <c r="AIT18" s="700"/>
      <c r="AIU18" s="700"/>
      <c r="AIV18" s="700"/>
      <c r="AIW18" s="700"/>
      <c r="AIX18" s="700"/>
      <c r="AIY18" s="700"/>
      <c r="AIZ18" s="700"/>
      <c r="AJA18" s="700"/>
      <c r="AJB18" s="700"/>
      <c r="AJC18" s="700"/>
      <c r="AJD18" s="700"/>
      <c r="AJE18" s="700"/>
      <c r="AJF18" s="700"/>
      <c r="AJG18" s="700"/>
      <c r="AJH18" s="700"/>
      <c r="AJI18" s="700"/>
      <c r="AJJ18" s="700"/>
      <c r="AJK18" s="700"/>
      <c r="AJL18" s="700"/>
      <c r="AJM18" s="700"/>
      <c r="AJN18" s="700"/>
      <c r="AJO18" s="700"/>
      <c r="AJP18" s="700"/>
      <c r="AJQ18" s="700"/>
      <c r="AJR18" s="700"/>
      <c r="AJS18" s="700"/>
      <c r="AJT18" s="700"/>
      <c r="AJU18" s="700"/>
      <c r="AJV18" s="700"/>
      <c r="AJW18" s="700"/>
      <c r="AJX18" s="700"/>
      <c r="AJY18" s="700"/>
      <c r="AJZ18" s="700"/>
      <c r="AKA18" s="700"/>
      <c r="AKB18" s="700"/>
      <c r="AKC18" s="700"/>
      <c r="AKD18" s="700"/>
      <c r="AKE18" s="700"/>
      <c r="AKF18" s="700"/>
      <c r="AKG18" s="700"/>
      <c r="AKH18" s="700"/>
      <c r="AKI18" s="700"/>
      <c r="AKJ18" s="700"/>
      <c r="AKK18" s="700"/>
      <c r="AKL18" s="700"/>
      <c r="AKM18" s="700"/>
      <c r="AKN18" s="700"/>
      <c r="AKO18" s="700"/>
      <c r="AKP18" s="700"/>
      <c r="AKQ18" s="700"/>
      <c r="AKR18" s="700"/>
      <c r="AKS18" s="700"/>
      <c r="AKT18" s="700"/>
      <c r="AKU18" s="700"/>
      <c r="AKV18" s="700"/>
      <c r="AKW18" s="700"/>
      <c r="AKX18" s="700"/>
      <c r="AKY18" s="700"/>
      <c r="AKZ18" s="700"/>
      <c r="ALA18" s="700"/>
      <c r="ALB18" s="700"/>
      <c r="ALC18" s="700"/>
      <c r="ALD18" s="700"/>
      <c r="ALE18" s="700"/>
      <c r="ALF18" s="700"/>
      <c r="ALG18" s="700"/>
      <c r="ALH18" s="700"/>
      <c r="ALI18" s="700"/>
      <c r="ALJ18" s="700"/>
      <c r="ALK18" s="700"/>
      <c r="ALL18" s="700"/>
      <c r="ALM18" s="700"/>
      <c r="ALN18" s="700"/>
      <c r="ALO18" s="700"/>
      <c r="ALP18" s="700"/>
      <c r="ALQ18" s="700"/>
      <c r="ALR18" s="700"/>
      <c r="ALS18" s="700"/>
      <c r="ALT18" s="700"/>
      <c r="ALU18" s="700"/>
      <c r="ALV18" s="700"/>
      <c r="ALW18" s="700"/>
      <c r="ALX18" s="700"/>
      <c r="ALY18" s="700"/>
      <c r="ALZ18" s="700"/>
      <c r="AMA18" s="700"/>
      <c r="AMB18" s="700"/>
      <c r="AMC18" s="700"/>
      <c r="AMD18" s="700"/>
      <c r="AME18" s="700"/>
      <c r="AMF18" s="700"/>
      <c r="AMG18" s="700"/>
      <c r="AMH18" s="700"/>
      <c r="AMI18" s="700"/>
      <c r="AMJ18" s="700"/>
      <c r="AMK18" s="700"/>
      <c r="AML18" s="700"/>
      <c r="AMM18" s="700"/>
      <c r="AMN18" s="700"/>
      <c r="AMO18" s="700"/>
      <c r="AMP18" s="700"/>
      <c r="AMQ18" s="700"/>
      <c r="AMR18" s="700"/>
      <c r="AMS18" s="700"/>
      <c r="AMT18" s="700"/>
      <c r="AMU18" s="700"/>
      <c r="AMV18" s="700"/>
      <c r="AMW18" s="700"/>
      <c r="AMX18" s="700"/>
      <c r="AMY18" s="700"/>
      <c r="AMZ18" s="700"/>
      <c r="ANA18" s="700"/>
      <c r="ANB18" s="700"/>
      <c r="ANC18" s="700"/>
      <c r="AND18" s="700"/>
      <c r="ANE18" s="700"/>
      <c r="ANF18" s="700"/>
      <c r="ANG18" s="700"/>
      <c r="ANH18" s="700"/>
      <c r="ANI18" s="700"/>
      <c r="ANJ18" s="700"/>
      <c r="ANK18" s="700"/>
      <c r="ANL18" s="700"/>
      <c r="ANM18" s="700"/>
      <c r="ANN18" s="700"/>
      <c r="ANO18" s="700"/>
      <c r="ANP18" s="700"/>
      <c r="ANQ18" s="700"/>
      <c r="ANR18" s="700"/>
      <c r="ANS18" s="700"/>
      <c r="ANT18" s="700"/>
      <c r="ANU18" s="700"/>
      <c r="ANV18" s="700"/>
      <c r="ANW18" s="700"/>
      <c r="ANX18" s="700"/>
      <c r="ANY18" s="700"/>
      <c r="ANZ18" s="700"/>
      <c r="AOA18" s="700"/>
      <c r="AOB18" s="700"/>
      <c r="AOC18" s="700"/>
      <c r="AOD18" s="700"/>
      <c r="AOE18" s="700"/>
      <c r="AOF18" s="700"/>
      <c r="AOG18" s="700"/>
      <c r="AOH18" s="700"/>
      <c r="AOI18" s="700"/>
      <c r="AOJ18" s="700"/>
      <c r="AOK18" s="700"/>
      <c r="AOL18" s="700"/>
      <c r="AOM18" s="700"/>
      <c r="AON18" s="700"/>
      <c r="AOO18" s="700"/>
      <c r="AOP18" s="700"/>
      <c r="AOQ18" s="700"/>
      <c r="AOR18" s="700"/>
      <c r="AOS18" s="700"/>
      <c r="AOT18" s="700"/>
      <c r="AOU18" s="700"/>
      <c r="AOV18" s="700"/>
      <c r="AOW18" s="700"/>
      <c r="AOX18" s="700"/>
      <c r="AOY18" s="700"/>
      <c r="AOZ18" s="700"/>
      <c r="APA18" s="700"/>
      <c r="APB18" s="700"/>
      <c r="APC18" s="700"/>
      <c r="APD18" s="700"/>
      <c r="APE18" s="700"/>
      <c r="APF18" s="700"/>
      <c r="APG18" s="700"/>
      <c r="APH18" s="700"/>
      <c r="API18" s="700"/>
      <c r="APJ18" s="700"/>
      <c r="APK18" s="700"/>
      <c r="APL18" s="700"/>
      <c r="APM18" s="700"/>
      <c r="APN18" s="700"/>
      <c r="APO18" s="700"/>
      <c r="APP18" s="700"/>
      <c r="APQ18" s="700"/>
      <c r="APR18" s="700"/>
      <c r="APS18" s="700"/>
      <c r="APT18" s="700"/>
      <c r="APU18" s="700"/>
      <c r="APV18" s="700"/>
      <c r="APW18" s="700"/>
      <c r="APX18" s="700"/>
      <c r="APY18" s="700"/>
      <c r="APZ18" s="700"/>
      <c r="AQA18" s="700"/>
      <c r="AQB18" s="700"/>
      <c r="AQC18" s="700"/>
      <c r="AQD18" s="700"/>
      <c r="AQE18" s="700"/>
      <c r="AQF18" s="700"/>
      <c r="AQG18" s="700"/>
      <c r="AQH18" s="700"/>
      <c r="AQI18" s="700"/>
      <c r="AQJ18" s="700"/>
      <c r="AQK18" s="700"/>
      <c r="AQL18" s="700"/>
      <c r="AQM18" s="700"/>
      <c r="AQN18" s="700"/>
      <c r="AQO18" s="700"/>
      <c r="AQP18" s="700"/>
      <c r="AQQ18" s="700"/>
      <c r="AQR18" s="700"/>
      <c r="AQS18" s="700"/>
      <c r="AQT18" s="700"/>
      <c r="AQU18" s="700"/>
      <c r="AQV18" s="700"/>
      <c r="AQW18" s="700"/>
      <c r="AQX18" s="700"/>
      <c r="AQY18" s="700"/>
      <c r="AQZ18" s="700"/>
      <c r="ARA18" s="700"/>
      <c r="ARB18" s="700"/>
      <c r="ARC18" s="700"/>
      <c r="ARD18" s="700"/>
      <c r="ARE18" s="700"/>
      <c r="ARF18" s="700"/>
      <c r="ARG18" s="700"/>
      <c r="ARH18" s="700"/>
      <c r="ARI18" s="700"/>
      <c r="ARJ18" s="700"/>
      <c r="ARK18" s="700"/>
      <c r="ARL18" s="700"/>
      <c r="ARM18" s="700"/>
      <c r="ARN18" s="700"/>
      <c r="ARO18" s="700"/>
      <c r="ARP18" s="700"/>
      <c r="ARQ18" s="700"/>
      <c r="ARR18" s="700"/>
      <c r="ARS18" s="700"/>
      <c r="ART18" s="700"/>
      <c r="ARU18" s="700"/>
      <c r="ARV18" s="700"/>
      <c r="ARW18" s="700"/>
      <c r="ARX18" s="700"/>
      <c r="ARY18" s="700"/>
      <c r="ARZ18" s="700"/>
      <c r="ASA18" s="700"/>
      <c r="ASB18" s="700"/>
      <c r="ASC18" s="700"/>
      <c r="ASD18" s="700"/>
      <c r="ASE18" s="700"/>
      <c r="ASF18" s="700"/>
      <c r="ASG18" s="700"/>
      <c r="ASH18" s="700"/>
      <c r="ASI18" s="700"/>
      <c r="ASJ18" s="700"/>
      <c r="ASK18" s="700"/>
      <c r="ASL18" s="700"/>
      <c r="ASM18" s="700"/>
      <c r="ASN18" s="700"/>
      <c r="ASO18" s="700"/>
      <c r="ASP18" s="700"/>
      <c r="ASQ18" s="700"/>
      <c r="ASR18" s="700"/>
      <c r="ASS18" s="700"/>
      <c r="AST18" s="700"/>
      <c r="ASU18" s="700"/>
      <c r="ASV18" s="700"/>
      <c r="ASW18" s="700"/>
      <c r="ASX18" s="700"/>
      <c r="ASY18" s="700"/>
      <c r="ASZ18" s="700"/>
      <c r="ATA18" s="700"/>
      <c r="ATB18" s="700"/>
      <c r="ATC18" s="700"/>
      <c r="ATD18" s="700"/>
      <c r="ATE18" s="700"/>
      <c r="ATF18" s="700"/>
      <c r="ATG18" s="700"/>
      <c r="ATH18" s="700"/>
      <c r="ATI18" s="700"/>
      <c r="ATJ18" s="700"/>
      <c r="ATK18" s="700"/>
      <c r="ATL18" s="700"/>
      <c r="ATM18" s="700"/>
      <c r="ATN18" s="700"/>
      <c r="ATO18" s="700"/>
      <c r="ATP18" s="700"/>
      <c r="ATQ18" s="700"/>
      <c r="ATR18" s="700"/>
      <c r="ATS18" s="700"/>
      <c r="ATT18" s="700"/>
      <c r="ATU18" s="700"/>
      <c r="ATV18" s="700"/>
      <c r="ATW18" s="700"/>
      <c r="ATX18" s="700"/>
      <c r="ATY18" s="700"/>
      <c r="ATZ18" s="700"/>
      <c r="AUA18" s="700"/>
      <c r="AUB18" s="700"/>
      <c r="AUC18" s="700"/>
      <c r="AUD18" s="700"/>
      <c r="AUE18" s="700"/>
      <c r="AUF18" s="700"/>
      <c r="AUG18" s="700"/>
      <c r="AUH18" s="700"/>
      <c r="AUI18" s="700"/>
      <c r="AUJ18" s="700"/>
      <c r="AUK18" s="700"/>
      <c r="AUL18" s="700"/>
      <c r="AUM18" s="700"/>
      <c r="AUN18" s="700"/>
      <c r="AUO18" s="700"/>
      <c r="AUP18" s="700"/>
      <c r="AUQ18" s="700"/>
      <c r="AUR18" s="700"/>
      <c r="AUS18" s="700"/>
      <c r="AUT18" s="700"/>
      <c r="AUU18" s="700"/>
      <c r="AUV18" s="700"/>
      <c r="AUW18" s="700"/>
      <c r="AUX18" s="700"/>
      <c r="AUY18" s="700"/>
      <c r="AUZ18" s="700"/>
      <c r="AVA18" s="700"/>
      <c r="AVB18" s="700"/>
      <c r="AVC18" s="700"/>
      <c r="AVD18" s="700"/>
      <c r="AVE18" s="700"/>
      <c r="AVF18" s="700"/>
      <c r="AVG18" s="700"/>
      <c r="AVH18" s="700"/>
      <c r="AVI18" s="700"/>
      <c r="AVJ18" s="700"/>
      <c r="AVK18" s="700"/>
      <c r="AVL18" s="700"/>
      <c r="AVM18" s="700"/>
      <c r="AVN18" s="700"/>
      <c r="AVO18" s="700"/>
      <c r="AVP18" s="700"/>
      <c r="AVQ18" s="700"/>
      <c r="AVR18" s="700"/>
      <c r="AVS18" s="700"/>
      <c r="AVT18" s="700"/>
      <c r="AVU18" s="700"/>
      <c r="AVV18" s="700"/>
      <c r="AVW18" s="700"/>
      <c r="AVX18" s="700"/>
      <c r="AVY18" s="700"/>
      <c r="AVZ18" s="700"/>
      <c r="AWA18" s="700"/>
      <c r="AWB18" s="700"/>
      <c r="AWC18" s="700"/>
      <c r="AWD18" s="700"/>
      <c r="AWE18" s="700"/>
      <c r="AWF18" s="700"/>
      <c r="AWG18" s="700"/>
      <c r="AWH18" s="700"/>
      <c r="AWI18" s="700"/>
      <c r="AWJ18" s="700"/>
      <c r="AWK18" s="700"/>
      <c r="AWL18" s="700"/>
      <c r="AWM18" s="700"/>
      <c r="AWN18" s="700"/>
      <c r="AWO18" s="700"/>
      <c r="AWP18" s="700"/>
      <c r="AWQ18" s="700"/>
      <c r="AWR18" s="700"/>
      <c r="AWS18" s="700"/>
      <c r="AWT18" s="700"/>
      <c r="AWU18" s="700"/>
      <c r="AWV18" s="700"/>
      <c r="AWW18" s="700"/>
      <c r="AWX18" s="700"/>
      <c r="AWY18" s="700"/>
      <c r="AWZ18" s="700"/>
      <c r="AXA18" s="700"/>
      <c r="AXB18" s="700"/>
      <c r="AXC18" s="700"/>
      <c r="AXD18" s="700"/>
      <c r="AXE18" s="700"/>
      <c r="AXF18" s="700"/>
      <c r="AXG18" s="700"/>
      <c r="AXH18" s="700"/>
      <c r="AXI18" s="700"/>
      <c r="AXJ18" s="700"/>
      <c r="AXK18" s="700"/>
      <c r="AXL18" s="700"/>
      <c r="AXM18" s="700"/>
      <c r="AXN18" s="700"/>
      <c r="AXO18" s="700"/>
      <c r="AXP18" s="700"/>
      <c r="AXQ18" s="700"/>
      <c r="AXR18" s="700"/>
      <c r="AXS18" s="700"/>
      <c r="AXT18" s="700"/>
      <c r="AXU18" s="700"/>
      <c r="AXV18" s="700"/>
      <c r="AXW18" s="700"/>
      <c r="AXX18" s="700"/>
      <c r="AXY18" s="700"/>
      <c r="AXZ18" s="700"/>
      <c r="AYA18" s="700"/>
      <c r="AYB18" s="700"/>
      <c r="AYC18" s="700"/>
      <c r="AYD18" s="700"/>
      <c r="AYE18" s="700"/>
      <c r="AYF18" s="700"/>
      <c r="AYG18" s="700"/>
      <c r="AYH18" s="700"/>
      <c r="AYI18" s="700"/>
      <c r="AYJ18" s="700"/>
      <c r="AYK18" s="700"/>
      <c r="AYL18" s="700"/>
      <c r="AYM18" s="700"/>
      <c r="AYN18" s="700"/>
      <c r="AYO18" s="700"/>
      <c r="AYP18" s="700"/>
      <c r="AYQ18" s="700"/>
      <c r="AYR18" s="700"/>
      <c r="AYS18" s="700"/>
      <c r="AYT18" s="700"/>
      <c r="AYU18" s="700"/>
      <c r="AYV18" s="700"/>
      <c r="AYW18" s="700"/>
      <c r="AYX18" s="700"/>
      <c r="AYY18" s="700"/>
      <c r="AYZ18" s="700"/>
      <c r="AZA18" s="700"/>
      <c r="AZB18" s="700"/>
      <c r="AZC18" s="700"/>
      <c r="AZD18" s="700"/>
      <c r="AZE18" s="700"/>
      <c r="AZF18" s="700"/>
      <c r="AZG18" s="700"/>
      <c r="AZH18" s="700"/>
      <c r="AZI18" s="700"/>
      <c r="AZJ18" s="700"/>
      <c r="AZK18" s="700"/>
      <c r="AZL18" s="700"/>
      <c r="AZM18" s="700"/>
      <c r="AZN18" s="700"/>
      <c r="AZO18" s="700"/>
      <c r="AZP18" s="700"/>
      <c r="AZQ18" s="700"/>
      <c r="AZR18" s="700"/>
      <c r="AZS18" s="700"/>
      <c r="AZT18" s="700"/>
      <c r="AZU18" s="700"/>
      <c r="AZV18" s="700"/>
      <c r="AZW18" s="700"/>
      <c r="AZX18" s="700"/>
      <c r="AZY18" s="700"/>
      <c r="AZZ18" s="700"/>
      <c r="BAA18" s="700"/>
      <c r="BAB18" s="700"/>
      <c r="BAC18" s="700"/>
      <c r="BAD18" s="700"/>
      <c r="BAE18" s="700"/>
      <c r="BAF18" s="700"/>
      <c r="BAG18" s="700"/>
      <c r="BAH18" s="700"/>
      <c r="BAI18" s="700"/>
      <c r="BAJ18" s="700"/>
      <c r="BAK18" s="700"/>
      <c r="BAL18" s="700"/>
      <c r="BAM18" s="700"/>
      <c r="BAN18" s="700"/>
      <c r="BAO18" s="700"/>
      <c r="BAP18" s="700"/>
      <c r="BAQ18" s="700"/>
      <c r="BAR18" s="700"/>
      <c r="BAS18" s="700"/>
      <c r="BAT18" s="700"/>
      <c r="BAU18" s="700"/>
      <c r="BAV18" s="700"/>
      <c r="BAW18" s="700"/>
      <c r="BAX18" s="700"/>
      <c r="BAY18" s="700"/>
      <c r="BAZ18" s="700"/>
      <c r="BBA18" s="700"/>
      <c r="BBB18" s="700"/>
      <c r="BBC18" s="700"/>
      <c r="BBD18" s="700"/>
      <c r="BBE18" s="700"/>
      <c r="BBF18" s="700"/>
      <c r="BBG18" s="700"/>
      <c r="BBH18" s="700"/>
      <c r="BBI18" s="700"/>
      <c r="BBJ18" s="700"/>
      <c r="BBK18" s="700"/>
      <c r="BBL18" s="700"/>
      <c r="BBM18" s="700"/>
      <c r="BBN18" s="700"/>
      <c r="BBO18" s="700"/>
      <c r="BBP18" s="700"/>
      <c r="BBQ18" s="700"/>
      <c r="BBR18" s="700"/>
      <c r="BBS18" s="700"/>
      <c r="BBT18" s="700"/>
      <c r="BBU18" s="700"/>
      <c r="BBV18" s="700"/>
      <c r="BBW18" s="700"/>
      <c r="BBX18" s="700"/>
      <c r="BBY18" s="700"/>
      <c r="BBZ18" s="700"/>
      <c r="BCA18" s="700"/>
      <c r="BCB18" s="700"/>
      <c r="BCC18" s="700"/>
      <c r="BCD18" s="700"/>
      <c r="BCE18" s="700"/>
      <c r="BCF18" s="700"/>
      <c r="BCG18" s="700"/>
      <c r="BCH18" s="700"/>
      <c r="BCI18" s="700"/>
      <c r="BCJ18" s="700"/>
      <c r="BCK18" s="700"/>
      <c r="BCL18" s="700"/>
      <c r="BCM18" s="700"/>
      <c r="BCN18" s="700"/>
      <c r="BCO18" s="700"/>
      <c r="BCP18" s="700"/>
      <c r="BCQ18" s="700"/>
      <c r="BCR18" s="700"/>
      <c r="BCS18" s="700"/>
      <c r="BCT18" s="700"/>
      <c r="BCU18" s="700"/>
      <c r="BCV18" s="700"/>
      <c r="BCW18" s="700"/>
      <c r="BCX18" s="700"/>
      <c r="BCY18" s="700"/>
      <c r="BCZ18" s="700"/>
      <c r="BDA18" s="700"/>
      <c r="BDB18" s="700"/>
      <c r="BDC18" s="700"/>
      <c r="BDD18" s="700"/>
      <c r="BDE18" s="700"/>
      <c r="BDF18" s="700"/>
      <c r="BDG18" s="700"/>
      <c r="BDH18" s="700"/>
      <c r="BDI18" s="700"/>
      <c r="BDJ18" s="700"/>
      <c r="BDK18" s="700"/>
      <c r="BDL18" s="700"/>
      <c r="BDM18" s="700"/>
      <c r="BDN18" s="700"/>
      <c r="BDO18" s="700"/>
      <c r="BDP18" s="700"/>
      <c r="BDQ18" s="700"/>
      <c r="BDR18" s="700"/>
      <c r="BDS18" s="700"/>
      <c r="BDT18" s="700"/>
      <c r="BDU18" s="700"/>
      <c r="BDV18" s="700"/>
      <c r="BDW18" s="700"/>
      <c r="BDX18" s="700"/>
      <c r="BDY18" s="700"/>
      <c r="BDZ18" s="700"/>
      <c r="BEA18" s="700"/>
      <c r="BEB18" s="700"/>
      <c r="BEC18" s="700"/>
      <c r="BED18" s="700"/>
      <c r="BEE18" s="700"/>
      <c r="BEF18" s="700"/>
      <c r="BEG18" s="700"/>
      <c r="BEH18" s="700"/>
      <c r="BEI18" s="700"/>
      <c r="BEJ18" s="700"/>
      <c r="BEK18" s="700"/>
      <c r="BEL18" s="700"/>
      <c r="BEM18" s="700"/>
      <c r="BEN18" s="700"/>
      <c r="BEO18" s="700"/>
      <c r="BEP18" s="700"/>
      <c r="BEQ18" s="700"/>
      <c r="BER18" s="700"/>
      <c r="BES18" s="700"/>
      <c r="BET18" s="700"/>
      <c r="BEU18" s="700"/>
      <c r="BEV18" s="700"/>
      <c r="BEW18" s="700"/>
      <c r="BEX18" s="700"/>
      <c r="BEY18" s="700"/>
      <c r="BEZ18" s="700"/>
      <c r="BFA18" s="700"/>
      <c r="BFB18" s="700"/>
      <c r="BFC18" s="700"/>
      <c r="BFD18" s="700"/>
      <c r="BFE18" s="700"/>
      <c r="BFF18" s="700"/>
      <c r="BFG18" s="700"/>
      <c r="BFH18" s="700"/>
      <c r="BFI18" s="700"/>
      <c r="BFJ18" s="700"/>
      <c r="BFK18" s="700"/>
      <c r="BFL18" s="700"/>
      <c r="BFM18" s="700"/>
      <c r="BFN18" s="700"/>
      <c r="BFO18" s="700"/>
      <c r="BFP18" s="700"/>
      <c r="BFQ18" s="700"/>
      <c r="BFR18" s="700"/>
      <c r="BFS18" s="700"/>
      <c r="BFT18" s="700"/>
      <c r="BFU18" s="700"/>
      <c r="BFV18" s="700"/>
      <c r="BFW18" s="700"/>
      <c r="BFX18" s="700"/>
      <c r="BFY18" s="700"/>
      <c r="BFZ18" s="700"/>
      <c r="BGA18" s="700"/>
      <c r="BGB18" s="700"/>
      <c r="BGC18" s="700"/>
      <c r="BGD18" s="700"/>
      <c r="BGE18" s="700"/>
      <c r="BGF18" s="700"/>
      <c r="BGG18" s="700"/>
      <c r="BGH18" s="700"/>
      <c r="BGI18" s="700"/>
      <c r="BGJ18" s="700"/>
      <c r="BGK18" s="700"/>
      <c r="BGL18" s="700"/>
      <c r="BGM18" s="700"/>
      <c r="BGN18" s="700"/>
      <c r="BGO18" s="700"/>
      <c r="BGP18" s="700"/>
      <c r="BGQ18" s="700"/>
      <c r="BGR18" s="700"/>
      <c r="BGS18" s="700"/>
      <c r="BGT18" s="700"/>
      <c r="BGU18" s="700"/>
      <c r="BGV18" s="700"/>
      <c r="BGW18" s="700"/>
      <c r="BGX18" s="700"/>
      <c r="BGY18" s="700"/>
      <c r="BGZ18" s="700"/>
      <c r="BHA18" s="700"/>
      <c r="BHB18" s="700"/>
      <c r="BHC18" s="700"/>
      <c r="BHD18" s="700"/>
      <c r="BHE18" s="700"/>
      <c r="BHF18" s="700"/>
      <c r="BHG18" s="700"/>
      <c r="BHH18" s="700"/>
      <c r="BHI18" s="700"/>
      <c r="BHJ18" s="700"/>
      <c r="BHK18" s="700"/>
      <c r="BHL18" s="700"/>
      <c r="BHM18" s="700"/>
      <c r="BHN18" s="700"/>
      <c r="BHO18" s="700"/>
      <c r="BHP18" s="700"/>
      <c r="BHQ18" s="700"/>
      <c r="BHR18" s="700"/>
      <c r="BHS18" s="700"/>
      <c r="BHT18" s="700"/>
      <c r="BHU18" s="700"/>
      <c r="BHV18" s="700"/>
      <c r="BHW18" s="700"/>
      <c r="BHX18" s="700"/>
      <c r="BHY18" s="700"/>
      <c r="BHZ18" s="700"/>
      <c r="BIA18" s="700"/>
      <c r="BIB18" s="700"/>
      <c r="BIC18" s="700"/>
      <c r="BID18" s="700"/>
      <c r="BIE18" s="700"/>
      <c r="BIF18" s="700"/>
      <c r="BIG18" s="700"/>
      <c r="BIH18" s="700"/>
      <c r="BII18" s="700"/>
      <c r="BIJ18" s="700"/>
      <c r="BIK18" s="700"/>
      <c r="BIL18" s="700"/>
      <c r="BIM18" s="700"/>
      <c r="BIN18" s="700"/>
      <c r="BIO18" s="700"/>
      <c r="BIP18" s="700"/>
      <c r="BIQ18" s="700"/>
      <c r="BIR18" s="700"/>
      <c r="BIS18" s="700"/>
      <c r="BIT18" s="700"/>
      <c r="BIU18" s="700"/>
      <c r="BIV18" s="700"/>
      <c r="BIW18" s="700"/>
      <c r="BIX18" s="700"/>
      <c r="BIY18" s="700"/>
      <c r="BIZ18" s="700"/>
      <c r="BJA18" s="700"/>
      <c r="BJB18" s="700"/>
      <c r="BJC18" s="700"/>
      <c r="BJD18" s="700"/>
      <c r="BJE18" s="700"/>
      <c r="BJF18" s="700"/>
      <c r="BJG18" s="700"/>
      <c r="BJH18" s="700"/>
      <c r="BJI18" s="700"/>
      <c r="BJJ18" s="700"/>
      <c r="BJK18" s="700"/>
      <c r="BJL18" s="700"/>
      <c r="BJM18" s="700"/>
      <c r="BJN18" s="700"/>
      <c r="BJO18" s="700"/>
      <c r="BJP18" s="700"/>
      <c r="BJQ18" s="700"/>
      <c r="BJR18" s="700"/>
      <c r="BJS18" s="700"/>
      <c r="BJT18" s="700"/>
      <c r="BJU18" s="700"/>
      <c r="BJV18" s="700"/>
      <c r="BJW18" s="700"/>
      <c r="BJX18" s="700"/>
      <c r="BJY18" s="700"/>
      <c r="BJZ18" s="700"/>
      <c r="BKA18" s="700"/>
      <c r="BKB18" s="700"/>
      <c r="BKC18" s="700"/>
      <c r="BKD18" s="700"/>
      <c r="BKE18" s="700"/>
      <c r="BKF18" s="700"/>
      <c r="BKG18" s="700"/>
      <c r="BKH18" s="700"/>
      <c r="BKI18" s="700"/>
      <c r="BKJ18" s="700"/>
      <c r="BKK18" s="700"/>
      <c r="BKL18" s="700"/>
      <c r="BKM18" s="700"/>
      <c r="BKN18" s="700"/>
      <c r="BKO18" s="700"/>
      <c r="BKP18" s="700"/>
      <c r="BKQ18" s="700"/>
      <c r="BKR18" s="700"/>
      <c r="BKS18" s="700"/>
      <c r="BKT18" s="700"/>
      <c r="BKU18" s="700"/>
      <c r="BKV18" s="700"/>
      <c r="BKW18" s="700"/>
      <c r="BKX18" s="700"/>
      <c r="BKY18" s="700"/>
      <c r="BKZ18" s="700"/>
      <c r="BLA18" s="700"/>
      <c r="BLB18" s="700"/>
      <c r="BLC18" s="700"/>
      <c r="BLD18" s="700"/>
      <c r="BLE18" s="700"/>
      <c r="BLF18" s="700"/>
      <c r="BLG18" s="700"/>
      <c r="BLH18" s="700"/>
      <c r="BLI18" s="700"/>
      <c r="BLJ18" s="700"/>
      <c r="BLK18" s="700"/>
      <c r="BLL18" s="700"/>
      <c r="BLM18" s="700"/>
      <c r="BLN18" s="700"/>
      <c r="BLO18" s="700"/>
      <c r="BLP18" s="700"/>
      <c r="BLQ18" s="700"/>
      <c r="BLR18" s="700"/>
      <c r="BLS18" s="700"/>
      <c r="BLT18" s="700"/>
      <c r="BLU18" s="700"/>
      <c r="BLV18" s="700"/>
      <c r="BLW18" s="700"/>
      <c r="BLX18" s="700"/>
      <c r="BLY18" s="700"/>
      <c r="BLZ18" s="700"/>
      <c r="BMA18" s="700"/>
      <c r="BMB18" s="700"/>
      <c r="BMC18" s="700"/>
      <c r="BMD18" s="700"/>
      <c r="BME18" s="700"/>
      <c r="BMF18" s="700"/>
      <c r="BMG18" s="700"/>
      <c r="BMH18" s="700"/>
      <c r="BMI18" s="700"/>
      <c r="BMJ18" s="700"/>
      <c r="BMK18" s="700"/>
      <c r="BML18" s="700"/>
      <c r="BMM18" s="700"/>
      <c r="BMN18" s="700"/>
      <c r="BMO18" s="700"/>
      <c r="BMP18" s="700"/>
      <c r="BMQ18" s="700"/>
      <c r="BMR18" s="700"/>
      <c r="BMS18" s="700"/>
      <c r="BMT18" s="700"/>
      <c r="BMU18" s="700"/>
      <c r="BMV18" s="700"/>
      <c r="BMW18" s="700"/>
      <c r="BMX18" s="700"/>
      <c r="BMY18" s="700"/>
      <c r="BMZ18" s="700"/>
      <c r="BNA18" s="700"/>
      <c r="BNB18" s="700"/>
      <c r="BNC18" s="700"/>
      <c r="BND18" s="700"/>
      <c r="BNE18" s="700"/>
      <c r="BNF18" s="700"/>
      <c r="BNG18" s="700"/>
      <c r="BNH18" s="700"/>
      <c r="BNI18" s="700"/>
      <c r="BNJ18" s="700"/>
      <c r="BNK18" s="700"/>
      <c r="BNL18" s="700"/>
      <c r="BNM18" s="700"/>
      <c r="BNN18" s="700"/>
      <c r="BNO18" s="700"/>
      <c r="BNP18" s="700"/>
      <c r="BNQ18" s="700"/>
      <c r="BNR18" s="700"/>
      <c r="BNS18" s="700"/>
      <c r="BNT18" s="700"/>
      <c r="BNU18" s="700"/>
      <c r="BNV18" s="700"/>
      <c r="BNW18" s="700"/>
      <c r="BNX18" s="700"/>
      <c r="BNY18" s="700"/>
      <c r="BNZ18" s="700"/>
      <c r="BOA18" s="700"/>
      <c r="BOB18" s="700"/>
      <c r="BOC18" s="700"/>
      <c r="BOD18" s="700"/>
      <c r="BOE18" s="700"/>
      <c r="BOF18" s="700"/>
      <c r="BOG18" s="700"/>
      <c r="BOH18" s="700"/>
      <c r="BOI18" s="700"/>
      <c r="BOJ18" s="700"/>
      <c r="BOK18" s="700"/>
      <c r="BOL18" s="700"/>
      <c r="BOM18" s="700"/>
      <c r="BON18" s="700"/>
      <c r="BOO18" s="700"/>
      <c r="BOP18" s="700"/>
      <c r="BOQ18" s="700"/>
      <c r="BOR18" s="700"/>
      <c r="BOS18" s="700"/>
      <c r="BOT18" s="700"/>
      <c r="BOU18" s="700"/>
      <c r="BOV18" s="700"/>
      <c r="BOW18" s="700"/>
      <c r="BOX18" s="700"/>
      <c r="BOY18" s="700"/>
      <c r="BOZ18" s="700"/>
      <c r="BPA18" s="700"/>
      <c r="BPB18" s="700"/>
      <c r="BPC18" s="700"/>
      <c r="BPD18" s="700"/>
      <c r="BPE18" s="700"/>
      <c r="BPF18" s="700"/>
      <c r="BPG18" s="700"/>
      <c r="BPH18" s="700"/>
      <c r="BPI18" s="700"/>
      <c r="BPJ18" s="700"/>
      <c r="BPK18" s="700"/>
      <c r="BPL18" s="700"/>
      <c r="BPM18" s="700"/>
      <c r="BPN18" s="700"/>
      <c r="BPO18" s="700"/>
      <c r="BPP18" s="700"/>
      <c r="BPQ18" s="700"/>
      <c r="BPR18" s="700"/>
      <c r="BPS18" s="700"/>
      <c r="BPT18" s="700"/>
      <c r="BPU18" s="700"/>
      <c r="BPV18" s="700"/>
      <c r="BPW18" s="700"/>
      <c r="BPX18" s="700"/>
      <c r="BPY18" s="700"/>
      <c r="BPZ18" s="700"/>
      <c r="BQA18" s="700"/>
      <c r="BQB18" s="700"/>
      <c r="BQC18" s="700"/>
      <c r="BQD18" s="700"/>
      <c r="BQE18" s="700"/>
      <c r="BQF18" s="700"/>
      <c r="BQG18" s="700"/>
      <c r="BQH18" s="700"/>
      <c r="BQI18" s="700"/>
      <c r="BQJ18" s="700"/>
      <c r="BQK18" s="700"/>
      <c r="BQL18" s="700"/>
      <c r="BQM18" s="700"/>
      <c r="BQN18" s="700"/>
      <c r="BQO18" s="700"/>
      <c r="BQP18" s="700"/>
      <c r="BQQ18" s="700"/>
      <c r="BQR18" s="700"/>
      <c r="BQS18" s="700"/>
      <c r="BQT18" s="700"/>
      <c r="BQU18" s="700"/>
      <c r="BQV18" s="700"/>
      <c r="BQW18" s="700"/>
      <c r="BQX18" s="700"/>
      <c r="BQY18" s="700"/>
      <c r="BQZ18" s="700"/>
      <c r="BRA18" s="700"/>
      <c r="BRB18" s="700"/>
      <c r="BRC18" s="700"/>
      <c r="BRD18" s="700"/>
      <c r="BRE18" s="700"/>
      <c r="BRF18" s="700"/>
      <c r="BRG18" s="700"/>
      <c r="BRH18" s="700"/>
      <c r="BRI18" s="700"/>
      <c r="BRJ18" s="700"/>
      <c r="BRK18" s="700"/>
      <c r="BRL18" s="700"/>
      <c r="BRM18" s="700"/>
      <c r="BRN18" s="700"/>
      <c r="BRO18" s="700"/>
      <c r="BRP18" s="700"/>
      <c r="BRQ18" s="700"/>
      <c r="BRR18" s="700"/>
      <c r="BRS18" s="700"/>
      <c r="BRT18" s="700"/>
      <c r="BRU18" s="700"/>
      <c r="BRV18" s="700"/>
      <c r="BRW18" s="700"/>
      <c r="BRX18" s="700"/>
      <c r="BRY18" s="700"/>
      <c r="BRZ18" s="700"/>
      <c r="BSA18" s="700"/>
      <c r="BSB18" s="700"/>
      <c r="BSC18" s="700"/>
      <c r="BSD18" s="700"/>
      <c r="BSE18" s="700"/>
      <c r="BSF18" s="700"/>
      <c r="BSG18" s="700"/>
      <c r="BSH18" s="700"/>
      <c r="BSI18" s="700"/>
      <c r="BSJ18" s="700"/>
      <c r="BSK18" s="700"/>
      <c r="BSL18" s="700"/>
      <c r="BSM18" s="700"/>
      <c r="BSN18" s="700"/>
      <c r="BSO18" s="700"/>
      <c r="BSP18" s="700"/>
      <c r="BSQ18" s="700"/>
      <c r="BSR18" s="700"/>
      <c r="BSS18" s="700"/>
      <c r="BST18" s="700"/>
      <c r="BSU18" s="700"/>
      <c r="BSV18" s="700"/>
      <c r="BSW18" s="700"/>
      <c r="BSX18" s="700"/>
      <c r="BSY18" s="700"/>
      <c r="BSZ18" s="700"/>
      <c r="BTA18" s="700"/>
      <c r="BTB18" s="700"/>
      <c r="BTC18" s="700"/>
      <c r="BTD18" s="700"/>
      <c r="BTE18" s="700"/>
      <c r="BTF18" s="700"/>
      <c r="BTG18" s="700"/>
      <c r="BTH18" s="700"/>
      <c r="BTI18" s="700"/>
      <c r="BTJ18" s="700"/>
      <c r="BTK18" s="700"/>
      <c r="BTL18" s="700"/>
      <c r="BTM18" s="700"/>
      <c r="BTN18" s="700"/>
      <c r="BTO18" s="700"/>
      <c r="BTP18" s="700"/>
      <c r="BTQ18" s="700"/>
      <c r="BTR18" s="700"/>
      <c r="BTS18" s="700"/>
      <c r="BTT18" s="700"/>
      <c r="BTU18" s="700"/>
      <c r="BTV18" s="700"/>
      <c r="BTW18" s="700"/>
      <c r="BTX18" s="700"/>
      <c r="BTY18" s="700"/>
      <c r="BTZ18" s="700"/>
      <c r="BUA18" s="700"/>
      <c r="BUB18" s="700"/>
      <c r="BUC18" s="700"/>
      <c r="BUD18" s="700"/>
      <c r="BUE18" s="700"/>
      <c r="BUF18" s="700"/>
      <c r="BUG18" s="700"/>
      <c r="BUH18" s="700"/>
      <c r="BUI18" s="700"/>
      <c r="BUJ18" s="700"/>
      <c r="BUK18" s="700"/>
      <c r="BUL18" s="700"/>
      <c r="BUM18" s="700"/>
      <c r="BUN18" s="700"/>
      <c r="BUO18" s="700"/>
      <c r="BUP18" s="700"/>
      <c r="BUQ18" s="700"/>
      <c r="BUR18" s="700"/>
      <c r="BUS18" s="700"/>
      <c r="BUT18" s="700"/>
      <c r="BUU18" s="700"/>
      <c r="BUV18" s="700"/>
      <c r="BUW18" s="700"/>
      <c r="BUX18" s="700"/>
      <c r="BUY18" s="700"/>
      <c r="BUZ18" s="700"/>
      <c r="BVA18" s="700"/>
      <c r="BVB18" s="700"/>
      <c r="BVC18" s="700"/>
      <c r="BVD18" s="700"/>
      <c r="BVE18" s="700"/>
      <c r="BVF18" s="700"/>
      <c r="BVG18" s="700"/>
      <c r="BVH18" s="700"/>
      <c r="BVI18" s="700"/>
      <c r="BVJ18" s="700"/>
      <c r="BVK18" s="700"/>
      <c r="BVL18" s="700"/>
      <c r="BVM18" s="700"/>
      <c r="BVN18" s="700"/>
      <c r="BVO18" s="700"/>
      <c r="BVP18" s="700"/>
      <c r="BVQ18" s="700"/>
      <c r="BVR18" s="700"/>
      <c r="BVS18" s="700"/>
      <c r="BVT18" s="700"/>
      <c r="BVU18" s="700"/>
      <c r="BVV18" s="700"/>
      <c r="BVW18" s="700"/>
      <c r="BVX18" s="700"/>
      <c r="BVY18" s="700"/>
      <c r="BVZ18" s="700"/>
      <c r="BWA18" s="700"/>
      <c r="BWB18" s="700"/>
      <c r="BWC18" s="700"/>
      <c r="BWD18" s="700"/>
      <c r="BWE18" s="700"/>
      <c r="BWF18" s="700"/>
      <c r="BWG18" s="700"/>
      <c r="BWH18" s="700"/>
      <c r="BWI18" s="700"/>
      <c r="BWJ18" s="700"/>
      <c r="BWK18" s="700"/>
      <c r="BWL18" s="700"/>
      <c r="BWM18" s="700"/>
      <c r="BWN18" s="700"/>
      <c r="BWO18" s="700"/>
      <c r="BWP18" s="700"/>
      <c r="BWQ18" s="700"/>
      <c r="BWR18" s="700"/>
      <c r="BWS18" s="700"/>
      <c r="BWT18" s="700"/>
      <c r="BWU18" s="700"/>
      <c r="BWV18" s="700"/>
      <c r="BWW18" s="700"/>
      <c r="BWX18" s="700"/>
      <c r="BWY18" s="700"/>
      <c r="BWZ18" s="700"/>
      <c r="BXA18" s="700"/>
      <c r="BXB18" s="700"/>
      <c r="BXC18" s="700"/>
      <c r="BXD18" s="700"/>
      <c r="BXE18" s="700"/>
      <c r="BXF18" s="700"/>
      <c r="BXG18" s="700"/>
      <c r="BXH18" s="700"/>
      <c r="BXI18" s="700"/>
      <c r="BXJ18" s="700"/>
      <c r="BXK18" s="700"/>
      <c r="BXL18" s="700"/>
      <c r="BXM18" s="700"/>
      <c r="BXN18" s="700"/>
      <c r="BXO18" s="700"/>
      <c r="BXP18" s="700"/>
      <c r="BXQ18" s="700"/>
      <c r="BXR18" s="700"/>
      <c r="BXS18" s="700"/>
      <c r="BXT18" s="700"/>
      <c r="BXU18" s="700"/>
      <c r="BXV18" s="700"/>
      <c r="BXW18" s="700"/>
      <c r="BXX18" s="700"/>
      <c r="BXY18" s="700"/>
      <c r="BXZ18" s="700"/>
    </row>
    <row r="19" spans="1:2002" ht="15">
      <c r="A19" s="717"/>
      <c r="B19" s="706"/>
      <c r="C19" s="735" t="s">
        <v>40</v>
      </c>
      <c r="D19" s="799"/>
      <c r="E19" s="799"/>
      <c r="F19" s="799"/>
      <c r="G19" s="799"/>
      <c r="H19" s="799"/>
      <c r="I19" s="736"/>
      <c r="J19" s="737"/>
      <c r="K19" s="737"/>
      <c r="L19" s="737"/>
      <c r="M19" s="737"/>
      <c r="N19" s="737"/>
      <c r="O19" s="737"/>
      <c r="P19" s="737"/>
      <c r="Q19" s="737"/>
      <c r="R19" s="737"/>
      <c r="S19" s="712"/>
      <c r="T19" s="700"/>
      <c r="U19" s="700"/>
      <c r="V19" s="700"/>
      <c r="W19" s="700"/>
      <c r="X19" s="700"/>
      <c r="Y19" s="700"/>
      <c r="Z19" s="700"/>
      <c r="AA19" s="700"/>
      <c r="AB19" s="700"/>
      <c r="AC19" s="700"/>
      <c r="AD19" s="700"/>
      <c r="AE19" s="700"/>
      <c r="AF19" s="700"/>
      <c r="AG19" s="700"/>
      <c r="AH19" s="700"/>
      <c r="AI19" s="700"/>
      <c r="AJ19" s="700"/>
      <c r="AK19" s="700"/>
      <c r="AL19" s="700"/>
      <c r="AM19" s="700"/>
      <c r="AN19" s="700"/>
      <c r="AO19" s="700"/>
      <c r="AP19" s="700"/>
      <c r="AQ19" s="700"/>
      <c r="AR19" s="700"/>
      <c r="AS19" s="700"/>
      <c r="AT19" s="700"/>
      <c r="AU19" s="700"/>
      <c r="AV19" s="700"/>
      <c r="AW19" s="700"/>
      <c r="AX19" s="700"/>
      <c r="AY19" s="700"/>
      <c r="AZ19" s="700"/>
      <c r="BA19" s="700"/>
      <c r="BB19" s="700"/>
      <c r="BC19" s="700"/>
      <c r="BD19" s="700"/>
      <c r="BE19" s="700"/>
      <c r="BF19" s="700"/>
      <c r="BG19" s="700"/>
      <c r="BH19" s="700"/>
      <c r="BI19" s="700"/>
      <c r="BJ19" s="700"/>
      <c r="BK19" s="700"/>
      <c r="BL19" s="700"/>
      <c r="BM19" s="700"/>
      <c r="BN19" s="700"/>
      <c r="BO19" s="700"/>
      <c r="BP19" s="700"/>
      <c r="BQ19" s="700"/>
      <c r="BR19" s="700"/>
      <c r="BS19" s="700"/>
      <c r="BT19" s="700"/>
      <c r="BU19" s="700"/>
      <c r="BV19" s="700"/>
      <c r="BW19" s="700"/>
      <c r="BX19" s="700"/>
      <c r="BY19" s="700"/>
      <c r="BZ19" s="700"/>
      <c r="CA19" s="700"/>
      <c r="CB19" s="700"/>
      <c r="CC19" s="700"/>
      <c r="CD19" s="700"/>
      <c r="CE19" s="700"/>
      <c r="CF19" s="700"/>
      <c r="CG19" s="700"/>
      <c r="CH19" s="700"/>
      <c r="CI19" s="700"/>
      <c r="CJ19" s="700"/>
      <c r="CK19" s="700"/>
      <c r="CL19" s="700"/>
      <c r="CM19" s="700"/>
      <c r="CN19" s="700"/>
      <c r="CO19" s="700"/>
      <c r="CP19" s="700"/>
      <c r="CQ19" s="700"/>
      <c r="CR19" s="700"/>
      <c r="CS19" s="700"/>
      <c r="CT19" s="700"/>
      <c r="CU19" s="700"/>
      <c r="CV19" s="700"/>
      <c r="CW19" s="700"/>
      <c r="CX19" s="700"/>
      <c r="CY19" s="700"/>
      <c r="CZ19" s="700"/>
      <c r="DA19" s="700"/>
      <c r="DB19" s="700"/>
      <c r="DC19" s="700"/>
      <c r="DD19" s="700"/>
      <c r="DE19" s="700"/>
      <c r="DF19" s="700"/>
      <c r="DG19" s="700"/>
      <c r="DH19" s="700"/>
      <c r="DI19" s="700"/>
      <c r="DJ19" s="700"/>
      <c r="DK19" s="700"/>
      <c r="DL19" s="700"/>
      <c r="DM19" s="700"/>
      <c r="DN19" s="700"/>
      <c r="DO19" s="700"/>
      <c r="DP19" s="700"/>
      <c r="DQ19" s="700"/>
      <c r="DR19" s="700"/>
      <c r="DS19" s="700"/>
      <c r="DT19" s="700"/>
      <c r="DU19" s="700"/>
      <c r="DV19" s="700"/>
      <c r="DW19" s="700"/>
      <c r="DX19" s="700"/>
      <c r="DY19" s="700"/>
      <c r="DZ19" s="700"/>
      <c r="EA19" s="700"/>
      <c r="EB19" s="700"/>
      <c r="EC19" s="700"/>
      <c r="ED19" s="700"/>
      <c r="EE19" s="700"/>
      <c r="EF19" s="700"/>
      <c r="EG19" s="700"/>
      <c r="EH19" s="700"/>
      <c r="EI19" s="700"/>
      <c r="EJ19" s="700"/>
      <c r="EK19" s="700"/>
      <c r="EL19" s="700"/>
      <c r="EM19" s="700"/>
      <c r="EN19" s="700"/>
      <c r="EO19" s="700"/>
      <c r="EP19" s="700"/>
      <c r="EQ19" s="700"/>
      <c r="ER19" s="700"/>
      <c r="ES19" s="700"/>
      <c r="ET19" s="700"/>
      <c r="EU19" s="700"/>
      <c r="EV19" s="700"/>
      <c r="EW19" s="700"/>
      <c r="EX19" s="700"/>
      <c r="EY19" s="700"/>
      <c r="EZ19" s="700"/>
      <c r="FA19" s="700"/>
      <c r="FB19" s="700"/>
      <c r="FC19" s="700"/>
      <c r="FD19" s="700"/>
      <c r="FE19" s="700"/>
      <c r="FF19" s="700"/>
      <c r="FG19" s="700"/>
      <c r="FH19" s="700"/>
      <c r="FI19" s="700"/>
      <c r="FJ19" s="700"/>
      <c r="FK19" s="700"/>
      <c r="FL19" s="700"/>
      <c r="FM19" s="700"/>
      <c r="FN19" s="700"/>
      <c r="FO19" s="700"/>
      <c r="FP19" s="700"/>
      <c r="FQ19" s="700"/>
      <c r="FR19" s="700"/>
      <c r="FS19" s="700"/>
      <c r="FT19" s="700"/>
      <c r="FU19" s="700"/>
      <c r="FV19" s="700"/>
      <c r="FW19" s="700"/>
      <c r="FX19" s="700"/>
      <c r="FY19" s="700"/>
      <c r="FZ19" s="700"/>
      <c r="GA19" s="700"/>
      <c r="GB19" s="700"/>
      <c r="GC19" s="700"/>
      <c r="GD19" s="700"/>
      <c r="GE19" s="700"/>
      <c r="GF19" s="700"/>
      <c r="GG19" s="700"/>
      <c r="GH19" s="700"/>
      <c r="GI19" s="700"/>
      <c r="GJ19" s="700"/>
      <c r="GK19" s="700"/>
      <c r="GL19" s="700"/>
      <c r="GM19" s="700"/>
      <c r="GN19" s="700"/>
      <c r="GO19" s="700"/>
      <c r="GP19" s="700"/>
      <c r="GQ19" s="700"/>
      <c r="GR19" s="700"/>
      <c r="GS19" s="700"/>
      <c r="GT19" s="700"/>
      <c r="GU19" s="700"/>
      <c r="GV19" s="700"/>
      <c r="GW19" s="700"/>
      <c r="GX19" s="700"/>
      <c r="GY19" s="700"/>
      <c r="GZ19" s="700"/>
      <c r="HA19" s="700"/>
      <c r="HB19" s="700"/>
      <c r="HC19" s="700"/>
      <c r="HD19" s="700"/>
      <c r="HE19" s="700"/>
      <c r="HF19" s="700"/>
      <c r="HG19" s="700"/>
      <c r="HH19" s="700"/>
      <c r="HI19" s="700"/>
      <c r="HJ19" s="700"/>
      <c r="HK19" s="700"/>
      <c r="HL19" s="700"/>
      <c r="HM19" s="700"/>
      <c r="HN19" s="700"/>
      <c r="HO19" s="700"/>
      <c r="HP19" s="700"/>
      <c r="HQ19" s="700"/>
      <c r="HR19" s="700"/>
      <c r="HS19" s="700"/>
      <c r="HT19" s="700"/>
      <c r="HU19" s="700"/>
      <c r="HV19" s="700"/>
      <c r="HW19" s="700"/>
      <c r="HX19" s="700"/>
      <c r="HY19" s="700"/>
      <c r="HZ19" s="700"/>
      <c r="IA19" s="700"/>
      <c r="IB19" s="700"/>
      <c r="IC19" s="700"/>
      <c r="ID19" s="700"/>
      <c r="IE19" s="700"/>
      <c r="IF19" s="700"/>
      <c r="IG19" s="700"/>
      <c r="IH19" s="700"/>
      <c r="II19" s="700"/>
      <c r="IJ19" s="700"/>
      <c r="IK19" s="700"/>
      <c r="IL19" s="700"/>
      <c r="IM19" s="700"/>
      <c r="IN19" s="700"/>
      <c r="IO19" s="700"/>
      <c r="IP19" s="700"/>
      <c r="IQ19" s="700"/>
      <c r="IR19" s="700"/>
      <c r="IS19" s="700"/>
      <c r="IT19" s="700"/>
      <c r="IU19" s="700"/>
      <c r="IV19" s="700"/>
      <c r="IW19" s="700"/>
      <c r="IX19" s="700"/>
      <c r="IY19" s="700"/>
      <c r="IZ19" s="700"/>
      <c r="JA19" s="700"/>
      <c r="JB19" s="700"/>
      <c r="JC19" s="700"/>
      <c r="JD19" s="700"/>
      <c r="JE19" s="700"/>
      <c r="JF19" s="700"/>
      <c r="JG19" s="700"/>
      <c r="JH19" s="700"/>
      <c r="JI19" s="700"/>
      <c r="JJ19" s="700"/>
      <c r="JK19" s="700"/>
      <c r="JL19" s="700"/>
      <c r="JM19" s="700"/>
      <c r="JN19" s="700"/>
      <c r="JO19" s="700"/>
      <c r="JP19" s="700"/>
      <c r="JQ19" s="700"/>
      <c r="JR19" s="700"/>
      <c r="JS19" s="700"/>
      <c r="JT19" s="700"/>
      <c r="JU19" s="700"/>
      <c r="JV19" s="700"/>
      <c r="JW19" s="700"/>
      <c r="JX19" s="700"/>
      <c r="JY19" s="700"/>
      <c r="JZ19" s="700"/>
      <c r="KA19" s="700"/>
      <c r="KB19" s="700"/>
      <c r="KC19" s="700"/>
      <c r="KD19" s="700"/>
      <c r="KE19" s="700"/>
      <c r="KF19" s="700"/>
      <c r="KG19" s="700"/>
      <c r="KH19" s="700"/>
      <c r="KI19" s="700"/>
      <c r="KJ19" s="700"/>
      <c r="KK19" s="700"/>
      <c r="KL19" s="700"/>
      <c r="KM19" s="700"/>
      <c r="KN19" s="700"/>
      <c r="KO19" s="700"/>
      <c r="KP19" s="700"/>
      <c r="KQ19" s="700"/>
      <c r="KR19" s="700"/>
      <c r="KS19" s="700"/>
      <c r="KT19" s="700"/>
      <c r="KU19" s="700"/>
      <c r="KV19" s="700"/>
      <c r="KW19" s="700"/>
      <c r="KX19" s="700"/>
      <c r="KY19" s="700"/>
      <c r="KZ19" s="700"/>
      <c r="LA19" s="700"/>
      <c r="LB19" s="700"/>
      <c r="LC19" s="700"/>
      <c r="LD19" s="700"/>
      <c r="LE19" s="700"/>
      <c r="LF19" s="700"/>
      <c r="LG19" s="700"/>
      <c r="LH19" s="700"/>
      <c r="LI19" s="700"/>
      <c r="LJ19" s="700"/>
      <c r="LK19" s="700"/>
      <c r="LL19" s="700"/>
      <c r="LM19" s="700"/>
      <c r="LN19" s="700"/>
      <c r="LO19" s="700"/>
      <c r="LP19" s="700"/>
      <c r="LQ19" s="700"/>
      <c r="LR19" s="700"/>
      <c r="LS19" s="700"/>
      <c r="LT19" s="700"/>
      <c r="LU19" s="700"/>
      <c r="LV19" s="700"/>
      <c r="LW19" s="700"/>
      <c r="LX19" s="700"/>
      <c r="LY19" s="700"/>
      <c r="LZ19" s="700"/>
      <c r="MA19" s="700"/>
      <c r="MB19" s="700"/>
      <c r="MC19" s="700"/>
      <c r="MD19" s="700"/>
      <c r="ME19" s="700"/>
      <c r="MF19" s="700"/>
      <c r="MG19" s="700"/>
      <c r="MH19" s="700"/>
      <c r="MI19" s="700"/>
      <c r="MJ19" s="700"/>
      <c r="MK19" s="700"/>
      <c r="ML19" s="700"/>
      <c r="MM19" s="700"/>
      <c r="MN19" s="700"/>
      <c r="MO19" s="700"/>
      <c r="MP19" s="700"/>
      <c r="MQ19" s="700"/>
      <c r="MR19" s="700"/>
      <c r="MS19" s="700"/>
      <c r="MT19" s="700"/>
      <c r="MU19" s="700"/>
      <c r="MV19" s="700"/>
      <c r="MW19" s="700"/>
      <c r="MX19" s="700"/>
      <c r="MY19" s="700"/>
      <c r="MZ19" s="700"/>
      <c r="NA19" s="700"/>
      <c r="NB19" s="700"/>
      <c r="NC19" s="700"/>
      <c r="ND19" s="700"/>
      <c r="NE19" s="700"/>
      <c r="NF19" s="700"/>
      <c r="NG19" s="700"/>
      <c r="NH19" s="700"/>
      <c r="NI19" s="700"/>
      <c r="NJ19" s="700"/>
      <c r="NK19" s="700"/>
      <c r="NL19" s="700"/>
      <c r="NM19" s="700"/>
      <c r="NN19" s="700"/>
      <c r="NO19" s="700"/>
      <c r="NP19" s="700"/>
      <c r="NQ19" s="700"/>
      <c r="NR19" s="700"/>
      <c r="NS19" s="700"/>
      <c r="NT19" s="700"/>
      <c r="NU19" s="700"/>
      <c r="NV19" s="700"/>
      <c r="NW19" s="700"/>
      <c r="NX19" s="700"/>
      <c r="NY19" s="700"/>
      <c r="NZ19" s="700"/>
      <c r="OA19" s="700"/>
      <c r="OB19" s="700"/>
      <c r="OC19" s="700"/>
      <c r="OD19" s="700"/>
      <c r="OE19" s="700"/>
      <c r="OF19" s="700"/>
      <c r="OG19" s="700"/>
      <c r="OH19" s="700"/>
      <c r="OI19" s="700"/>
      <c r="OJ19" s="700"/>
      <c r="OK19" s="700"/>
      <c r="OL19" s="700"/>
      <c r="OM19" s="700"/>
      <c r="ON19" s="700"/>
      <c r="OO19" s="700"/>
      <c r="OP19" s="700"/>
      <c r="OQ19" s="700"/>
      <c r="OR19" s="700"/>
      <c r="OS19" s="700"/>
      <c r="OT19" s="700"/>
      <c r="OU19" s="700"/>
      <c r="OV19" s="700"/>
      <c r="OW19" s="700"/>
      <c r="OX19" s="700"/>
      <c r="OY19" s="700"/>
      <c r="OZ19" s="700"/>
      <c r="PA19" s="700"/>
      <c r="PB19" s="700"/>
      <c r="PC19" s="700"/>
      <c r="PD19" s="700"/>
      <c r="PE19" s="700"/>
      <c r="PF19" s="700"/>
      <c r="PG19" s="700"/>
      <c r="PH19" s="700"/>
      <c r="PI19" s="700"/>
      <c r="PJ19" s="700"/>
      <c r="PK19" s="700"/>
      <c r="PL19" s="700"/>
      <c r="PM19" s="700"/>
      <c r="PN19" s="700"/>
      <c r="PO19" s="700"/>
      <c r="PP19" s="700"/>
      <c r="PQ19" s="700"/>
      <c r="PR19" s="700"/>
      <c r="PS19" s="700"/>
      <c r="PT19" s="700"/>
      <c r="PU19" s="700"/>
      <c r="PV19" s="700"/>
      <c r="PW19" s="700"/>
      <c r="PX19" s="700"/>
      <c r="PY19" s="700"/>
      <c r="PZ19" s="700"/>
      <c r="QA19" s="700"/>
      <c r="QB19" s="700"/>
      <c r="QC19" s="700"/>
      <c r="QD19" s="700"/>
      <c r="QE19" s="700"/>
      <c r="QF19" s="700"/>
      <c r="QG19" s="700"/>
      <c r="QH19" s="700"/>
      <c r="QI19" s="700"/>
      <c r="QJ19" s="700"/>
      <c r="QK19" s="700"/>
      <c r="QL19" s="700"/>
      <c r="QM19" s="700"/>
      <c r="QN19" s="700"/>
      <c r="QO19" s="700"/>
      <c r="QP19" s="700"/>
      <c r="QQ19" s="700"/>
      <c r="QR19" s="700"/>
      <c r="QS19" s="700"/>
      <c r="QT19" s="700"/>
      <c r="QU19" s="700"/>
      <c r="QV19" s="700"/>
      <c r="QW19" s="700"/>
      <c r="QX19" s="700"/>
      <c r="QY19" s="700"/>
      <c r="QZ19" s="700"/>
      <c r="RA19" s="700"/>
      <c r="RB19" s="700"/>
      <c r="RC19" s="700"/>
      <c r="RD19" s="700"/>
      <c r="RE19" s="700"/>
      <c r="RF19" s="700"/>
      <c r="RG19" s="700"/>
      <c r="RH19" s="700"/>
      <c r="RI19" s="700"/>
      <c r="RJ19" s="700"/>
      <c r="RK19" s="700"/>
      <c r="RL19" s="700"/>
      <c r="RM19" s="700"/>
      <c r="RN19" s="700"/>
      <c r="RO19" s="700"/>
      <c r="RP19" s="700"/>
      <c r="RQ19" s="700"/>
      <c r="RR19" s="700"/>
      <c r="RS19" s="700"/>
      <c r="RT19" s="700"/>
      <c r="RU19" s="700"/>
      <c r="RV19" s="700"/>
      <c r="RW19" s="700"/>
      <c r="RX19" s="700"/>
      <c r="RY19" s="700"/>
      <c r="RZ19" s="700"/>
      <c r="SA19" s="700"/>
      <c r="SB19" s="700"/>
      <c r="SC19" s="700"/>
      <c r="SD19" s="700"/>
      <c r="SE19" s="700"/>
      <c r="SF19" s="700"/>
      <c r="SG19" s="700"/>
      <c r="SH19" s="700"/>
      <c r="SI19" s="700"/>
      <c r="SJ19" s="700"/>
      <c r="SK19" s="700"/>
      <c r="SL19" s="700"/>
      <c r="SM19" s="700"/>
      <c r="SN19" s="700"/>
      <c r="SO19" s="700"/>
      <c r="SP19" s="700"/>
      <c r="SQ19" s="700"/>
      <c r="SR19" s="700"/>
      <c r="SS19" s="700"/>
      <c r="ST19" s="700"/>
      <c r="SU19" s="700"/>
      <c r="SV19" s="700"/>
      <c r="SW19" s="700"/>
      <c r="SX19" s="700"/>
      <c r="SY19" s="700"/>
      <c r="SZ19" s="700"/>
      <c r="TA19" s="700"/>
      <c r="TB19" s="700"/>
      <c r="TC19" s="700"/>
      <c r="TD19" s="700"/>
      <c r="TE19" s="700"/>
      <c r="TF19" s="700"/>
      <c r="TG19" s="700"/>
      <c r="TH19" s="700"/>
      <c r="TI19" s="700"/>
      <c r="TJ19" s="700"/>
      <c r="TK19" s="700"/>
      <c r="TL19" s="700"/>
      <c r="TM19" s="700"/>
      <c r="TN19" s="700"/>
      <c r="TO19" s="700"/>
      <c r="TP19" s="700"/>
      <c r="TQ19" s="700"/>
      <c r="TR19" s="700"/>
      <c r="TS19" s="700"/>
      <c r="TT19" s="700"/>
      <c r="TU19" s="700"/>
      <c r="TV19" s="700"/>
      <c r="TW19" s="700"/>
      <c r="TX19" s="700"/>
      <c r="TY19" s="700"/>
      <c r="TZ19" s="700"/>
      <c r="UA19" s="700"/>
      <c r="UB19" s="700"/>
      <c r="UC19" s="700"/>
      <c r="UD19" s="700"/>
      <c r="UE19" s="700"/>
      <c r="UF19" s="700"/>
      <c r="UG19" s="700"/>
      <c r="UH19" s="700"/>
      <c r="UI19" s="700"/>
      <c r="UJ19" s="700"/>
      <c r="UK19" s="700"/>
      <c r="UL19" s="700"/>
      <c r="UM19" s="700"/>
      <c r="UN19" s="700"/>
      <c r="UO19" s="700"/>
      <c r="UP19" s="700"/>
      <c r="UQ19" s="700"/>
      <c r="UR19" s="700"/>
      <c r="US19" s="700"/>
      <c r="UT19" s="700"/>
      <c r="UU19" s="700"/>
      <c r="UV19" s="700"/>
      <c r="UW19" s="700"/>
      <c r="UX19" s="700"/>
      <c r="UY19" s="700"/>
      <c r="UZ19" s="700"/>
      <c r="VA19" s="700"/>
      <c r="VB19" s="700"/>
      <c r="VC19" s="700"/>
      <c r="VD19" s="700"/>
      <c r="VE19" s="700"/>
      <c r="VF19" s="700"/>
      <c r="VG19" s="700"/>
      <c r="VH19" s="700"/>
      <c r="VI19" s="700"/>
      <c r="VJ19" s="700"/>
      <c r="VK19" s="700"/>
      <c r="VL19" s="700"/>
      <c r="VM19" s="700"/>
      <c r="VN19" s="700"/>
      <c r="VO19" s="700"/>
      <c r="VP19" s="700"/>
      <c r="VQ19" s="700"/>
      <c r="VR19" s="700"/>
      <c r="VS19" s="700"/>
      <c r="VT19" s="700"/>
      <c r="VU19" s="700"/>
      <c r="VV19" s="700"/>
      <c r="VW19" s="700"/>
      <c r="VX19" s="700"/>
      <c r="VY19" s="700"/>
      <c r="VZ19" s="700"/>
      <c r="WA19" s="700"/>
      <c r="WB19" s="700"/>
      <c r="WC19" s="700"/>
      <c r="WD19" s="700"/>
      <c r="WE19" s="700"/>
      <c r="WF19" s="700"/>
      <c r="WG19" s="700"/>
      <c r="WH19" s="700"/>
      <c r="WI19" s="700"/>
      <c r="WJ19" s="700"/>
      <c r="WK19" s="700"/>
      <c r="WL19" s="700"/>
      <c r="WM19" s="700"/>
      <c r="WN19" s="700"/>
      <c r="WO19" s="700"/>
      <c r="WP19" s="700"/>
      <c r="WQ19" s="700"/>
      <c r="WR19" s="700"/>
      <c r="WS19" s="700"/>
      <c r="WT19" s="700"/>
      <c r="WU19" s="700"/>
      <c r="WV19" s="700"/>
      <c r="WW19" s="700"/>
      <c r="WX19" s="700"/>
      <c r="WY19" s="700"/>
      <c r="WZ19" s="700"/>
      <c r="XA19" s="700"/>
      <c r="XB19" s="700"/>
      <c r="XC19" s="700"/>
      <c r="XD19" s="700"/>
      <c r="XE19" s="700"/>
      <c r="XF19" s="700"/>
      <c r="XG19" s="700"/>
      <c r="XH19" s="700"/>
      <c r="XI19" s="700"/>
      <c r="XJ19" s="700"/>
      <c r="XK19" s="700"/>
      <c r="XL19" s="700"/>
      <c r="XM19" s="700"/>
      <c r="XN19" s="700"/>
      <c r="XO19" s="700"/>
      <c r="XP19" s="700"/>
      <c r="XQ19" s="700"/>
      <c r="XR19" s="700"/>
      <c r="XS19" s="700"/>
      <c r="XT19" s="700"/>
      <c r="XU19" s="700"/>
      <c r="XV19" s="700"/>
      <c r="XW19" s="700"/>
      <c r="XX19" s="700"/>
      <c r="XY19" s="700"/>
      <c r="XZ19" s="700"/>
      <c r="YA19" s="700"/>
      <c r="YB19" s="700"/>
      <c r="YC19" s="700"/>
      <c r="YD19" s="700"/>
      <c r="YE19" s="700"/>
      <c r="YF19" s="700"/>
      <c r="YG19" s="700"/>
      <c r="YH19" s="700"/>
      <c r="YI19" s="700"/>
      <c r="YJ19" s="700"/>
      <c r="YK19" s="700"/>
      <c r="YL19" s="700"/>
      <c r="YM19" s="700"/>
      <c r="YN19" s="700"/>
      <c r="YO19" s="700"/>
      <c r="YP19" s="700"/>
      <c r="YQ19" s="700"/>
      <c r="YR19" s="700"/>
      <c r="YS19" s="700"/>
      <c r="YT19" s="700"/>
      <c r="YU19" s="700"/>
      <c r="YV19" s="700"/>
      <c r="YW19" s="700"/>
      <c r="YX19" s="700"/>
      <c r="YY19" s="700"/>
      <c r="YZ19" s="700"/>
      <c r="ZA19" s="700"/>
      <c r="ZB19" s="700"/>
      <c r="ZC19" s="700"/>
      <c r="ZD19" s="700"/>
      <c r="ZE19" s="700"/>
      <c r="ZF19" s="700"/>
      <c r="ZG19" s="700"/>
      <c r="ZH19" s="700"/>
      <c r="ZI19" s="700"/>
      <c r="ZJ19" s="700"/>
      <c r="ZK19" s="700"/>
      <c r="ZL19" s="700"/>
      <c r="ZM19" s="700"/>
      <c r="ZN19" s="700"/>
      <c r="ZO19" s="700"/>
      <c r="ZP19" s="700"/>
      <c r="ZQ19" s="700"/>
      <c r="ZR19" s="700"/>
      <c r="ZS19" s="700"/>
      <c r="ZT19" s="700"/>
      <c r="ZU19" s="700"/>
      <c r="ZV19" s="700"/>
      <c r="ZW19" s="700"/>
      <c r="ZX19" s="700"/>
      <c r="ZY19" s="700"/>
      <c r="ZZ19" s="700"/>
      <c r="AAA19" s="700"/>
      <c r="AAB19" s="700"/>
      <c r="AAC19" s="700"/>
      <c r="AAD19" s="700"/>
      <c r="AAE19" s="700"/>
      <c r="AAF19" s="700"/>
      <c r="AAG19" s="700"/>
      <c r="AAH19" s="700"/>
      <c r="AAI19" s="700"/>
      <c r="AAJ19" s="700"/>
      <c r="AAK19" s="700"/>
      <c r="AAL19" s="700"/>
      <c r="AAM19" s="700"/>
      <c r="AAN19" s="700"/>
      <c r="AAO19" s="700"/>
      <c r="AAP19" s="700"/>
      <c r="AAQ19" s="700"/>
      <c r="AAR19" s="700"/>
      <c r="AAS19" s="700"/>
      <c r="AAT19" s="700"/>
      <c r="AAU19" s="700"/>
      <c r="AAV19" s="700"/>
      <c r="AAW19" s="700"/>
      <c r="AAX19" s="700"/>
      <c r="AAY19" s="700"/>
      <c r="AAZ19" s="700"/>
      <c r="ABA19" s="700"/>
      <c r="ABB19" s="700"/>
      <c r="ABC19" s="700"/>
      <c r="ABD19" s="700"/>
      <c r="ABE19" s="700"/>
      <c r="ABF19" s="700"/>
      <c r="ABG19" s="700"/>
      <c r="ABH19" s="700"/>
      <c r="ABI19" s="700"/>
      <c r="ABJ19" s="700"/>
      <c r="ABK19" s="700"/>
      <c r="ABL19" s="700"/>
      <c r="ABM19" s="700"/>
      <c r="ABN19" s="700"/>
      <c r="ABO19" s="700"/>
      <c r="ABP19" s="700"/>
      <c r="ABQ19" s="700"/>
      <c r="ABR19" s="700"/>
      <c r="ABS19" s="700"/>
      <c r="ABT19" s="700"/>
      <c r="ABU19" s="700"/>
      <c r="ABV19" s="700"/>
      <c r="ABW19" s="700"/>
      <c r="ABX19" s="700"/>
      <c r="ABY19" s="700"/>
      <c r="ABZ19" s="700"/>
      <c r="ACA19" s="700"/>
      <c r="ACB19" s="700"/>
      <c r="ACC19" s="700"/>
      <c r="ACD19" s="700"/>
      <c r="ACE19" s="700"/>
      <c r="ACF19" s="700"/>
      <c r="ACG19" s="700"/>
      <c r="ACH19" s="700"/>
      <c r="ACI19" s="700"/>
      <c r="ACJ19" s="700"/>
      <c r="ACK19" s="700"/>
      <c r="ACL19" s="700"/>
      <c r="ACM19" s="700"/>
      <c r="ACN19" s="700"/>
      <c r="ACO19" s="700"/>
      <c r="ACP19" s="700"/>
      <c r="ACQ19" s="700"/>
      <c r="ACR19" s="700"/>
      <c r="ACS19" s="700"/>
      <c r="ACT19" s="700"/>
      <c r="ACU19" s="700"/>
      <c r="ACV19" s="700"/>
      <c r="ACW19" s="700"/>
      <c r="ACX19" s="700"/>
      <c r="ACY19" s="700"/>
      <c r="ACZ19" s="700"/>
      <c r="ADA19" s="700"/>
      <c r="ADB19" s="700"/>
      <c r="ADC19" s="700"/>
      <c r="ADD19" s="700"/>
      <c r="ADE19" s="700"/>
      <c r="ADF19" s="700"/>
      <c r="ADG19" s="700"/>
      <c r="ADH19" s="700"/>
      <c r="ADI19" s="700"/>
      <c r="ADJ19" s="700"/>
      <c r="ADK19" s="700"/>
      <c r="ADL19" s="700"/>
      <c r="ADM19" s="700"/>
      <c r="ADN19" s="700"/>
      <c r="ADO19" s="700"/>
      <c r="ADP19" s="700"/>
      <c r="ADQ19" s="700"/>
      <c r="ADR19" s="700"/>
      <c r="ADS19" s="700"/>
      <c r="ADT19" s="700"/>
      <c r="ADU19" s="700"/>
      <c r="ADV19" s="700"/>
      <c r="ADW19" s="700"/>
      <c r="ADX19" s="700"/>
      <c r="ADY19" s="700"/>
      <c r="ADZ19" s="700"/>
      <c r="AEA19" s="700"/>
      <c r="AEB19" s="700"/>
      <c r="AEC19" s="700"/>
      <c r="AED19" s="700"/>
      <c r="AEE19" s="700"/>
      <c r="AEF19" s="700"/>
      <c r="AEG19" s="700"/>
      <c r="AEH19" s="700"/>
      <c r="AEI19" s="700"/>
      <c r="AEJ19" s="700"/>
      <c r="AEK19" s="700"/>
      <c r="AEL19" s="700"/>
      <c r="AEM19" s="700"/>
      <c r="AEN19" s="700"/>
      <c r="AEO19" s="700"/>
      <c r="AEP19" s="700"/>
      <c r="AEQ19" s="700"/>
      <c r="AER19" s="700"/>
      <c r="AES19" s="700"/>
      <c r="AET19" s="700"/>
      <c r="AEU19" s="700"/>
      <c r="AEV19" s="700"/>
      <c r="AEW19" s="700"/>
      <c r="AEX19" s="700"/>
      <c r="AEY19" s="700"/>
      <c r="AEZ19" s="700"/>
      <c r="AFA19" s="700"/>
      <c r="AFB19" s="700"/>
      <c r="AFC19" s="700"/>
      <c r="AFD19" s="700"/>
      <c r="AFE19" s="700"/>
      <c r="AFF19" s="700"/>
      <c r="AFG19" s="700"/>
      <c r="AFH19" s="700"/>
      <c r="AFI19" s="700"/>
      <c r="AFJ19" s="700"/>
      <c r="AFK19" s="700"/>
      <c r="AFL19" s="700"/>
      <c r="AFM19" s="700"/>
      <c r="AFN19" s="700"/>
      <c r="AFO19" s="700"/>
      <c r="AFP19" s="700"/>
      <c r="AFQ19" s="700"/>
      <c r="AFR19" s="700"/>
      <c r="AFS19" s="700"/>
      <c r="AFT19" s="700"/>
      <c r="AFU19" s="700"/>
      <c r="AFV19" s="700"/>
      <c r="AFW19" s="700"/>
      <c r="AFX19" s="700"/>
      <c r="AFY19" s="700"/>
      <c r="AFZ19" s="700"/>
      <c r="AGA19" s="700"/>
      <c r="AGB19" s="700"/>
      <c r="AGC19" s="700"/>
      <c r="AGD19" s="700"/>
      <c r="AGE19" s="700"/>
      <c r="AGF19" s="700"/>
      <c r="AGG19" s="700"/>
      <c r="AGH19" s="700"/>
      <c r="AGI19" s="700"/>
      <c r="AGJ19" s="700"/>
      <c r="AGK19" s="700"/>
      <c r="AGL19" s="700"/>
      <c r="AGM19" s="700"/>
      <c r="AGN19" s="700"/>
      <c r="AGO19" s="700"/>
      <c r="AGP19" s="700"/>
      <c r="AGQ19" s="700"/>
      <c r="AGR19" s="700"/>
      <c r="AGS19" s="700"/>
      <c r="AGT19" s="700"/>
      <c r="AGU19" s="700"/>
      <c r="AGV19" s="700"/>
      <c r="AGW19" s="700"/>
      <c r="AGX19" s="700"/>
      <c r="AGY19" s="700"/>
      <c r="AGZ19" s="700"/>
      <c r="AHA19" s="700"/>
      <c r="AHB19" s="700"/>
      <c r="AHC19" s="700"/>
      <c r="AHD19" s="700"/>
      <c r="AHE19" s="700"/>
      <c r="AHF19" s="700"/>
      <c r="AHG19" s="700"/>
      <c r="AHH19" s="700"/>
      <c r="AHI19" s="700"/>
      <c r="AHJ19" s="700"/>
      <c r="AHK19" s="700"/>
      <c r="AHL19" s="700"/>
      <c r="AHM19" s="700"/>
      <c r="AHN19" s="700"/>
      <c r="AHO19" s="700"/>
      <c r="AHP19" s="700"/>
      <c r="AHQ19" s="700"/>
      <c r="AHR19" s="700"/>
      <c r="AHS19" s="700"/>
      <c r="AHT19" s="700"/>
      <c r="AHU19" s="700"/>
      <c r="AHV19" s="700"/>
      <c r="AHW19" s="700"/>
      <c r="AHX19" s="700"/>
      <c r="AHY19" s="700"/>
      <c r="AHZ19" s="700"/>
      <c r="AIA19" s="700"/>
      <c r="AIB19" s="700"/>
      <c r="AIC19" s="700"/>
      <c r="AID19" s="700"/>
      <c r="AIE19" s="700"/>
      <c r="AIF19" s="700"/>
      <c r="AIG19" s="700"/>
      <c r="AIH19" s="700"/>
      <c r="AII19" s="700"/>
      <c r="AIJ19" s="700"/>
      <c r="AIK19" s="700"/>
      <c r="AIL19" s="700"/>
      <c r="AIM19" s="700"/>
      <c r="AIN19" s="700"/>
      <c r="AIO19" s="700"/>
      <c r="AIP19" s="700"/>
      <c r="AIQ19" s="700"/>
      <c r="AIR19" s="700"/>
      <c r="AIS19" s="700"/>
      <c r="AIT19" s="700"/>
      <c r="AIU19" s="700"/>
      <c r="AIV19" s="700"/>
      <c r="AIW19" s="700"/>
      <c r="AIX19" s="700"/>
      <c r="AIY19" s="700"/>
      <c r="AIZ19" s="700"/>
      <c r="AJA19" s="700"/>
      <c r="AJB19" s="700"/>
      <c r="AJC19" s="700"/>
      <c r="AJD19" s="700"/>
      <c r="AJE19" s="700"/>
      <c r="AJF19" s="700"/>
      <c r="AJG19" s="700"/>
      <c r="AJH19" s="700"/>
      <c r="AJI19" s="700"/>
      <c r="AJJ19" s="700"/>
      <c r="AJK19" s="700"/>
      <c r="AJL19" s="700"/>
      <c r="AJM19" s="700"/>
      <c r="AJN19" s="700"/>
      <c r="AJO19" s="700"/>
      <c r="AJP19" s="700"/>
      <c r="AJQ19" s="700"/>
      <c r="AJR19" s="700"/>
      <c r="AJS19" s="700"/>
      <c r="AJT19" s="700"/>
      <c r="AJU19" s="700"/>
      <c r="AJV19" s="700"/>
      <c r="AJW19" s="700"/>
      <c r="AJX19" s="700"/>
      <c r="AJY19" s="700"/>
      <c r="AJZ19" s="700"/>
      <c r="AKA19" s="700"/>
      <c r="AKB19" s="700"/>
      <c r="AKC19" s="700"/>
      <c r="AKD19" s="700"/>
      <c r="AKE19" s="700"/>
      <c r="AKF19" s="700"/>
      <c r="AKG19" s="700"/>
      <c r="AKH19" s="700"/>
      <c r="AKI19" s="700"/>
      <c r="AKJ19" s="700"/>
      <c r="AKK19" s="700"/>
      <c r="AKL19" s="700"/>
      <c r="AKM19" s="700"/>
      <c r="AKN19" s="700"/>
      <c r="AKO19" s="700"/>
      <c r="AKP19" s="700"/>
      <c r="AKQ19" s="700"/>
      <c r="AKR19" s="700"/>
      <c r="AKS19" s="700"/>
      <c r="AKT19" s="700"/>
      <c r="AKU19" s="700"/>
      <c r="AKV19" s="700"/>
      <c r="AKW19" s="700"/>
      <c r="AKX19" s="700"/>
      <c r="AKY19" s="700"/>
      <c r="AKZ19" s="700"/>
      <c r="ALA19" s="700"/>
      <c r="ALB19" s="700"/>
      <c r="ALC19" s="700"/>
      <c r="ALD19" s="700"/>
      <c r="ALE19" s="700"/>
      <c r="ALF19" s="700"/>
      <c r="ALG19" s="700"/>
      <c r="ALH19" s="700"/>
      <c r="ALI19" s="700"/>
      <c r="ALJ19" s="700"/>
      <c r="ALK19" s="700"/>
      <c r="ALL19" s="700"/>
      <c r="ALM19" s="700"/>
      <c r="ALN19" s="700"/>
      <c r="ALO19" s="700"/>
      <c r="ALP19" s="700"/>
      <c r="ALQ19" s="700"/>
      <c r="ALR19" s="700"/>
      <c r="ALS19" s="700"/>
      <c r="ALT19" s="700"/>
      <c r="ALU19" s="700"/>
      <c r="ALV19" s="700"/>
      <c r="ALW19" s="700"/>
      <c r="ALX19" s="700"/>
      <c r="ALY19" s="700"/>
      <c r="ALZ19" s="700"/>
      <c r="AMA19" s="700"/>
      <c r="AMB19" s="700"/>
      <c r="AMC19" s="700"/>
      <c r="AMD19" s="700"/>
      <c r="AME19" s="700"/>
      <c r="AMF19" s="700"/>
      <c r="AMG19" s="700"/>
      <c r="AMH19" s="700"/>
      <c r="AMI19" s="700"/>
      <c r="AMJ19" s="700"/>
      <c r="AMK19" s="700"/>
      <c r="AML19" s="700"/>
      <c r="AMM19" s="700"/>
      <c r="AMN19" s="700"/>
      <c r="AMO19" s="700"/>
      <c r="AMP19" s="700"/>
      <c r="AMQ19" s="700"/>
      <c r="AMR19" s="700"/>
      <c r="AMS19" s="700"/>
      <c r="AMT19" s="700"/>
      <c r="AMU19" s="700"/>
      <c r="AMV19" s="700"/>
      <c r="AMW19" s="700"/>
      <c r="AMX19" s="700"/>
      <c r="AMY19" s="700"/>
      <c r="AMZ19" s="700"/>
      <c r="ANA19" s="700"/>
      <c r="ANB19" s="700"/>
      <c r="ANC19" s="700"/>
      <c r="AND19" s="700"/>
      <c r="ANE19" s="700"/>
      <c r="ANF19" s="700"/>
      <c r="ANG19" s="700"/>
      <c r="ANH19" s="700"/>
      <c r="ANI19" s="700"/>
      <c r="ANJ19" s="700"/>
      <c r="ANK19" s="700"/>
      <c r="ANL19" s="700"/>
      <c r="ANM19" s="700"/>
      <c r="ANN19" s="700"/>
      <c r="ANO19" s="700"/>
      <c r="ANP19" s="700"/>
      <c r="ANQ19" s="700"/>
      <c r="ANR19" s="700"/>
      <c r="ANS19" s="700"/>
      <c r="ANT19" s="700"/>
      <c r="ANU19" s="700"/>
      <c r="ANV19" s="700"/>
      <c r="ANW19" s="700"/>
      <c r="ANX19" s="700"/>
      <c r="ANY19" s="700"/>
      <c r="ANZ19" s="700"/>
      <c r="AOA19" s="700"/>
      <c r="AOB19" s="700"/>
      <c r="AOC19" s="700"/>
      <c r="AOD19" s="700"/>
      <c r="AOE19" s="700"/>
      <c r="AOF19" s="700"/>
      <c r="AOG19" s="700"/>
      <c r="AOH19" s="700"/>
      <c r="AOI19" s="700"/>
      <c r="AOJ19" s="700"/>
      <c r="AOK19" s="700"/>
      <c r="AOL19" s="700"/>
      <c r="AOM19" s="700"/>
      <c r="AON19" s="700"/>
      <c r="AOO19" s="700"/>
      <c r="AOP19" s="700"/>
      <c r="AOQ19" s="700"/>
      <c r="AOR19" s="700"/>
      <c r="AOS19" s="700"/>
      <c r="AOT19" s="700"/>
      <c r="AOU19" s="700"/>
      <c r="AOV19" s="700"/>
      <c r="AOW19" s="700"/>
      <c r="AOX19" s="700"/>
      <c r="AOY19" s="700"/>
      <c r="AOZ19" s="700"/>
      <c r="APA19" s="700"/>
      <c r="APB19" s="700"/>
      <c r="APC19" s="700"/>
      <c r="APD19" s="700"/>
      <c r="APE19" s="700"/>
      <c r="APF19" s="700"/>
      <c r="APG19" s="700"/>
      <c r="APH19" s="700"/>
      <c r="API19" s="700"/>
      <c r="APJ19" s="700"/>
      <c r="APK19" s="700"/>
      <c r="APL19" s="700"/>
      <c r="APM19" s="700"/>
      <c r="APN19" s="700"/>
      <c r="APO19" s="700"/>
      <c r="APP19" s="700"/>
      <c r="APQ19" s="700"/>
      <c r="APR19" s="700"/>
      <c r="APS19" s="700"/>
      <c r="APT19" s="700"/>
      <c r="APU19" s="700"/>
      <c r="APV19" s="700"/>
      <c r="APW19" s="700"/>
      <c r="APX19" s="700"/>
      <c r="APY19" s="700"/>
      <c r="APZ19" s="700"/>
      <c r="AQA19" s="700"/>
      <c r="AQB19" s="700"/>
      <c r="AQC19" s="700"/>
      <c r="AQD19" s="700"/>
      <c r="AQE19" s="700"/>
      <c r="AQF19" s="700"/>
      <c r="AQG19" s="700"/>
      <c r="AQH19" s="700"/>
      <c r="AQI19" s="700"/>
      <c r="AQJ19" s="700"/>
      <c r="AQK19" s="700"/>
      <c r="AQL19" s="700"/>
      <c r="AQM19" s="700"/>
      <c r="AQN19" s="700"/>
      <c r="AQO19" s="700"/>
      <c r="AQP19" s="700"/>
      <c r="AQQ19" s="700"/>
      <c r="AQR19" s="700"/>
      <c r="AQS19" s="700"/>
      <c r="AQT19" s="700"/>
      <c r="AQU19" s="700"/>
      <c r="AQV19" s="700"/>
      <c r="AQW19" s="700"/>
      <c r="AQX19" s="700"/>
      <c r="AQY19" s="700"/>
      <c r="AQZ19" s="700"/>
      <c r="ARA19" s="700"/>
      <c r="ARB19" s="700"/>
      <c r="ARC19" s="700"/>
      <c r="ARD19" s="700"/>
      <c r="ARE19" s="700"/>
      <c r="ARF19" s="700"/>
      <c r="ARG19" s="700"/>
      <c r="ARH19" s="700"/>
      <c r="ARI19" s="700"/>
      <c r="ARJ19" s="700"/>
      <c r="ARK19" s="700"/>
      <c r="ARL19" s="700"/>
      <c r="ARM19" s="700"/>
      <c r="ARN19" s="700"/>
      <c r="ARO19" s="700"/>
      <c r="ARP19" s="700"/>
      <c r="ARQ19" s="700"/>
      <c r="ARR19" s="700"/>
      <c r="ARS19" s="700"/>
      <c r="ART19" s="700"/>
      <c r="ARU19" s="700"/>
      <c r="ARV19" s="700"/>
      <c r="ARW19" s="700"/>
      <c r="ARX19" s="700"/>
      <c r="ARY19" s="700"/>
      <c r="ARZ19" s="700"/>
      <c r="ASA19" s="700"/>
      <c r="ASB19" s="700"/>
      <c r="ASC19" s="700"/>
      <c r="ASD19" s="700"/>
      <c r="ASE19" s="700"/>
      <c r="ASF19" s="700"/>
      <c r="ASG19" s="700"/>
      <c r="ASH19" s="700"/>
      <c r="ASI19" s="700"/>
      <c r="ASJ19" s="700"/>
      <c r="ASK19" s="700"/>
      <c r="ASL19" s="700"/>
      <c r="ASM19" s="700"/>
      <c r="ASN19" s="700"/>
      <c r="ASO19" s="700"/>
      <c r="ASP19" s="700"/>
      <c r="ASQ19" s="700"/>
      <c r="ASR19" s="700"/>
      <c r="ASS19" s="700"/>
      <c r="AST19" s="700"/>
      <c r="ASU19" s="700"/>
      <c r="ASV19" s="700"/>
      <c r="ASW19" s="700"/>
      <c r="ASX19" s="700"/>
      <c r="ASY19" s="700"/>
      <c r="ASZ19" s="700"/>
      <c r="ATA19" s="700"/>
      <c r="ATB19" s="700"/>
      <c r="ATC19" s="700"/>
      <c r="ATD19" s="700"/>
      <c r="ATE19" s="700"/>
      <c r="ATF19" s="700"/>
      <c r="ATG19" s="700"/>
      <c r="ATH19" s="700"/>
      <c r="ATI19" s="700"/>
      <c r="ATJ19" s="700"/>
      <c r="ATK19" s="700"/>
      <c r="ATL19" s="700"/>
      <c r="ATM19" s="700"/>
      <c r="ATN19" s="700"/>
      <c r="ATO19" s="700"/>
      <c r="ATP19" s="700"/>
      <c r="ATQ19" s="700"/>
      <c r="ATR19" s="700"/>
      <c r="ATS19" s="700"/>
      <c r="ATT19" s="700"/>
      <c r="ATU19" s="700"/>
      <c r="ATV19" s="700"/>
      <c r="ATW19" s="700"/>
      <c r="ATX19" s="700"/>
      <c r="ATY19" s="700"/>
      <c r="ATZ19" s="700"/>
      <c r="AUA19" s="700"/>
      <c r="AUB19" s="700"/>
      <c r="AUC19" s="700"/>
      <c r="AUD19" s="700"/>
      <c r="AUE19" s="700"/>
      <c r="AUF19" s="700"/>
      <c r="AUG19" s="700"/>
      <c r="AUH19" s="700"/>
      <c r="AUI19" s="700"/>
      <c r="AUJ19" s="700"/>
      <c r="AUK19" s="700"/>
      <c r="AUL19" s="700"/>
      <c r="AUM19" s="700"/>
      <c r="AUN19" s="700"/>
      <c r="AUO19" s="700"/>
      <c r="AUP19" s="700"/>
      <c r="AUQ19" s="700"/>
      <c r="AUR19" s="700"/>
      <c r="AUS19" s="700"/>
      <c r="AUT19" s="700"/>
      <c r="AUU19" s="700"/>
      <c r="AUV19" s="700"/>
      <c r="AUW19" s="700"/>
      <c r="AUX19" s="700"/>
      <c r="AUY19" s="700"/>
      <c r="AUZ19" s="700"/>
      <c r="AVA19" s="700"/>
      <c r="AVB19" s="700"/>
      <c r="AVC19" s="700"/>
      <c r="AVD19" s="700"/>
      <c r="AVE19" s="700"/>
      <c r="AVF19" s="700"/>
      <c r="AVG19" s="700"/>
      <c r="AVH19" s="700"/>
      <c r="AVI19" s="700"/>
      <c r="AVJ19" s="700"/>
      <c r="AVK19" s="700"/>
      <c r="AVL19" s="700"/>
      <c r="AVM19" s="700"/>
      <c r="AVN19" s="700"/>
      <c r="AVO19" s="700"/>
      <c r="AVP19" s="700"/>
      <c r="AVQ19" s="700"/>
      <c r="AVR19" s="700"/>
      <c r="AVS19" s="700"/>
      <c r="AVT19" s="700"/>
      <c r="AVU19" s="700"/>
      <c r="AVV19" s="700"/>
      <c r="AVW19" s="700"/>
      <c r="AVX19" s="700"/>
      <c r="AVY19" s="700"/>
      <c r="AVZ19" s="700"/>
      <c r="AWA19" s="700"/>
      <c r="AWB19" s="700"/>
      <c r="AWC19" s="700"/>
      <c r="AWD19" s="700"/>
      <c r="AWE19" s="700"/>
      <c r="AWF19" s="700"/>
      <c r="AWG19" s="700"/>
      <c r="AWH19" s="700"/>
      <c r="AWI19" s="700"/>
      <c r="AWJ19" s="700"/>
      <c r="AWK19" s="700"/>
      <c r="AWL19" s="700"/>
      <c r="AWM19" s="700"/>
      <c r="AWN19" s="700"/>
      <c r="AWO19" s="700"/>
      <c r="AWP19" s="700"/>
      <c r="AWQ19" s="700"/>
      <c r="AWR19" s="700"/>
      <c r="AWS19" s="700"/>
      <c r="AWT19" s="700"/>
      <c r="AWU19" s="700"/>
      <c r="AWV19" s="700"/>
      <c r="AWW19" s="700"/>
      <c r="AWX19" s="700"/>
      <c r="AWY19" s="700"/>
      <c r="AWZ19" s="700"/>
      <c r="AXA19" s="700"/>
      <c r="AXB19" s="700"/>
      <c r="AXC19" s="700"/>
      <c r="AXD19" s="700"/>
      <c r="AXE19" s="700"/>
      <c r="AXF19" s="700"/>
      <c r="AXG19" s="700"/>
      <c r="AXH19" s="700"/>
      <c r="AXI19" s="700"/>
      <c r="AXJ19" s="700"/>
      <c r="AXK19" s="700"/>
      <c r="AXL19" s="700"/>
      <c r="AXM19" s="700"/>
      <c r="AXN19" s="700"/>
      <c r="AXO19" s="700"/>
      <c r="AXP19" s="700"/>
      <c r="AXQ19" s="700"/>
      <c r="AXR19" s="700"/>
      <c r="AXS19" s="700"/>
      <c r="AXT19" s="700"/>
      <c r="AXU19" s="700"/>
      <c r="AXV19" s="700"/>
      <c r="AXW19" s="700"/>
      <c r="AXX19" s="700"/>
      <c r="AXY19" s="700"/>
      <c r="AXZ19" s="700"/>
      <c r="AYA19" s="700"/>
      <c r="AYB19" s="700"/>
      <c r="AYC19" s="700"/>
      <c r="AYD19" s="700"/>
      <c r="AYE19" s="700"/>
      <c r="AYF19" s="700"/>
      <c r="AYG19" s="700"/>
      <c r="AYH19" s="700"/>
      <c r="AYI19" s="700"/>
      <c r="AYJ19" s="700"/>
      <c r="AYK19" s="700"/>
      <c r="AYL19" s="700"/>
      <c r="AYM19" s="700"/>
      <c r="AYN19" s="700"/>
      <c r="AYO19" s="700"/>
      <c r="AYP19" s="700"/>
      <c r="AYQ19" s="700"/>
      <c r="AYR19" s="700"/>
      <c r="AYS19" s="700"/>
      <c r="AYT19" s="700"/>
      <c r="AYU19" s="700"/>
      <c r="AYV19" s="700"/>
      <c r="AYW19" s="700"/>
      <c r="AYX19" s="700"/>
      <c r="AYY19" s="700"/>
      <c r="AYZ19" s="700"/>
      <c r="AZA19" s="700"/>
      <c r="AZB19" s="700"/>
      <c r="AZC19" s="700"/>
      <c r="AZD19" s="700"/>
      <c r="AZE19" s="700"/>
      <c r="AZF19" s="700"/>
      <c r="AZG19" s="700"/>
      <c r="AZH19" s="700"/>
      <c r="AZI19" s="700"/>
      <c r="AZJ19" s="700"/>
      <c r="AZK19" s="700"/>
      <c r="AZL19" s="700"/>
      <c r="AZM19" s="700"/>
      <c r="AZN19" s="700"/>
      <c r="AZO19" s="700"/>
      <c r="AZP19" s="700"/>
      <c r="AZQ19" s="700"/>
      <c r="AZR19" s="700"/>
      <c r="AZS19" s="700"/>
      <c r="AZT19" s="700"/>
      <c r="AZU19" s="700"/>
      <c r="AZV19" s="700"/>
      <c r="AZW19" s="700"/>
      <c r="AZX19" s="700"/>
      <c r="AZY19" s="700"/>
      <c r="AZZ19" s="700"/>
      <c r="BAA19" s="700"/>
      <c r="BAB19" s="700"/>
      <c r="BAC19" s="700"/>
      <c r="BAD19" s="700"/>
      <c r="BAE19" s="700"/>
      <c r="BAF19" s="700"/>
      <c r="BAG19" s="700"/>
      <c r="BAH19" s="700"/>
      <c r="BAI19" s="700"/>
      <c r="BAJ19" s="700"/>
      <c r="BAK19" s="700"/>
      <c r="BAL19" s="700"/>
      <c r="BAM19" s="700"/>
      <c r="BAN19" s="700"/>
      <c r="BAO19" s="700"/>
      <c r="BAP19" s="700"/>
      <c r="BAQ19" s="700"/>
      <c r="BAR19" s="700"/>
      <c r="BAS19" s="700"/>
      <c r="BAT19" s="700"/>
      <c r="BAU19" s="700"/>
      <c r="BAV19" s="700"/>
      <c r="BAW19" s="700"/>
      <c r="BAX19" s="700"/>
      <c r="BAY19" s="700"/>
      <c r="BAZ19" s="700"/>
      <c r="BBA19" s="700"/>
      <c r="BBB19" s="700"/>
      <c r="BBC19" s="700"/>
      <c r="BBD19" s="700"/>
      <c r="BBE19" s="700"/>
      <c r="BBF19" s="700"/>
      <c r="BBG19" s="700"/>
      <c r="BBH19" s="700"/>
      <c r="BBI19" s="700"/>
      <c r="BBJ19" s="700"/>
      <c r="BBK19" s="700"/>
      <c r="BBL19" s="700"/>
      <c r="BBM19" s="700"/>
      <c r="BBN19" s="700"/>
      <c r="BBO19" s="700"/>
      <c r="BBP19" s="700"/>
      <c r="BBQ19" s="700"/>
      <c r="BBR19" s="700"/>
      <c r="BBS19" s="700"/>
      <c r="BBT19" s="700"/>
      <c r="BBU19" s="700"/>
      <c r="BBV19" s="700"/>
      <c r="BBW19" s="700"/>
      <c r="BBX19" s="700"/>
      <c r="BBY19" s="700"/>
      <c r="BBZ19" s="700"/>
      <c r="BCA19" s="700"/>
      <c r="BCB19" s="700"/>
      <c r="BCC19" s="700"/>
      <c r="BCD19" s="700"/>
      <c r="BCE19" s="700"/>
      <c r="BCF19" s="700"/>
      <c r="BCG19" s="700"/>
      <c r="BCH19" s="700"/>
      <c r="BCI19" s="700"/>
      <c r="BCJ19" s="700"/>
      <c r="BCK19" s="700"/>
      <c r="BCL19" s="700"/>
      <c r="BCM19" s="700"/>
      <c r="BCN19" s="700"/>
      <c r="BCO19" s="700"/>
      <c r="BCP19" s="700"/>
      <c r="BCQ19" s="700"/>
      <c r="BCR19" s="700"/>
      <c r="BCS19" s="700"/>
      <c r="BCT19" s="700"/>
      <c r="BCU19" s="700"/>
      <c r="BCV19" s="700"/>
      <c r="BCW19" s="700"/>
      <c r="BCX19" s="700"/>
      <c r="BCY19" s="700"/>
      <c r="BCZ19" s="700"/>
      <c r="BDA19" s="700"/>
      <c r="BDB19" s="700"/>
      <c r="BDC19" s="700"/>
      <c r="BDD19" s="700"/>
      <c r="BDE19" s="700"/>
      <c r="BDF19" s="700"/>
      <c r="BDG19" s="700"/>
      <c r="BDH19" s="700"/>
      <c r="BDI19" s="700"/>
      <c r="BDJ19" s="700"/>
      <c r="BDK19" s="700"/>
      <c r="BDL19" s="700"/>
      <c r="BDM19" s="700"/>
      <c r="BDN19" s="700"/>
      <c r="BDO19" s="700"/>
      <c r="BDP19" s="700"/>
      <c r="BDQ19" s="700"/>
      <c r="BDR19" s="700"/>
      <c r="BDS19" s="700"/>
      <c r="BDT19" s="700"/>
      <c r="BDU19" s="700"/>
      <c r="BDV19" s="700"/>
      <c r="BDW19" s="700"/>
      <c r="BDX19" s="700"/>
      <c r="BDY19" s="700"/>
      <c r="BDZ19" s="700"/>
      <c r="BEA19" s="700"/>
      <c r="BEB19" s="700"/>
      <c r="BEC19" s="700"/>
      <c r="BED19" s="700"/>
      <c r="BEE19" s="700"/>
      <c r="BEF19" s="700"/>
      <c r="BEG19" s="700"/>
      <c r="BEH19" s="700"/>
      <c r="BEI19" s="700"/>
      <c r="BEJ19" s="700"/>
      <c r="BEK19" s="700"/>
      <c r="BEL19" s="700"/>
      <c r="BEM19" s="700"/>
      <c r="BEN19" s="700"/>
      <c r="BEO19" s="700"/>
      <c r="BEP19" s="700"/>
      <c r="BEQ19" s="700"/>
      <c r="BER19" s="700"/>
      <c r="BES19" s="700"/>
      <c r="BET19" s="700"/>
      <c r="BEU19" s="700"/>
      <c r="BEV19" s="700"/>
      <c r="BEW19" s="700"/>
      <c r="BEX19" s="700"/>
      <c r="BEY19" s="700"/>
      <c r="BEZ19" s="700"/>
      <c r="BFA19" s="700"/>
      <c r="BFB19" s="700"/>
      <c r="BFC19" s="700"/>
      <c r="BFD19" s="700"/>
      <c r="BFE19" s="700"/>
      <c r="BFF19" s="700"/>
      <c r="BFG19" s="700"/>
      <c r="BFH19" s="700"/>
      <c r="BFI19" s="700"/>
      <c r="BFJ19" s="700"/>
      <c r="BFK19" s="700"/>
      <c r="BFL19" s="700"/>
      <c r="BFM19" s="700"/>
      <c r="BFN19" s="700"/>
      <c r="BFO19" s="700"/>
      <c r="BFP19" s="700"/>
      <c r="BFQ19" s="700"/>
      <c r="BFR19" s="700"/>
      <c r="BFS19" s="700"/>
      <c r="BFT19" s="700"/>
      <c r="BFU19" s="700"/>
      <c r="BFV19" s="700"/>
      <c r="BFW19" s="700"/>
      <c r="BFX19" s="700"/>
      <c r="BFY19" s="700"/>
      <c r="BFZ19" s="700"/>
      <c r="BGA19" s="700"/>
      <c r="BGB19" s="700"/>
      <c r="BGC19" s="700"/>
      <c r="BGD19" s="700"/>
      <c r="BGE19" s="700"/>
      <c r="BGF19" s="700"/>
      <c r="BGG19" s="700"/>
      <c r="BGH19" s="700"/>
      <c r="BGI19" s="700"/>
      <c r="BGJ19" s="700"/>
      <c r="BGK19" s="700"/>
      <c r="BGL19" s="700"/>
      <c r="BGM19" s="700"/>
      <c r="BGN19" s="700"/>
      <c r="BGO19" s="700"/>
      <c r="BGP19" s="700"/>
      <c r="BGQ19" s="700"/>
      <c r="BGR19" s="700"/>
      <c r="BGS19" s="700"/>
      <c r="BGT19" s="700"/>
      <c r="BGU19" s="700"/>
      <c r="BGV19" s="700"/>
      <c r="BGW19" s="700"/>
      <c r="BGX19" s="700"/>
      <c r="BGY19" s="700"/>
      <c r="BGZ19" s="700"/>
      <c r="BHA19" s="700"/>
      <c r="BHB19" s="700"/>
      <c r="BHC19" s="700"/>
      <c r="BHD19" s="700"/>
      <c r="BHE19" s="700"/>
      <c r="BHF19" s="700"/>
      <c r="BHG19" s="700"/>
      <c r="BHH19" s="700"/>
      <c r="BHI19" s="700"/>
      <c r="BHJ19" s="700"/>
      <c r="BHK19" s="700"/>
      <c r="BHL19" s="700"/>
      <c r="BHM19" s="700"/>
      <c r="BHN19" s="700"/>
      <c r="BHO19" s="700"/>
      <c r="BHP19" s="700"/>
      <c r="BHQ19" s="700"/>
      <c r="BHR19" s="700"/>
      <c r="BHS19" s="700"/>
      <c r="BHT19" s="700"/>
      <c r="BHU19" s="700"/>
      <c r="BHV19" s="700"/>
      <c r="BHW19" s="700"/>
      <c r="BHX19" s="700"/>
      <c r="BHY19" s="700"/>
      <c r="BHZ19" s="700"/>
      <c r="BIA19" s="700"/>
      <c r="BIB19" s="700"/>
      <c r="BIC19" s="700"/>
      <c r="BID19" s="700"/>
      <c r="BIE19" s="700"/>
      <c r="BIF19" s="700"/>
      <c r="BIG19" s="700"/>
      <c r="BIH19" s="700"/>
      <c r="BII19" s="700"/>
      <c r="BIJ19" s="700"/>
      <c r="BIK19" s="700"/>
      <c r="BIL19" s="700"/>
      <c r="BIM19" s="700"/>
      <c r="BIN19" s="700"/>
      <c r="BIO19" s="700"/>
      <c r="BIP19" s="700"/>
      <c r="BIQ19" s="700"/>
      <c r="BIR19" s="700"/>
      <c r="BIS19" s="700"/>
      <c r="BIT19" s="700"/>
      <c r="BIU19" s="700"/>
      <c r="BIV19" s="700"/>
      <c r="BIW19" s="700"/>
      <c r="BIX19" s="700"/>
      <c r="BIY19" s="700"/>
      <c r="BIZ19" s="700"/>
      <c r="BJA19" s="700"/>
      <c r="BJB19" s="700"/>
      <c r="BJC19" s="700"/>
      <c r="BJD19" s="700"/>
      <c r="BJE19" s="700"/>
      <c r="BJF19" s="700"/>
      <c r="BJG19" s="700"/>
      <c r="BJH19" s="700"/>
      <c r="BJI19" s="700"/>
      <c r="BJJ19" s="700"/>
      <c r="BJK19" s="700"/>
      <c r="BJL19" s="700"/>
      <c r="BJM19" s="700"/>
      <c r="BJN19" s="700"/>
      <c r="BJO19" s="700"/>
      <c r="BJP19" s="700"/>
      <c r="BJQ19" s="700"/>
      <c r="BJR19" s="700"/>
      <c r="BJS19" s="700"/>
      <c r="BJT19" s="700"/>
      <c r="BJU19" s="700"/>
      <c r="BJV19" s="700"/>
      <c r="BJW19" s="700"/>
      <c r="BJX19" s="700"/>
      <c r="BJY19" s="700"/>
      <c r="BJZ19" s="700"/>
      <c r="BKA19" s="700"/>
      <c r="BKB19" s="700"/>
      <c r="BKC19" s="700"/>
      <c r="BKD19" s="700"/>
      <c r="BKE19" s="700"/>
      <c r="BKF19" s="700"/>
      <c r="BKG19" s="700"/>
      <c r="BKH19" s="700"/>
      <c r="BKI19" s="700"/>
      <c r="BKJ19" s="700"/>
      <c r="BKK19" s="700"/>
      <c r="BKL19" s="700"/>
      <c r="BKM19" s="700"/>
      <c r="BKN19" s="700"/>
      <c r="BKO19" s="700"/>
      <c r="BKP19" s="700"/>
      <c r="BKQ19" s="700"/>
      <c r="BKR19" s="700"/>
      <c r="BKS19" s="700"/>
      <c r="BKT19" s="700"/>
      <c r="BKU19" s="700"/>
      <c r="BKV19" s="700"/>
      <c r="BKW19" s="700"/>
      <c r="BKX19" s="700"/>
      <c r="BKY19" s="700"/>
      <c r="BKZ19" s="700"/>
      <c r="BLA19" s="700"/>
      <c r="BLB19" s="700"/>
      <c r="BLC19" s="700"/>
      <c r="BLD19" s="700"/>
      <c r="BLE19" s="700"/>
      <c r="BLF19" s="700"/>
      <c r="BLG19" s="700"/>
      <c r="BLH19" s="700"/>
      <c r="BLI19" s="700"/>
      <c r="BLJ19" s="700"/>
      <c r="BLK19" s="700"/>
      <c r="BLL19" s="700"/>
      <c r="BLM19" s="700"/>
      <c r="BLN19" s="700"/>
      <c r="BLO19" s="700"/>
      <c r="BLP19" s="700"/>
      <c r="BLQ19" s="700"/>
      <c r="BLR19" s="700"/>
      <c r="BLS19" s="700"/>
      <c r="BLT19" s="700"/>
      <c r="BLU19" s="700"/>
      <c r="BLV19" s="700"/>
      <c r="BLW19" s="700"/>
      <c r="BLX19" s="700"/>
      <c r="BLY19" s="700"/>
      <c r="BLZ19" s="700"/>
      <c r="BMA19" s="700"/>
      <c r="BMB19" s="700"/>
      <c r="BMC19" s="700"/>
      <c r="BMD19" s="700"/>
      <c r="BME19" s="700"/>
      <c r="BMF19" s="700"/>
      <c r="BMG19" s="700"/>
      <c r="BMH19" s="700"/>
      <c r="BMI19" s="700"/>
      <c r="BMJ19" s="700"/>
      <c r="BMK19" s="700"/>
      <c r="BML19" s="700"/>
      <c r="BMM19" s="700"/>
      <c r="BMN19" s="700"/>
      <c r="BMO19" s="700"/>
      <c r="BMP19" s="700"/>
      <c r="BMQ19" s="700"/>
      <c r="BMR19" s="700"/>
      <c r="BMS19" s="700"/>
      <c r="BMT19" s="700"/>
      <c r="BMU19" s="700"/>
      <c r="BMV19" s="700"/>
      <c r="BMW19" s="700"/>
      <c r="BMX19" s="700"/>
      <c r="BMY19" s="700"/>
      <c r="BMZ19" s="700"/>
      <c r="BNA19" s="700"/>
      <c r="BNB19" s="700"/>
      <c r="BNC19" s="700"/>
      <c r="BND19" s="700"/>
      <c r="BNE19" s="700"/>
      <c r="BNF19" s="700"/>
      <c r="BNG19" s="700"/>
      <c r="BNH19" s="700"/>
      <c r="BNI19" s="700"/>
      <c r="BNJ19" s="700"/>
      <c r="BNK19" s="700"/>
      <c r="BNL19" s="700"/>
      <c r="BNM19" s="700"/>
      <c r="BNN19" s="700"/>
      <c r="BNO19" s="700"/>
      <c r="BNP19" s="700"/>
      <c r="BNQ19" s="700"/>
      <c r="BNR19" s="700"/>
      <c r="BNS19" s="700"/>
      <c r="BNT19" s="700"/>
      <c r="BNU19" s="700"/>
      <c r="BNV19" s="700"/>
      <c r="BNW19" s="700"/>
      <c r="BNX19" s="700"/>
      <c r="BNY19" s="700"/>
      <c r="BNZ19" s="700"/>
      <c r="BOA19" s="700"/>
      <c r="BOB19" s="700"/>
      <c r="BOC19" s="700"/>
      <c r="BOD19" s="700"/>
      <c r="BOE19" s="700"/>
      <c r="BOF19" s="700"/>
      <c r="BOG19" s="700"/>
      <c r="BOH19" s="700"/>
      <c r="BOI19" s="700"/>
      <c r="BOJ19" s="700"/>
      <c r="BOK19" s="700"/>
      <c r="BOL19" s="700"/>
      <c r="BOM19" s="700"/>
      <c r="BON19" s="700"/>
      <c r="BOO19" s="700"/>
      <c r="BOP19" s="700"/>
      <c r="BOQ19" s="700"/>
      <c r="BOR19" s="700"/>
      <c r="BOS19" s="700"/>
      <c r="BOT19" s="700"/>
      <c r="BOU19" s="700"/>
      <c r="BOV19" s="700"/>
      <c r="BOW19" s="700"/>
      <c r="BOX19" s="700"/>
      <c r="BOY19" s="700"/>
      <c r="BOZ19" s="700"/>
      <c r="BPA19" s="700"/>
      <c r="BPB19" s="700"/>
      <c r="BPC19" s="700"/>
      <c r="BPD19" s="700"/>
      <c r="BPE19" s="700"/>
      <c r="BPF19" s="700"/>
      <c r="BPG19" s="700"/>
      <c r="BPH19" s="700"/>
      <c r="BPI19" s="700"/>
      <c r="BPJ19" s="700"/>
      <c r="BPK19" s="700"/>
      <c r="BPL19" s="700"/>
      <c r="BPM19" s="700"/>
      <c r="BPN19" s="700"/>
      <c r="BPO19" s="700"/>
      <c r="BPP19" s="700"/>
      <c r="BPQ19" s="700"/>
      <c r="BPR19" s="700"/>
      <c r="BPS19" s="700"/>
      <c r="BPT19" s="700"/>
      <c r="BPU19" s="700"/>
      <c r="BPV19" s="700"/>
      <c r="BPW19" s="700"/>
      <c r="BPX19" s="700"/>
      <c r="BPY19" s="700"/>
      <c r="BPZ19" s="700"/>
      <c r="BQA19" s="700"/>
      <c r="BQB19" s="700"/>
      <c r="BQC19" s="700"/>
      <c r="BQD19" s="700"/>
      <c r="BQE19" s="700"/>
      <c r="BQF19" s="700"/>
      <c r="BQG19" s="700"/>
      <c r="BQH19" s="700"/>
      <c r="BQI19" s="700"/>
      <c r="BQJ19" s="700"/>
      <c r="BQK19" s="700"/>
      <c r="BQL19" s="700"/>
      <c r="BQM19" s="700"/>
      <c r="BQN19" s="700"/>
      <c r="BQO19" s="700"/>
      <c r="BQP19" s="700"/>
      <c r="BQQ19" s="700"/>
      <c r="BQR19" s="700"/>
      <c r="BQS19" s="700"/>
      <c r="BQT19" s="700"/>
      <c r="BQU19" s="700"/>
      <c r="BQV19" s="700"/>
      <c r="BQW19" s="700"/>
      <c r="BQX19" s="700"/>
      <c r="BQY19" s="700"/>
      <c r="BQZ19" s="700"/>
      <c r="BRA19" s="700"/>
      <c r="BRB19" s="700"/>
      <c r="BRC19" s="700"/>
      <c r="BRD19" s="700"/>
      <c r="BRE19" s="700"/>
      <c r="BRF19" s="700"/>
      <c r="BRG19" s="700"/>
      <c r="BRH19" s="700"/>
      <c r="BRI19" s="700"/>
      <c r="BRJ19" s="700"/>
      <c r="BRK19" s="700"/>
      <c r="BRL19" s="700"/>
      <c r="BRM19" s="700"/>
      <c r="BRN19" s="700"/>
      <c r="BRO19" s="700"/>
      <c r="BRP19" s="700"/>
      <c r="BRQ19" s="700"/>
      <c r="BRR19" s="700"/>
      <c r="BRS19" s="700"/>
      <c r="BRT19" s="700"/>
      <c r="BRU19" s="700"/>
      <c r="BRV19" s="700"/>
      <c r="BRW19" s="700"/>
      <c r="BRX19" s="700"/>
      <c r="BRY19" s="700"/>
      <c r="BRZ19" s="700"/>
      <c r="BSA19" s="700"/>
      <c r="BSB19" s="700"/>
      <c r="BSC19" s="700"/>
      <c r="BSD19" s="700"/>
      <c r="BSE19" s="700"/>
      <c r="BSF19" s="700"/>
      <c r="BSG19" s="700"/>
      <c r="BSH19" s="700"/>
      <c r="BSI19" s="700"/>
      <c r="BSJ19" s="700"/>
      <c r="BSK19" s="700"/>
      <c r="BSL19" s="700"/>
      <c r="BSM19" s="700"/>
      <c r="BSN19" s="700"/>
      <c r="BSO19" s="700"/>
      <c r="BSP19" s="700"/>
      <c r="BSQ19" s="700"/>
      <c r="BSR19" s="700"/>
      <c r="BSS19" s="700"/>
      <c r="BST19" s="700"/>
      <c r="BSU19" s="700"/>
      <c r="BSV19" s="700"/>
      <c r="BSW19" s="700"/>
      <c r="BSX19" s="700"/>
      <c r="BSY19" s="700"/>
      <c r="BSZ19" s="700"/>
      <c r="BTA19" s="700"/>
      <c r="BTB19" s="700"/>
      <c r="BTC19" s="700"/>
      <c r="BTD19" s="700"/>
      <c r="BTE19" s="700"/>
      <c r="BTF19" s="700"/>
      <c r="BTG19" s="700"/>
      <c r="BTH19" s="700"/>
      <c r="BTI19" s="700"/>
      <c r="BTJ19" s="700"/>
      <c r="BTK19" s="700"/>
      <c r="BTL19" s="700"/>
      <c r="BTM19" s="700"/>
      <c r="BTN19" s="700"/>
      <c r="BTO19" s="700"/>
      <c r="BTP19" s="700"/>
      <c r="BTQ19" s="700"/>
      <c r="BTR19" s="700"/>
      <c r="BTS19" s="700"/>
      <c r="BTT19" s="700"/>
      <c r="BTU19" s="700"/>
      <c r="BTV19" s="700"/>
      <c r="BTW19" s="700"/>
      <c r="BTX19" s="700"/>
      <c r="BTY19" s="700"/>
      <c r="BTZ19" s="700"/>
      <c r="BUA19" s="700"/>
      <c r="BUB19" s="700"/>
      <c r="BUC19" s="700"/>
      <c r="BUD19" s="700"/>
      <c r="BUE19" s="700"/>
      <c r="BUF19" s="700"/>
      <c r="BUG19" s="700"/>
      <c r="BUH19" s="700"/>
      <c r="BUI19" s="700"/>
      <c r="BUJ19" s="700"/>
      <c r="BUK19" s="700"/>
      <c r="BUL19" s="700"/>
      <c r="BUM19" s="700"/>
      <c r="BUN19" s="700"/>
      <c r="BUO19" s="700"/>
      <c r="BUP19" s="700"/>
      <c r="BUQ19" s="700"/>
      <c r="BUR19" s="700"/>
      <c r="BUS19" s="700"/>
      <c r="BUT19" s="700"/>
      <c r="BUU19" s="700"/>
      <c r="BUV19" s="700"/>
      <c r="BUW19" s="700"/>
      <c r="BUX19" s="700"/>
      <c r="BUY19" s="700"/>
      <c r="BUZ19" s="700"/>
      <c r="BVA19" s="700"/>
      <c r="BVB19" s="700"/>
      <c r="BVC19" s="700"/>
      <c r="BVD19" s="700"/>
      <c r="BVE19" s="700"/>
      <c r="BVF19" s="700"/>
      <c r="BVG19" s="700"/>
      <c r="BVH19" s="700"/>
      <c r="BVI19" s="700"/>
      <c r="BVJ19" s="700"/>
      <c r="BVK19" s="700"/>
      <c r="BVL19" s="700"/>
      <c r="BVM19" s="700"/>
      <c r="BVN19" s="700"/>
      <c r="BVO19" s="700"/>
      <c r="BVP19" s="700"/>
      <c r="BVQ19" s="700"/>
      <c r="BVR19" s="700"/>
      <c r="BVS19" s="700"/>
      <c r="BVT19" s="700"/>
      <c r="BVU19" s="700"/>
      <c r="BVV19" s="700"/>
      <c r="BVW19" s="700"/>
      <c r="BVX19" s="700"/>
      <c r="BVY19" s="700"/>
      <c r="BVZ19" s="700"/>
      <c r="BWA19" s="700"/>
      <c r="BWB19" s="700"/>
      <c r="BWC19" s="700"/>
      <c r="BWD19" s="700"/>
      <c r="BWE19" s="700"/>
      <c r="BWF19" s="700"/>
      <c r="BWG19" s="700"/>
      <c r="BWH19" s="700"/>
      <c r="BWI19" s="700"/>
      <c r="BWJ19" s="700"/>
      <c r="BWK19" s="700"/>
      <c r="BWL19" s="700"/>
      <c r="BWM19" s="700"/>
      <c r="BWN19" s="700"/>
      <c r="BWO19" s="700"/>
      <c r="BWP19" s="700"/>
      <c r="BWQ19" s="700"/>
      <c r="BWR19" s="700"/>
      <c r="BWS19" s="700"/>
      <c r="BWT19" s="700"/>
      <c r="BWU19" s="700"/>
      <c r="BWV19" s="700"/>
      <c r="BWW19" s="700"/>
      <c r="BWX19" s="700"/>
      <c r="BWY19" s="700"/>
      <c r="BWZ19" s="700"/>
      <c r="BXA19" s="700"/>
      <c r="BXB19" s="700"/>
      <c r="BXC19" s="700"/>
      <c r="BXD19" s="700"/>
      <c r="BXE19" s="700"/>
      <c r="BXF19" s="700"/>
      <c r="BXG19" s="700"/>
      <c r="BXH19" s="700"/>
      <c r="BXI19" s="700"/>
      <c r="BXJ19" s="700"/>
      <c r="BXK19" s="700"/>
      <c r="BXL19" s="700"/>
      <c r="BXM19" s="700"/>
      <c r="BXN19" s="700"/>
      <c r="BXO19" s="700"/>
      <c r="BXP19" s="700"/>
      <c r="BXQ19" s="700"/>
      <c r="BXR19" s="700"/>
      <c r="BXS19" s="700"/>
      <c r="BXT19" s="700"/>
      <c r="BXU19" s="700"/>
      <c r="BXV19" s="700"/>
      <c r="BXW19" s="700"/>
      <c r="BXX19" s="700"/>
      <c r="BXY19" s="700"/>
      <c r="BXZ19" s="700"/>
    </row>
    <row r="20" spans="1:2002" ht="15">
      <c r="A20" s="717"/>
      <c r="B20" s="706"/>
      <c r="C20" s="721" t="s">
        <v>41</v>
      </c>
      <c r="D20" s="738">
        <f>BS!Q17</f>
        <v>4838000</v>
      </c>
      <c r="E20" s="738">
        <f>BS!P17</f>
        <v>1952000</v>
      </c>
      <c r="F20" s="738">
        <f>BS!O17</f>
        <v>3138000</v>
      </c>
      <c r="G20" s="738">
        <f>BS!N17</f>
        <v>2964000</v>
      </c>
      <c r="H20" s="738">
        <f>BS!M17</f>
        <v>3433000</v>
      </c>
      <c r="I20" s="738"/>
      <c r="J20" s="738"/>
      <c r="K20" s="738"/>
      <c r="L20" s="738"/>
      <c r="M20" s="738"/>
      <c r="N20" s="738"/>
      <c r="O20" s="738"/>
      <c r="P20" s="738"/>
      <c r="Q20" s="738"/>
      <c r="R20" s="738"/>
      <c r="S20" s="712"/>
      <c r="T20" s="700"/>
      <c r="U20" s="700"/>
      <c r="V20" s="700"/>
      <c r="W20" s="700"/>
      <c r="X20" s="700"/>
      <c r="Y20" s="700"/>
      <c r="Z20" s="700"/>
      <c r="AA20" s="700"/>
      <c r="AB20" s="700"/>
      <c r="AC20" s="700"/>
      <c r="AD20" s="700"/>
      <c r="AE20" s="700"/>
      <c r="AF20" s="700"/>
      <c r="AG20" s="700"/>
      <c r="AH20" s="700"/>
      <c r="AI20" s="700"/>
      <c r="AJ20" s="700"/>
      <c r="AK20" s="700"/>
      <c r="AL20" s="700"/>
      <c r="AM20" s="700"/>
      <c r="AN20" s="700"/>
      <c r="AO20" s="700"/>
      <c r="AP20" s="700"/>
      <c r="AQ20" s="700"/>
      <c r="AR20" s="700"/>
      <c r="AS20" s="700"/>
      <c r="AT20" s="700"/>
      <c r="AU20" s="700"/>
      <c r="AV20" s="700"/>
      <c r="AW20" s="700"/>
      <c r="AX20" s="700"/>
      <c r="AY20" s="700"/>
      <c r="AZ20" s="700"/>
      <c r="BA20" s="700"/>
      <c r="BB20" s="700"/>
      <c r="BC20" s="700"/>
      <c r="BD20" s="700"/>
      <c r="BE20" s="700"/>
      <c r="BF20" s="700"/>
      <c r="BG20" s="700"/>
      <c r="BH20" s="700"/>
      <c r="BI20" s="700"/>
      <c r="BJ20" s="700"/>
      <c r="BK20" s="700"/>
      <c r="BL20" s="700"/>
      <c r="BM20" s="700"/>
      <c r="BN20" s="700"/>
      <c r="BO20" s="700"/>
      <c r="BP20" s="700"/>
      <c r="BQ20" s="700"/>
      <c r="BR20" s="700"/>
      <c r="BS20" s="700"/>
      <c r="BT20" s="700"/>
      <c r="BU20" s="700"/>
      <c r="BV20" s="700"/>
      <c r="BW20" s="700"/>
      <c r="BX20" s="700"/>
      <c r="BY20" s="700"/>
      <c r="BZ20" s="700"/>
      <c r="CA20" s="700"/>
      <c r="CB20" s="700"/>
      <c r="CC20" s="700"/>
      <c r="CD20" s="700"/>
      <c r="CE20" s="700"/>
      <c r="CF20" s="700"/>
      <c r="CG20" s="700"/>
      <c r="CH20" s="700"/>
      <c r="CI20" s="700"/>
      <c r="CJ20" s="700"/>
      <c r="CK20" s="700"/>
      <c r="CL20" s="700"/>
      <c r="CM20" s="700"/>
      <c r="CN20" s="700"/>
      <c r="CO20" s="700"/>
      <c r="CP20" s="700"/>
      <c r="CQ20" s="700"/>
      <c r="CR20" s="700"/>
      <c r="CS20" s="700"/>
      <c r="CT20" s="700"/>
      <c r="CU20" s="700"/>
      <c r="CV20" s="700"/>
      <c r="CW20" s="700"/>
      <c r="CX20" s="700"/>
      <c r="CY20" s="700"/>
      <c r="CZ20" s="700"/>
      <c r="DA20" s="700"/>
      <c r="DB20" s="700"/>
      <c r="DC20" s="700"/>
      <c r="DD20" s="700"/>
      <c r="DE20" s="700"/>
      <c r="DF20" s="700"/>
      <c r="DG20" s="700"/>
      <c r="DH20" s="700"/>
      <c r="DI20" s="700"/>
      <c r="DJ20" s="700"/>
      <c r="DK20" s="700"/>
      <c r="DL20" s="700"/>
      <c r="DM20" s="700"/>
      <c r="DN20" s="700"/>
      <c r="DO20" s="700"/>
      <c r="DP20" s="700"/>
      <c r="DQ20" s="700"/>
      <c r="DR20" s="700"/>
      <c r="DS20" s="700"/>
      <c r="DT20" s="700"/>
      <c r="DU20" s="700"/>
      <c r="DV20" s="700"/>
      <c r="DW20" s="700"/>
      <c r="DX20" s="700"/>
      <c r="DY20" s="700"/>
      <c r="DZ20" s="700"/>
      <c r="EA20" s="700"/>
      <c r="EB20" s="700"/>
      <c r="EC20" s="700"/>
      <c r="ED20" s="700"/>
      <c r="EE20" s="700"/>
      <c r="EF20" s="700"/>
      <c r="EG20" s="700"/>
      <c r="EH20" s="700"/>
      <c r="EI20" s="700"/>
      <c r="EJ20" s="700"/>
      <c r="EK20" s="700"/>
      <c r="EL20" s="700"/>
      <c r="EM20" s="700"/>
      <c r="EN20" s="700"/>
      <c r="EO20" s="700"/>
      <c r="EP20" s="700"/>
      <c r="EQ20" s="700"/>
      <c r="ER20" s="700"/>
      <c r="ES20" s="700"/>
      <c r="ET20" s="700"/>
      <c r="EU20" s="700"/>
      <c r="EV20" s="700"/>
      <c r="EW20" s="700"/>
      <c r="EX20" s="700"/>
      <c r="EY20" s="700"/>
      <c r="EZ20" s="700"/>
      <c r="FA20" s="700"/>
      <c r="FB20" s="700"/>
      <c r="FC20" s="700"/>
      <c r="FD20" s="700"/>
      <c r="FE20" s="700"/>
      <c r="FF20" s="700"/>
      <c r="FG20" s="700"/>
      <c r="FH20" s="700"/>
      <c r="FI20" s="700"/>
      <c r="FJ20" s="700"/>
      <c r="FK20" s="700"/>
      <c r="FL20" s="700"/>
      <c r="FM20" s="700"/>
      <c r="FN20" s="700"/>
      <c r="FO20" s="700"/>
      <c r="FP20" s="700"/>
      <c r="FQ20" s="700"/>
      <c r="FR20" s="700"/>
      <c r="FS20" s="700"/>
      <c r="FT20" s="700"/>
      <c r="FU20" s="700"/>
      <c r="FV20" s="700"/>
      <c r="FW20" s="700"/>
      <c r="FX20" s="700"/>
      <c r="FY20" s="700"/>
      <c r="FZ20" s="700"/>
      <c r="GA20" s="700"/>
      <c r="GB20" s="700"/>
      <c r="GC20" s="700"/>
      <c r="GD20" s="700"/>
      <c r="GE20" s="700"/>
      <c r="GF20" s="700"/>
      <c r="GG20" s="700"/>
      <c r="GH20" s="700"/>
      <c r="GI20" s="700"/>
      <c r="GJ20" s="700"/>
      <c r="GK20" s="700"/>
      <c r="GL20" s="700"/>
      <c r="GM20" s="700"/>
      <c r="GN20" s="700"/>
      <c r="GO20" s="700"/>
      <c r="GP20" s="700"/>
      <c r="GQ20" s="700"/>
      <c r="GR20" s="700"/>
      <c r="GS20" s="700"/>
      <c r="GT20" s="700"/>
      <c r="GU20" s="700"/>
      <c r="GV20" s="700"/>
      <c r="GW20" s="700"/>
      <c r="GX20" s="700"/>
      <c r="GY20" s="700"/>
      <c r="GZ20" s="700"/>
      <c r="HA20" s="700"/>
      <c r="HB20" s="700"/>
      <c r="HC20" s="700"/>
      <c r="HD20" s="700"/>
      <c r="HE20" s="700"/>
      <c r="HF20" s="700"/>
      <c r="HG20" s="700"/>
      <c r="HH20" s="700"/>
      <c r="HI20" s="700"/>
      <c r="HJ20" s="700"/>
      <c r="HK20" s="700"/>
      <c r="HL20" s="700"/>
      <c r="HM20" s="700"/>
      <c r="HN20" s="700"/>
      <c r="HO20" s="700"/>
      <c r="HP20" s="700"/>
      <c r="HQ20" s="700"/>
      <c r="HR20" s="700"/>
      <c r="HS20" s="700"/>
      <c r="HT20" s="700"/>
      <c r="HU20" s="700"/>
      <c r="HV20" s="700"/>
      <c r="HW20" s="700"/>
      <c r="HX20" s="700"/>
      <c r="HY20" s="700"/>
      <c r="HZ20" s="700"/>
      <c r="IA20" s="700"/>
      <c r="IB20" s="700"/>
      <c r="IC20" s="700"/>
      <c r="ID20" s="700"/>
      <c r="IE20" s="700"/>
      <c r="IF20" s="700"/>
      <c r="IG20" s="700"/>
      <c r="IH20" s="700"/>
      <c r="II20" s="700"/>
      <c r="IJ20" s="700"/>
      <c r="IK20" s="700"/>
      <c r="IL20" s="700"/>
      <c r="IM20" s="700"/>
      <c r="IN20" s="700"/>
      <c r="IO20" s="700"/>
      <c r="IP20" s="700"/>
      <c r="IQ20" s="700"/>
      <c r="IR20" s="700"/>
      <c r="IS20" s="700"/>
      <c r="IT20" s="700"/>
      <c r="IU20" s="700"/>
      <c r="IV20" s="700"/>
      <c r="IW20" s="700"/>
      <c r="IX20" s="700"/>
      <c r="IY20" s="700"/>
      <c r="IZ20" s="700"/>
      <c r="JA20" s="700"/>
      <c r="JB20" s="700"/>
      <c r="JC20" s="700"/>
      <c r="JD20" s="700"/>
      <c r="JE20" s="700"/>
      <c r="JF20" s="700"/>
      <c r="JG20" s="700"/>
      <c r="JH20" s="700"/>
      <c r="JI20" s="700"/>
      <c r="JJ20" s="700"/>
      <c r="JK20" s="700"/>
      <c r="JL20" s="700"/>
      <c r="JM20" s="700"/>
      <c r="JN20" s="700"/>
      <c r="JO20" s="700"/>
      <c r="JP20" s="700"/>
      <c r="JQ20" s="700"/>
      <c r="JR20" s="700"/>
      <c r="JS20" s="700"/>
      <c r="JT20" s="700"/>
      <c r="JU20" s="700"/>
      <c r="JV20" s="700"/>
      <c r="JW20" s="700"/>
      <c r="JX20" s="700"/>
      <c r="JY20" s="700"/>
      <c r="JZ20" s="700"/>
      <c r="KA20" s="700"/>
      <c r="KB20" s="700"/>
      <c r="KC20" s="700"/>
      <c r="KD20" s="700"/>
      <c r="KE20" s="700"/>
      <c r="KF20" s="700"/>
      <c r="KG20" s="700"/>
      <c r="KH20" s="700"/>
      <c r="KI20" s="700"/>
      <c r="KJ20" s="700"/>
      <c r="KK20" s="700"/>
      <c r="KL20" s="700"/>
      <c r="KM20" s="700"/>
      <c r="KN20" s="700"/>
      <c r="KO20" s="700"/>
      <c r="KP20" s="700"/>
      <c r="KQ20" s="700"/>
      <c r="KR20" s="700"/>
      <c r="KS20" s="700"/>
      <c r="KT20" s="700"/>
      <c r="KU20" s="700"/>
      <c r="KV20" s="700"/>
      <c r="KW20" s="700"/>
      <c r="KX20" s="700"/>
      <c r="KY20" s="700"/>
      <c r="KZ20" s="700"/>
      <c r="LA20" s="700"/>
      <c r="LB20" s="700"/>
      <c r="LC20" s="700"/>
      <c r="LD20" s="700"/>
      <c r="LE20" s="700"/>
      <c r="LF20" s="700"/>
      <c r="LG20" s="700"/>
      <c r="LH20" s="700"/>
      <c r="LI20" s="700"/>
      <c r="LJ20" s="700"/>
      <c r="LK20" s="700"/>
      <c r="LL20" s="700"/>
      <c r="LM20" s="700"/>
      <c r="LN20" s="700"/>
      <c r="LO20" s="700"/>
      <c r="LP20" s="700"/>
      <c r="LQ20" s="700"/>
      <c r="LR20" s="700"/>
      <c r="LS20" s="700"/>
      <c r="LT20" s="700"/>
      <c r="LU20" s="700"/>
      <c r="LV20" s="700"/>
      <c r="LW20" s="700"/>
      <c r="LX20" s="700"/>
      <c r="LY20" s="700"/>
      <c r="LZ20" s="700"/>
      <c r="MA20" s="700"/>
      <c r="MB20" s="700"/>
      <c r="MC20" s="700"/>
      <c r="MD20" s="700"/>
      <c r="ME20" s="700"/>
      <c r="MF20" s="700"/>
      <c r="MG20" s="700"/>
      <c r="MH20" s="700"/>
      <c r="MI20" s="700"/>
      <c r="MJ20" s="700"/>
      <c r="MK20" s="700"/>
      <c r="ML20" s="700"/>
      <c r="MM20" s="700"/>
      <c r="MN20" s="700"/>
      <c r="MO20" s="700"/>
      <c r="MP20" s="700"/>
      <c r="MQ20" s="700"/>
      <c r="MR20" s="700"/>
      <c r="MS20" s="700"/>
      <c r="MT20" s="700"/>
      <c r="MU20" s="700"/>
      <c r="MV20" s="700"/>
      <c r="MW20" s="700"/>
      <c r="MX20" s="700"/>
      <c r="MY20" s="700"/>
      <c r="MZ20" s="700"/>
      <c r="NA20" s="700"/>
      <c r="NB20" s="700"/>
      <c r="NC20" s="700"/>
      <c r="ND20" s="700"/>
      <c r="NE20" s="700"/>
      <c r="NF20" s="700"/>
      <c r="NG20" s="700"/>
      <c r="NH20" s="700"/>
      <c r="NI20" s="700"/>
      <c r="NJ20" s="700"/>
      <c r="NK20" s="700"/>
      <c r="NL20" s="700"/>
      <c r="NM20" s="700"/>
      <c r="NN20" s="700"/>
      <c r="NO20" s="700"/>
      <c r="NP20" s="700"/>
      <c r="NQ20" s="700"/>
      <c r="NR20" s="700"/>
      <c r="NS20" s="700"/>
      <c r="NT20" s="700"/>
      <c r="NU20" s="700"/>
      <c r="NV20" s="700"/>
      <c r="NW20" s="700"/>
      <c r="NX20" s="700"/>
      <c r="NY20" s="700"/>
      <c r="NZ20" s="700"/>
      <c r="OA20" s="700"/>
      <c r="OB20" s="700"/>
      <c r="OC20" s="700"/>
      <c r="OD20" s="700"/>
      <c r="OE20" s="700"/>
      <c r="OF20" s="700"/>
      <c r="OG20" s="700"/>
      <c r="OH20" s="700"/>
      <c r="OI20" s="700"/>
      <c r="OJ20" s="700"/>
      <c r="OK20" s="700"/>
      <c r="OL20" s="700"/>
      <c r="OM20" s="700"/>
      <c r="ON20" s="700"/>
      <c r="OO20" s="700"/>
      <c r="OP20" s="700"/>
      <c r="OQ20" s="700"/>
      <c r="OR20" s="700"/>
      <c r="OS20" s="700"/>
      <c r="OT20" s="700"/>
      <c r="OU20" s="700"/>
      <c r="OV20" s="700"/>
      <c r="OW20" s="700"/>
      <c r="OX20" s="700"/>
      <c r="OY20" s="700"/>
      <c r="OZ20" s="700"/>
      <c r="PA20" s="700"/>
      <c r="PB20" s="700"/>
      <c r="PC20" s="700"/>
      <c r="PD20" s="700"/>
      <c r="PE20" s="700"/>
      <c r="PF20" s="700"/>
      <c r="PG20" s="700"/>
      <c r="PH20" s="700"/>
      <c r="PI20" s="700"/>
      <c r="PJ20" s="700"/>
      <c r="PK20" s="700"/>
      <c r="PL20" s="700"/>
      <c r="PM20" s="700"/>
      <c r="PN20" s="700"/>
      <c r="PO20" s="700"/>
      <c r="PP20" s="700"/>
      <c r="PQ20" s="700"/>
      <c r="PR20" s="700"/>
      <c r="PS20" s="700"/>
      <c r="PT20" s="700"/>
      <c r="PU20" s="700"/>
      <c r="PV20" s="700"/>
      <c r="PW20" s="700"/>
      <c r="PX20" s="700"/>
      <c r="PY20" s="700"/>
      <c r="PZ20" s="700"/>
      <c r="QA20" s="700"/>
      <c r="QB20" s="700"/>
      <c r="QC20" s="700"/>
      <c r="QD20" s="700"/>
      <c r="QE20" s="700"/>
      <c r="QF20" s="700"/>
      <c r="QG20" s="700"/>
      <c r="QH20" s="700"/>
      <c r="QI20" s="700"/>
      <c r="QJ20" s="700"/>
      <c r="QK20" s="700"/>
      <c r="QL20" s="700"/>
      <c r="QM20" s="700"/>
      <c r="QN20" s="700"/>
      <c r="QO20" s="700"/>
      <c r="QP20" s="700"/>
      <c r="QQ20" s="700"/>
      <c r="QR20" s="700"/>
      <c r="QS20" s="700"/>
      <c r="QT20" s="700"/>
      <c r="QU20" s="700"/>
      <c r="QV20" s="700"/>
      <c r="QW20" s="700"/>
      <c r="QX20" s="700"/>
      <c r="QY20" s="700"/>
      <c r="QZ20" s="700"/>
      <c r="RA20" s="700"/>
      <c r="RB20" s="700"/>
      <c r="RC20" s="700"/>
      <c r="RD20" s="700"/>
      <c r="RE20" s="700"/>
      <c r="RF20" s="700"/>
      <c r="RG20" s="700"/>
      <c r="RH20" s="700"/>
      <c r="RI20" s="700"/>
      <c r="RJ20" s="700"/>
      <c r="RK20" s="700"/>
      <c r="RL20" s="700"/>
      <c r="RM20" s="700"/>
      <c r="RN20" s="700"/>
      <c r="RO20" s="700"/>
      <c r="RP20" s="700"/>
      <c r="RQ20" s="700"/>
      <c r="RR20" s="700"/>
      <c r="RS20" s="700"/>
      <c r="RT20" s="700"/>
      <c r="RU20" s="700"/>
      <c r="RV20" s="700"/>
      <c r="RW20" s="700"/>
      <c r="RX20" s="700"/>
      <c r="RY20" s="700"/>
      <c r="RZ20" s="700"/>
      <c r="SA20" s="700"/>
      <c r="SB20" s="700"/>
      <c r="SC20" s="700"/>
      <c r="SD20" s="700"/>
      <c r="SE20" s="700"/>
      <c r="SF20" s="700"/>
      <c r="SG20" s="700"/>
      <c r="SH20" s="700"/>
      <c r="SI20" s="700"/>
      <c r="SJ20" s="700"/>
      <c r="SK20" s="700"/>
      <c r="SL20" s="700"/>
      <c r="SM20" s="700"/>
      <c r="SN20" s="700"/>
      <c r="SO20" s="700"/>
      <c r="SP20" s="700"/>
      <c r="SQ20" s="700"/>
      <c r="SR20" s="700"/>
      <c r="SS20" s="700"/>
      <c r="ST20" s="700"/>
      <c r="SU20" s="700"/>
      <c r="SV20" s="700"/>
      <c r="SW20" s="700"/>
      <c r="SX20" s="700"/>
      <c r="SY20" s="700"/>
      <c r="SZ20" s="700"/>
      <c r="TA20" s="700"/>
      <c r="TB20" s="700"/>
      <c r="TC20" s="700"/>
      <c r="TD20" s="700"/>
      <c r="TE20" s="700"/>
      <c r="TF20" s="700"/>
      <c r="TG20" s="700"/>
      <c r="TH20" s="700"/>
      <c r="TI20" s="700"/>
      <c r="TJ20" s="700"/>
      <c r="TK20" s="700"/>
      <c r="TL20" s="700"/>
      <c r="TM20" s="700"/>
      <c r="TN20" s="700"/>
      <c r="TO20" s="700"/>
      <c r="TP20" s="700"/>
      <c r="TQ20" s="700"/>
      <c r="TR20" s="700"/>
      <c r="TS20" s="700"/>
      <c r="TT20" s="700"/>
      <c r="TU20" s="700"/>
      <c r="TV20" s="700"/>
      <c r="TW20" s="700"/>
      <c r="TX20" s="700"/>
      <c r="TY20" s="700"/>
      <c r="TZ20" s="700"/>
      <c r="UA20" s="700"/>
      <c r="UB20" s="700"/>
      <c r="UC20" s="700"/>
      <c r="UD20" s="700"/>
      <c r="UE20" s="700"/>
      <c r="UF20" s="700"/>
      <c r="UG20" s="700"/>
      <c r="UH20" s="700"/>
      <c r="UI20" s="700"/>
      <c r="UJ20" s="700"/>
      <c r="UK20" s="700"/>
      <c r="UL20" s="700"/>
      <c r="UM20" s="700"/>
      <c r="UN20" s="700"/>
      <c r="UO20" s="700"/>
      <c r="UP20" s="700"/>
      <c r="UQ20" s="700"/>
      <c r="UR20" s="700"/>
      <c r="US20" s="700"/>
      <c r="UT20" s="700"/>
      <c r="UU20" s="700"/>
      <c r="UV20" s="700"/>
      <c r="UW20" s="700"/>
      <c r="UX20" s="700"/>
      <c r="UY20" s="700"/>
      <c r="UZ20" s="700"/>
      <c r="VA20" s="700"/>
      <c r="VB20" s="700"/>
      <c r="VC20" s="700"/>
      <c r="VD20" s="700"/>
      <c r="VE20" s="700"/>
      <c r="VF20" s="700"/>
      <c r="VG20" s="700"/>
      <c r="VH20" s="700"/>
      <c r="VI20" s="700"/>
      <c r="VJ20" s="700"/>
      <c r="VK20" s="700"/>
      <c r="VL20" s="700"/>
      <c r="VM20" s="700"/>
      <c r="VN20" s="700"/>
      <c r="VO20" s="700"/>
      <c r="VP20" s="700"/>
      <c r="VQ20" s="700"/>
      <c r="VR20" s="700"/>
      <c r="VS20" s="700"/>
      <c r="VT20" s="700"/>
      <c r="VU20" s="700"/>
      <c r="VV20" s="700"/>
      <c r="VW20" s="700"/>
      <c r="VX20" s="700"/>
      <c r="VY20" s="700"/>
      <c r="VZ20" s="700"/>
      <c r="WA20" s="700"/>
      <c r="WB20" s="700"/>
      <c r="WC20" s="700"/>
      <c r="WD20" s="700"/>
      <c r="WE20" s="700"/>
      <c r="WF20" s="700"/>
      <c r="WG20" s="700"/>
      <c r="WH20" s="700"/>
      <c r="WI20" s="700"/>
      <c r="WJ20" s="700"/>
      <c r="WK20" s="700"/>
      <c r="WL20" s="700"/>
      <c r="WM20" s="700"/>
      <c r="WN20" s="700"/>
      <c r="WO20" s="700"/>
      <c r="WP20" s="700"/>
      <c r="WQ20" s="700"/>
      <c r="WR20" s="700"/>
      <c r="WS20" s="700"/>
      <c r="WT20" s="700"/>
      <c r="WU20" s="700"/>
      <c r="WV20" s="700"/>
      <c r="WW20" s="700"/>
      <c r="WX20" s="700"/>
      <c r="WY20" s="700"/>
      <c r="WZ20" s="700"/>
      <c r="XA20" s="700"/>
      <c r="XB20" s="700"/>
      <c r="XC20" s="700"/>
      <c r="XD20" s="700"/>
      <c r="XE20" s="700"/>
      <c r="XF20" s="700"/>
      <c r="XG20" s="700"/>
      <c r="XH20" s="700"/>
      <c r="XI20" s="700"/>
      <c r="XJ20" s="700"/>
      <c r="XK20" s="700"/>
      <c r="XL20" s="700"/>
      <c r="XM20" s="700"/>
      <c r="XN20" s="700"/>
      <c r="XO20" s="700"/>
      <c r="XP20" s="700"/>
      <c r="XQ20" s="700"/>
      <c r="XR20" s="700"/>
      <c r="XS20" s="700"/>
      <c r="XT20" s="700"/>
      <c r="XU20" s="700"/>
      <c r="XV20" s="700"/>
      <c r="XW20" s="700"/>
      <c r="XX20" s="700"/>
      <c r="XY20" s="700"/>
      <c r="XZ20" s="700"/>
      <c r="YA20" s="700"/>
      <c r="YB20" s="700"/>
      <c r="YC20" s="700"/>
      <c r="YD20" s="700"/>
      <c r="YE20" s="700"/>
      <c r="YF20" s="700"/>
      <c r="YG20" s="700"/>
      <c r="YH20" s="700"/>
      <c r="YI20" s="700"/>
      <c r="YJ20" s="700"/>
      <c r="YK20" s="700"/>
      <c r="YL20" s="700"/>
      <c r="YM20" s="700"/>
      <c r="YN20" s="700"/>
      <c r="YO20" s="700"/>
      <c r="YP20" s="700"/>
      <c r="YQ20" s="700"/>
      <c r="YR20" s="700"/>
      <c r="YS20" s="700"/>
      <c r="YT20" s="700"/>
      <c r="YU20" s="700"/>
      <c r="YV20" s="700"/>
      <c r="YW20" s="700"/>
      <c r="YX20" s="700"/>
      <c r="YY20" s="700"/>
      <c r="YZ20" s="700"/>
      <c r="ZA20" s="700"/>
      <c r="ZB20" s="700"/>
      <c r="ZC20" s="700"/>
      <c r="ZD20" s="700"/>
      <c r="ZE20" s="700"/>
      <c r="ZF20" s="700"/>
      <c r="ZG20" s="700"/>
      <c r="ZH20" s="700"/>
      <c r="ZI20" s="700"/>
      <c r="ZJ20" s="700"/>
      <c r="ZK20" s="700"/>
      <c r="ZL20" s="700"/>
      <c r="ZM20" s="700"/>
      <c r="ZN20" s="700"/>
      <c r="ZO20" s="700"/>
      <c r="ZP20" s="700"/>
      <c r="ZQ20" s="700"/>
      <c r="ZR20" s="700"/>
      <c r="ZS20" s="700"/>
      <c r="ZT20" s="700"/>
      <c r="ZU20" s="700"/>
      <c r="ZV20" s="700"/>
      <c r="ZW20" s="700"/>
      <c r="ZX20" s="700"/>
      <c r="ZY20" s="700"/>
      <c r="ZZ20" s="700"/>
      <c r="AAA20" s="700"/>
      <c r="AAB20" s="700"/>
      <c r="AAC20" s="700"/>
      <c r="AAD20" s="700"/>
      <c r="AAE20" s="700"/>
      <c r="AAF20" s="700"/>
      <c r="AAG20" s="700"/>
      <c r="AAH20" s="700"/>
      <c r="AAI20" s="700"/>
      <c r="AAJ20" s="700"/>
      <c r="AAK20" s="700"/>
      <c r="AAL20" s="700"/>
      <c r="AAM20" s="700"/>
      <c r="AAN20" s="700"/>
      <c r="AAO20" s="700"/>
      <c r="AAP20" s="700"/>
      <c r="AAQ20" s="700"/>
      <c r="AAR20" s="700"/>
      <c r="AAS20" s="700"/>
      <c r="AAT20" s="700"/>
      <c r="AAU20" s="700"/>
      <c r="AAV20" s="700"/>
      <c r="AAW20" s="700"/>
      <c r="AAX20" s="700"/>
      <c r="AAY20" s="700"/>
      <c r="AAZ20" s="700"/>
      <c r="ABA20" s="700"/>
      <c r="ABB20" s="700"/>
      <c r="ABC20" s="700"/>
      <c r="ABD20" s="700"/>
      <c r="ABE20" s="700"/>
      <c r="ABF20" s="700"/>
      <c r="ABG20" s="700"/>
      <c r="ABH20" s="700"/>
      <c r="ABI20" s="700"/>
      <c r="ABJ20" s="700"/>
      <c r="ABK20" s="700"/>
      <c r="ABL20" s="700"/>
      <c r="ABM20" s="700"/>
      <c r="ABN20" s="700"/>
      <c r="ABO20" s="700"/>
      <c r="ABP20" s="700"/>
      <c r="ABQ20" s="700"/>
      <c r="ABR20" s="700"/>
      <c r="ABS20" s="700"/>
      <c r="ABT20" s="700"/>
      <c r="ABU20" s="700"/>
      <c r="ABV20" s="700"/>
      <c r="ABW20" s="700"/>
      <c r="ABX20" s="700"/>
      <c r="ABY20" s="700"/>
      <c r="ABZ20" s="700"/>
      <c r="ACA20" s="700"/>
      <c r="ACB20" s="700"/>
      <c r="ACC20" s="700"/>
      <c r="ACD20" s="700"/>
      <c r="ACE20" s="700"/>
      <c r="ACF20" s="700"/>
      <c r="ACG20" s="700"/>
      <c r="ACH20" s="700"/>
      <c r="ACI20" s="700"/>
      <c r="ACJ20" s="700"/>
      <c r="ACK20" s="700"/>
      <c r="ACL20" s="700"/>
      <c r="ACM20" s="700"/>
      <c r="ACN20" s="700"/>
      <c r="ACO20" s="700"/>
      <c r="ACP20" s="700"/>
      <c r="ACQ20" s="700"/>
      <c r="ACR20" s="700"/>
      <c r="ACS20" s="700"/>
      <c r="ACT20" s="700"/>
      <c r="ACU20" s="700"/>
      <c r="ACV20" s="700"/>
      <c r="ACW20" s="700"/>
      <c r="ACX20" s="700"/>
      <c r="ACY20" s="700"/>
      <c r="ACZ20" s="700"/>
      <c r="ADA20" s="700"/>
      <c r="ADB20" s="700"/>
      <c r="ADC20" s="700"/>
      <c r="ADD20" s="700"/>
      <c r="ADE20" s="700"/>
      <c r="ADF20" s="700"/>
      <c r="ADG20" s="700"/>
      <c r="ADH20" s="700"/>
      <c r="ADI20" s="700"/>
      <c r="ADJ20" s="700"/>
      <c r="ADK20" s="700"/>
      <c r="ADL20" s="700"/>
      <c r="ADM20" s="700"/>
      <c r="ADN20" s="700"/>
      <c r="ADO20" s="700"/>
      <c r="ADP20" s="700"/>
      <c r="ADQ20" s="700"/>
      <c r="ADR20" s="700"/>
      <c r="ADS20" s="700"/>
      <c r="ADT20" s="700"/>
      <c r="ADU20" s="700"/>
      <c r="ADV20" s="700"/>
      <c r="ADW20" s="700"/>
      <c r="ADX20" s="700"/>
      <c r="ADY20" s="700"/>
      <c r="ADZ20" s="700"/>
      <c r="AEA20" s="700"/>
      <c r="AEB20" s="700"/>
      <c r="AEC20" s="700"/>
      <c r="AED20" s="700"/>
      <c r="AEE20" s="700"/>
      <c r="AEF20" s="700"/>
      <c r="AEG20" s="700"/>
      <c r="AEH20" s="700"/>
      <c r="AEI20" s="700"/>
      <c r="AEJ20" s="700"/>
      <c r="AEK20" s="700"/>
      <c r="AEL20" s="700"/>
      <c r="AEM20" s="700"/>
      <c r="AEN20" s="700"/>
      <c r="AEO20" s="700"/>
      <c r="AEP20" s="700"/>
      <c r="AEQ20" s="700"/>
      <c r="AER20" s="700"/>
      <c r="AES20" s="700"/>
      <c r="AET20" s="700"/>
      <c r="AEU20" s="700"/>
      <c r="AEV20" s="700"/>
      <c r="AEW20" s="700"/>
      <c r="AEX20" s="700"/>
      <c r="AEY20" s="700"/>
      <c r="AEZ20" s="700"/>
      <c r="AFA20" s="700"/>
      <c r="AFB20" s="700"/>
      <c r="AFC20" s="700"/>
      <c r="AFD20" s="700"/>
      <c r="AFE20" s="700"/>
      <c r="AFF20" s="700"/>
      <c r="AFG20" s="700"/>
      <c r="AFH20" s="700"/>
      <c r="AFI20" s="700"/>
      <c r="AFJ20" s="700"/>
      <c r="AFK20" s="700"/>
      <c r="AFL20" s="700"/>
      <c r="AFM20" s="700"/>
      <c r="AFN20" s="700"/>
      <c r="AFO20" s="700"/>
      <c r="AFP20" s="700"/>
      <c r="AFQ20" s="700"/>
      <c r="AFR20" s="700"/>
      <c r="AFS20" s="700"/>
      <c r="AFT20" s="700"/>
      <c r="AFU20" s="700"/>
      <c r="AFV20" s="700"/>
      <c r="AFW20" s="700"/>
      <c r="AFX20" s="700"/>
      <c r="AFY20" s="700"/>
      <c r="AFZ20" s="700"/>
      <c r="AGA20" s="700"/>
      <c r="AGB20" s="700"/>
      <c r="AGC20" s="700"/>
      <c r="AGD20" s="700"/>
      <c r="AGE20" s="700"/>
      <c r="AGF20" s="700"/>
      <c r="AGG20" s="700"/>
      <c r="AGH20" s="700"/>
      <c r="AGI20" s="700"/>
      <c r="AGJ20" s="700"/>
      <c r="AGK20" s="700"/>
      <c r="AGL20" s="700"/>
      <c r="AGM20" s="700"/>
      <c r="AGN20" s="700"/>
      <c r="AGO20" s="700"/>
      <c r="AGP20" s="700"/>
      <c r="AGQ20" s="700"/>
      <c r="AGR20" s="700"/>
      <c r="AGS20" s="700"/>
      <c r="AGT20" s="700"/>
      <c r="AGU20" s="700"/>
      <c r="AGV20" s="700"/>
      <c r="AGW20" s="700"/>
      <c r="AGX20" s="700"/>
      <c r="AGY20" s="700"/>
      <c r="AGZ20" s="700"/>
      <c r="AHA20" s="700"/>
      <c r="AHB20" s="700"/>
      <c r="AHC20" s="700"/>
      <c r="AHD20" s="700"/>
      <c r="AHE20" s="700"/>
      <c r="AHF20" s="700"/>
      <c r="AHG20" s="700"/>
      <c r="AHH20" s="700"/>
      <c r="AHI20" s="700"/>
      <c r="AHJ20" s="700"/>
      <c r="AHK20" s="700"/>
      <c r="AHL20" s="700"/>
      <c r="AHM20" s="700"/>
      <c r="AHN20" s="700"/>
      <c r="AHO20" s="700"/>
      <c r="AHP20" s="700"/>
      <c r="AHQ20" s="700"/>
      <c r="AHR20" s="700"/>
      <c r="AHS20" s="700"/>
      <c r="AHT20" s="700"/>
      <c r="AHU20" s="700"/>
      <c r="AHV20" s="700"/>
      <c r="AHW20" s="700"/>
      <c r="AHX20" s="700"/>
      <c r="AHY20" s="700"/>
      <c r="AHZ20" s="700"/>
      <c r="AIA20" s="700"/>
      <c r="AIB20" s="700"/>
      <c r="AIC20" s="700"/>
      <c r="AID20" s="700"/>
      <c r="AIE20" s="700"/>
      <c r="AIF20" s="700"/>
      <c r="AIG20" s="700"/>
      <c r="AIH20" s="700"/>
      <c r="AII20" s="700"/>
      <c r="AIJ20" s="700"/>
      <c r="AIK20" s="700"/>
      <c r="AIL20" s="700"/>
      <c r="AIM20" s="700"/>
      <c r="AIN20" s="700"/>
      <c r="AIO20" s="700"/>
      <c r="AIP20" s="700"/>
      <c r="AIQ20" s="700"/>
      <c r="AIR20" s="700"/>
      <c r="AIS20" s="700"/>
      <c r="AIT20" s="700"/>
      <c r="AIU20" s="700"/>
      <c r="AIV20" s="700"/>
      <c r="AIW20" s="700"/>
      <c r="AIX20" s="700"/>
      <c r="AIY20" s="700"/>
      <c r="AIZ20" s="700"/>
      <c r="AJA20" s="700"/>
      <c r="AJB20" s="700"/>
      <c r="AJC20" s="700"/>
      <c r="AJD20" s="700"/>
      <c r="AJE20" s="700"/>
      <c r="AJF20" s="700"/>
      <c r="AJG20" s="700"/>
      <c r="AJH20" s="700"/>
      <c r="AJI20" s="700"/>
      <c r="AJJ20" s="700"/>
      <c r="AJK20" s="700"/>
      <c r="AJL20" s="700"/>
      <c r="AJM20" s="700"/>
      <c r="AJN20" s="700"/>
      <c r="AJO20" s="700"/>
      <c r="AJP20" s="700"/>
      <c r="AJQ20" s="700"/>
      <c r="AJR20" s="700"/>
      <c r="AJS20" s="700"/>
      <c r="AJT20" s="700"/>
      <c r="AJU20" s="700"/>
      <c r="AJV20" s="700"/>
      <c r="AJW20" s="700"/>
      <c r="AJX20" s="700"/>
      <c r="AJY20" s="700"/>
      <c r="AJZ20" s="700"/>
      <c r="AKA20" s="700"/>
      <c r="AKB20" s="700"/>
      <c r="AKC20" s="700"/>
      <c r="AKD20" s="700"/>
      <c r="AKE20" s="700"/>
      <c r="AKF20" s="700"/>
      <c r="AKG20" s="700"/>
      <c r="AKH20" s="700"/>
      <c r="AKI20" s="700"/>
      <c r="AKJ20" s="700"/>
      <c r="AKK20" s="700"/>
      <c r="AKL20" s="700"/>
      <c r="AKM20" s="700"/>
      <c r="AKN20" s="700"/>
      <c r="AKO20" s="700"/>
      <c r="AKP20" s="700"/>
      <c r="AKQ20" s="700"/>
      <c r="AKR20" s="700"/>
      <c r="AKS20" s="700"/>
      <c r="AKT20" s="700"/>
      <c r="AKU20" s="700"/>
      <c r="AKV20" s="700"/>
      <c r="AKW20" s="700"/>
      <c r="AKX20" s="700"/>
      <c r="AKY20" s="700"/>
      <c r="AKZ20" s="700"/>
      <c r="ALA20" s="700"/>
      <c r="ALB20" s="700"/>
      <c r="ALC20" s="700"/>
      <c r="ALD20" s="700"/>
      <c r="ALE20" s="700"/>
      <c r="ALF20" s="700"/>
      <c r="ALG20" s="700"/>
      <c r="ALH20" s="700"/>
      <c r="ALI20" s="700"/>
      <c r="ALJ20" s="700"/>
      <c r="ALK20" s="700"/>
      <c r="ALL20" s="700"/>
      <c r="ALM20" s="700"/>
      <c r="ALN20" s="700"/>
      <c r="ALO20" s="700"/>
      <c r="ALP20" s="700"/>
      <c r="ALQ20" s="700"/>
      <c r="ALR20" s="700"/>
      <c r="ALS20" s="700"/>
      <c r="ALT20" s="700"/>
      <c r="ALU20" s="700"/>
      <c r="ALV20" s="700"/>
      <c r="ALW20" s="700"/>
      <c r="ALX20" s="700"/>
      <c r="ALY20" s="700"/>
      <c r="ALZ20" s="700"/>
      <c r="AMA20" s="700"/>
      <c r="AMB20" s="700"/>
      <c r="AMC20" s="700"/>
      <c r="AMD20" s="700"/>
      <c r="AME20" s="700"/>
      <c r="AMF20" s="700"/>
      <c r="AMG20" s="700"/>
      <c r="AMH20" s="700"/>
      <c r="AMI20" s="700"/>
      <c r="AMJ20" s="700"/>
      <c r="AMK20" s="700"/>
      <c r="AML20" s="700"/>
      <c r="AMM20" s="700"/>
      <c r="AMN20" s="700"/>
      <c r="AMO20" s="700"/>
      <c r="AMP20" s="700"/>
      <c r="AMQ20" s="700"/>
      <c r="AMR20" s="700"/>
      <c r="AMS20" s="700"/>
      <c r="AMT20" s="700"/>
      <c r="AMU20" s="700"/>
      <c r="AMV20" s="700"/>
      <c r="AMW20" s="700"/>
      <c r="AMX20" s="700"/>
      <c r="AMY20" s="700"/>
      <c r="AMZ20" s="700"/>
      <c r="ANA20" s="700"/>
      <c r="ANB20" s="700"/>
      <c r="ANC20" s="700"/>
      <c r="AND20" s="700"/>
      <c r="ANE20" s="700"/>
      <c r="ANF20" s="700"/>
      <c r="ANG20" s="700"/>
      <c r="ANH20" s="700"/>
      <c r="ANI20" s="700"/>
      <c r="ANJ20" s="700"/>
      <c r="ANK20" s="700"/>
      <c r="ANL20" s="700"/>
      <c r="ANM20" s="700"/>
      <c r="ANN20" s="700"/>
      <c r="ANO20" s="700"/>
      <c r="ANP20" s="700"/>
      <c r="ANQ20" s="700"/>
      <c r="ANR20" s="700"/>
      <c r="ANS20" s="700"/>
      <c r="ANT20" s="700"/>
      <c r="ANU20" s="700"/>
      <c r="ANV20" s="700"/>
      <c r="ANW20" s="700"/>
      <c r="ANX20" s="700"/>
      <c r="ANY20" s="700"/>
      <c r="ANZ20" s="700"/>
      <c r="AOA20" s="700"/>
      <c r="AOB20" s="700"/>
      <c r="AOC20" s="700"/>
      <c r="AOD20" s="700"/>
      <c r="AOE20" s="700"/>
      <c r="AOF20" s="700"/>
      <c r="AOG20" s="700"/>
      <c r="AOH20" s="700"/>
      <c r="AOI20" s="700"/>
      <c r="AOJ20" s="700"/>
      <c r="AOK20" s="700"/>
      <c r="AOL20" s="700"/>
      <c r="AOM20" s="700"/>
      <c r="AON20" s="700"/>
      <c r="AOO20" s="700"/>
      <c r="AOP20" s="700"/>
      <c r="AOQ20" s="700"/>
      <c r="AOR20" s="700"/>
      <c r="AOS20" s="700"/>
      <c r="AOT20" s="700"/>
      <c r="AOU20" s="700"/>
      <c r="AOV20" s="700"/>
      <c r="AOW20" s="700"/>
      <c r="AOX20" s="700"/>
      <c r="AOY20" s="700"/>
      <c r="AOZ20" s="700"/>
      <c r="APA20" s="700"/>
      <c r="APB20" s="700"/>
      <c r="APC20" s="700"/>
      <c r="APD20" s="700"/>
      <c r="APE20" s="700"/>
      <c r="APF20" s="700"/>
      <c r="APG20" s="700"/>
      <c r="APH20" s="700"/>
      <c r="API20" s="700"/>
      <c r="APJ20" s="700"/>
      <c r="APK20" s="700"/>
      <c r="APL20" s="700"/>
      <c r="APM20" s="700"/>
      <c r="APN20" s="700"/>
      <c r="APO20" s="700"/>
      <c r="APP20" s="700"/>
      <c r="APQ20" s="700"/>
      <c r="APR20" s="700"/>
      <c r="APS20" s="700"/>
      <c r="APT20" s="700"/>
      <c r="APU20" s="700"/>
      <c r="APV20" s="700"/>
      <c r="APW20" s="700"/>
      <c r="APX20" s="700"/>
      <c r="APY20" s="700"/>
      <c r="APZ20" s="700"/>
      <c r="AQA20" s="700"/>
      <c r="AQB20" s="700"/>
      <c r="AQC20" s="700"/>
      <c r="AQD20" s="700"/>
      <c r="AQE20" s="700"/>
      <c r="AQF20" s="700"/>
      <c r="AQG20" s="700"/>
      <c r="AQH20" s="700"/>
      <c r="AQI20" s="700"/>
      <c r="AQJ20" s="700"/>
      <c r="AQK20" s="700"/>
      <c r="AQL20" s="700"/>
      <c r="AQM20" s="700"/>
      <c r="AQN20" s="700"/>
      <c r="AQO20" s="700"/>
      <c r="AQP20" s="700"/>
      <c r="AQQ20" s="700"/>
      <c r="AQR20" s="700"/>
      <c r="AQS20" s="700"/>
      <c r="AQT20" s="700"/>
      <c r="AQU20" s="700"/>
      <c r="AQV20" s="700"/>
      <c r="AQW20" s="700"/>
      <c r="AQX20" s="700"/>
      <c r="AQY20" s="700"/>
      <c r="AQZ20" s="700"/>
      <c r="ARA20" s="700"/>
      <c r="ARB20" s="700"/>
      <c r="ARC20" s="700"/>
      <c r="ARD20" s="700"/>
      <c r="ARE20" s="700"/>
      <c r="ARF20" s="700"/>
      <c r="ARG20" s="700"/>
      <c r="ARH20" s="700"/>
      <c r="ARI20" s="700"/>
      <c r="ARJ20" s="700"/>
      <c r="ARK20" s="700"/>
      <c r="ARL20" s="700"/>
      <c r="ARM20" s="700"/>
      <c r="ARN20" s="700"/>
      <c r="ARO20" s="700"/>
      <c r="ARP20" s="700"/>
      <c r="ARQ20" s="700"/>
      <c r="ARR20" s="700"/>
      <c r="ARS20" s="700"/>
      <c r="ART20" s="700"/>
      <c r="ARU20" s="700"/>
      <c r="ARV20" s="700"/>
      <c r="ARW20" s="700"/>
      <c r="ARX20" s="700"/>
      <c r="ARY20" s="700"/>
      <c r="ARZ20" s="700"/>
      <c r="ASA20" s="700"/>
      <c r="ASB20" s="700"/>
      <c r="ASC20" s="700"/>
      <c r="ASD20" s="700"/>
      <c r="ASE20" s="700"/>
      <c r="ASF20" s="700"/>
      <c r="ASG20" s="700"/>
      <c r="ASH20" s="700"/>
      <c r="ASI20" s="700"/>
      <c r="ASJ20" s="700"/>
      <c r="ASK20" s="700"/>
      <c r="ASL20" s="700"/>
      <c r="ASM20" s="700"/>
      <c r="ASN20" s="700"/>
      <c r="ASO20" s="700"/>
      <c r="ASP20" s="700"/>
      <c r="ASQ20" s="700"/>
      <c r="ASR20" s="700"/>
      <c r="ASS20" s="700"/>
      <c r="AST20" s="700"/>
      <c r="ASU20" s="700"/>
      <c r="ASV20" s="700"/>
      <c r="ASW20" s="700"/>
      <c r="ASX20" s="700"/>
      <c r="ASY20" s="700"/>
      <c r="ASZ20" s="700"/>
      <c r="ATA20" s="700"/>
      <c r="ATB20" s="700"/>
      <c r="ATC20" s="700"/>
      <c r="ATD20" s="700"/>
      <c r="ATE20" s="700"/>
      <c r="ATF20" s="700"/>
      <c r="ATG20" s="700"/>
      <c r="ATH20" s="700"/>
      <c r="ATI20" s="700"/>
      <c r="ATJ20" s="700"/>
      <c r="ATK20" s="700"/>
      <c r="ATL20" s="700"/>
      <c r="ATM20" s="700"/>
      <c r="ATN20" s="700"/>
      <c r="ATO20" s="700"/>
      <c r="ATP20" s="700"/>
      <c r="ATQ20" s="700"/>
      <c r="ATR20" s="700"/>
      <c r="ATS20" s="700"/>
      <c r="ATT20" s="700"/>
      <c r="ATU20" s="700"/>
      <c r="ATV20" s="700"/>
      <c r="ATW20" s="700"/>
      <c r="ATX20" s="700"/>
      <c r="ATY20" s="700"/>
      <c r="ATZ20" s="700"/>
      <c r="AUA20" s="700"/>
      <c r="AUB20" s="700"/>
      <c r="AUC20" s="700"/>
      <c r="AUD20" s="700"/>
      <c r="AUE20" s="700"/>
      <c r="AUF20" s="700"/>
      <c r="AUG20" s="700"/>
      <c r="AUH20" s="700"/>
      <c r="AUI20" s="700"/>
      <c r="AUJ20" s="700"/>
      <c r="AUK20" s="700"/>
      <c r="AUL20" s="700"/>
      <c r="AUM20" s="700"/>
      <c r="AUN20" s="700"/>
      <c r="AUO20" s="700"/>
      <c r="AUP20" s="700"/>
      <c r="AUQ20" s="700"/>
      <c r="AUR20" s="700"/>
      <c r="AUS20" s="700"/>
      <c r="AUT20" s="700"/>
      <c r="AUU20" s="700"/>
      <c r="AUV20" s="700"/>
      <c r="AUW20" s="700"/>
      <c r="AUX20" s="700"/>
      <c r="AUY20" s="700"/>
      <c r="AUZ20" s="700"/>
      <c r="AVA20" s="700"/>
      <c r="AVB20" s="700"/>
      <c r="AVC20" s="700"/>
      <c r="AVD20" s="700"/>
      <c r="AVE20" s="700"/>
      <c r="AVF20" s="700"/>
      <c r="AVG20" s="700"/>
      <c r="AVH20" s="700"/>
      <c r="AVI20" s="700"/>
      <c r="AVJ20" s="700"/>
      <c r="AVK20" s="700"/>
      <c r="AVL20" s="700"/>
      <c r="AVM20" s="700"/>
      <c r="AVN20" s="700"/>
      <c r="AVO20" s="700"/>
      <c r="AVP20" s="700"/>
      <c r="AVQ20" s="700"/>
      <c r="AVR20" s="700"/>
      <c r="AVS20" s="700"/>
      <c r="AVT20" s="700"/>
      <c r="AVU20" s="700"/>
      <c r="AVV20" s="700"/>
      <c r="AVW20" s="700"/>
      <c r="AVX20" s="700"/>
      <c r="AVY20" s="700"/>
      <c r="AVZ20" s="700"/>
      <c r="AWA20" s="700"/>
      <c r="AWB20" s="700"/>
      <c r="AWC20" s="700"/>
      <c r="AWD20" s="700"/>
      <c r="AWE20" s="700"/>
      <c r="AWF20" s="700"/>
      <c r="AWG20" s="700"/>
      <c r="AWH20" s="700"/>
      <c r="AWI20" s="700"/>
      <c r="AWJ20" s="700"/>
      <c r="AWK20" s="700"/>
      <c r="AWL20" s="700"/>
      <c r="AWM20" s="700"/>
      <c r="AWN20" s="700"/>
      <c r="AWO20" s="700"/>
      <c r="AWP20" s="700"/>
      <c r="AWQ20" s="700"/>
      <c r="AWR20" s="700"/>
      <c r="AWS20" s="700"/>
      <c r="AWT20" s="700"/>
      <c r="AWU20" s="700"/>
      <c r="AWV20" s="700"/>
      <c r="AWW20" s="700"/>
      <c r="AWX20" s="700"/>
      <c r="AWY20" s="700"/>
      <c r="AWZ20" s="700"/>
      <c r="AXA20" s="700"/>
      <c r="AXB20" s="700"/>
      <c r="AXC20" s="700"/>
      <c r="AXD20" s="700"/>
      <c r="AXE20" s="700"/>
      <c r="AXF20" s="700"/>
      <c r="AXG20" s="700"/>
      <c r="AXH20" s="700"/>
      <c r="AXI20" s="700"/>
      <c r="AXJ20" s="700"/>
      <c r="AXK20" s="700"/>
      <c r="AXL20" s="700"/>
      <c r="AXM20" s="700"/>
      <c r="AXN20" s="700"/>
      <c r="AXO20" s="700"/>
      <c r="AXP20" s="700"/>
      <c r="AXQ20" s="700"/>
      <c r="AXR20" s="700"/>
      <c r="AXS20" s="700"/>
      <c r="AXT20" s="700"/>
      <c r="AXU20" s="700"/>
      <c r="AXV20" s="700"/>
      <c r="AXW20" s="700"/>
      <c r="AXX20" s="700"/>
      <c r="AXY20" s="700"/>
      <c r="AXZ20" s="700"/>
      <c r="AYA20" s="700"/>
      <c r="AYB20" s="700"/>
      <c r="AYC20" s="700"/>
      <c r="AYD20" s="700"/>
      <c r="AYE20" s="700"/>
      <c r="AYF20" s="700"/>
      <c r="AYG20" s="700"/>
      <c r="AYH20" s="700"/>
      <c r="AYI20" s="700"/>
      <c r="AYJ20" s="700"/>
      <c r="AYK20" s="700"/>
      <c r="AYL20" s="700"/>
      <c r="AYM20" s="700"/>
      <c r="AYN20" s="700"/>
      <c r="AYO20" s="700"/>
      <c r="AYP20" s="700"/>
      <c r="AYQ20" s="700"/>
      <c r="AYR20" s="700"/>
      <c r="AYS20" s="700"/>
      <c r="AYT20" s="700"/>
      <c r="AYU20" s="700"/>
      <c r="AYV20" s="700"/>
      <c r="AYW20" s="700"/>
      <c r="AYX20" s="700"/>
      <c r="AYY20" s="700"/>
      <c r="AYZ20" s="700"/>
      <c r="AZA20" s="700"/>
      <c r="AZB20" s="700"/>
      <c r="AZC20" s="700"/>
      <c r="AZD20" s="700"/>
      <c r="AZE20" s="700"/>
      <c r="AZF20" s="700"/>
      <c r="AZG20" s="700"/>
      <c r="AZH20" s="700"/>
      <c r="AZI20" s="700"/>
      <c r="AZJ20" s="700"/>
      <c r="AZK20" s="700"/>
      <c r="AZL20" s="700"/>
      <c r="AZM20" s="700"/>
      <c r="AZN20" s="700"/>
      <c r="AZO20" s="700"/>
      <c r="AZP20" s="700"/>
      <c r="AZQ20" s="700"/>
      <c r="AZR20" s="700"/>
      <c r="AZS20" s="700"/>
      <c r="AZT20" s="700"/>
      <c r="AZU20" s="700"/>
      <c r="AZV20" s="700"/>
      <c r="AZW20" s="700"/>
      <c r="AZX20" s="700"/>
      <c r="AZY20" s="700"/>
      <c r="AZZ20" s="700"/>
      <c r="BAA20" s="700"/>
      <c r="BAB20" s="700"/>
      <c r="BAC20" s="700"/>
      <c r="BAD20" s="700"/>
      <c r="BAE20" s="700"/>
      <c r="BAF20" s="700"/>
      <c r="BAG20" s="700"/>
      <c r="BAH20" s="700"/>
      <c r="BAI20" s="700"/>
      <c r="BAJ20" s="700"/>
      <c r="BAK20" s="700"/>
      <c r="BAL20" s="700"/>
      <c r="BAM20" s="700"/>
      <c r="BAN20" s="700"/>
      <c r="BAO20" s="700"/>
      <c r="BAP20" s="700"/>
      <c r="BAQ20" s="700"/>
      <c r="BAR20" s="700"/>
      <c r="BAS20" s="700"/>
      <c r="BAT20" s="700"/>
      <c r="BAU20" s="700"/>
      <c r="BAV20" s="700"/>
      <c r="BAW20" s="700"/>
      <c r="BAX20" s="700"/>
      <c r="BAY20" s="700"/>
      <c r="BAZ20" s="700"/>
      <c r="BBA20" s="700"/>
      <c r="BBB20" s="700"/>
      <c r="BBC20" s="700"/>
      <c r="BBD20" s="700"/>
      <c r="BBE20" s="700"/>
      <c r="BBF20" s="700"/>
      <c r="BBG20" s="700"/>
      <c r="BBH20" s="700"/>
      <c r="BBI20" s="700"/>
      <c r="BBJ20" s="700"/>
      <c r="BBK20" s="700"/>
      <c r="BBL20" s="700"/>
      <c r="BBM20" s="700"/>
      <c r="BBN20" s="700"/>
      <c r="BBO20" s="700"/>
      <c r="BBP20" s="700"/>
      <c r="BBQ20" s="700"/>
      <c r="BBR20" s="700"/>
      <c r="BBS20" s="700"/>
      <c r="BBT20" s="700"/>
      <c r="BBU20" s="700"/>
      <c r="BBV20" s="700"/>
      <c r="BBW20" s="700"/>
      <c r="BBX20" s="700"/>
      <c r="BBY20" s="700"/>
      <c r="BBZ20" s="700"/>
      <c r="BCA20" s="700"/>
      <c r="BCB20" s="700"/>
      <c r="BCC20" s="700"/>
      <c r="BCD20" s="700"/>
      <c r="BCE20" s="700"/>
      <c r="BCF20" s="700"/>
      <c r="BCG20" s="700"/>
      <c r="BCH20" s="700"/>
      <c r="BCI20" s="700"/>
      <c r="BCJ20" s="700"/>
      <c r="BCK20" s="700"/>
      <c r="BCL20" s="700"/>
      <c r="BCM20" s="700"/>
      <c r="BCN20" s="700"/>
      <c r="BCO20" s="700"/>
      <c r="BCP20" s="700"/>
      <c r="BCQ20" s="700"/>
      <c r="BCR20" s="700"/>
      <c r="BCS20" s="700"/>
      <c r="BCT20" s="700"/>
      <c r="BCU20" s="700"/>
      <c r="BCV20" s="700"/>
      <c r="BCW20" s="700"/>
      <c r="BCX20" s="700"/>
      <c r="BCY20" s="700"/>
      <c r="BCZ20" s="700"/>
      <c r="BDA20" s="700"/>
      <c r="BDB20" s="700"/>
      <c r="BDC20" s="700"/>
      <c r="BDD20" s="700"/>
      <c r="BDE20" s="700"/>
      <c r="BDF20" s="700"/>
      <c r="BDG20" s="700"/>
      <c r="BDH20" s="700"/>
      <c r="BDI20" s="700"/>
      <c r="BDJ20" s="700"/>
      <c r="BDK20" s="700"/>
      <c r="BDL20" s="700"/>
      <c r="BDM20" s="700"/>
      <c r="BDN20" s="700"/>
      <c r="BDO20" s="700"/>
      <c r="BDP20" s="700"/>
      <c r="BDQ20" s="700"/>
      <c r="BDR20" s="700"/>
      <c r="BDS20" s="700"/>
      <c r="BDT20" s="700"/>
      <c r="BDU20" s="700"/>
      <c r="BDV20" s="700"/>
      <c r="BDW20" s="700"/>
      <c r="BDX20" s="700"/>
      <c r="BDY20" s="700"/>
      <c r="BDZ20" s="700"/>
      <c r="BEA20" s="700"/>
      <c r="BEB20" s="700"/>
      <c r="BEC20" s="700"/>
      <c r="BED20" s="700"/>
      <c r="BEE20" s="700"/>
      <c r="BEF20" s="700"/>
      <c r="BEG20" s="700"/>
      <c r="BEH20" s="700"/>
      <c r="BEI20" s="700"/>
      <c r="BEJ20" s="700"/>
      <c r="BEK20" s="700"/>
      <c r="BEL20" s="700"/>
      <c r="BEM20" s="700"/>
      <c r="BEN20" s="700"/>
      <c r="BEO20" s="700"/>
      <c r="BEP20" s="700"/>
      <c r="BEQ20" s="700"/>
      <c r="BER20" s="700"/>
      <c r="BES20" s="700"/>
      <c r="BET20" s="700"/>
      <c r="BEU20" s="700"/>
      <c r="BEV20" s="700"/>
      <c r="BEW20" s="700"/>
      <c r="BEX20" s="700"/>
      <c r="BEY20" s="700"/>
      <c r="BEZ20" s="700"/>
      <c r="BFA20" s="700"/>
      <c r="BFB20" s="700"/>
      <c r="BFC20" s="700"/>
      <c r="BFD20" s="700"/>
      <c r="BFE20" s="700"/>
      <c r="BFF20" s="700"/>
      <c r="BFG20" s="700"/>
      <c r="BFH20" s="700"/>
      <c r="BFI20" s="700"/>
      <c r="BFJ20" s="700"/>
      <c r="BFK20" s="700"/>
      <c r="BFL20" s="700"/>
      <c r="BFM20" s="700"/>
      <c r="BFN20" s="700"/>
      <c r="BFO20" s="700"/>
      <c r="BFP20" s="700"/>
      <c r="BFQ20" s="700"/>
      <c r="BFR20" s="700"/>
      <c r="BFS20" s="700"/>
      <c r="BFT20" s="700"/>
      <c r="BFU20" s="700"/>
      <c r="BFV20" s="700"/>
      <c r="BFW20" s="700"/>
      <c r="BFX20" s="700"/>
      <c r="BFY20" s="700"/>
      <c r="BFZ20" s="700"/>
      <c r="BGA20" s="700"/>
      <c r="BGB20" s="700"/>
      <c r="BGC20" s="700"/>
      <c r="BGD20" s="700"/>
      <c r="BGE20" s="700"/>
      <c r="BGF20" s="700"/>
      <c r="BGG20" s="700"/>
      <c r="BGH20" s="700"/>
      <c r="BGI20" s="700"/>
      <c r="BGJ20" s="700"/>
      <c r="BGK20" s="700"/>
      <c r="BGL20" s="700"/>
      <c r="BGM20" s="700"/>
      <c r="BGN20" s="700"/>
      <c r="BGO20" s="700"/>
      <c r="BGP20" s="700"/>
      <c r="BGQ20" s="700"/>
      <c r="BGR20" s="700"/>
      <c r="BGS20" s="700"/>
      <c r="BGT20" s="700"/>
      <c r="BGU20" s="700"/>
      <c r="BGV20" s="700"/>
      <c r="BGW20" s="700"/>
      <c r="BGX20" s="700"/>
      <c r="BGY20" s="700"/>
      <c r="BGZ20" s="700"/>
      <c r="BHA20" s="700"/>
      <c r="BHB20" s="700"/>
      <c r="BHC20" s="700"/>
      <c r="BHD20" s="700"/>
      <c r="BHE20" s="700"/>
      <c r="BHF20" s="700"/>
      <c r="BHG20" s="700"/>
      <c r="BHH20" s="700"/>
      <c r="BHI20" s="700"/>
      <c r="BHJ20" s="700"/>
      <c r="BHK20" s="700"/>
      <c r="BHL20" s="700"/>
      <c r="BHM20" s="700"/>
      <c r="BHN20" s="700"/>
      <c r="BHO20" s="700"/>
      <c r="BHP20" s="700"/>
      <c r="BHQ20" s="700"/>
      <c r="BHR20" s="700"/>
      <c r="BHS20" s="700"/>
      <c r="BHT20" s="700"/>
      <c r="BHU20" s="700"/>
      <c r="BHV20" s="700"/>
      <c r="BHW20" s="700"/>
      <c r="BHX20" s="700"/>
      <c r="BHY20" s="700"/>
      <c r="BHZ20" s="700"/>
      <c r="BIA20" s="700"/>
      <c r="BIB20" s="700"/>
      <c r="BIC20" s="700"/>
      <c r="BID20" s="700"/>
      <c r="BIE20" s="700"/>
      <c r="BIF20" s="700"/>
      <c r="BIG20" s="700"/>
      <c r="BIH20" s="700"/>
      <c r="BII20" s="700"/>
      <c r="BIJ20" s="700"/>
      <c r="BIK20" s="700"/>
      <c r="BIL20" s="700"/>
      <c r="BIM20" s="700"/>
      <c r="BIN20" s="700"/>
      <c r="BIO20" s="700"/>
      <c r="BIP20" s="700"/>
      <c r="BIQ20" s="700"/>
      <c r="BIR20" s="700"/>
      <c r="BIS20" s="700"/>
      <c r="BIT20" s="700"/>
      <c r="BIU20" s="700"/>
      <c r="BIV20" s="700"/>
      <c r="BIW20" s="700"/>
      <c r="BIX20" s="700"/>
      <c r="BIY20" s="700"/>
      <c r="BIZ20" s="700"/>
      <c r="BJA20" s="700"/>
      <c r="BJB20" s="700"/>
      <c r="BJC20" s="700"/>
      <c r="BJD20" s="700"/>
      <c r="BJE20" s="700"/>
      <c r="BJF20" s="700"/>
      <c r="BJG20" s="700"/>
      <c r="BJH20" s="700"/>
      <c r="BJI20" s="700"/>
      <c r="BJJ20" s="700"/>
      <c r="BJK20" s="700"/>
      <c r="BJL20" s="700"/>
      <c r="BJM20" s="700"/>
      <c r="BJN20" s="700"/>
      <c r="BJO20" s="700"/>
      <c r="BJP20" s="700"/>
      <c r="BJQ20" s="700"/>
      <c r="BJR20" s="700"/>
      <c r="BJS20" s="700"/>
      <c r="BJT20" s="700"/>
      <c r="BJU20" s="700"/>
      <c r="BJV20" s="700"/>
      <c r="BJW20" s="700"/>
      <c r="BJX20" s="700"/>
      <c r="BJY20" s="700"/>
      <c r="BJZ20" s="700"/>
      <c r="BKA20" s="700"/>
      <c r="BKB20" s="700"/>
      <c r="BKC20" s="700"/>
      <c r="BKD20" s="700"/>
      <c r="BKE20" s="700"/>
      <c r="BKF20" s="700"/>
      <c r="BKG20" s="700"/>
      <c r="BKH20" s="700"/>
      <c r="BKI20" s="700"/>
      <c r="BKJ20" s="700"/>
      <c r="BKK20" s="700"/>
      <c r="BKL20" s="700"/>
      <c r="BKM20" s="700"/>
      <c r="BKN20" s="700"/>
      <c r="BKO20" s="700"/>
      <c r="BKP20" s="700"/>
      <c r="BKQ20" s="700"/>
      <c r="BKR20" s="700"/>
      <c r="BKS20" s="700"/>
      <c r="BKT20" s="700"/>
      <c r="BKU20" s="700"/>
      <c r="BKV20" s="700"/>
      <c r="BKW20" s="700"/>
      <c r="BKX20" s="700"/>
      <c r="BKY20" s="700"/>
      <c r="BKZ20" s="700"/>
      <c r="BLA20" s="700"/>
      <c r="BLB20" s="700"/>
      <c r="BLC20" s="700"/>
      <c r="BLD20" s="700"/>
      <c r="BLE20" s="700"/>
      <c r="BLF20" s="700"/>
      <c r="BLG20" s="700"/>
      <c r="BLH20" s="700"/>
      <c r="BLI20" s="700"/>
      <c r="BLJ20" s="700"/>
      <c r="BLK20" s="700"/>
      <c r="BLL20" s="700"/>
      <c r="BLM20" s="700"/>
      <c r="BLN20" s="700"/>
      <c r="BLO20" s="700"/>
      <c r="BLP20" s="700"/>
      <c r="BLQ20" s="700"/>
      <c r="BLR20" s="700"/>
      <c r="BLS20" s="700"/>
      <c r="BLT20" s="700"/>
      <c r="BLU20" s="700"/>
      <c r="BLV20" s="700"/>
      <c r="BLW20" s="700"/>
      <c r="BLX20" s="700"/>
      <c r="BLY20" s="700"/>
      <c r="BLZ20" s="700"/>
      <c r="BMA20" s="700"/>
      <c r="BMB20" s="700"/>
      <c r="BMC20" s="700"/>
      <c r="BMD20" s="700"/>
      <c r="BME20" s="700"/>
      <c r="BMF20" s="700"/>
      <c r="BMG20" s="700"/>
      <c r="BMH20" s="700"/>
      <c r="BMI20" s="700"/>
      <c r="BMJ20" s="700"/>
      <c r="BMK20" s="700"/>
      <c r="BML20" s="700"/>
      <c r="BMM20" s="700"/>
      <c r="BMN20" s="700"/>
      <c r="BMO20" s="700"/>
      <c r="BMP20" s="700"/>
      <c r="BMQ20" s="700"/>
      <c r="BMR20" s="700"/>
      <c r="BMS20" s="700"/>
      <c r="BMT20" s="700"/>
      <c r="BMU20" s="700"/>
      <c r="BMV20" s="700"/>
      <c r="BMW20" s="700"/>
      <c r="BMX20" s="700"/>
      <c r="BMY20" s="700"/>
      <c r="BMZ20" s="700"/>
      <c r="BNA20" s="700"/>
      <c r="BNB20" s="700"/>
      <c r="BNC20" s="700"/>
      <c r="BND20" s="700"/>
      <c r="BNE20" s="700"/>
      <c r="BNF20" s="700"/>
      <c r="BNG20" s="700"/>
      <c r="BNH20" s="700"/>
      <c r="BNI20" s="700"/>
      <c r="BNJ20" s="700"/>
      <c r="BNK20" s="700"/>
      <c r="BNL20" s="700"/>
      <c r="BNM20" s="700"/>
      <c r="BNN20" s="700"/>
      <c r="BNO20" s="700"/>
      <c r="BNP20" s="700"/>
      <c r="BNQ20" s="700"/>
      <c r="BNR20" s="700"/>
      <c r="BNS20" s="700"/>
      <c r="BNT20" s="700"/>
      <c r="BNU20" s="700"/>
      <c r="BNV20" s="700"/>
      <c r="BNW20" s="700"/>
      <c r="BNX20" s="700"/>
      <c r="BNY20" s="700"/>
      <c r="BNZ20" s="700"/>
      <c r="BOA20" s="700"/>
      <c r="BOB20" s="700"/>
      <c r="BOC20" s="700"/>
      <c r="BOD20" s="700"/>
      <c r="BOE20" s="700"/>
      <c r="BOF20" s="700"/>
      <c r="BOG20" s="700"/>
      <c r="BOH20" s="700"/>
      <c r="BOI20" s="700"/>
      <c r="BOJ20" s="700"/>
      <c r="BOK20" s="700"/>
      <c r="BOL20" s="700"/>
      <c r="BOM20" s="700"/>
      <c r="BON20" s="700"/>
      <c r="BOO20" s="700"/>
      <c r="BOP20" s="700"/>
      <c r="BOQ20" s="700"/>
      <c r="BOR20" s="700"/>
      <c r="BOS20" s="700"/>
      <c r="BOT20" s="700"/>
      <c r="BOU20" s="700"/>
      <c r="BOV20" s="700"/>
      <c r="BOW20" s="700"/>
      <c r="BOX20" s="700"/>
      <c r="BOY20" s="700"/>
      <c r="BOZ20" s="700"/>
      <c r="BPA20" s="700"/>
      <c r="BPB20" s="700"/>
      <c r="BPC20" s="700"/>
      <c r="BPD20" s="700"/>
      <c r="BPE20" s="700"/>
      <c r="BPF20" s="700"/>
      <c r="BPG20" s="700"/>
      <c r="BPH20" s="700"/>
      <c r="BPI20" s="700"/>
      <c r="BPJ20" s="700"/>
      <c r="BPK20" s="700"/>
      <c r="BPL20" s="700"/>
      <c r="BPM20" s="700"/>
      <c r="BPN20" s="700"/>
      <c r="BPO20" s="700"/>
      <c r="BPP20" s="700"/>
      <c r="BPQ20" s="700"/>
      <c r="BPR20" s="700"/>
      <c r="BPS20" s="700"/>
      <c r="BPT20" s="700"/>
      <c r="BPU20" s="700"/>
      <c r="BPV20" s="700"/>
      <c r="BPW20" s="700"/>
      <c r="BPX20" s="700"/>
      <c r="BPY20" s="700"/>
      <c r="BPZ20" s="700"/>
      <c r="BQA20" s="700"/>
      <c r="BQB20" s="700"/>
      <c r="BQC20" s="700"/>
      <c r="BQD20" s="700"/>
      <c r="BQE20" s="700"/>
      <c r="BQF20" s="700"/>
      <c r="BQG20" s="700"/>
      <c r="BQH20" s="700"/>
      <c r="BQI20" s="700"/>
      <c r="BQJ20" s="700"/>
      <c r="BQK20" s="700"/>
      <c r="BQL20" s="700"/>
      <c r="BQM20" s="700"/>
      <c r="BQN20" s="700"/>
      <c r="BQO20" s="700"/>
      <c r="BQP20" s="700"/>
      <c r="BQQ20" s="700"/>
      <c r="BQR20" s="700"/>
      <c r="BQS20" s="700"/>
      <c r="BQT20" s="700"/>
      <c r="BQU20" s="700"/>
      <c r="BQV20" s="700"/>
      <c r="BQW20" s="700"/>
      <c r="BQX20" s="700"/>
      <c r="BQY20" s="700"/>
      <c r="BQZ20" s="700"/>
      <c r="BRA20" s="700"/>
      <c r="BRB20" s="700"/>
      <c r="BRC20" s="700"/>
      <c r="BRD20" s="700"/>
      <c r="BRE20" s="700"/>
      <c r="BRF20" s="700"/>
      <c r="BRG20" s="700"/>
      <c r="BRH20" s="700"/>
      <c r="BRI20" s="700"/>
      <c r="BRJ20" s="700"/>
      <c r="BRK20" s="700"/>
      <c r="BRL20" s="700"/>
      <c r="BRM20" s="700"/>
      <c r="BRN20" s="700"/>
      <c r="BRO20" s="700"/>
      <c r="BRP20" s="700"/>
      <c r="BRQ20" s="700"/>
      <c r="BRR20" s="700"/>
      <c r="BRS20" s="700"/>
      <c r="BRT20" s="700"/>
      <c r="BRU20" s="700"/>
      <c r="BRV20" s="700"/>
      <c r="BRW20" s="700"/>
      <c r="BRX20" s="700"/>
      <c r="BRY20" s="700"/>
      <c r="BRZ20" s="700"/>
      <c r="BSA20" s="700"/>
      <c r="BSB20" s="700"/>
      <c r="BSC20" s="700"/>
      <c r="BSD20" s="700"/>
      <c r="BSE20" s="700"/>
      <c r="BSF20" s="700"/>
      <c r="BSG20" s="700"/>
      <c r="BSH20" s="700"/>
      <c r="BSI20" s="700"/>
      <c r="BSJ20" s="700"/>
      <c r="BSK20" s="700"/>
      <c r="BSL20" s="700"/>
      <c r="BSM20" s="700"/>
      <c r="BSN20" s="700"/>
      <c r="BSO20" s="700"/>
      <c r="BSP20" s="700"/>
      <c r="BSQ20" s="700"/>
      <c r="BSR20" s="700"/>
      <c r="BSS20" s="700"/>
      <c r="BST20" s="700"/>
      <c r="BSU20" s="700"/>
      <c r="BSV20" s="700"/>
      <c r="BSW20" s="700"/>
      <c r="BSX20" s="700"/>
      <c r="BSY20" s="700"/>
      <c r="BSZ20" s="700"/>
      <c r="BTA20" s="700"/>
      <c r="BTB20" s="700"/>
      <c r="BTC20" s="700"/>
      <c r="BTD20" s="700"/>
      <c r="BTE20" s="700"/>
      <c r="BTF20" s="700"/>
      <c r="BTG20" s="700"/>
      <c r="BTH20" s="700"/>
      <c r="BTI20" s="700"/>
      <c r="BTJ20" s="700"/>
      <c r="BTK20" s="700"/>
      <c r="BTL20" s="700"/>
      <c r="BTM20" s="700"/>
      <c r="BTN20" s="700"/>
      <c r="BTO20" s="700"/>
      <c r="BTP20" s="700"/>
      <c r="BTQ20" s="700"/>
      <c r="BTR20" s="700"/>
      <c r="BTS20" s="700"/>
      <c r="BTT20" s="700"/>
      <c r="BTU20" s="700"/>
      <c r="BTV20" s="700"/>
      <c r="BTW20" s="700"/>
      <c r="BTX20" s="700"/>
      <c r="BTY20" s="700"/>
      <c r="BTZ20" s="700"/>
      <c r="BUA20" s="700"/>
      <c r="BUB20" s="700"/>
      <c r="BUC20" s="700"/>
      <c r="BUD20" s="700"/>
      <c r="BUE20" s="700"/>
      <c r="BUF20" s="700"/>
      <c r="BUG20" s="700"/>
      <c r="BUH20" s="700"/>
      <c r="BUI20" s="700"/>
      <c r="BUJ20" s="700"/>
      <c r="BUK20" s="700"/>
      <c r="BUL20" s="700"/>
      <c r="BUM20" s="700"/>
      <c r="BUN20" s="700"/>
      <c r="BUO20" s="700"/>
      <c r="BUP20" s="700"/>
      <c r="BUQ20" s="700"/>
      <c r="BUR20" s="700"/>
      <c r="BUS20" s="700"/>
      <c r="BUT20" s="700"/>
      <c r="BUU20" s="700"/>
      <c r="BUV20" s="700"/>
      <c r="BUW20" s="700"/>
      <c r="BUX20" s="700"/>
      <c r="BUY20" s="700"/>
      <c r="BUZ20" s="700"/>
      <c r="BVA20" s="700"/>
      <c r="BVB20" s="700"/>
      <c r="BVC20" s="700"/>
      <c r="BVD20" s="700"/>
      <c r="BVE20" s="700"/>
      <c r="BVF20" s="700"/>
      <c r="BVG20" s="700"/>
      <c r="BVH20" s="700"/>
      <c r="BVI20" s="700"/>
      <c r="BVJ20" s="700"/>
      <c r="BVK20" s="700"/>
      <c r="BVL20" s="700"/>
      <c r="BVM20" s="700"/>
      <c r="BVN20" s="700"/>
      <c r="BVO20" s="700"/>
      <c r="BVP20" s="700"/>
      <c r="BVQ20" s="700"/>
      <c r="BVR20" s="700"/>
      <c r="BVS20" s="700"/>
      <c r="BVT20" s="700"/>
      <c r="BVU20" s="700"/>
      <c r="BVV20" s="700"/>
      <c r="BVW20" s="700"/>
      <c r="BVX20" s="700"/>
      <c r="BVY20" s="700"/>
      <c r="BVZ20" s="700"/>
      <c r="BWA20" s="700"/>
      <c r="BWB20" s="700"/>
      <c r="BWC20" s="700"/>
      <c r="BWD20" s="700"/>
      <c r="BWE20" s="700"/>
      <c r="BWF20" s="700"/>
      <c r="BWG20" s="700"/>
      <c r="BWH20" s="700"/>
      <c r="BWI20" s="700"/>
      <c r="BWJ20" s="700"/>
      <c r="BWK20" s="700"/>
      <c r="BWL20" s="700"/>
      <c r="BWM20" s="700"/>
      <c r="BWN20" s="700"/>
      <c r="BWO20" s="700"/>
      <c r="BWP20" s="700"/>
      <c r="BWQ20" s="700"/>
      <c r="BWR20" s="700"/>
      <c r="BWS20" s="700"/>
      <c r="BWT20" s="700"/>
      <c r="BWU20" s="700"/>
      <c r="BWV20" s="700"/>
      <c r="BWW20" s="700"/>
      <c r="BWX20" s="700"/>
      <c r="BWY20" s="700"/>
      <c r="BWZ20" s="700"/>
      <c r="BXA20" s="700"/>
      <c r="BXB20" s="700"/>
      <c r="BXC20" s="700"/>
      <c r="BXD20" s="700"/>
      <c r="BXE20" s="700"/>
      <c r="BXF20" s="700"/>
      <c r="BXG20" s="700"/>
      <c r="BXH20" s="700"/>
      <c r="BXI20" s="700"/>
      <c r="BXJ20" s="700"/>
      <c r="BXK20" s="700"/>
      <c r="BXL20" s="700"/>
      <c r="BXM20" s="700"/>
      <c r="BXN20" s="700"/>
      <c r="BXO20" s="700"/>
      <c r="BXP20" s="700"/>
      <c r="BXQ20" s="700"/>
      <c r="BXR20" s="700"/>
      <c r="BXS20" s="700"/>
      <c r="BXT20" s="700"/>
      <c r="BXU20" s="700"/>
      <c r="BXV20" s="700"/>
      <c r="BXW20" s="700"/>
      <c r="BXX20" s="700"/>
      <c r="BXY20" s="700"/>
      <c r="BXZ20" s="700"/>
    </row>
    <row r="21" spans="1:2002" ht="15">
      <c r="A21" s="717"/>
      <c r="B21" s="706"/>
      <c r="C21" s="721" t="s">
        <v>42</v>
      </c>
      <c r="D21" s="738">
        <f>BS!Q21</f>
        <v>3240000</v>
      </c>
      <c r="E21" s="738">
        <f>BS!P21</f>
        <v>3134000</v>
      </c>
      <c r="F21" s="738">
        <f>BS!O21</f>
        <v>1905000</v>
      </c>
      <c r="G21" s="738">
        <f>BS!N21</f>
        <v>2665000</v>
      </c>
      <c r="H21" s="738">
        <f>BS!M21</f>
        <v>3371000</v>
      </c>
      <c r="I21" s="738"/>
      <c r="J21" s="738"/>
      <c r="K21" s="738"/>
      <c r="L21" s="738"/>
      <c r="M21" s="738"/>
      <c r="N21" s="738"/>
      <c r="O21" s="738"/>
      <c r="P21" s="738"/>
      <c r="Q21" s="738"/>
      <c r="R21" s="738"/>
      <c r="S21" s="712"/>
      <c r="T21" s="700"/>
      <c r="U21" s="700"/>
      <c r="V21" s="700"/>
      <c r="W21" s="700"/>
      <c r="X21" s="700"/>
      <c r="Y21" s="700"/>
      <c r="Z21" s="700"/>
      <c r="AA21" s="700"/>
      <c r="AB21" s="700"/>
      <c r="AC21" s="700"/>
      <c r="AD21" s="700"/>
      <c r="AE21" s="700"/>
      <c r="AF21" s="700"/>
      <c r="AG21" s="700"/>
      <c r="AH21" s="700"/>
      <c r="AI21" s="700"/>
      <c r="AJ21" s="700"/>
      <c r="AK21" s="700"/>
      <c r="AL21" s="700"/>
      <c r="AM21" s="700"/>
      <c r="AN21" s="700"/>
      <c r="AO21" s="700"/>
      <c r="AP21" s="700"/>
      <c r="AQ21" s="700"/>
      <c r="AR21" s="700"/>
      <c r="AS21" s="700"/>
      <c r="AT21" s="700"/>
      <c r="AU21" s="700"/>
      <c r="AV21" s="700"/>
      <c r="AW21" s="700"/>
      <c r="AX21" s="700"/>
      <c r="AY21" s="700"/>
      <c r="AZ21" s="700"/>
      <c r="BA21" s="700"/>
      <c r="BB21" s="700"/>
      <c r="BC21" s="700"/>
      <c r="BD21" s="700"/>
      <c r="BE21" s="700"/>
      <c r="BF21" s="700"/>
      <c r="BG21" s="700"/>
      <c r="BH21" s="700"/>
      <c r="BI21" s="700"/>
      <c r="BJ21" s="700"/>
      <c r="BK21" s="700"/>
      <c r="BL21" s="700"/>
      <c r="BM21" s="700"/>
      <c r="BN21" s="700"/>
      <c r="BO21" s="700"/>
      <c r="BP21" s="700"/>
      <c r="BQ21" s="700"/>
      <c r="BR21" s="700"/>
      <c r="BS21" s="700"/>
      <c r="BT21" s="700"/>
      <c r="BU21" s="700"/>
      <c r="BV21" s="700"/>
      <c r="BW21" s="700"/>
      <c r="BX21" s="700"/>
      <c r="BY21" s="700"/>
      <c r="BZ21" s="700"/>
      <c r="CA21" s="700"/>
      <c r="CB21" s="700"/>
      <c r="CC21" s="700"/>
      <c r="CD21" s="700"/>
      <c r="CE21" s="700"/>
      <c r="CF21" s="700"/>
      <c r="CG21" s="700"/>
      <c r="CH21" s="700"/>
      <c r="CI21" s="700"/>
      <c r="CJ21" s="700"/>
      <c r="CK21" s="700"/>
      <c r="CL21" s="700"/>
      <c r="CM21" s="700"/>
      <c r="CN21" s="700"/>
      <c r="CO21" s="700"/>
      <c r="CP21" s="700"/>
      <c r="CQ21" s="700"/>
      <c r="CR21" s="700"/>
      <c r="CS21" s="700"/>
      <c r="CT21" s="700"/>
      <c r="CU21" s="700"/>
      <c r="CV21" s="700"/>
      <c r="CW21" s="700"/>
      <c r="CX21" s="700"/>
      <c r="CY21" s="700"/>
      <c r="CZ21" s="700"/>
      <c r="DA21" s="700"/>
      <c r="DB21" s="700"/>
      <c r="DC21" s="700"/>
      <c r="DD21" s="700"/>
      <c r="DE21" s="700"/>
      <c r="DF21" s="700"/>
      <c r="DG21" s="700"/>
      <c r="DH21" s="700"/>
      <c r="DI21" s="700"/>
      <c r="DJ21" s="700"/>
      <c r="DK21" s="700"/>
      <c r="DL21" s="700"/>
      <c r="DM21" s="700"/>
      <c r="DN21" s="700"/>
      <c r="DO21" s="700"/>
      <c r="DP21" s="700"/>
      <c r="DQ21" s="700"/>
      <c r="DR21" s="700"/>
      <c r="DS21" s="700"/>
      <c r="DT21" s="700"/>
      <c r="DU21" s="700"/>
      <c r="DV21" s="700"/>
      <c r="DW21" s="700"/>
      <c r="DX21" s="700"/>
      <c r="DY21" s="700"/>
      <c r="DZ21" s="700"/>
      <c r="EA21" s="700"/>
      <c r="EB21" s="700"/>
      <c r="EC21" s="700"/>
      <c r="ED21" s="700"/>
      <c r="EE21" s="700"/>
      <c r="EF21" s="700"/>
      <c r="EG21" s="700"/>
      <c r="EH21" s="700"/>
      <c r="EI21" s="700"/>
      <c r="EJ21" s="700"/>
      <c r="EK21" s="700"/>
      <c r="EL21" s="700"/>
      <c r="EM21" s="700"/>
      <c r="EN21" s="700"/>
      <c r="EO21" s="700"/>
      <c r="EP21" s="700"/>
      <c r="EQ21" s="700"/>
      <c r="ER21" s="700"/>
      <c r="ES21" s="700"/>
      <c r="ET21" s="700"/>
      <c r="EU21" s="700"/>
      <c r="EV21" s="700"/>
      <c r="EW21" s="700"/>
      <c r="EX21" s="700"/>
      <c r="EY21" s="700"/>
      <c r="EZ21" s="700"/>
      <c r="FA21" s="700"/>
      <c r="FB21" s="700"/>
      <c r="FC21" s="700"/>
      <c r="FD21" s="700"/>
      <c r="FE21" s="700"/>
      <c r="FF21" s="700"/>
      <c r="FG21" s="700"/>
      <c r="FH21" s="700"/>
      <c r="FI21" s="700"/>
      <c r="FJ21" s="700"/>
      <c r="FK21" s="700"/>
      <c r="FL21" s="700"/>
      <c r="FM21" s="700"/>
      <c r="FN21" s="700"/>
      <c r="FO21" s="700"/>
      <c r="FP21" s="700"/>
      <c r="FQ21" s="700"/>
      <c r="FR21" s="700"/>
      <c r="FS21" s="700"/>
      <c r="FT21" s="700"/>
      <c r="FU21" s="700"/>
      <c r="FV21" s="700"/>
      <c r="FW21" s="700"/>
      <c r="FX21" s="700"/>
      <c r="FY21" s="700"/>
      <c r="FZ21" s="700"/>
      <c r="GA21" s="700"/>
      <c r="GB21" s="700"/>
      <c r="GC21" s="700"/>
      <c r="GD21" s="700"/>
      <c r="GE21" s="700"/>
      <c r="GF21" s="700"/>
      <c r="GG21" s="700"/>
      <c r="GH21" s="700"/>
      <c r="GI21" s="700"/>
      <c r="GJ21" s="700"/>
      <c r="GK21" s="700"/>
      <c r="GL21" s="700"/>
      <c r="GM21" s="700"/>
      <c r="GN21" s="700"/>
      <c r="GO21" s="700"/>
      <c r="GP21" s="700"/>
      <c r="GQ21" s="700"/>
      <c r="GR21" s="700"/>
      <c r="GS21" s="700"/>
      <c r="GT21" s="700"/>
      <c r="GU21" s="700"/>
      <c r="GV21" s="700"/>
      <c r="GW21" s="700"/>
      <c r="GX21" s="700"/>
      <c r="GY21" s="700"/>
      <c r="GZ21" s="700"/>
      <c r="HA21" s="700"/>
      <c r="HB21" s="700"/>
      <c r="HC21" s="700"/>
      <c r="HD21" s="700"/>
      <c r="HE21" s="700"/>
      <c r="HF21" s="700"/>
      <c r="HG21" s="700"/>
      <c r="HH21" s="700"/>
      <c r="HI21" s="700"/>
      <c r="HJ21" s="700"/>
      <c r="HK21" s="700"/>
      <c r="HL21" s="700"/>
      <c r="HM21" s="700"/>
      <c r="HN21" s="700"/>
      <c r="HO21" s="700"/>
      <c r="HP21" s="700"/>
      <c r="HQ21" s="700"/>
      <c r="HR21" s="700"/>
      <c r="HS21" s="700"/>
      <c r="HT21" s="700"/>
      <c r="HU21" s="700"/>
      <c r="HV21" s="700"/>
      <c r="HW21" s="700"/>
      <c r="HX21" s="700"/>
      <c r="HY21" s="700"/>
      <c r="HZ21" s="700"/>
      <c r="IA21" s="700"/>
      <c r="IB21" s="700"/>
      <c r="IC21" s="700"/>
      <c r="ID21" s="700"/>
      <c r="IE21" s="700"/>
      <c r="IF21" s="700"/>
      <c r="IG21" s="700"/>
      <c r="IH21" s="700"/>
      <c r="II21" s="700"/>
      <c r="IJ21" s="700"/>
      <c r="IK21" s="700"/>
      <c r="IL21" s="700"/>
      <c r="IM21" s="700"/>
      <c r="IN21" s="700"/>
      <c r="IO21" s="700"/>
      <c r="IP21" s="700"/>
      <c r="IQ21" s="700"/>
      <c r="IR21" s="700"/>
      <c r="IS21" s="700"/>
      <c r="IT21" s="700"/>
      <c r="IU21" s="700"/>
      <c r="IV21" s="700"/>
      <c r="IW21" s="700"/>
      <c r="IX21" s="700"/>
      <c r="IY21" s="700"/>
      <c r="IZ21" s="700"/>
      <c r="JA21" s="700"/>
      <c r="JB21" s="700"/>
      <c r="JC21" s="700"/>
      <c r="JD21" s="700"/>
      <c r="JE21" s="700"/>
      <c r="JF21" s="700"/>
      <c r="JG21" s="700"/>
      <c r="JH21" s="700"/>
      <c r="JI21" s="700"/>
      <c r="JJ21" s="700"/>
      <c r="JK21" s="700"/>
      <c r="JL21" s="700"/>
      <c r="JM21" s="700"/>
      <c r="JN21" s="700"/>
      <c r="JO21" s="700"/>
      <c r="JP21" s="700"/>
      <c r="JQ21" s="700"/>
      <c r="JR21" s="700"/>
      <c r="JS21" s="700"/>
      <c r="JT21" s="700"/>
      <c r="JU21" s="700"/>
      <c r="JV21" s="700"/>
      <c r="JW21" s="700"/>
      <c r="JX21" s="700"/>
      <c r="JY21" s="700"/>
      <c r="JZ21" s="700"/>
      <c r="KA21" s="700"/>
      <c r="KB21" s="700"/>
      <c r="KC21" s="700"/>
      <c r="KD21" s="700"/>
      <c r="KE21" s="700"/>
      <c r="KF21" s="700"/>
      <c r="KG21" s="700"/>
      <c r="KH21" s="700"/>
      <c r="KI21" s="700"/>
      <c r="KJ21" s="700"/>
      <c r="KK21" s="700"/>
      <c r="KL21" s="700"/>
      <c r="KM21" s="700"/>
      <c r="KN21" s="700"/>
      <c r="KO21" s="700"/>
      <c r="KP21" s="700"/>
      <c r="KQ21" s="700"/>
      <c r="KR21" s="700"/>
      <c r="KS21" s="700"/>
      <c r="KT21" s="700"/>
      <c r="KU21" s="700"/>
      <c r="KV21" s="700"/>
      <c r="KW21" s="700"/>
      <c r="KX21" s="700"/>
      <c r="KY21" s="700"/>
      <c r="KZ21" s="700"/>
      <c r="LA21" s="700"/>
      <c r="LB21" s="700"/>
      <c r="LC21" s="700"/>
      <c r="LD21" s="700"/>
      <c r="LE21" s="700"/>
      <c r="LF21" s="700"/>
      <c r="LG21" s="700"/>
      <c r="LH21" s="700"/>
      <c r="LI21" s="700"/>
      <c r="LJ21" s="700"/>
      <c r="LK21" s="700"/>
      <c r="LL21" s="700"/>
      <c r="LM21" s="700"/>
      <c r="LN21" s="700"/>
      <c r="LO21" s="700"/>
      <c r="LP21" s="700"/>
      <c r="LQ21" s="700"/>
      <c r="LR21" s="700"/>
      <c r="LS21" s="700"/>
      <c r="LT21" s="700"/>
      <c r="LU21" s="700"/>
      <c r="LV21" s="700"/>
      <c r="LW21" s="700"/>
      <c r="LX21" s="700"/>
      <c r="LY21" s="700"/>
      <c r="LZ21" s="700"/>
      <c r="MA21" s="700"/>
      <c r="MB21" s="700"/>
      <c r="MC21" s="700"/>
      <c r="MD21" s="700"/>
      <c r="ME21" s="700"/>
      <c r="MF21" s="700"/>
      <c r="MG21" s="700"/>
      <c r="MH21" s="700"/>
      <c r="MI21" s="700"/>
      <c r="MJ21" s="700"/>
      <c r="MK21" s="700"/>
      <c r="ML21" s="700"/>
      <c r="MM21" s="700"/>
      <c r="MN21" s="700"/>
      <c r="MO21" s="700"/>
      <c r="MP21" s="700"/>
      <c r="MQ21" s="700"/>
      <c r="MR21" s="700"/>
      <c r="MS21" s="700"/>
      <c r="MT21" s="700"/>
      <c r="MU21" s="700"/>
      <c r="MV21" s="700"/>
      <c r="MW21" s="700"/>
      <c r="MX21" s="700"/>
      <c r="MY21" s="700"/>
      <c r="MZ21" s="700"/>
      <c r="NA21" s="700"/>
      <c r="NB21" s="700"/>
      <c r="NC21" s="700"/>
      <c r="ND21" s="700"/>
      <c r="NE21" s="700"/>
      <c r="NF21" s="700"/>
      <c r="NG21" s="700"/>
      <c r="NH21" s="700"/>
      <c r="NI21" s="700"/>
      <c r="NJ21" s="700"/>
      <c r="NK21" s="700"/>
      <c r="NL21" s="700"/>
      <c r="NM21" s="700"/>
      <c r="NN21" s="700"/>
      <c r="NO21" s="700"/>
      <c r="NP21" s="700"/>
      <c r="NQ21" s="700"/>
      <c r="NR21" s="700"/>
      <c r="NS21" s="700"/>
      <c r="NT21" s="700"/>
      <c r="NU21" s="700"/>
      <c r="NV21" s="700"/>
      <c r="NW21" s="700"/>
      <c r="NX21" s="700"/>
      <c r="NY21" s="700"/>
      <c r="NZ21" s="700"/>
      <c r="OA21" s="700"/>
      <c r="OB21" s="700"/>
      <c r="OC21" s="700"/>
      <c r="OD21" s="700"/>
      <c r="OE21" s="700"/>
      <c r="OF21" s="700"/>
      <c r="OG21" s="700"/>
      <c r="OH21" s="700"/>
      <c r="OI21" s="700"/>
      <c r="OJ21" s="700"/>
      <c r="OK21" s="700"/>
      <c r="OL21" s="700"/>
      <c r="OM21" s="700"/>
      <c r="ON21" s="700"/>
      <c r="OO21" s="700"/>
      <c r="OP21" s="700"/>
      <c r="OQ21" s="700"/>
      <c r="OR21" s="700"/>
      <c r="OS21" s="700"/>
      <c r="OT21" s="700"/>
      <c r="OU21" s="700"/>
      <c r="OV21" s="700"/>
      <c r="OW21" s="700"/>
      <c r="OX21" s="700"/>
      <c r="OY21" s="700"/>
      <c r="OZ21" s="700"/>
      <c r="PA21" s="700"/>
      <c r="PB21" s="700"/>
      <c r="PC21" s="700"/>
      <c r="PD21" s="700"/>
      <c r="PE21" s="700"/>
      <c r="PF21" s="700"/>
      <c r="PG21" s="700"/>
      <c r="PH21" s="700"/>
      <c r="PI21" s="700"/>
      <c r="PJ21" s="700"/>
      <c r="PK21" s="700"/>
      <c r="PL21" s="700"/>
      <c r="PM21" s="700"/>
      <c r="PN21" s="700"/>
      <c r="PO21" s="700"/>
      <c r="PP21" s="700"/>
      <c r="PQ21" s="700"/>
      <c r="PR21" s="700"/>
      <c r="PS21" s="700"/>
      <c r="PT21" s="700"/>
      <c r="PU21" s="700"/>
      <c r="PV21" s="700"/>
      <c r="PW21" s="700"/>
      <c r="PX21" s="700"/>
      <c r="PY21" s="700"/>
      <c r="PZ21" s="700"/>
      <c r="QA21" s="700"/>
      <c r="QB21" s="700"/>
      <c r="QC21" s="700"/>
      <c r="QD21" s="700"/>
      <c r="QE21" s="700"/>
      <c r="QF21" s="700"/>
      <c r="QG21" s="700"/>
      <c r="QH21" s="700"/>
      <c r="QI21" s="700"/>
      <c r="QJ21" s="700"/>
      <c r="QK21" s="700"/>
      <c r="QL21" s="700"/>
      <c r="QM21" s="700"/>
      <c r="QN21" s="700"/>
      <c r="QO21" s="700"/>
      <c r="QP21" s="700"/>
      <c r="QQ21" s="700"/>
      <c r="QR21" s="700"/>
      <c r="QS21" s="700"/>
      <c r="QT21" s="700"/>
      <c r="QU21" s="700"/>
      <c r="QV21" s="700"/>
      <c r="QW21" s="700"/>
      <c r="QX21" s="700"/>
      <c r="QY21" s="700"/>
      <c r="QZ21" s="700"/>
      <c r="RA21" s="700"/>
      <c r="RB21" s="700"/>
      <c r="RC21" s="700"/>
      <c r="RD21" s="700"/>
      <c r="RE21" s="700"/>
      <c r="RF21" s="700"/>
      <c r="RG21" s="700"/>
      <c r="RH21" s="700"/>
      <c r="RI21" s="700"/>
      <c r="RJ21" s="700"/>
      <c r="RK21" s="700"/>
      <c r="RL21" s="700"/>
      <c r="RM21" s="700"/>
      <c r="RN21" s="700"/>
      <c r="RO21" s="700"/>
      <c r="RP21" s="700"/>
      <c r="RQ21" s="700"/>
      <c r="RR21" s="700"/>
      <c r="RS21" s="700"/>
      <c r="RT21" s="700"/>
      <c r="RU21" s="700"/>
      <c r="RV21" s="700"/>
      <c r="RW21" s="700"/>
      <c r="RX21" s="700"/>
      <c r="RY21" s="700"/>
      <c r="RZ21" s="700"/>
      <c r="SA21" s="700"/>
      <c r="SB21" s="700"/>
      <c r="SC21" s="700"/>
      <c r="SD21" s="700"/>
      <c r="SE21" s="700"/>
      <c r="SF21" s="700"/>
      <c r="SG21" s="700"/>
      <c r="SH21" s="700"/>
      <c r="SI21" s="700"/>
      <c r="SJ21" s="700"/>
      <c r="SK21" s="700"/>
      <c r="SL21" s="700"/>
      <c r="SM21" s="700"/>
      <c r="SN21" s="700"/>
      <c r="SO21" s="700"/>
      <c r="SP21" s="700"/>
      <c r="SQ21" s="700"/>
      <c r="SR21" s="700"/>
      <c r="SS21" s="700"/>
      <c r="ST21" s="700"/>
      <c r="SU21" s="700"/>
      <c r="SV21" s="700"/>
      <c r="SW21" s="700"/>
      <c r="SX21" s="700"/>
      <c r="SY21" s="700"/>
      <c r="SZ21" s="700"/>
      <c r="TA21" s="700"/>
      <c r="TB21" s="700"/>
      <c r="TC21" s="700"/>
      <c r="TD21" s="700"/>
      <c r="TE21" s="700"/>
      <c r="TF21" s="700"/>
      <c r="TG21" s="700"/>
      <c r="TH21" s="700"/>
      <c r="TI21" s="700"/>
      <c r="TJ21" s="700"/>
      <c r="TK21" s="700"/>
      <c r="TL21" s="700"/>
      <c r="TM21" s="700"/>
      <c r="TN21" s="700"/>
      <c r="TO21" s="700"/>
      <c r="TP21" s="700"/>
      <c r="TQ21" s="700"/>
      <c r="TR21" s="700"/>
      <c r="TS21" s="700"/>
      <c r="TT21" s="700"/>
      <c r="TU21" s="700"/>
      <c r="TV21" s="700"/>
      <c r="TW21" s="700"/>
      <c r="TX21" s="700"/>
      <c r="TY21" s="700"/>
      <c r="TZ21" s="700"/>
      <c r="UA21" s="700"/>
      <c r="UB21" s="700"/>
      <c r="UC21" s="700"/>
      <c r="UD21" s="700"/>
      <c r="UE21" s="700"/>
      <c r="UF21" s="700"/>
      <c r="UG21" s="700"/>
      <c r="UH21" s="700"/>
      <c r="UI21" s="700"/>
      <c r="UJ21" s="700"/>
      <c r="UK21" s="700"/>
      <c r="UL21" s="700"/>
      <c r="UM21" s="700"/>
      <c r="UN21" s="700"/>
      <c r="UO21" s="700"/>
      <c r="UP21" s="700"/>
      <c r="UQ21" s="700"/>
      <c r="UR21" s="700"/>
      <c r="US21" s="700"/>
      <c r="UT21" s="700"/>
      <c r="UU21" s="700"/>
      <c r="UV21" s="700"/>
      <c r="UW21" s="700"/>
      <c r="UX21" s="700"/>
      <c r="UY21" s="700"/>
      <c r="UZ21" s="700"/>
      <c r="VA21" s="700"/>
      <c r="VB21" s="700"/>
      <c r="VC21" s="700"/>
      <c r="VD21" s="700"/>
      <c r="VE21" s="700"/>
      <c r="VF21" s="700"/>
      <c r="VG21" s="700"/>
      <c r="VH21" s="700"/>
      <c r="VI21" s="700"/>
      <c r="VJ21" s="700"/>
      <c r="VK21" s="700"/>
      <c r="VL21" s="700"/>
      <c r="VM21" s="700"/>
      <c r="VN21" s="700"/>
      <c r="VO21" s="700"/>
      <c r="VP21" s="700"/>
      <c r="VQ21" s="700"/>
      <c r="VR21" s="700"/>
      <c r="VS21" s="700"/>
      <c r="VT21" s="700"/>
      <c r="VU21" s="700"/>
      <c r="VV21" s="700"/>
      <c r="VW21" s="700"/>
      <c r="VX21" s="700"/>
      <c r="VY21" s="700"/>
      <c r="VZ21" s="700"/>
      <c r="WA21" s="700"/>
      <c r="WB21" s="700"/>
      <c r="WC21" s="700"/>
      <c r="WD21" s="700"/>
      <c r="WE21" s="700"/>
      <c r="WF21" s="700"/>
      <c r="WG21" s="700"/>
      <c r="WH21" s="700"/>
      <c r="WI21" s="700"/>
      <c r="WJ21" s="700"/>
      <c r="WK21" s="700"/>
      <c r="WL21" s="700"/>
      <c r="WM21" s="700"/>
      <c r="WN21" s="700"/>
      <c r="WO21" s="700"/>
      <c r="WP21" s="700"/>
      <c r="WQ21" s="700"/>
      <c r="WR21" s="700"/>
      <c r="WS21" s="700"/>
      <c r="WT21" s="700"/>
      <c r="WU21" s="700"/>
      <c r="WV21" s="700"/>
      <c r="WW21" s="700"/>
      <c r="WX21" s="700"/>
      <c r="WY21" s="700"/>
      <c r="WZ21" s="700"/>
      <c r="XA21" s="700"/>
      <c r="XB21" s="700"/>
      <c r="XC21" s="700"/>
      <c r="XD21" s="700"/>
      <c r="XE21" s="700"/>
      <c r="XF21" s="700"/>
      <c r="XG21" s="700"/>
      <c r="XH21" s="700"/>
      <c r="XI21" s="700"/>
      <c r="XJ21" s="700"/>
      <c r="XK21" s="700"/>
      <c r="XL21" s="700"/>
      <c r="XM21" s="700"/>
      <c r="XN21" s="700"/>
      <c r="XO21" s="700"/>
      <c r="XP21" s="700"/>
      <c r="XQ21" s="700"/>
      <c r="XR21" s="700"/>
      <c r="XS21" s="700"/>
      <c r="XT21" s="700"/>
      <c r="XU21" s="700"/>
      <c r="XV21" s="700"/>
      <c r="XW21" s="700"/>
      <c r="XX21" s="700"/>
      <c r="XY21" s="700"/>
      <c r="XZ21" s="700"/>
      <c r="YA21" s="700"/>
      <c r="YB21" s="700"/>
      <c r="YC21" s="700"/>
      <c r="YD21" s="700"/>
      <c r="YE21" s="700"/>
      <c r="YF21" s="700"/>
      <c r="YG21" s="700"/>
      <c r="YH21" s="700"/>
      <c r="YI21" s="700"/>
      <c r="YJ21" s="700"/>
      <c r="YK21" s="700"/>
      <c r="YL21" s="700"/>
      <c r="YM21" s="700"/>
      <c r="YN21" s="700"/>
      <c r="YO21" s="700"/>
      <c r="YP21" s="700"/>
      <c r="YQ21" s="700"/>
      <c r="YR21" s="700"/>
      <c r="YS21" s="700"/>
      <c r="YT21" s="700"/>
      <c r="YU21" s="700"/>
      <c r="YV21" s="700"/>
      <c r="YW21" s="700"/>
      <c r="YX21" s="700"/>
      <c r="YY21" s="700"/>
      <c r="YZ21" s="700"/>
      <c r="ZA21" s="700"/>
      <c r="ZB21" s="700"/>
      <c r="ZC21" s="700"/>
      <c r="ZD21" s="700"/>
      <c r="ZE21" s="700"/>
      <c r="ZF21" s="700"/>
      <c r="ZG21" s="700"/>
      <c r="ZH21" s="700"/>
      <c r="ZI21" s="700"/>
      <c r="ZJ21" s="700"/>
      <c r="ZK21" s="700"/>
      <c r="ZL21" s="700"/>
      <c r="ZM21" s="700"/>
      <c r="ZN21" s="700"/>
      <c r="ZO21" s="700"/>
      <c r="ZP21" s="700"/>
      <c r="ZQ21" s="700"/>
      <c r="ZR21" s="700"/>
      <c r="ZS21" s="700"/>
      <c r="ZT21" s="700"/>
      <c r="ZU21" s="700"/>
      <c r="ZV21" s="700"/>
      <c r="ZW21" s="700"/>
      <c r="ZX21" s="700"/>
      <c r="ZY21" s="700"/>
      <c r="ZZ21" s="700"/>
      <c r="AAA21" s="700"/>
      <c r="AAB21" s="700"/>
      <c r="AAC21" s="700"/>
      <c r="AAD21" s="700"/>
      <c r="AAE21" s="700"/>
      <c r="AAF21" s="700"/>
      <c r="AAG21" s="700"/>
      <c r="AAH21" s="700"/>
      <c r="AAI21" s="700"/>
      <c r="AAJ21" s="700"/>
      <c r="AAK21" s="700"/>
      <c r="AAL21" s="700"/>
      <c r="AAM21" s="700"/>
      <c r="AAN21" s="700"/>
      <c r="AAO21" s="700"/>
      <c r="AAP21" s="700"/>
      <c r="AAQ21" s="700"/>
      <c r="AAR21" s="700"/>
      <c r="AAS21" s="700"/>
      <c r="AAT21" s="700"/>
      <c r="AAU21" s="700"/>
      <c r="AAV21" s="700"/>
      <c r="AAW21" s="700"/>
      <c r="AAX21" s="700"/>
      <c r="AAY21" s="700"/>
      <c r="AAZ21" s="700"/>
      <c r="ABA21" s="700"/>
      <c r="ABB21" s="700"/>
      <c r="ABC21" s="700"/>
      <c r="ABD21" s="700"/>
      <c r="ABE21" s="700"/>
      <c r="ABF21" s="700"/>
      <c r="ABG21" s="700"/>
      <c r="ABH21" s="700"/>
      <c r="ABI21" s="700"/>
      <c r="ABJ21" s="700"/>
      <c r="ABK21" s="700"/>
      <c r="ABL21" s="700"/>
      <c r="ABM21" s="700"/>
      <c r="ABN21" s="700"/>
      <c r="ABO21" s="700"/>
      <c r="ABP21" s="700"/>
      <c r="ABQ21" s="700"/>
      <c r="ABR21" s="700"/>
      <c r="ABS21" s="700"/>
      <c r="ABT21" s="700"/>
      <c r="ABU21" s="700"/>
      <c r="ABV21" s="700"/>
      <c r="ABW21" s="700"/>
      <c r="ABX21" s="700"/>
      <c r="ABY21" s="700"/>
      <c r="ABZ21" s="700"/>
      <c r="ACA21" s="700"/>
      <c r="ACB21" s="700"/>
      <c r="ACC21" s="700"/>
      <c r="ACD21" s="700"/>
      <c r="ACE21" s="700"/>
      <c r="ACF21" s="700"/>
      <c r="ACG21" s="700"/>
      <c r="ACH21" s="700"/>
      <c r="ACI21" s="700"/>
      <c r="ACJ21" s="700"/>
      <c r="ACK21" s="700"/>
      <c r="ACL21" s="700"/>
      <c r="ACM21" s="700"/>
      <c r="ACN21" s="700"/>
      <c r="ACO21" s="700"/>
      <c r="ACP21" s="700"/>
      <c r="ACQ21" s="700"/>
      <c r="ACR21" s="700"/>
      <c r="ACS21" s="700"/>
      <c r="ACT21" s="700"/>
      <c r="ACU21" s="700"/>
      <c r="ACV21" s="700"/>
      <c r="ACW21" s="700"/>
      <c r="ACX21" s="700"/>
      <c r="ACY21" s="700"/>
      <c r="ACZ21" s="700"/>
      <c r="ADA21" s="700"/>
      <c r="ADB21" s="700"/>
      <c r="ADC21" s="700"/>
      <c r="ADD21" s="700"/>
      <c r="ADE21" s="700"/>
      <c r="ADF21" s="700"/>
      <c r="ADG21" s="700"/>
      <c r="ADH21" s="700"/>
      <c r="ADI21" s="700"/>
      <c r="ADJ21" s="700"/>
      <c r="ADK21" s="700"/>
      <c r="ADL21" s="700"/>
      <c r="ADM21" s="700"/>
      <c r="ADN21" s="700"/>
      <c r="ADO21" s="700"/>
      <c r="ADP21" s="700"/>
      <c r="ADQ21" s="700"/>
      <c r="ADR21" s="700"/>
      <c r="ADS21" s="700"/>
      <c r="ADT21" s="700"/>
      <c r="ADU21" s="700"/>
      <c r="ADV21" s="700"/>
      <c r="ADW21" s="700"/>
      <c r="ADX21" s="700"/>
      <c r="ADY21" s="700"/>
      <c r="ADZ21" s="700"/>
      <c r="AEA21" s="700"/>
      <c r="AEB21" s="700"/>
      <c r="AEC21" s="700"/>
      <c r="AED21" s="700"/>
      <c r="AEE21" s="700"/>
      <c r="AEF21" s="700"/>
      <c r="AEG21" s="700"/>
      <c r="AEH21" s="700"/>
      <c r="AEI21" s="700"/>
      <c r="AEJ21" s="700"/>
      <c r="AEK21" s="700"/>
      <c r="AEL21" s="700"/>
      <c r="AEM21" s="700"/>
      <c r="AEN21" s="700"/>
      <c r="AEO21" s="700"/>
      <c r="AEP21" s="700"/>
      <c r="AEQ21" s="700"/>
      <c r="AER21" s="700"/>
      <c r="AES21" s="700"/>
      <c r="AET21" s="700"/>
      <c r="AEU21" s="700"/>
      <c r="AEV21" s="700"/>
      <c r="AEW21" s="700"/>
      <c r="AEX21" s="700"/>
      <c r="AEY21" s="700"/>
      <c r="AEZ21" s="700"/>
      <c r="AFA21" s="700"/>
      <c r="AFB21" s="700"/>
      <c r="AFC21" s="700"/>
      <c r="AFD21" s="700"/>
      <c r="AFE21" s="700"/>
      <c r="AFF21" s="700"/>
      <c r="AFG21" s="700"/>
      <c r="AFH21" s="700"/>
      <c r="AFI21" s="700"/>
      <c r="AFJ21" s="700"/>
      <c r="AFK21" s="700"/>
      <c r="AFL21" s="700"/>
      <c r="AFM21" s="700"/>
      <c r="AFN21" s="700"/>
      <c r="AFO21" s="700"/>
      <c r="AFP21" s="700"/>
      <c r="AFQ21" s="700"/>
      <c r="AFR21" s="700"/>
      <c r="AFS21" s="700"/>
      <c r="AFT21" s="700"/>
      <c r="AFU21" s="700"/>
      <c r="AFV21" s="700"/>
      <c r="AFW21" s="700"/>
      <c r="AFX21" s="700"/>
      <c r="AFY21" s="700"/>
      <c r="AFZ21" s="700"/>
      <c r="AGA21" s="700"/>
      <c r="AGB21" s="700"/>
      <c r="AGC21" s="700"/>
      <c r="AGD21" s="700"/>
      <c r="AGE21" s="700"/>
      <c r="AGF21" s="700"/>
      <c r="AGG21" s="700"/>
      <c r="AGH21" s="700"/>
      <c r="AGI21" s="700"/>
      <c r="AGJ21" s="700"/>
      <c r="AGK21" s="700"/>
      <c r="AGL21" s="700"/>
      <c r="AGM21" s="700"/>
      <c r="AGN21" s="700"/>
      <c r="AGO21" s="700"/>
      <c r="AGP21" s="700"/>
      <c r="AGQ21" s="700"/>
      <c r="AGR21" s="700"/>
      <c r="AGS21" s="700"/>
      <c r="AGT21" s="700"/>
      <c r="AGU21" s="700"/>
      <c r="AGV21" s="700"/>
      <c r="AGW21" s="700"/>
      <c r="AGX21" s="700"/>
      <c r="AGY21" s="700"/>
      <c r="AGZ21" s="700"/>
      <c r="AHA21" s="700"/>
      <c r="AHB21" s="700"/>
      <c r="AHC21" s="700"/>
      <c r="AHD21" s="700"/>
      <c r="AHE21" s="700"/>
      <c r="AHF21" s="700"/>
      <c r="AHG21" s="700"/>
      <c r="AHH21" s="700"/>
      <c r="AHI21" s="700"/>
      <c r="AHJ21" s="700"/>
      <c r="AHK21" s="700"/>
      <c r="AHL21" s="700"/>
      <c r="AHM21" s="700"/>
      <c r="AHN21" s="700"/>
      <c r="AHO21" s="700"/>
      <c r="AHP21" s="700"/>
      <c r="AHQ21" s="700"/>
      <c r="AHR21" s="700"/>
      <c r="AHS21" s="700"/>
      <c r="AHT21" s="700"/>
      <c r="AHU21" s="700"/>
      <c r="AHV21" s="700"/>
      <c r="AHW21" s="700"/>
      <c r="AHX21" s="700"/>
      <c r="AHY21" s="700"/>
      <c r="AHZ21" s="700"/>
      <c r="AIA21" s="700"/>
      <c r="AIB21" s="700"/>
      <c r="AIC21" s="700"/>
      <c r="AID21" s="700"/>
      <c r="AIE21" s="700"/>
      <c r="AIF21" s="700"/>
      <c r="AIG21" s="700"/>
      <c r="AIH21" s="700"/>
      <c r="AII21" s="700"/>
      <c r="AIJ21" s="700"/>
      <c r="AIK21" s="700"/>
      <c r="AIL21" s="700"/>
      <c r="AIM21" s="700"/>
      <c r="AIN21" s="700"/>
      <c r="AIO21" s="700"/>
      <c r="AIP21" s="700"/>
      <c r="AIQ21" s="700"/>
      <c r="AIR21" s="700"/>
      <c r="AIS21" s="700"/>
      <c r="AIT21" s="700"/>
      <c r="AIU21" s="700"/>
      <c r="AIV21" s="700"/>
      <c r="AIW21" s="700"/>
      <c r="AIX21" s="700"/>
      <c r="AIY21" s="700"/>
      <c r="AIZ21" s="700"/>
      <c r="AJA21" s="700"/>
      <c r="AJB21" s="700"/>
      <c r="AJC21" s="700"/>
      <c r="AJD21" s="700"/>
      <c r="AJE21" s="700"/>
      <c r="AJF21" s="700"/>
      <c r="AJG21" s="700"/>
      <c r="AJH21" s="700"/>
      <c r="AJI21" s="700"/>
      <c r="AJJ21" s="700"/>
      <c r="AJK21" s="700"/>
      <c r="AJL21" s="700"/>
      <c r="AJM21" s="700"/>
      <c r="AJN21" s="700"/>
      <c r="AJO21" s="700"/>
      <c r="AJP21" s="700"/>
      <c r="AJQ21" s="700"/>
      <c r="AJR21" s="700"/>
      <c r="AJS21" s="700"/>
      <c r="AJT21" s="700"/>
      <c r="AJU21" s="700"/>
      <c r="AJV21" s="700"/>
      <c r="AJW21" s="700"/>
      <c r="AJX21" s="700"/>
      <c r="AJY21" s="700"/>
      <c r="AJZ21" s="700"/>
      <c r="AKA21" s="700"/>
      <c r="AKB21" s="700"/>
      <c r="AKC21" s="700"/>
      <c r="AKD21" s="700"/>
      <c r="AKE21" s="700"/>
      <c r="AKF21" s="700"/>
      <c r="AKG21" s="700"/>
      <c r="AKH21" s="700"/>
      <c r="AKI21" s="700"/>
      <c r="AKJ21" s="700"/>
      <c r="AKK21" s="700"/>
      <c r="AKL21" s="700"/>
      <c r="AKM21" s="700"/>
      <c r="AKN21" s="700"/>
      <c r="AKO21" s="700"/>
      <c r="AKP21" s="700"/>
      <c r="AKQ21" s="700"/>
      <c r="AKR21" s="700"/>
      <c r="AKS21" s="700"/>
      <c r="AKT21" s="700"/>
      <c r="AKU21" s="700"/>
      <c r="AKV21" s="700"/>
      <c r="AKW21" s="700"/>
      <c r="AKX21" s="700"/>
      <c r="AKY21" s="700"/>
      <c r="AKZ21" s="700"/>
      <c r="ALA21" s="700"/>
      <c r="ALB21" s="700"/>
      <c r="ALC21" s="700"/>
      <c r="ALD21" s="700"/>
      <c r="ALE21" s="700"/>
      <c r="ALF21" s="700"/>
      <c r="ALG21" s="700"/>
      <c r="ALH21" s="700"/>
      <c r="ALI21" s="700"/>
      <c r="ALJ21" s="700"/>
      <c r="ALK21" s="700"/>
      <c r="ALL21" s="700"/>
      <c r="ALM21" s="700"/>
      <c r="ALN21" s="700"/>
      <c r="ALO21" s="700"/>
      <c r="ALP21" s="700"/>
      <c r="ALQ21" s="700"/>
      <c r="ALR21" s="700"/>
      <c r="ALS21" s="700"/>
      <c r="ALT21" s="700"/>
      <c r="ALU21" s="700"/>
      <c r="ALV21" s="700"/>
      <c r="ALW21" s="700"/>
      <c r="ALX21" s="700"/>
      <c r="ALY21" s="700"/>
      <c r="ALZ21" s="700"/>
      <c r="AMA21" s="700"/>
      <c r="AMB21" s="700"/>
      <c r="AMC21" s="700"/>
      <c r="AMD21" s="700"/>
      <c r="AME21" s="700"/>
      <c r="AMF21" s="700"/>
      <c r="AMG21" s="700"/>
      <c r="AMH21" s="700"/>
      <c r="AMI21" s="700"/>
      <c r="AMJ21" s="700"/>
      <c r="AMK21" s="700"/>
      <c r="AML21" s="700"/>
      <c r="AMM21" s="700"/>
      <c r="AMN21" s="700"/>
      <c r="AMO21" s="700"/>
      <c r="AMP21" s="700"/>
      <c r="AMQ21" s="700"/>
      <c r="AMR21" s="700"/>
      <c r="AMS21" s="700"/>
      <c r="AMT21" s="700"/>
      <c r="AMU21" s="700"/>
      <c r="AMV21" s="700"/>
      <c r="AMW21" s="700"/>
      <c r="AMX21" s="700"/>
      <c r="AMY21" s="700"/>
      <c r="AMZ21" s="700"/>
      <c r="ANA21" s="700"/>
      <c r="ANB21" s="700"/>
      <c r="ANC21" s="700"/>
      <c r="AND21" s="700"/>
      <c r="ANE21" s="700"/>
      <c r="ANF21" s="700"/>
      <c r="ANG21" s="700"/>
      <c r="ANH21" s="700"/>
      <c r="ANI21" s="700"/>
      <c r="ANJ21" s="700"/>
      <c r="ANK21" s="700"/>
      <c r="ANL21" s="700"/>
      <c r="ANM21" s="700"/>
      <c r="ANN21" s="700"/>
      <c r="ANO21" s="700"/>
      <c r="ANP21" s="700"/>
      <c r="ANQ21" s="700"/>
      <c r="ANR21" s="700"/>
      <c r="ANS21" s="700"/>
      <c r="ANT21" s="700"/>
      <c r="ANU21" s="700"/>
      <c r="ANV21" s="700"/>
      <c r="ANW21" s="700"/>
      <c r="ANX21" s="700"/>
      <c r="ANY21" s="700"/>
      <c r="ANZ21" s="700"/>
      <c r="AOA21" s="700"/>
      <c r="AOB21" s="700"/>
      <c r="AOC21" s="700"/>
      <c r="AOD21" s="700"/>
      <c r="AOE21" s="700"/>
      <c r="AOF21" s="700"/>
      <c r="AOG21" s="700"/>
      <c r="AOH21" s="700"/>
      <c r="AOI21" s="700"/>
      <c r="AOJ21" s="700"/>
      <c r="AOK21" s="700"/>
      <c r="AOL21" s="700"/>
      <c r="AOM21" s="700"/>
      <c r="AON21" s="700"/>
      <c r="AOO21" s="700"/>
      <c r="AOP21" s="700"/>
      <c r="AOQ21" s="700"/>
      <c r="AOR21" s="700"/>
      <c r="AOS21" s="700"/>
      <c r="AOT21" s="700"/>
      <c r="AOU21" s="700"/>
      <c r="AOV21" s="700"/>
      <c r="AOW21" s="700"/>
      <c r="AOX21" s="700"/>
      <c r="AOY21" s="700"/>
      <c r="AOZ21" s="700"/>
      <c r="APA21" s="700"/>
      <c r="APB21" s="700"/>
      <c r="APC21" s="700"/>
      <c r="APD21" s="700"/>
      <c r="APE21" s="700"/>
      <c r="APF21" s="700"/>
      <c r="APG21" s="700"/>
      <c r="APH21" s="700"/>
      <c r="API21" s="700"/>
      <c r="APJ21" s="700"/>
      <c r="APK21" s="700"/>
      <c r="APL21" s="700"/>
      <c r="APM21" s="700"/>
      <c r="APN21" s="700"/>
      <c r="APO21" s="700"/>
      <c r="APP21" s="700"/>
      <c r="APQ21" s="700"/>
      <c r="APR21" s="700"/>
      <c r="APS21" s="700"/>
      <c r="APT21" s="700"/>
      <c r="APU21" s="700"/>
      <c r="APV21" s="700"/>
      <c r="APW21" s="700"/>
      <c r="APX21" s="700"/>
      <c r="APY21" s="700"/>
      <c r="APZ21" s="700"/>
      <c r="AQA21" s="700"/>
      <c r="AQB21" s="700"/>
      <c r="AQC21" s="700"/>
      <c r="AQD21" s="700"/>
      <c r="AQE21" s="700"/>
      <c r="AQF21" s="700"/>
      <c r="AQG21" s="700"/>
      <c r="AQH21" s="700"/>
      <c r="AQI21" s="700"/>
      <c r="AQJ21" s="700"/>
      <c r="AQK21" s="700"/>
      <c r="AQL21" s="700"/>
      <c r="AQM21" s="700"/>
      <c r="AQN21" s="700"/>
      <c r="AQO21" s="700"/>
      <c r="AQP21" s="700"/>
      <c r="AQQ21" s="700"/>
      <c r="AQR21" s="700"/>
      <c r="AQS21" s="700"/>
      <c r="AQT21" s="700"/>
      <c r="AQU21" s="700"/>
      <c r="AQV21" s="700"/>
      <c r="AQW21" s="700"/>
      <c r="AQX21" s="700"/>
      <c r="AQY21" s="700"/>
      <c r="AQZ21" s="700"/>
      <c r="ARA21" s="700"/>
      <c r="ARB21" s="700"/>
      <c r="ARC21" s="700"/>
      <c r="ARD21" s="700"/>
      <c r="ARE21" s="700"/>
      <c r="ARF21" s="700"/>
      <c r="ARG21" s="700"/>
      <c r="ARH21" s="700"/>
      <c r="ARI21" s="700"/>
      <c r="ARJ21" s="700"/>
      <c r="ARK21" s="700"/>
      <c r="ARL21" s="700"/>
      <c r="ARM21" s="700"/>
      <c r="ARN21" s="700"/>
      <c r="ARO21" s="700"/>
      <c r="ARP21" s="700"/>
      <c r="ARQ21" s="700"/>
      <c r="ARR21" s="700"/>
      <c r="ARS21" s="700"/>
      <c r="ART21" s="700"/>
      <c r="ARU21" s="700"/>
      <c r="ARV21" s="700"/>
      <c r="ARW21" s="700"/>
      <c r="ARX21" s="700"/>
      <c r="ARY21" s="700"/>
      <c r="ARZ21" s="700"/>
      <c r="ASA21" s="700"/>
      <c r="ASB21" s="700"/>
      <c r="ASC21" s="700"/>
      <c r="ASD21" s="700"/>
      <c r="ASE21" s="700"/>
      <c r="ASF21" s="700"/>
      <c r="ASG21" s="700"/>
      <c r="ASH21" s="700"/>
      <c r="ASI21" s="700"/>
      <c r="ASJ21" s="700"/>
      <c r="ASK21" s="700"/>
      <c r="ASL21" s="700"/>
      <c r="ASM21" s="700"/>
      <c r="ASN21" s="700"/>
      <c r="ASO21" s="700"/>
      <c r="ASP21" s="700"/>
      <c r="ASQ21" s="700"/>
      <c r="ASR21" s="700"/>
      <c r="ASS21" s="700"/>
      <c r="AST21" s="700"/>
      <c r="ASU21" s="700"/>
      <c r="ASV21" s="700"/>
      <c r="ASW21" s="700"/>
      <c r="ASX21" s="700"/>
      <c r="ASY21" s="700"/>
      <c r="ASZ21" s="700"/>
      <c r="ATA21" s="700"/>
      <c r="ATB21" s="700"/>
      <c r="ATC21" s="700"/>
      <c r="ATD21" s="700"/>
      <c r="ATE21" s="700"/>
      <c r="ATF21" s="700"/>
      <c r="ATG21" s="700"/>
      <c r="ATH21" s="700"/>
      <c r="ATI21" s="700"/>
      <c r="ATJ21" s="700"/>
      <c r="ATK21" s="700"/>
      <c r="ATL21" s="700"/>
      <c r="ATM21" s="700"/>
      <c r="ATN21" s="700"/>
      <c r="ATO21" s="700"/>
      <c r="ATP21" s="700"/>
      <c r="ATQ21" s="700"/>
      <c r="ATR21" s="700"/>
      <c r="ATS21" s="700"/>
      <c r="ATT21" s="700"/>
      <c r="ATU21" s="700"/>
      <c r="ATV21" s="700"/>
      <c r="ATW21" s="700"/>
      <c r="ATX21" s="700"/>
      <c r="ATY21" s="700"/>
      <c r="ATZ21" s="700"/>
      <c r="AUA21" s="700"/>
      <c r="AUB21" s="700"/>
      <c r="AUC21" s="700"/>
      <c r="AUD21" s="700"/>
      <c r="AUE21" s="700"/>
      <c r="AUF21" s="700"/>
      <c r="AUG21" s="700"/>
      <c r="AUH21" s="700"/>
      <c r="AUI21" s="700"/>
      <c r="AUJ21" s="700"/>
      <c r="AUK21" s="700"/>
      <c r="AUL21" s="700"/>
      <c r="AUM21" s="700"/>
      <c r="AUN21" s="700"/>
      <c r="AUO21" s="700"/>
      <c r="AUP21" s="700"/>
      <c r="AUQ21" s="700"/>
      <c r="AUR21" s="700"/>
      <c r="AUS21" s="700"/>
      <c r="AUT21" s="700"/>
      <c r="AUU21" s="700"/>
      <c r="AUV21" s="700"/>
      <c r="AUW21" s="700"/>
      <c r="AUX21" s="700"/>
      <c r="AUY21" s="700"/>
      <c r="AUZ21" s="700"/>
      <c r="AVA21" s="700"/>
      <c r="AVB21" s="700"/>
      <c r="AVC21" s="700"/>
      <c r="AVD21" s="700"/>
      <c r="AVE21" s="700"/>
      <c r="AVF21" s="700"/>
      <c r="AVG21" s="700"/>
      <c r="AVH21" s="700"/>
      <c r="AVI21" s="700"/>
      <c r="AVJ21" s="700"/>
      <c r="AVK21" s="700"/>
      <c r="AVL21" s="700"/>
      <c r="AVM21" s="700"/>
      <c r="AVN21" s="700"/>
      <c r="AVO21" s="700"/>
      <c r="AVP21" s="700"/>
      <c r="AVQ21" s="700"/>
      <c r="AVR21" s="700"/>
      <c r="AVS21" s="700"/>
      <c r="AVT21" s="700"/>
      <c r="AVU21" s="700"/>
      <c r="AVV21" s="700"/>
      <c r="AVW21" s="700"/>
      <c r="AVX21" s="700"/>
      <c r="AVY21" s="700"/>
      <c r="AVZ21" s="700"/>
      <c r="AWA21" s="700"/>
      <c r="AWB21" s="700"/>
      <c r="AWC21" s="700"/>
      <c r="AWD21" s="700"/>
      <c r="AWE21" s="700"/>
      <c r="AWF21" s="700"/>
      <c r="AWG21" s="700"/>
      <c r="AWH21" s="700"/>
      <c r="AWI21" s="700"/>
      <c r="AWJ21" s="700"/>
      <c r="AWK21" s="700"/>
      <c r="AWL21" s="700"/>
      <c r="AWM21" s="700"/>
      <c r="AWN21" s="700"/>
      <c r="AWO21" s="700"/>
      <c r="AWP21" s="700"/>
      <c r="AWQ21" s="700"/>
      <c r="AWR21" s="700"/>
      <c r="AWS21" s="700"/>
      <c r="AWT21" s="700"/>
      <c r="AWU21" s="700"/>
      <c r="AWV21" s="700"/>
      <c r="AWW21" s="700"/>
      <c r="AWX21" s="700"/>
      <c r="AWY21" s="700"/>
      <c r="AWZ21" s="700"/>
      <c r="AXA21" s="700"/>
      <c r="AXB21" s="700"/>
      <c r="AXC21" s="700"/>
      <c r="AXD21" s="700"/>
      <c r="AXE21" s="700"/>
      <c r="AXF21" s="700"/>
      <c r="AXG21" s="700"/>
      <c r="AXH21" s="700"/>
      <c r="AXI21" s="700"/>
      <c r="AXJ21" s="700"/>
      <c r="AXK21" s="700"/>
      <c r="AXL21" s="700"/>
      <c r="AXM21" s="700"/>
      <c r="AXN21" s="700"/>
      <c r="AXO21" s="700"/>
      <c r="AXP21" s="700"/>
      <c r="AXQ21" s="700"/>
      <c r="AXR21" s="700"/>
      <c r="AXS21" s="700"/>
      <c r="AXT21" s="700"/>
      <c r="AXU21" s="700"/>
      <c r="AXV21" s="700"/>
      <c r="AXW21" s="700"/>
      <c r="AXX21" s="700"/>
      <c r="AXY21" s="700"/>
      <c r="AXZ21" s="700"/>
      <c r="AYA21" s="700"/>
      <c r="AYB21" s="700"/>
      <c r="AYC21" s="700"/>
      <c r="AYD21" s="700"/>
      <c r="AYE21" s="700"/>
      <c r="AYF21" s="700"/>
      <c r="AYG21" s="700"/>
      <c r="AYH21" s="700"/>
      <c r="AYI21" s="700"/>
      <c r="AYJ21" s="700"/>
      <c r="AYK21" s="700"/>
      <c r="AYL21" s="700"/>
      <c r="AYM21" s="700"/>
      <c r="AYN21" s="700"/>
      <c r="AYO21" s="700"/>
      <c r="AYP21" s="700"/>
      <c r="AYQ21" s="700"/>
      <c r="AYR21" s="700"/>
      <c r="AYS21" s="700"/>
      <c r="AYT21" s="700"/>
      <c r="AYU21" s="700"/>
      <c r="AYV21" s="700"/>
      <c r="AYW21" s="700"/>
      <c r="AYX21" s="700"/>
      <c r="AYY21" s="700"/>
      <c r="AYZ21" s="700"/>
      <c r="AZA21" s="700"/>
      <c r="AZB21" s="700"/>
      <c r="AZC21" s="700"/>
      <c r="AZD21" s="700"/>
      <c r="AZE21" s="700"/>
      <c r="AZF21" s="700"/>
      <c r="AZG21" s="700"/>
      <c r="AZH21" s="700"/>
      <c r="AZI21" s="700"/>
      <c r="AZJ21" s="700"/>
      <c r="AZK21" s="700"/>
      <c r="AZL21" s="700"/>
      <c r="AZM21" s="700"/>
      <c r="AZN21" s="700"/>
      <c r="AZO21" s="700"/>
      <c r="AZP21" s="700"/>
      <c r="AZQ21" s="700"/>
      <c r="AZR21" s="700"/>
      <c r="AZS21" s="700"/>
      <c r="AZT21" s="700"/>
      <c r="AZU21" s="700"/>
      <c r="AZV21" s="700"/>
      <c r="AZW21" s="700"/>
      <c r="AZX21" s="700"/>
      <c r="AZY21" s="700"/>
      <c r="AZZ21" s="700"/>
      <c r="BAA21" s="700"/>
      <c r="BAB21" s="700"/>
      <c r="BAC21" s="700"/>
      <c r="BAD21" s="700"/>
      <c r="BAE21" s="700"/>
      <c r="BAF21" s="700"/>
      <c r="BAG21" s="700"/>
      <c r="BAH21" s="700"/>
      <c r="BAI21" s="700"/>
      <c r="BAJ21" s="700"/>
      <c r="BAK21" s="700"/>
      <c r="BAL21" s="700"/>
      <c r="BAM21" s="700"/>
      <c r="BAN21" s="700"/>
      <c r="BAO21" s="700"/>
      <c r="BAP21" s="700"/>
      <c r="BAQ21" s="700"/>
      <c r="BAR21" s="700"/>
      <c r="BAS21" s="700"/>
      <c r="BAT21" s="700"/>
      <c r="BAU21" s="700"/>
      <c r="BAV21" s="700"/>
      <c r="BAW21" s="700"/>
      <c r="BAX21" s="700"/>
      <c r="BAY21" s="700"/>
      <c r="BAZ21" s="700"/>
      <c r="BBA21" s="700"/>
      <c r="BBB21" s="700"/>
      <c r="BBC21" s="700"/>
      <c r="BBD21" s="700"/>
      <c r="BBE21" s="700"/>
      <c r="BBF21" s="700"/>
      <c r="BBG21" s="700"/>
      <c r="BBH21" s="700"/>
      <c r="BBI21" s="700"/>
      <c r="BBJ21" s="700"/>
      <c r="BBK21" s="700"/>
      <c r="BBL21" s="700"/>
      <c r="BBM21" s="700"/>
      <c r="BBN21" s="700"/>
      <c r="BBO21" s="700"/>
      <c r="BBP21" s="700"/>
      <c r="BBQ21" s="700"/>
      <c r="BBR21" s="700"/>
      <c r="BBS21" s="700"/>
      <c r="BBT21" s="700"/>
      <c r="BBU21" s="700"/>
      <c r="BBV21" s="700"/>
      <c r="BBW21" s="700"/>
      <c r="BBX21" s="700"/>
      <c r="BBY21" s="700"/>
      <c r="BBZ21" s="700"/>
      <c r="BCA21" s="700"/>
      <c r="BCB21" s="700"/>
      <c r="BCC21" s="700"/>
      <c r="BCD21" s="700"/>
      <c r="BCE21" s="700"/>
      <c r="BCF21" s="700"/>
      <c r="BCG21" s="700"/>
      <c r="BCH21" s="700"/>
      <c r="BCI21" s="700"/>
      <c r="BCJ21" s="700"/>
      <c r="BCK21" s="700"/>
      <c r="BCL21" s="700"/>
      <c r="BCM21" s="700"/>
      <c r="BCN21" s="700"/>
      <c r="BCO21" s="700"/>
      <c r="BCP21" s="700"/>
      <c r="BCQ21" s="700"/>
      <c r="BCR21" s="700"/>
      <c r="BCS21" s="700"/>
      <c r="BCT21" s="700"/>
      <c r="BCU21" s="700"/>
      <c r="BCV21" s="700"/>
      <c r="BCW21" s="700"/>
      <c r="BCX21" s="700"/>
      <c r="BCY21" s="700"/>
      <c r="BCZ21" s="700"/>
      <c r="BDA21" s="700"/>
      <c r="BDB21" s="700"/>
      <c r="BDC21" s="700"/>
      <c r="BDD21" s="700"/>
      <c r="BDE21" s="700"/>
      <c r="BDF21" s="700"/>
      <c r="BDG21" s="700"/>
      <c r="BDH21" s="700"/>
      <c r="BDI21" s="700"/>
      <c r="BDJ21" s="700"/>
      <c r="BDK21" s="700"/>
      <c r="BDL21" s="700"/>
      <c r="BDM21" s="700"/>
      <c r="BDN21" s="700"/>
      <c r="BDO21" s="700"/>
      <c r="BDP21" s="700"/>
      <c r="BDQ21" s="700"/>
      <c r="BDR21" s="700"/>
      <c r="BDS21" s="700"/>
      <c r="BDT21" s="700"/>
      <c r="BDU21" s="700"/>
      <c r="BDV21" s="700"/>
      <c r="BDW21" s="700"/>
      <c r="BDX21" s="700"/>
      <c r="BDY21" s="700"/>
      <c r="BDZ21" s="700"/>
      <c r="BEA21" s="700"/>
      <c r="BEB21" s="700"/>
      <c r="BEC21" s="700"/>
      <c r="BED21" s="700"/>
      <c r="BEE21" s="700"/>
      <c r="BEF21" s="700"/>
      <c r="BEG21" s="700"/>
      <c r="BEH21" s="700"/>
      <c r="BEI21" s="700"/>
      <c r="BEJ21" s="700"/>
      <c r="BEK21" s="700"/>
      <c r="BEL21" s="700"/>
      <c r="BEM21" s="700"/>
      <c r="BEN21" s="700"/>
      <c r="BEO21" s="700"/>
      <c r="BEP21" s="700"/>
      <c r="BEQ21" s="700"/>
      <c r="BER21" s="700"/>
      <c r="BES21" s="700"/>
      <c r="BET21" s="700"/>
      <c r="BEU21" s="700"/>
      <c r="BEV21" s="700"/>
      <c r="BEW21" s="700"/>
      <c r="BEX21" s="700"/>
      <c r="BEY21" s="700"/>
      <c r="BEZ21" s="700"/>
      <c r="BFA21" s="700"/>
      <c r="BFB21" s="700"/>
      <c r="BFC21" s="700"/>
      <c r="BFD21" s="700"/>
      <c r="BFE21" s="700"/>
      <c r="BFF21" s="700"/>
      <c r="BFG21" s="700"/>
      <c r="BFH21" s="700"/>
      <c r="BFI21" s="700"/>
      <c r="BFJ21" s="700"/>
      <c r="BFK21" s="700"/>
      <c r="BFL21" s="700"/>
      <c r="BFM21" s="700"/>
      <c r="BFN21" s="700"/>
      <c r="BFO21" s="700"/>
      <c r="BFP21" s="700"/>
      <c r="BFQ21" s="700"/>
      <c r="BFR21" s="700"/>
      <c r="BFS21" s="700"/>
      <c r="BFT21" s="700"/>
      <c r="BFU21" s="700"/>
      <c r="BFV21" s="700"/>
      <c r="BFW21" s="700"/>
      <c r="BFX21" s="700"/>
      <c r="BFY21" s="700"/>
      <c r="BFZ21" s="700"/>
      <c r="BGA21" s="700"/>
      <c r="BGB21" s="700"/>
      <c r="BGC21" s="700"/>
      <c r="BGD21" s="700"/>
      <c r="BGE21" s="700"/>
      <c r="BGF21" s="700"/>
      <c r="BGG21" s="700"/>
      <c r="BGH21" s="700"/>
      <c r="BGI21" s="700"/>
      <c r="BGJ21" s="700"/>
      <c r="BGK21" s="700"/>
      <c r="BGL21" s="700"/>
      <c r="BGM21" s="700"/>
      <c r="BGN21" s="700"/>
      <c r="BGO21" s="700"/>
      <c r="BGP21" s="700"/>
      <c r="BGQ21" s="700"/>
      <c r="BGR21" s="700"/>
      <c r="BGS21" s="700"/>
      <c r="BGT21" s="700"/>
      <c r="BGU21" s="700"/>
      <c r="BGV21" s="700"/>
      <c r="BGW21" s="700"/>
      <c r="BGX21" s="700"/>
      <c r="BGY21" s="700"/>
      <c r="BGZ21" s="700"/>
      <c r="BHA21" s="700"/>
      <c r="BHB21" s="700"/>
      <c r="BHC21" s="700"/>
      <c r="BHD21" s="700"/>
      <c r="BHE21" s="700"/>
      <c r="BHF21" s="700"/>
      <c r="BHG21" s="700"/>
      <c r="BHH21" s="700"/>
      <c r="BHI21" s="700"/>
      <c r="BHJ21" s="700"/>
      <c r="BHK21" s="700"/>
      <c r="BHL21" s="700"/>
      <c r="BHM21" s="700"/>
      <c r="BHN21" s="700"/>
      <c r="BHO21" s="700"/>
      <c r="BHP21" s="700"/>
      <c r="BHQ21" s="700"/>
      <c r="BHR21" s="700"/>
      <c r="BHS21" s="700"/>
      <c r="BHT21" s="700"/>
      <c r="BHU21" s="700"/>
      <c r="BHV21" s="700"/>
      <c r="BHW21" s="700"/>
      <c r="BHX21" s="700"/>
      <c r="BHY21" s="700"/>
      <c r="BHZ21" s="700"/>
      <c r="BIA21" s="700"/>
      <c r="BIB21" s="700"/>
      <c r="BIC21" s="700"/>
      <c r="BID21" s="700"/>
      <c r="BIE21" s="700"/>
      <c r="BIF21" s="700"/>
      <c r="BIG21" s="700"/>
      <c r="BIH21" s="700"/>
      <c r="BII21" s="700"/>
      <c r="BIJ21" s="700"/>
      <c r="BIK21" s="700"/>
      <c r="BIL21" s="700"/>
      <c r="BIM21" s="700"/>
      <c r="BIN21" s="700"/>
      <c r="BIO21" s="700"/>
      <c r="BIP21" s="700"/>
      <c r="BIQ21" s="700"/>
      <c r="BIR21" s="700"/>
      <c r="BIS21" s="700"/>
      <c r="BIT21" s="700"/>
      <c r="BIU21" s="700"/>
      <c r="BIV21" s="700"/>
      <c r="BIW21" s="700"/>
      <c r="BIX21" s="700"/>
      <c r="BIY21" s="700"/>
      <c r="BIZ21" s="700"/>
      <c r="BJA21" s="700"/>
      <c r="BJB21" s="700"/>
      <c r="BJC21" s="700"/>
      <c r="BJD21" s="700"/>
      <c r="BJE21" s="700"/>
      <c r="BJF21" s="700"/>
      <c r="BJG21" s="700"/>
      <c r="BJH21" s="700"/>
      <c r="BJI21" s="700"/>
      <c r="BJJ21" s="700"/>
      <c r="BJK21" s="700"/>
      <c r="BJL21" s="700"/>
      <c r="BJM21" s="700"/>
      <c r="BJN21" s="700"/>
      <c r="BJO21" s="700"/>
      <c r="BJP21" s="700"/>
      <c r="BJQ21" s="700"/>
      <c r="BJR21" s="700"/>
      <c r="BJS21" s="700"/>
      <c r="BJT21" s="700"/>
      <c r="BJU21" s="700"/>
      <c r="BJV21" s="700"/>
      <c r="BJW21" s="700"/>
      <c r="BJX21" s="700"/>
      <c r="BJY21" s="700"/>
      <c r="BJZ21" s="700"/>
      <c r="BKA21" s="700"/>
      <c r="BKB21" s="700"/>
      <c r="BKC21" s="700"/>
      <c r="BKD21" s="700"/>
      <c r="BKE21" s="700"/>
      <c r="BKF21" s="700"/>
      <c r="BKG21" s="700"/>
      <c r="BKH21" s="700"/>
      <c r="BKI21" s="700"/>
      <c r="BKJ21" s="700"/>
      <c r="BKK21" s="700"/>
      <c r="BKL21" s="700"/>
      <c r="BKM21" s="700"/>
      <c r="BKN21" s="700"/>
      <c r="BKO21" s="700"/>
      <c r="BKP21" s="700"/>
      <c r="BKQ21" s="700"/>
      <c r="BKR21" s="700"/>
      <c r="BKS21" s="700"/>
      <c r="BKT21" s="700"/>
      <c r="BKU21" s="700"/>
      <c r="BKV21" s="700"/>
      <c r="BKW21" s="700"/>
      <c r="BKX21" s="700"/>
      <c r="BKY21" s="700"/>
      <c r="BKZ21" s="700"/>
      <c r="BLA21" s="700"/>
      <c r="BLB21" s="700"/>
      <c r="BLC21" s="700"/>
      <c r="BLD21" s="700"/>
      <c r="BLE21" s="700"/>
      <c r="BLF21" s="700"/>
      <c r="BLG21" s="700"/>
      <c r="BLH21" s="700"/>
      <c r="BLI21" s="700"/>
      <c r="BLJ21" s="700"/>
      <c r="BLK21" s="700"/>
      <c r="BLL21" s="700"/>
      <c r="BLM21" s="700"/>
      <c r="BLN21" s="700"/>
      <c r="BLO21" s="700"/>
      <c r="BLP21" s="700"/>
      <c r="BLQ21" s="700"/>
      <c r="BLR21" s="700"/>
      <c r="BLS21" s="700"/>
      <c r="BLT21" s="700"/>
      <c r="BLU21" s="700"/>
      <c r="BLV21" s="700"/>
      <c r="BLW21" s="700"/>
      <c r="BLX21" s="700"/>
      <c r="BLY21" s="700"/>
      <c r="BLZ21" s="700"/>
      <c r="BMA21" s="700"/>
      <c r="BMB21" s="700"/>
      <c r="BMC21" s="700"/>
      <c r="BMD21" s="700"/>
      <c r="BME21" s="700"/>
      <c r="BMF21" s="700"/>
      <c r="BMG21" s="700"/>
      <c r="BMH21" s="700"/>
      <c r="BMI21" s="700"/>
      <c r="BMJ21" s="700"/>
      <c r="BMK21" s="700"/>
      <c r="BML21" s="700"/>
      <c r="BMM21" s="700"/>
      <c r="BMN21" s="700"/>
      <c r="BMO21" s="700"/>
      <c r="BMP21" s="700"/>
      <c r="BMQ21" s="700"/>
      <c r="BMR21" s="700"/>
      <c r="BMS21" s="700"/>
      <c r="BMT21" s="700"/>
      <c r="BMU21" s="700"/>
      <c r="BMV21" s="700"/>
      <c r="BMW21" s="700"/>
      <c r="BMX21" s="700"/>
      <c r="BMY21" s="700"/>
      <c r="BMZ21" s="700"/>
      <c r="BNA21" s="700"/>
      <c r="BNB21" s="700"/>
      <c r="BNC21" s="700"/>
      <c r="BND21" s="700"/>
      <c r="BNE21" s="700"/>
      <c r="BNF21" s="700"/>
      <c r="BNG21" s="700"/>
      <c r="BNH21" s="700"/>
      <c r="BNI21" s="700"/>
      <c r="BNJ21" s="700"/>
      <c r="BNK21" s="700"/>
      <c r="BNL21" s="700"/>
      <c r="BNM21" s="700"/>
      <c r="BNN21" s="700"/>
      <c r="BNO21" s="700"/>
      <c r="BNP21" s="700"/>
      <c r="BNQ21" s="700"/>
      <c r="BNR21" s="700"/>
      <c r="BNS21" s="700"/>
      <c r="BNT21" s="700"/>
      <c r="BNU21" s="700"/>
      <c r="BNV21" s="700"/>
      <c r="BNW21" s="700"/>
      <c r="BNX21" s="700"/>
      <c r="BNY21" s="700"/>
      <c r="BNZ21" s="700"/>
      <c r="BOA21" s="700"/>
      <c r="BOB21" s="700"/>
      <c r="BOC21" s="700"/>
      <c r="BOD21" s="700"/>
      <c r="BOE21" s="700"/>
      <c r="BOF21" s="700"/>
      <c r="BOG21" s="700"/>
      <c r="BOH21" s="700"/>
      <c r="BOI21" s="700"/>
      <c r="BOJ21" s="700"/>
      <c r="BOK21" s="700"/>
      <c r="BOL21" s="700"/>
      <c r="BOM21" s="700"/>
      <c r="BON21" s="700"/>
      <c r="BOO21" s="700"/>
      <c r="BOP21" s="700"/>
      <c r="BOQ21" s="700"/>
      <c r="BOR21" s="700"/>
      <c r="BOS21" s="700"/>
      <c r="BOT21" s="700"/>
      <c r="BOU21" s="700"/>
      <c r="BOV21" s="700"/>
      <c r="BOW21" s="700"/>
      <c r="BOX21" s="700"/>
      <c r="BOY21" s="700"/>
      <c r="BOZ21" s="700"/>
      <c r="BPA21" s="700"/>
      <c r="BPB21" s="700"/>
      <c r="BPC21" s="700"/>
      <c r="BPD21" s="700"/>
      <c r="BPE21" s="700"/>
      <c r="BPF21" s="700"/>
      <c r="BPG21" s="700"/>
      <c r="BPH21" s="700"/>
      <c r="BPI21" s="700"/>
      <c r="BPJ21" s="700"/>
      <c r="BPK21" s="700"/>
      <c r="BPL21" s="700"/>
      <c r="BPM21" s="700"/>
      <c r="BPN21" s="700"/>
      <c r="BPO21" s="700"/>
      <c r="BPP21" s="700"/>
      <c r="BPQ21" s="700"/>
      <c r="BPR21" s="700"/>
      <c r="BPS21" s="700"/>
      <c r="BPT21" s="700"/>
      <c r="BPU21" s="700"/>
      <c r="BPV21" s="700"/>
      <c r="BPW21" s="700"/>
      <c r="BPX21" s="700"/>
      <c r="BPY21" s="700"/>
      <c r="BPZ21" s="700"/>
      <c r="BQA21" s="700"/>
      <c r="BQB21" s="700"/>
      <c r="BQC21" s="700"/>
      <c r="BQD21" s="700"/>
      <c r="BQE21" s="700"/>
      <c r="BQF21" s="700"/>
      <c r="BQG21" s="700"/>
      <c r="BQH21" s="700"/>
      <c r="BQI21" s="700"/>
      <c r="BQJ21" s="700"/>
      <c r="BQK21" s="700"/>
      <c r="BQL21" s="700"/>
      <c r="BQM21" s="700"/>
      <c r="BQN21" s="700"/>
      <c r="BQO21" s="700"/>
      <c r="BQP21" s="700"/>
      <c r="BQQ21" s="700"/>
      <c r="BQR21" s="700"/>
      <c r="BQS21" s="700"/>
      <c r="BQT21" s="700"/>
      <c r="BQU21" s="700"/>
      <c r="BQV21" s="700"/>
      <c r="BQW21" s="700"/>
      <c r="BQX21" s="700"/>
      <c r="BQY21" s="700"/>
      <c r="BQZ21" s="700"/>
      <c r="BRA21" s="700"/>
      <c r="BRB21" s="700"/>
      <c r="BRC21" s="700"/>
      <c r="BRD21" s="700"/>
      <c r="BRE21" s="700"/>
      <c r="BRF21" s="700"/>
      <c r="BRG21" s="700"/>
      <c r="BRH21" s="700"/>
      <c r="BRI21" s="700"/>
      <c r="BRJ21" s="700"/>
      <c r="BRK21" s="700"/>
      <c r="BRL21" s="700"/>
      <c r="BRM21" s="700"/>
      <c r="BRN21" s="700"/>
      <c r="BRO21" s="700"/>
      <c r="BRP21" s="700"/>
      <c r="BRQ21" s="700"/>
      <c r="BRR21" s="700"/>
      <c r="BRS21" s="700"/>
      <c r="BRT21" s="700"/>
      <c r="BRU21" s="700"/>
      <c r="BRV21" s="700"/>
      <c r="BRW21" s="700"/>
      <c r="BRX21" s="700"/>
      <c r="BRY21" s="700"/>
      <c r="BRZ21" s="700"/>
      <c r="BSA21" s="700"/>
      <c r="BSB21" s="700"/>
      <c r="BSC21" s="700"/>
      <c r="BSD21" s="700"/>
      <c r="BSE21" s="700"/>
      <c r="BSF21" s="700"/>
      <c r="BSG21" s="700"/>
      <c r="BSH21" s="700"/>
      <c r="BSI21" s="700"/>
      <c r="BSJ21" s="700"/>
      <c r="BSK21" s="700"/>
      <c r="BSL21" s="700"/>
      <c r="BSM21" s="700"/>
      <c r="BSN21" s="700"/>
      <c r="BSO21" s="700"/>
      <c r="BSP21" s="700"/>
      <c r="BSQ21" s="700"/>
      <c r="BSR21" s="700"/>
      <c r="BSS21" s="700"/>
      <c r="BST21" s="700"/>
      <c r="BSU21" s="700"/>
      <c r="BSV21" s="700"/>
      <c r="BSW21" s="700"/>
      <c r="BSX21" s="700"/>
      <c r="BSY21" s="700"/>
      <c r="BSZ21" s="700"/>
      <c r="BTA21" s="700"/>
      <c r="BTB21" s="700"/>
      <c r="BTC21" s="700"/>
      <c r="BTD21" s="700"/>
      <c r="BTE21" s="700"/>
      <c r="BTF21" s="700"/>
      <c r="BTG21" s="700"/>
      <c r="BTH21" s="700"/>
      <c r="BTI21" s="700"/>
      <c r="BTJ21" s="700"/>
      <c r="BTK21" s="700"/>
      <c r="BTL21" s="700"/>
      <c r="BTM21" s="700"/>
      <c r="BTN21" s="700"/>
      <c r="BTO21" s="700"/>
      <c r="BTP21" s="700"/>
      <c r="BTQ21" s="700"/>
      <c r="BTR21" s="700"/>
      <c r="BTS21" s="700"/>
      <c r="BTT21" s="700"/>
      <c r="BTU21" s="700"/>
      <c r="BTV21" s="700"/>
      <c r="BTW21" s="700"/>
      <c r="BTX21" s="700"/>
      <c r="BTY21" s="700"/>
      <c r="BTZ21" s="700"/>
      <c r="BUA21" s="700"/>
      <c r="BUB21" s="700"/>
      <c r="BUC21" s="700"/>
      <c r="BUD21" s="700"/>
      <c r="BUE21" s="700"/>
      <c r="BUF21" s="700"/>
      <c r="BUG21" s="700"/>
      <c r="BUH21" s="700"/>
      <c r="BUI21" s="700"/>
      <c r="BUJ21" s="700"/>
      <c r="BUK21" s="700"/>
      <c r="BUL21" s="700"/>
      <c r="BUM21" s="700"/>
      <c r="BUN21" s="700"/>
      <c r="BUO21" s="700"/>
      <c r="BUP21" s="700"/>
      <c r="BUQ21" s="700"/>
      <c r="BUR21" s="700"/>
      <c r="BUS21" s="700"/>
      <c r="BUT21" s="700"/>
      <c r="BUU21" s="700"/>
      <c r="BUV21" s="700"/>
      <c r="BUW21" s="700"/>
      <c r="BUX21" s="700"/>
      <c r="BUY21" s="700"/>
      <c r="BUZ21" s="700"/>
      <c r="BVA21" s="700"/>
      <c r="BVB21" s="700"/>
      <c r="BVC21" s="700"/>
      <c r="BVD21" s="700"/>
      <c r="BVE21" s="700"/>
      <c r="BVF21" s="700"/>
      <c r="BVG21" s="700"/>
      <c r="BVH21" s="700"/>
      <c r="BVI21" s="700"/>
      <c r="BVJ21" s="700"/>
      <c r="BVK21" s="700"/>
      <c r="BVL21" s="700"/>
      <c r="BVM21" s="700"/>
      <c r="BVN21" s="700"/>
      <c r="BVO21" s="700"/>
      <c r="BVP21" s="700"/>
      <c r="BVQ21" s="700"/>
      <c r="BVR21" s="700"/>
      <c r="BVS21" s="700"/>
      <c r="BVT21" s="700"/>
      <c r="BVU21" s="700"/>
      <c r="BVV21" s="700"/>
      <c r="BVW21" s="700"/>
      <c r="BVX21" s="700"/>
      <c r="BVY21" s="700"/>
      <c r="BVZ21" s="700"/>
      <c r="BWA21" s="700"/>
      <c r="BWB21" s="700"/>
      <c r="BWC21" s="700"/>
      <c r="BWD21" s="700"/>
      <c r="BWE21" s="700"/>
      <c r="BWF21" s="700"/>
      <c r="BWG21" s="700"/>
      <c r="BWH21" s="700"/>
      <c r="BWI21" s="700"/>
      <c r="BWJ21" s="700"/>
      <c r="BWK21" s="700"/>
      <c r="BWL21" s="700"/>
      <c r="BWM21" s="700"/>
      <c r="BWN21" s="700"/>
      <c r="BWO21" s="700"/>
      <c r="BWP21" s="700"/>
      <c r="BWQ21" s="700"/>
      <c r="BWR21" s="700"/>
      <c r="BWS21" s="700"/>
      <c r="BWT21" s="700"/>
      <c r="BWU21" s="700"/>
      <c r="BWV21" s="700"/>
      <c r="BWW21" s="700"/>
      <c r="BWX21" s="700"/>
      <c r="BWY21" s="700"/>
      <c r="BWZ21" s="700"/>
      <c r="BXA21" s="700"/>
      <c r="BXB21" s="700"/>
      <c r="BXC21" s="700"/>
      <c r="BXD21" s="700"/>
      <c r="BXE21" s="700"/>
      <c r="BXF21" s="700"/>
      <c r="BXG21" s="700"/>
      <c r="BXH21" s="700"/>
      <c r="BXI21" s="700"/>
      <c r="BXJ21" s="700"/>
      <c r="BXK21" s="700"/>
      <c r="BXL21" s="700"/>
      <c r="BXM21" s="700"/>
      <c r="BXN21" s="700"/>
      <c r="BXO21" s="700"/>
      <c r="BXP21" s="700"/>
      <c r="BXQ21" s="700"/>
      <c r="BXR21" s="700"/>
      <c r="BXS21" s="700"/>
      <c r="BXT21" s="700"/>
      <c r="BXU21" s="700"/>
      <c r="BXV21" s="700"/>
      <c r="BXW21" s="700"/>
      <c r="BXX21" s="700"/>
      <c r="BXY21" s="700"/>
      <c r="BXZ21" s="700"/>
    </row>
    <row r="22" spans="1:2002" ht="15">
      <c r="A22" s="717"/>
      <c r="B22" s="706"/>
      <c r="C22" s="721" t="s">
        <v>43</v>
      </c>
      <c r="D22" s="738">
        <f>BS!Q24</f>
        <v>4000</v>
      </c>
      <c r="E22" s="738">
        <f>BS!P24</f>
        <v>48000</v>
      </c>
      <c r="F22" s="738">
        <f>BS!O24</f>
        <v>49000</v>
      </c>
      <c r="G22" s="738">
        <f>BS!N24</f>
        <v>59000</v>
      </c>
      <c r="H22" s="738">
        <f>BS!M24</f>
        <v>87000</v>
      </c>
      <c r="I22" s="738"/>
      <c r="J22" s="738"/>
      <c r="K22" s="738"/>
      <c r="L22" s="738"/>
      <c r="M22" s="738"/>
      <c r="N22" s="738"/>
      <c r="O22" s="738"/>
      <c r="P22" s="738"/>
      <c r="Q22" s="738"/>
      <c r="R22" s="738"/>
      <c r="S22" s="712"/>
      <c r="T22" s="700"/>
      <c r="U22" s="700"/>
      <c r="V22" s="700"/>
      <c r="W22" s="700"/>
      <c r="X22" s="700"/>
      <c r="Y22" s="700"/>
      <c r="Z22" s="700"/>
      <c r="AA22" s="700"/>
      <c r="AB22" s="700"/>
      <c r="AC22" s="700"/>
      <c r="AD22" s="700"/>
      <c r="AE22" s="700"/>
      <c r="AF22" s="700"/>
      <c r="AG22" s="700"/>
      <c r="AH22" s="700"/>
      <c r="AI22" s="700"/>
      <c r="AJ22" s="700"/>
      <c r="AK22" s="700"/>
      <c r="AL22" s="700"/>
      <c r="AM22" s="700"/>
      <c r="AN22" s="700"/>
      <c r="AO22" s="700"/>
      <c r="AP22" s="700"/>
      <c r="AQ22" s="700"/>
      <c r="AR22" s="700"/>
      <c r="AS22" s="700"/>
      <c r="AT22" s="700"/>
      <c r="AU22" s="700"/>
      <c r="AV22" s="700"/>
      <c r="AW22" s="700"/>
      <c r="AX22" s="700"/>
      <c r="AY22" s="700"/>
      <c r="AZ22" s="700"/>
      <c r="BA22" s="700"/>
      <c r="BB22" s="700"/>
      <c r="BC22" s="700"/>
      <c r="BD22" s="700"/>
      <c r="BE22" s="700"/>
      <c r="BF22" s="700"/>
      <c r="BG22" s="700"/>
      <c r="BH22" s="700"/>
      <c r="BI22" s="700"/>
      <c r="BJ22" s="700"/>
      <c r="BK22" s="700"/>
      <c r="BL22" s="700"/>
      <c r="BM22" s="700"/>
      <c r="BN22" s="700"/>
      <c r="BO22" s="700"/>
      <c r="BP22" s="700"/>
      <c r="BQ22" s="700"/>
      <c r="BR22" s="700"/>
      <c r="BS22" s="700"/>
      <c r="BT22" s="700"/>
      <c r="BU22" s="700"/>
      <c r="BV22" s="700"/>
      <c r="BW22" s="700"/>
      <c r="BX22" s="700"/>
      <c r="BY22" s="700"/>
      <c r="BZ22" s="700"/>
      <c r="CA22" s="700"/>
      <c r="CB22" s="700"/>
      <c r="CC22" s="700"/>
      <c r="CD22" s="700"/>
      <c r="CE22" s="700"/>
      <c r="CF22" s="700"/>
      <c r="CG22" s="700"/>
      <c r="CH22" s="700"/>
      <c r="CI22" s="700"/>
      <c r="CJ22" s="700"/>
      <c r="CK22" s="700"/>
      <c r="CL22" s="700"/>
      <c r="CM22" s="700"/>
      <c r="CN22" s="700"/>
      <c r="CO22" s="700"/>
      <c r="CP22" s="700"/>
      <c r="CQ22" s="700"/>
      <c r="CR22" s="700"/>
      <c r="CS22" s="700"/>
      <c r="CT22" s="700"/>
      <c r="CU22" s="700"/>
      <c r="CV22" s="700"/>
      <c r="CW22" s="700"/>
      <c r="CX22" s="700"/>
      <c r="CY22" s="700"/>
      <c r="CZ22" s="700"/>
      <c r="DA22" s="700"/>
      <c r="DB22" s="700"/>
      <c r="DC22" s="700"/>
      <c r="DD22" s="700"/>
      <c r="DE22" s="700"/>
      <c r="DF22" s="700"/>
      <c r="DG22" s="700"/>
      <c r="DH22" s="700"/>
      <c r="DI22" s="700"/>
      <c r="DJ22" s="700"/>
      <c r="DK22" s="700"/>
      <c r="DL22" s="700"/>
      <c r="DM22" s="700"/>
      <c r="DN22" s="700"/>
      <c r="DO22" s="700"/>
      <c r="DP22" s="700"/>
      <c r="DQ22" s="700"/>
      <c r="DR22" s="700"/>
      <c r="DS22" s="700"/>
      <c r="DT22" s="700"/>
      <c r="DU22" s="700"/>
      <c r="DV22" s="700"/>
      <c r="DW22" s="700"/>
      <c r="DX22" s="700"/>
      <c r="DY22" s="700"/>
      <c r="DZ22" s="700"/>
      <c r="EA22" s="700"/>
      <c r="EB22" s="700"/>
      <c r="EC22" s="700"/>
      <c r="ED22" s="700"/>
      <c r="EE22" s="700"/>
      <c r="EF22" s="700"/>
      <c r="EG22" s="700"/>
      <c r="EH22" s="700"/>
      <c r="EI22" s="700"/>
      <c r="EJ22" s="700"/>
      <c r="EK22" s="700"/>
      <c r="EL22" s="700"/>
      <c r="EM22" s="700"/>
      <c r="EN22" s="700"/>
      <c r="EO22" s="700"/>
      <c r="EP22" s="700"/>
      <c r="EQ22" s="700"/>
      <c r="ER22" s="700"/>
      <c r="ES22" s="700"/>
      <c r="ET22" s="700"/>
      <c r="EU22" s="700"/>
      <c r="EV22" s="700"/>
      <c r="EW22" s="700"/>
      <c r="EX22" s="700"/>
      <c r="EY22" s="700"/>
      <c r="EZ22" s="700"/>
      <c r="FA22" s="700"/>
      <c r="FB22" s="700"/>
      <c r="FC22" s="700"/>
      <c r="FD22" s="700"/>
      <c r="FE22" s="700"/>
      <c r="FF22" s="700"/>
      <c r="FG22" s="700"/>
      <c r="FH22" s="700"/>
      <c r="FI22" s="700"/>
      <c r="FJ22" s="700"/>
      <c r="FK22" s="700"/>
      <c r="FL22" s="700"/>
      <c r="FM22" s="700"/>
      <c r="FN22" s="700"/>
      <c r="FO22" s="700"/>
      <c r="FP22" s="700"/>
      <c r="FQ22" s="700"/>
      <c r="FR22" s="700"/>
      <c r="FS22" s="700"/>
      <c r="FT22" s="700"/>
      <c r="FU22" s="700"/>
      <c r="FV22" s="700"/>
      <c r="FW22" s="700"/>
      <c r="FX22" s="700"/>
      <c r="FY22" s="700"/>
      <c r="FZ22" s="700"/>
      <c r="GA22" s="700"/>
      <c r="GB22" s="700"/>
      <c r="GC22" s="700"/>
      <c r="GD22" s="700"/>
      <c r="GE22" s="700"/>
      <c r="GF22" s="700"/>
      <c r="GG22" s="700"/>
      <c r="GH22" s="700"/>
      <c r="GI22" s="700"/>
      <c r="GJ22" s="700"/>
      <c r="GK22" s="700"/>
      <c r="GL22" s="700"/>
      <c r="GM22" s="700"/>
      <c r="GN22" s="700"/>
      <c r="GO22" s="700"/>
      <c r="GP22" s="700"/>
      <c r="GQ22" s="700"/>
      <c r="GR22" s="700"/>
      <c r="GS22" s="700"/>
      <c r="GT22" s="700"/>
      <c r="GU22" s="700"/>
      <c r="GV22" s="700"/>
      <c r="GW22" s="700"/>
      <c r="GX22" s="700"/>
      <c r="GY22" s="700"/>
      <c r="GZ22" s="700"/>
      <c r="HA22" s="700"/>
      <c r="HB22" s="700"/>
      <c r="HC22" s="700"/>
      <c r="HD22" s="700"/>
      <c r="HE22" s="700"/>
      <c r="HF22" s="700"/>
      <c r="HG22" s="700"/>
      <c r="HH22" s="700"/>
      <c r="HI22" s="700"/>
      <c r="HJ22" s="700"/>
      <c r="HK22" s="700"/>
      <c r="HL22" s="700"/>
      <c r="HM22" s="700"/>
      <c r="HN22" s="700"/>
      <c r="HO22" s="700"/>
      <c r="HP22" s="700"/>
      <c r="HQ22" s="700"/>
      <c r="HR22" s="700"/>
      <c r="HS22" s="700"/>
      <c r="HT22" s="700"/>
      <c r="HU22" s="700"/>
      <c r="HV22" s="700"/>
      <c r="HW22" s="700"/>
      <c r="HX22" s="700"/>
      <c r="HY22" s="700"/>
      <c r="HZ22" s="700"/>
      <c r="IA22" s="700"/>
      <c r="IB22" s="700"/>
      <c r="IC22" s="700"/>
      <c r="ID22" s="700"/>
      <c r="IE22" s="700"/>
      <c r="IF22" s="700"/>
      <c r="IG22" s="700"/>
      <c r="IH22" s="700"/>
      <c r="II22" s="700"/>
      <c r="IJ22" s="700"/>
      <c r="IK22" s="700"/>
      <c r="IL22" s="700"/>
      <c r="IM22" s="700"/>
      <c r="IN22" s="700"/>
      <c r="IO22" s="700"/>
      <c r="IP22" s="700"/>
      <c r="IQ22" s="700"/>
      <c r="IR22" s="700"/>
      <c r="IS22" s="700"/>
      <c r="IT22" s="700"/>
      <c r="IU22" s="700"/>
      <c r="IV22" s="700"/>
      <c r="IW22" s="700"/>
      <c r="IX22" s="700"/>
      <c r="IY22" s="700"/>
      <c r="IZ22" s="700"/>
      <c r="JA22" s="700"/>
      <c r="JB22" s="700"/>
      <c r="JC22" s="700"/>
      <c r="JD22" s="700"/>
      <c r="JE22" s="700"/>
      <c r="JF22" s="700"/>
      <c r="JG22" s="700"/>
      <c r="JH22" s="700"/>
      <c r="JI22" s="700"/>
      <c r="JJ22" s="700"/>
      <c r="JK22" s="700"/>
      <c r="JL22" s="700"/>
      <c r="JM22" s="700"/>
      <c r="JN22" s="700"/>
      <c r="JO22" s="700"/>
      <c r="JP22" s="700"/>
      <c r="JQ22" s="700"/>
      <c r="JR22" s="700"/>
      <c r="JS22" s="700"/>
      <c r="JT22" s="700"/>
      <c r="JU22" s="700"/>
      <c r="JV22" s="700"/>
      <c r="JW22" s="700"/>
      <c r="JX22" s="700"/>
      <c r="JY22" s="700"/>
      <c r="JZ22" s="700"/>
      <c r="KA22" s="700"/>
      <c r="KB22" s="700"/>
      <c r="KC22" s="700"/>
      <c r="KD22" s="700"/>
      <c r="KE22" s="700"/>
      <c r="KF22" s="700"/>
      <c r="KG22" s="700"/>
      <c r="KH22" s="700"/>
      <c r="KI22" s="700"/>
      <c r="KJ22" s="700"/>
      <c r="KK22" s="700"/>
      <c r="KL22" s="700"/>
      <c r="KM22" s="700"/>
      <c r="KN22" s="700"/>
      <c r="KO22" s="700"/>
      <c r="KP22" s="700"/>
      <c r="KQ22" s="700"/>
      <c r="KR22" s="700"/>
      <c r="KS22" s="700"/>
      <c r="KT22" s="700"/>
      <c r="KU22" s="700"/>
      <c r="KV22" s="700"/>
      <c r="KW22" s="700"/>
      <c r="KX22" s="700"/>
      <c r="KY22" s="700"/>
      <c r="KZ22" s="700"/>
      <c r="LA22" s="700"/>
      <c r="LB22" s="700"/>
      <c r="LC22" s="700"/>
      <c r="LD22" s="700"/>
      <c r="LE22" s="700"/>
      <c r="LF22" s="700"/>
      <c r="LG22" s="700"/>
      <c r="LH22" s="700"/>
      <c r="LI22" s="700"/>
      <c r="LJ22" s="700"/>
      <c r="LK22" s="700"/>
      <c r="LL22" s="700"/>
      <c r="LM22" s="700"/>
      <c r="LN22" s="700"/>
      <c r="LO22" s="700"/>
      <c r="LP22" s="700"/>
      <c r="LQ22" s="700"/>
      <c r="LR22" s="700"/>
      <c r="LS22" s="700"/>
      <c r="LT22" s="700"/>
      <c r="LU22" s="700"/>
      <c r="LV22" s="700"/>
      <c r="LW22" s="700"/>
      <c r="LX22" s="700"/>
      <c r="LY22" s="700"/>
      <c r="LZ22" s="700"/>
      <c r="MA22" s="700"/>
      <c r="MB22" s="700"/>
      <c r="MC22" s="700"/>
      <c r="MD22" s="700"/>
      <c r="ME22" s="700"/>
      <c r="MF22" s="700"/>
      <c r="MG22" s="700"/>
      <c r="MH22" s="700"/>
      <c r="MI22" s="700"/>
      <c r="MJ22" s="700"/>
      <c r="MK22" s="700"/>
      <c r="ML22" s="700"/>
      <c r="MM22" s="700"/>
      <c r="MN22" s="700"/>
      <c r="MO22" s="700"/>
      <c r="MP22" s="700"/>
      <c r="MQ22" s="700"/>
      <c r="MR22" s="700"/>
      <c r="MS22" s="700"/>
      <c r="MT22" s="700"/>
      <c r="MU22" s="700"/>
      <c r="MV22" s="700"/>
      <c r="MW22" s="700"/>
      <c r="MX22" s="700"/>
      <c r="MY22" s="700"/>
      <c r="MZ22" s="700"/>
      <c r="NA22" s="700"/>
      <c r="NB22" s="700"/>
      <c r="NC22" s="700"/>
      <c r="ND22" s="700"/>
      <c r="NE22" s="700"/>
      <c r="NF22" s="700"/>
      <c r="NG22" s="700"/>
      <c r="NH22" s="700"/>
      <c r="NI22" s="700"/>
      <c r="NJ22" s="700"/>
      <c r="NK22" s="700"/>
      <c r="NL22" s="700"/>
      <c r="NM22" s="700"/>
      <c r="NN22" s="700"/>
      <c r="NO22" s="700"/>
      <c r="NP22" s="700"/>
      <c r="NQ22" s="700"/>
      <c r="NR22" s="700"/>
      <c r="NS22" s="700"/>
      <c r="NT22" s="700"/>
      <c r="NU22" s="700"/>
      <c r="NV22" s="700"/>
      <c r="NW22" s="700"/>
      <c r="NX22" s="700"/>
      <c r="NY22" s="700"/>
      <c r="NZ22" s="700"/>
      <c r="OA22" s="700"/>
      <c r="OB22" s="700"/>
      <c r="OC22" s="700"/>
      <c r="OD22" s="700"/>
      <c r="OE22" s="700"/>
      <c r="OF22" s="700"/>
      <c r="OG22" s="700"/>
      <c r="OH22" s="700"/>
      <c r="OI22" s="700"/>
      <c r="OJ22" s="700"/>
      <c r="OK22" s="700"/>
      <c r="OL22" s="700"/>
      <c r="OM22" s="700"/>
      <c r="ON22" s="700"/>
      <c r="OO22" s="700"/>
      <c r="OP22" s="700"/>
      <c r="OQ22" s="700"/>
      <c r="OR22" s="700"/>
      <c r="OS22" s="700"/>
      <c r="OT22" s="700"/>
      <c r="OU22" s="700"/>
      <c r="OV22" s="700"/>
      <c r="OW22" s="700"/>
      <c r="OX22" s="700"/>
      <c r="OY22" s="700"/>
      <c r="OZ22" s="700"/>
      <c r="PA22" s="700"/>
      <c r="PB22" s="700"/>
      <c r="PC22" s="700"/>
      <c r="PD22" s="700"/>
      <c r="PE22" s="700"/>
      <c r="PF22" s="700"/>
      <c r="PG22" s="700"/>
      <c r="PH22" s="700"/>
      <c r="PI22" s="700"/>
      <c r="PJ22" s="700"/>
      <c r="PK22" s="700"/>
      <c r="PL22" s="700"/>
      <c r="PM22" s="700"/>
      <c r="PN22" s="700"/>
      <c r="PO22" s="700"/>
      <c r="PP22" s="700"/>
      <c r="PQ22" s="700"/>
      <c r="PR22" s="700"/>
      <c r="PS22" s="700"/>
      <c r="PT22" s="700"/>
      <c r="PU22" s="700"/>
      <c r="PV22" s="700"/>
      <c r="PW22" s="700"/>
      <c r="PX22" s="700"/>
      <c r="PY22" s="700"/>
      <c r="PZ22" s="700"/>
      <c r="QA22" s="700"/>
      <c r="QB22" s="700"/>
      <c r="QC22" s="700"/>
      <c r="QD22" s="700"/>
      <c r="QE22" s="700"/>
      <c r="QF22" s="700"/>
      <c r="QG22" s="700"/>
      <c r="QH22" s="700"/>
      <c r="QI22" s="700"/>
      <c r="QJ22" s="700"/>
      <c r="QK22" s="700"/>
      <c r="QL22" s="700"/>
      <c r="QM22" s="700"/>
      <c r="QN22" s="700"/>
      <c r="QO22" s="700"/>
      <c r="QP22" s="700"/>
      <c r="QQ22" s="700"/>
      <c r="QR22" s="700"/>
      <c r="QS22" s="700"/>
      <c r="QT22" s="700"/>
      <c r="QU22" s="700"/>
      <c r="QV22" s="700"/>
      <c r="QW22" s="700"/>
      <c r="QX22" s="700"/>
      <c r="QY22" s="700"/>
      <c r="QZ22" s="700"/>
      <c r="RA22" s="700"/>
      <c r="RB22" s="700"/>
      <c r="RC22" s="700"/>
      <c r="RD22" s="700"/>
      <c r="RE22" s="700"/>
      <c r="RF22" s="700"/>
      <c r="RG22" s="700"/>
      <c r="RH22" s="700"/>
      <c r="RI22" s="700"/>
      <c r="RJ22" s="700"/>
      <c r="RK22" s="700"/>
      <c r="RL22" s="700"/>
      <c r="RM22" s="700"/>
      <c r="RN22" s="700"/>
      <c r="RO22" s="700"/>
      <c r="RP22" s="700"/>
      <c r="RQ22" s="700"/>
      <c r="RR22" s="700"/>
      <c r="RS22" s="700"/>
      <c r="RT22" s="700"/>
      <c r="RU22" s="700"/>
      <c r="RV22" s="700"/>
      <c r="RW22" s="700"/>
      <c r="RX22" s="700"/>
      <c r="RY22" s="700"/>
      <c r="RZ22" s="700"/>
      <c r="SA22" s="700"/>
      <c r="SB22" s="700"/>
      <c r="SC22" s="700"/>
      <c r="SD22" s="700"/>
      <c r="SE22" s="700"/>
      <c r="SF22" s="700"/>
      <c r="SG22" s="700"/>
      <c r="SH22" s="700"/>
      <c r="SI22" s="700"/>
      <c r="SJ22" s="700"/>
      <c r="SK22" s="700"/>
      <c r="SL22" s="700"/>
      <c r="SM22" s="700"/>
      <c r="SN22" s="700"/>
      <c r="SO22" s="700"/>
      <c r="SP22" s="700"/>
      <c r="SQ22" s="700"/>
      <c r="SR22" s="700"/>
      <c r="SS22" s="700"/>
      <c r="ST22" s="700"/>
      <c r="SU22" s="700"/>
      <c r="SV22" s="700"/>
      <c r="SW22" s="700"/>
      <c r="SX22" s="700"/>
      <c r="SY22" s="700"/>
      <c r="SZ22" s="700"/>
      <c r="TA22" s="700"/>
      <c r="TB22" s="700"/>
      <c r="TC22" s="700"/>
      <c r="TD22" s="700"/>
      <c r="TE22" s="700"/>
      <c r="TF22" s="700"/>
      <c r="TG22" s="700"/>
      <c r="TH22" s="700"/>
      <c r="TI22" s="700"/>
      <c r="TJ22" s="700"/>
      <c r="TK22" s="700"/>
      <c r="TL22" s="700"/>
      <c r="TM22" s="700"/>
      <c r="TN22" s="700"/>
      <c r="TO22" s="700"/>
      <c r="TP22" s="700"/>
      <c r="TQ22" s="700"/>
      <c r="TR22" s="700"/>
      <c r="TS22" s="700"/>
      <c r="TT22" s="700"/>
      <c r="TU22" s="700"/>
      <c r="TV22" s="700"/>
      <c r="TW22" s="700"/>
      <c r="TX22" s="700"/>
      <c r="TY22" s="700"/>
      <c r="TZ22" s="700"/>
      <c r="UA22" s="700"/>
      <c r="UB22" s="700"/>
      <c r="UC22" s="700"/>
      <c r="UD22" s="700"/>
      <c r="UE22" s="700"/>
      <c r="UF22" s="700"/>
      <c r="UG22" s="700"/>
      <c r="UH22" s="700"/>
      <c r="UI22" s="700"/>
      <c r="UJ22" s="700"/>
      <c r="UK22" s="700"/>
      <c r="UL22" s="700"/>
      <c r="UM22" s="700"/>
      <c r="UN22" s="700"/>
      <c r="UO22" s="700"/>
      <c r="UP22" s="700"/>
      <c r="UQ22" s="700"/>
      <c r="UR22" s="700"/>
      <c r="US22" s="700"/>
      <c r="UT22" s="700"/>
      <c r="UU22" s="700"/>
      <c r="UV22" s="700"/>
      <c r="UW22" s="700"/>
      <c r="UX22" s="700"/>
      <c r="UY22" s="700"/>
      <c r="UZ22" s="700"/>
      <c r="VA22" s="700"/>
      <c r="VB22" s="700"/>
      <c r="VC22" s="700"/>
      <c r="VD22" s="700"/>
      <c r="VE22" s="700"/>
      <c r="VF22" s="700"/>
      <c r="VG22" s="700"/>
      <c r="VH22" s="700"/>
      <c r="VI22" s="700"/>
      <c r="VJ22" s="700"/>
      <c r="VK22" s="700"/>
      <c r="VL22" s="700"/>
      <c r="VM22" s="700"/>
      <c r="VN22" s="700"/>
      <c r="VO22" s="700"/>
      <c r="VP22" s="700"/>
      <c r="VQ22" s="700"/>
      <c r="VR22" s="700"/>
      <c r="VS22" s="700"/>
      <c r="VT22" s="700"/>
      <c r="VU22" s="700"/>
      <c r="VV22" s="700"/>
      <c r="VW22" s="700"/>
      <c r="VX22" s="700"/>
      <c r="VY22" s="700"/>
      <c r="VZ22" s="700"/>
      <c r="WA22" s="700"/>
      <c r="WB22" s="700"/>
      <c r="WC22" s="700"/>
      <c r="WD22" s="700"/>
      <c r="WE22" s="700"/>
      <c r="WF22" s="700"/>
      <c r="WG22" s="700"/>
      <c r="WH22" s="700"/>
      <c r="WI22" s="700"/>
      <c r="WJ22" s="700"/>
      <c r="WK22" s="700"/>
      <c r="WL22" s="700"/>
      <c r="WM22" s="700"/>
      <c r="WN22" s="700"/>
      <c r="WO22" s="700"/>
      <c r="WP22" s="700"/>
      <c r="WQ22" s="700"/>
      <c r="WR22" s="700"/>
      <c r="WS22" s="700"/>
      <c r="WT22" s="700"/>
      <c r="WU22" s="700"/>
      <c r="WV22" s="700"/>
      <c r="WW22" s="700"/>
      <c r="WX22" s="700"/>
      <c r="WY22" s="700"/>
      <c r="WZ22" s="700"/>
      <c r="XA22" s="700"/>
      <c r="XB22" s="700"/>
      <c r="XC22" s="700"/>
      <c r="XD22" s="700"/>
      <c r="XE22" s="700"/>
      <c r="XF22" s="700"/>
      <c r="XG22" s="700"/>
      <c r="XH22" s="700"/>
      <c r="XI22" s="700"/>
      <c r="XJ22" s="700"/>
      <c r="XK22" s="700"/>
      <c r="XL22" s="700"/>
      <c r="XM22" s="700"/>
      <c r="XN22" s="700"/>
      <c r="XO22" s="700"/>
      <c r="XP22" s="700"/>
      <c r="XQ22" s="700"/>
      <c r="XR22" s="700"/>
      <c r="XS22" s="700"/>
      <c r="XT22" s="700"/>
      <c r="XU22" s="700"/>
      <c r="XV22" s="700"/>
      <c r="XW22" s="700"/>
      <c r="XX22" s="700"/>
      <c r="XY22" s="700"/>
      <c r="XZ22" s="700"/>
      <c r="YA22" s="700"/>
      <c r="YB22" s="700"/>
      <c r="YC22" s="700"/>
      <c r="YD22" s="700"/>
      <c r="YE22" s="700"/>
      <c r="YF22" s="700"/>
      <c r="YG22" s="700"/>
      <c r="YH22" s="700"/>
      <c r="YI22" s="700"/>
      <c r="YJ22" s="700"/>
      <c r="YK22" s="700"/>
      <c r="YL22" s="700"/>
      <c r="YM22" s="700"/>
      <c r="YN22" s="700"/>
      <c r="YO22" s="700"/>
      <c r="YP22" s="700"/>
      <c r="YQ22" s="700"/>
      <c r="YR22" s="700"/>
      <c r="YS22" s="700"/>
      <c r="YT22" s="700"/>
      <c r="YU22" s="700"/>
      <c r="YV22" s="700"/>
      <c r="YW22" s="700"/>
      <c r="YX22" s="700"/>
      <c r="YY22" s="700"/>
      <c r="YZ22" s="700"/>
      <c r="ZA22" s="700"/>
      <c r="ZB22" s="700"/>
      <c r="ZC22" s="700"/>
      <c r="ZD22" s="700"/>
      <c r="ZE22" s="700"/>
      <c r="ZF22" s="700"/>
      <c r="ZG22" s="700"/>
      <c r="ZH22" s="700"/>
      <c r="ZI22" s="700"/>
      <c r="ZJ22" s="700"/>
      <c r="ZK22" s="700"/>
      <c r="ZL22" s="700"/>
      <c r="ZM22" s="700"/>
      <c r="ZN22" s="700"/>
      <c r="ZO22" s="700"/>
      <c r="ZP22" s="700"/>
      <c r="ZQ22" s="700"/>
      <c r="ZR22" s="700"/>
      <c r="ZS22" s="700"/>
      <c r="ZT22" s="700"/>
      <c r="ZU22" s="700"/>
      <c r="ZV22" s="700"/>
      <c r="ZW22" s="700"/>
      <c r="ZX22" s="700"/>
      <c r="ZY22" s="700"/>
      <c r="ZZ22" s="700"/>
      <c r="AAA22" s="700"/>
      <c r="AAB22" s="700"/>
      <c r="AAC22" s="700"/>
      <c r="AAD22" s="700"/>
      <c r="AAE22" s="700"/>
      <c r="AAF22" s="700"/>
      <c r="AAG22" s="700"/>
      <c r="AAH22" s="700"/>
      <c r="AAI22" s="700"/>
      <c r="AAJ22" s="700"/>
      <c r="AAK22" s="700"/>
      <c r="AAL22" s="700"/>
      <c r="AAM22" s="700"/>
      <c r="AAN22" s="700"/>
      <c r="AAO22" s="700"/>
      <c r="AAP22" s="700"/>
      <c r="AAQ22" s="700"/>
      <c r="AAR22" s="700"/>
      <c r="AAS22" s="700"/>
      <c r="AAT22" s="700"/>
      <c r="AAU22" s="700"/>
      <c r="AAV22" s="700"/>
      <c r="AAW22" s="700"/>
      <c r="AAX22" s="700"/>
      <c r="AAY22" s="700"/>
      <c r="AAZ22" s="700"/>
      <c r="ABA22" s="700"/>
      <c r="ABB22" s="700"/>
      <c r="ABC22" s="700"/>
      <c r="ABD22" s="700"/>
      <c r="ABE22" s="700"/>
      <c r="ABF22" s="700"/>
      <c r="ABG22" s="700"/>
      <c r="ABH22" s="700"/>
      <c r="ABI22" s="700"/>
      <c r="ABJ22" s="700"/>
      <c r="ABK22" s="700"/>
      <c r="ABL22" s="700"/>
      <c r="ABM22" s="700"/>
      <c r="ABN22" s="700"/>
      <c r="ABO22" s="700"/>
      <c r="ABP22" s="700"/>
      <c r="ABQ22" s="700"/>
      <c r="ABR22" s="700"/>
      <c r="ABS22" s="700"/>
      <c r="ABT22" s="700"/>
      <c r="ABU22" s="700"/>
      <c r="ABV22" s="700"/>
      <c r="ABW22" s="700"/>
      <c r="ABX22" s="700"/>
      <c r="ABY22" s="700"/>
      <c r="ABZ22" s="700"/>
      <c r="ACA22" s="700"/>
      <c r="ACB22" s="700"/>
      <c r="ACC22" s="700"/>
      <c r="ACD22" s="700"/>
      <c r="ACE22" s="700"/>
      <c r="ACF22" s="700"/>
      <c r="ACG22" s="700"/>
      <c r="ACH22" s="700"/>
      <c r="ACI22" s="700"/>
      <c r="ACJ22" s="700"/>
      <c r="ACK22" s="700"/>
      <c r="ACL22" s="700"/>
      <c r="ACM22" s="700"/>
      <c r="ACN22" s="700"/>
      <c r="ACO22" s="700"/>
      <c r="ACP22" s="700"/>
      <c r="ACQ22" s="700"/>
      <c r="ACR22" s="700"/>
      <c r="ACS22" s="700"/>
      <c r="ACT22" s="700"/>
      <c r="ACU22" s="700"/>
      <c r="ACV22" s="700"/>
      <c r="ACW22" s="700"/>
      <c r="ACX22" s="700"/>
      <c r="ACY22" s="700"/>
      <c r="ACZ22" s="700"/>
      <c r="ADA22" s="700"/>
      <c r="ADB22" s="700"/>
      <c r="ADC22" s="700"/>
      <c r="ADD22" s="700"/>
      <c r="ADE22" s="700"/>
      <c r="ADF22" s="700"/>
      <c r="ADG22" s="700"/>
      <c r="ADH22" s="700"/>
      <c r="ADI22" s="700"/>
      <c r="ADJ22" s="700"/>
      <c r="ADK22" s="700"/>
      <c r="ADL22" s="700"/>
      <c r="ADM22" s="700"/>
      <c r="ADN22" s="700"/>
      <c r="ADO22" s="700"/>
      <c r="ADP22" s="700"/>
      <c r="ADQ22" s="700"/>
      <c r="ADR22" s="700"/>
      <c r="ADS22" s="700"/>
      <c r="ADT22" s="700"/>
      <c r="ADU22" s="700"/>
      <c r="ADV22" s="700"/>
      <c r="ADW22" s="700"/>
      <c r="ADX22" s="700"/>
      <c r="ADY22" s="700"/>
      <c r="ADZ22" s="700"/>
      <c r="AEA22" s="700"/>
      <c r="AEB22" s="700"/>
      <c r="AEC22" s="700"/>
      <c r="AED22" s="700"/>
      <c r="AEE22" s="700"/>
      <c r="AEF22" s="700"/>
      <c r="AEG22" s="700"/>
      <c r="AEH22" s="700"/>
      <c r="AEI22" s="700"/>
      <c r="AEJ22" s="700"/>
      <c r="AEK22" s="700"/>
      <c r="AEL22" s="700"/>
      <c r="AEM22" s="700"/>
      <c r="AEN22" s="700"/>
      <c r="AEO22" s="700"/>
      <c r="AEP22" s="700"/>
      <c r="AEQ22" s="700"/>
      <c r="AER22" s="700"/>
      <c r="AES22" s="700"/>
      <c r="AET22" s="700"/>
      <c r="AEU22" s="700"/>
      <c r="AEV22" s="700"/>
      <c r="AEW22" s="700"/>
      <c r="AEX22" s="700"/>
      <c r="AEY22" s="700"/>
      <c r="AEZ22" s="700"/>
      <c r="AFA22" s="700"/>
      <c r="AFB22" s="700"/>
      <c r="AFC22" s="700"/>
      <c r="AFD22" s="700"/>
      <c r="AFE22" s="700"/>
      <c r="AFF22" s="700"/>
      <c r="AFG22" s="700"/>
      <c r="AFH22" s="700"/>
      <c r="AFI22" s="700"/>
      <c r="AFJ22" s="700"/>
      <c r="AFK22" s="700"/>
      <c r="AFL22" s="700"/>
      <c r="AFM22" s="700"/>
      <c r="AFN22" s="700"/>
      <c r="AFO22" s="700"/>
      <c r="AFP22" s="700"/>
      <c r="AFQ22" s="700"/>
      <c r="AFR22" s="700"/>
      <c r="AFS22" s="700"/>
      <c r="AFT22" s="700"/>
      <c r="AFU22" s="700"/>
      <c r="AFV22" s="700"/>
      <c r="AFW22" s="700"/>
      <c r="AFX22" s="700"/>
      <c r="AFY22" s="700"/>
      <c r="AFZ22" s="700"/>
      <c r="AGA22" s="700"/>
      <c r="AGB22" s="700"/>
      <c r="AGC22" s="700"/>
      <c r="AGD22" s="700"/>
      <c r="AGE22" s="700"/>
      <c r="AGF22" s="700"/>
      <c r="AGG22" s="700"/>
      <c r="AGH22" s="700"/>
      <c r="AGI22" s="700"/>
      <c r="AGJ22" s="700"/>
      <c r="AGK22" s="700"/>
      <c r="AGL22" s="700"/>
      <c r="AGM22" s="700"/>
      <c r="AGN22" s="700"/>
      <c r="AGO22" s="700"/>
      <c r="AGP22" s="700"/>
      <c r="AGQ22" s="700"/>
      <c r="AGR22" s="700"/>
      <c r="AGS22" s="700"/>
      <c r="AGT22" s="700"/>
      <c r="AGU22" s="700"/>
      <c r="AGV22" s="700"/>
      <c r="AGW22" s="700"/>
      <c r="AGX22" s="700"/>
      <c r="AGY22" s="700"/>
      <c r="AGZ22" s="700"/>
      <c r="AHA22" s="700"/>
      <c r="AHB22" s="700"/>
      <c r="AHC22" s="700"/>
      <c r="AHD22" s="700"/>
      <c r="AHE22" s="700"/>
      <c r="AHF22" s="700"/>
      <c r="AHG22" s="700"/>
      <c r="AHH22" s="700"/>
      <c r="AHI22" s="700"/>
      <c r="AHJ22" s="700"/>
      <c r="AHK22" s="700"/>
      <c r="AHL22" s="700"/>
      <c r="AHM22" s="700"/>
      <c r="AHN22" s="700"/>
      <c r="AHO22" s="700"/>
      <c r="AHP22" s="700"/>
      <c r="AHQ22" s="700"/>
      <c r="AHR22" s="700"/>
      <c r="AHS22" s="700"/>
      <c r="AHT22" s="700"/>
      <c r="AHU22" s="700"/>
      <c r="AHV22" s="700"/>
      <c r="AHW22" s="700"/>
      <c r="AHX22" s="700"/>
      <c r="AHY22" s="700"/>
      <c r="AHZ22" s="700"/>
      <c r="AIA22" s="700"/>
      <c r="AIB22" s="700"/>
      <c r="AIC22" s="700"/>
      <c r="AID22" s="700"/>
      <c r="AIE22" s="700"/>
      <c r="AIF22" s="700"/>
      <c r="AIG22" s="700"/>
      <c r="AIH22" s="700"/>
      <c r="AII22" s="700"/>
      <c r="AIJ22" s="700"/>
      <c r="AIK22" s="700"/>
      <c r="AIL22" s="700"/>
      <c r="AIM22" s="700"/>
      <c r="AIN22" s="700"/>
      <c r="AIO22" s="700"/>
      <c r="AIP22" s="700"/>
      <c r="AIQ22" s="700"/>
      <c r="AIR22" s="700"/>
      <c r="AIS22" s="700"/>
      <c r="AIT22" s="700"/>
      <c r="AIU22" s="700"/>
      <c r="AIV22" s="700"/>
      <c r="AIW22" s="700"/>
      <c r="AIX22" s="700"/>
      <c r="AIY22" s="700"/>
      <c r="AIZ22" s="700"/>
      <c r="AJA22" s="700"/>
      <c r="AJB22" s="700"/>
      <c r="AJC22" s="700"/>
      <c r="AJD22" s="700"/>
      <c r="AJE22" s="700"/>
      <c r="AJF22" s="700"/>
      <c r="AJG22" s="700"/>
      <c r="AJH22" s="700"/>
      <c r="AJI22" s="700"/>
      <c r="AJJ22" s="700"/>
      <c r="AJK22" s="700"/>
      <c r="AJL22" s="700"/>
      <c r="AJM22" s="700"/>
      <c r="AJN22" s="700"/>
      <c r="AJO22" s="700"/>
      <c r="AJP22" s="700"/>
      <c r="AJQ22" s="700"/>
      <c r="AJR22" s="700"/>
      <c r="AJS22" s="700"/>
      <c r="AJT22" s="700"/>
      <c r="AJU22" s="700"/>
      <c r="AJV22" s="700"/>
      <c r="AJW22" s="700"/>
      <c r="AJX22" s="700"/>
      <c r="AJY22" s="700"/>
      <c r="AJZ22" s="700"/>
      <c r="AKA22" s="700"/>
      <c r="AKB22" s="700"/>
      <c r="AKC22" s="700"/>
      <c r="AKD22" s="700"/>
      <c r="AKE22" s="700"/>
      <c r="AKF22" s="700"/>
      <c r="AKG22" s="700"/>
      <c r="AKH22" s="700"/>
      <c r="AKI22" s="700"/>
      <c r="AKJ22" s="700"/>
      <c r="AKK22" s="700"/>
      <c r="AKL22" s="700"/>
      <c r="AKM22" s="700"/>
      <c r="AKN22" s="700"/>
      <c r="AKO22" s="700"/>
      <c r="AKP22" s="700"/>
      <c r="AKQ22" s="700"/>
      <c r="AKR22" s="700"/>
      <c r="AKS22" s="700"/>
      <c r="AKT22" s="700"/>
      <c r="AKU22" s="700"/>
      <c r="AKV22" s="700"/>
      <c r="AKW22" s="700"/>
      <c r="AKX22" s="700"/>
      <c r="AKY22" s="700"/>
      <c r="AKZ22" s="700"/>
      <c r="ALA22" s="700"/>
      <c r="ALB22" s="700"/>
      <c r="ALC22" s="700"/>
      <c r="ALD22" s="700"/>
      <c r="ALE22" s="700"/>
      <c r="ALF22" s="700"/>
      <c r="ALG22" s="700"/>
      <c r="ALH22" s="700"/>
      <c r="ALI22" s="700"/>
      <c r="ALJ22" s="700"/>
      <c r="ALK22" s="700"/>
      <c r="ALL22" s="700"/>
      <c r="ALM22" s="700"/>
      <c r="ALN22" s="700"/>
      <c r="ALO22" s="700"/>
      <c r="ALP22" s="700"/>
      <c r="ALQ22" s="700"/>
      <c r="ALR22" s="700"/>
      <c r="ALS22" s="700"/>
      <c r="ALT22" s="700"/>
      <c r="ALU22" s="700"/>
      <c r="ALV22" s="700"/>
      <c r="ALW22" s="700"/>
      <c r="ALX22" s="700"/>
      <c r="ALY22" s="700"/>
      <c r="ALZ22" s="700"/>
      <c r="AMA22" s="700"/>
      <c r="AMB22" s="700"/>
      <c r="AMC22" s="700"/>
      <c r="AMD22" s="700"/>
      <c r="AME22" s="700"/>
      <c r="AMF22" s="700"/>
      <c r="AMG22" s="700"/>
      <c r="AMH22" s="700"/>
      <c r="AMI22" s="700"/>
      <c r="AMJ22" s="700"/>
      <c r="AMK22" s="700"/>
      <c r="AML22" s="700"/>
      <c r="AMM22" s="700"/>
      <c r="AMN22" s="700"/>
      <c r="AMO22" s="700"/>
      <c r="AMP22" s="700"/>
      <c r="AMQ22" s="700"/>
      <c r="AMR22" s="700"/>
      <c r="AMS22" s="700"/>
      <c r="AMT22" s="700"/>
      <c r="AMU22" s="700"/>
      <c r="AMV22" s="700"/>
      <c r="AMW22" s="700"/>
      <c r="AMX22" s="700"/>
      <c r="AMY22" s="700"/>
      <c r="AMZ22" s="700"/>
      <c r="ANA22" s="700"/>
      <c r="ANB22" s="700"/>
      <c r="ANC22" s="700"/>
      <c r="AND22" s="700"/>
      <c r="ANE22" s="700"/>
      <c r="ANF22" s="700"/>
      <c r="ANG22" s="700"/>
      <c r="ANH22" s="700"/>
      <c r="ANI22" s="700"/>
      <c r="ANJ22" s="700"/>
      <c r="ANK22" s="700"/>
      <c r="ANL22" s="700"/>
      <c r="ANM22" s="700"/>
      <c r="ANN22" s="700"/>
      <c r="ANO22" s="700"/>
      <c r="ANP22" s="700"/>
      <c r="ANQ22" s="700"/>
      <c r="ANR22" s="700"/>
      <c r="ANS22" s="700"/>
      <c r="ANT22" s="700"/>
      <c r="ANU22" s="700"/>
      <c r="ANV22" s="700"/>
      <c r="ANW22" s="700"/>
      <c r="ANX22" s="700"/>
      <c r="ANY22" s="700"/>
      <c r="ANZ22" s="700"/>
      <c r="AOA22" s="700"/>
      <c r="AOB22" s="700"/>
      <c r="AOC22" s="700"/>
      <c r="AOD22" s="700"/>
      <c r="AOE22" s="700"/>
      <c r="AOF22" s="700"/>
      <c r="AOG22" s="700"/>
      <c r="AOH22" s="700"/>
      <c r="AOI22" s="700"/>
      <c r="AOJ22" s="700"/>
      <c r="AOK22" s="700"/>
      <c r="AOL22" s="700"/>
      <c r="AOM22" s="700"/>
      <c r="AON22" s="700"/>
      <c r="AOO22" s="700"/>
      <c r="AOP22" s="700"/>
      <c r="AOQ22" s="700"/>
      <c r="AOR22" s="700"/>
      <c r="AOS22" s="700"/>
      <c r="AOT22" s="700"/>
      <c r="AOU22" s="700"/>
      <c r="AOV22" s="700"/>
      <c r="AOW22" s="700"/>
      <c r="AOX22" s="700"/>
      <c r="AOY22" s="700"/>
      <c r="AOZ22" s="700"/>
      <c r="APA22" s="700"/>
      <c r="APB22" s="700"/>
      <c r="APC22" s="700"/>
      <c r="APD22" s="700"/>
      <c r="APE22" s="700"/>
      <c r="APF22" s="700"/>
      <c r="APG22" s="700"/>
      <c r="APH22" s="700"/>
      <c r="API22" s="700"/>
      <c r="APJ22" s="700"/>
      <c r="APK22" s="700"/>
      <c r="APL22" s="700"/>
      <c r="APM22" s="700"/>
      <c r="APN22" s="700"/>
      <c r="APO22" s="700"/>
      <c r="APP22" s="700"/>
      <c r="APQ22" s="700"/>
      <c r="APR22" s="700"/>
      <c r="APS22" s="700"/>
      <c r="APT22" s="700"/>
      <c r="APU22" s="700"/>
      <c r="APV22" s="700"/>
      <c r="APW22" s="700"/>
      <c r="APX22" s="700"/>
      <c r="APY22" s="700"/>
      <c r="APZ22" s="700"/>
      <c r="AQA22" s="700"/>
      <c r="AQB22" s="700"/>
      <c r="AQC22" s="700"/>
      <c r="AQD22" s="700"/>
      <c r="AQE22" s="700"/>
      <c r="AQF22" s="700"/>
      <c r="AQG22" s="700"/>
      <c r="AQH22" s="700"/>
      <c r="AQI22" s="700"/>
      <c r="AQJ22" s="700"/>
      <c r="AQK22" s="700"/>
      <c r="AQL22" s="700"/>
      <c r="AQM22" s="700"/>
      <c r="AQN22" s="700"/>
      <c r="AQO22" s="700"/>
      <c r="AQP22" s="700"/>
      <c r="AQQ22" s="700"/>
      <c r="AQR22" s="700"/>
      <c r="AQS22" s="700"/>
      <c r="AQT22" s="700"/>
      <c r="AQU22" s="700"/>
      <c r="AQV22" s="700"/>
      <c r="AQW22" s="700"/>
      <c r="AQX22" s="700"/>
      <c r="AQY22" s="700"/>
      <c r="AQZ22" s="700"/>
      <c r="ARA22" s="700"/>
      <c r="ARB22" s="700"/>
      <c r="ARC22" s="700"/>
      <c r="ARD22" s="700"/>
      <c r="ARE22" s="700"/>
      <c r="ARF22" s="700"/>
      <c r="ARG22" s="700"/>
      <c r="ARH22" s="700"/>
      <c r="ARI22" s="700"/>
      <c r="ARJ22" s="700"/>
      <c r="ARK22" s="700"/>
      <c r="ARL22" s="700"/>
      <c r="ARM22" s="700"/>
      <c r="ARN22" s="700"/>
      <c r="ARO22" s="700"/>
      <c r="ARP22" s="700"/>
      <c r="ARQ22" s="700"/>
      <c r="ARR22" s="700"/>
      <c r="ARS22" s="700"/>
      <c r="ART22" s="700"/>
      <c r="ARU22" s="700"/>
      <c r="ARV22" s="700"/>
      <c r="ARW22" s="700"/>
      <c r="ARX22" s="700"/>
      <c r="ARY22" s="700"/>
      <c r="ARZ22" s="700"/>
      <c r="ASA22" s="700"/>
      <c r="ASB22" s="700"/>
      <c r="ASC22" s="700"/>
      <c r="ASD22" s="700"/>
      <c r="ASE22" s="700"/>
      <c r="ASF22" s="700"/>
      <c r="ASG22" s="700"/>
      <c r="ASH22" s="700"/>
      <c r="ASI22" s="700"/>
      <c r="ASJ22" s="700"/>
      <c r="ASK22" s="700"/>
      <c r="ASL22" s="700"/>
      <c r="ASM22" s="700"/>
      <c r="ASN22" s="700"/>
      <c r="ASO22" s="700"/>
      <c r="ASP22" s="700"/>
      <c r="ASQ22" s="700"/>
      <c r="ASR22" s="700"/>
      <c r="ASS22" s="700"/>
      <c r="AST22" s="700"/>
      <c r="ASU22" s="700"/>
      <c r="ASV22" s="700"/>
      <c r="ASW22" s="700"/>
      <c r="ASX22" s="700"/>
      <c r="ASY22" s="700"/>
      <c r="ASZ22" s="700"/>
      <c r="ATA22" s="700"/>
      <c r="ATB22" s="700"/>
      <c r="ATC22" s="700"/>
      <c r="ATD22" s="700"/>
      <c r="ATE22" s="700"/>
      <c r="ATF22" s="700"/>
      <c r="ATG22" s="700"/>
      <c r="ATH22" s="700"/>
      <c r="ATI22" s="700"/>
      <c r="ATJ22" s="700"/>
      <c r="ATK22" s="700"/>
      <c r="ATL22" s="700"/>
      <c r="ATM22" s="700"/>
      <c r="ATN22" s="700"/>
      <c r="ATO22" s="700"/>
      <c r="ATP22" s="700"/>
      <c r="ATQ22" s="700"/>
      <c r="ATR22" s="700"/>
      <c r="ATS22" s="700"/>
      <c r="ATT22" s="700"/>
      <c r="ATU22" s="700"/>
      <c r="ATV22" s="700"/>
      <c r="ATW22" s="700"/>
      <c r="ATX22" s="700"/>
      <c r="ATY22" s="700"/>
      <c r="ATZ22" s="700"/>
      <c r="AUA22" s="700"/>
      <c r="AUB22" s="700"/>
      <c r="AUC22" s="700"/>
      <c r="AUD22" s="700"/>
      <c r="AUE22" s="700"/>
      <c r="AUF22" s="700"/>
      <c r="AUG22" s="700"/>
      <c r="AUH22" s="700"/>
      <c r="AUI22" s="700"/>
      <c r="AUJ22" s="700"/>
      <c r="AUK22" s="700"/>
      <c r="AUL22" s="700"/>
      <c r="AUM22" s="700"/>
      <c r="AUN22" s="700"/>
      <c r="AUO22" s="700"/>
      <c r="AUP22" s="700"/>
      <c r="AUQ22" s="700"/>
      <c r="AUR22" s="700"/>
      <c r="AUS22" s="700"/>
      <c r="AUT22" s="700"/>
      <c r="AUU22" s="700"/>
      <c r="AUV22" s="700"/>
      <c r="AUW22" s="700"/>
      <c r="AUX22" s="700"/>
      <c r="AUY22" s="700"/>
      <c r="AUZ22" s="700"/>
      <c r="AVA22" s="700"/>
      <c r="AVB22" s="700"/>
      <c r="AVC22" s="700"/>
      <c r="AVD22" s="700"/>
      <c r="AVE22" s="700"/>
      <c r="AVF22" s="700"/>
      <c r="AVG22" s="700"/>
      <c r="AVH22" s="700"/>
      <c r="AVI22" s="700"/>
      <c r="AVJ22" s="700"/>
      <c r="AVK22" s="700"/>
      <c r="AVL22" s="700"/>
      <c r="AVM22" s="700"/>
      <c r="AVN22" s="700"/>
      <c r="AVO22" s="700"/>
      <c r="AVP22" s="700"/>
      <c r="AVQ22" s="700"/>
      <c r="AVR22" s="700"/>
      <c r="AVS22" s="700"/>
      <c r="AVT22" s="700"/>
      <c r="AVU22" s="700"/>
      <c r="AVV22" s="700"/>
      <c r="AVW22" s="700"/>
      <c r="AVX22" s="700"/>
      <c r="AVY22" s="700"/>
      <c r="AVZ22" s="700"/>
      <c r="AWA22" s="700"/>
      <c r="AWB22" s="700"/>
      <c r="AWC22" s="700"/>
      <c r="AWD22" s="700"/>
      <c r="AWE22" s="700"/>
      <c r="AWF22" s="700"/>
      <c r="AWG22" s="700"/>
      <c r="AWH22" s="700"/>
      <c r="AWI22" s="700"/>
      <c r="AWJ22" s="700"/>
      <c r="AWK22" s="700"/>
      <c r="AWL22" s="700"/>
      <c r="AWM22" s="700"/>
      <c r="AWN22" s="700"/>
      <c r="AWO22" s="700"/>
      <c r="AWP22" s="700"/>
      <c r="AWQ22" s="700"/>
      <c r="AWR22" s="700"/>
      <c r="AWS22" s="700"/>
      <c r="AWT22" s="700"/>
      <c r="AWU22" s="700"/>
      <c r="AWV22" s="700"/>
      <c r="AWW22" s="700"/>
      <c r="AWX22" s="700"/>
      <c r="AWY22" s="700"/>
      <c r="AWZ22" s="700"/>
      <c r="AXA22" s="700"/>
      <c r="AXB22" s="700"/>
      <c r="AXC22" s="700"/>
      <c r="AXD22" s="700"/>
      <c r="AXE22" s="700"/>
      <c r="AXF22" s="700"/>
      <c r="AXG22" s="700"/>
      <c r="AXH22" s="700"/>
      <c r="AXI22" s="700"/>
      <c r="AXJ22" s="700"/>
      <c r="AXK22" s="700"/>
      <c r="AXL22" s="700"/>
      <c r="AXM22" s="700"/>
      <c r="AXN22" s="700"/>
      <c r="AXO22" s="700"/>
      <c r="AXP22" s="700"/>
      <c r="AXQ22" s="700"/>
      <c r="AXR22" s="700"/>
      <c r="AXS22" s="700"/>
      <c r="AXT22" s="700"/>
      <c r="AXU22" s="700"/>
      <c r="AXV22" s="700"/>
      <c r="AXW22" s="700"/>
      <c r="AXX22" s="700"/>
      <c r="AXY22" s="700"/>
      <c r="AXZ22" s="700"/>
      <c r="AYA22" s="700"/>
      <c r="AYB22" s="700"/>
      <c r="AYC22" s="700"/>
      <c r="AYD22" s="700"/>
      <c r="AYE22" s="700"/>
      <c r="AYF22" s="700"/>
      <c r="AYG22" s="700"/>
      <c r="AYH22" s="700"/>
      <c r="AYI22" s="700"/>
      <c r="AYJ22" s="700"/>
      <c r="AYK22" s="700"/>
      <c r="AYL22" s="700"/>
      <c r="AYM22" s="700"/>
      <c r="AYN22" s="700"/>
      <c r="AYO22" s="700"/>
      <c r="AYP22" s="700"/>
      <c r="AYQ22" s="700"/>
      <c r="AYR22" s="700"/>
      <c r="AYS22" s="700"/>
      <c r="AYT22" s="700"/>
      <c r="AYU22" s="700"/>
      <c r="AYV22" s="700"/>
      <c r="AYW22" s="700"/>
      <c r="AYX22" s="700"/>
      <c r="AYY22" s="700"/>
      <c r="AYZ22" s="700"/>
      <c r="AZA22" s="700"/>
      <c r="AZB22" s="700"/>
      <c r="AZC22" s="700"/>
      <c r="AZD22" s="700"/>
      <c r="AZE22" s="700"/>
      <c r="AZF22" s="700"/>
      <c r="AZG22" s="700"/>
      <c r="AZH22" s="700"/>
      <c r="AZI22" s="700"/>
      <c r="AZJ22" s="700"/>
      <c r="AZK22" s="700"/>
      <c r="AZL22" s="700"/>
      <c r="AZM22" s="700"/>
      <c r="AZN22" s="700"/>
      <c r="AZO22" s="700"/>
      <c r="AZP22" s="700"/>
      <c r="AZQ22" s="700"/>
      <c r="AZR22" s="700"/>
      <c r="AZS22" s="700"/>
      <c r="AZT22" s="700"/>
      <c r="AZU22" s="700"/>
      <c r="AZV22" s="700"/>
      <c r="AZW22" s="700"/>
      <c r="AZX22" s="700"/>
      <c r="AZY22" s="700"/>
      <c r="AZZ22" s="700"/>
      <c r="BAA22" s="700"/>
      <c r="BAB22" s="700"/>
      <c r="BAC22" s="700"/>
      <c r="BAD22" s="700"/>
      <c r="BAE22" s="700"/>
      <c r="BAF22" s="700"/>
      <c r="BAG22" s="700"/>
      <c r="BAH22" s="700"/>
      <c r="BAI22" s="700"/>
      <c r="BAJ22" s="700"/>
      <c r="BAK22" s="700"/>
      <c r="BAL22" s="700"/>
      <c r="BAM22" s="700"/>
      <c r="BAN22" s="700"/>
      <c r="BAO22" s="700"/>
      <c r="BAP22" s="700"/>
      <c r="BAQ22" s="700"/>
      <c r="BAR22" s="700"/>
      <c r="BAS22" s="700"/>
      <c r="BAT22" s="700"/>
      <c r="BAU22" s="700"/>
      <c r="BAV22" s="700"/>
      <c r="BAW22" s="700"/>
      <c r="BAX22" s="700"/>
      <c r="BAY22" s="700"/>
      <c r="BAZ22" s="700"/>
      <c r="BBA22" s="700"/>
      <c r="BBB22" s="700"/>
      <c r="BBC22" s="700"/>
      <c r="BBD22" s="700"/>
      <c r="BBE22" s="700"/>
      <c r="BBF22" s="700"/>
      <c r="BBG22" s="700"/>
      <c r="BBH22" s="700"/>
      <c r="BBI22" s="700"/>
      <c r="BBJ22" s="700"/>
      <c r="BBK22" s="700"/>
      <c r="BBL22" s="700"/>
      <c r="BBM22" s="700"/>
      <c r="BBN22" s="700"/>
      <c r="BBO22" s="700"/>
      <c r="BBP22" s="700"/>
      <c r="BBQ22" s="700"/>
      <c r="BBR22" s="700"/>
      <c r="BBS22" s="700"/>
      <c r="BBT22" s="700"/>
      <c r="BBU22" s="700"/>
      <c r="BBV22" s="700"/>
      <c r="BBW22" s="700"/>
      <c r="BBX22" s="700"/>
      <c r="BBY22" s="700"/>
      <c r="BBZ22" s="700"/>
      <c r="BCA22" s="700"/>
      <c r="BCB22" s="700"/>
      <c r="BCC22" s="700"/>
      <c r="BCD22" s="700"/>
      <c r="BCE22" s="700"/>
      <c r="BCF22" s="700"/>
      <c r="BCG22" s="700"/>
      <c r="BCH22" s="700"/>
      <c r="BCI22" s="700"/>
      <c r="BCJ22" s="700"/>
      <c r="BCK22" s="700"/>
      <c r="BCL22" s="700"/>
      <c r="BCM22" s="700"/>
      <c r="BCN22" s="700"/>
      <c r="BCO22" s="700"/>
      <c r="BCP22" s="700"/>
      <c r="BCQ22" s="700"/>
      <c r="BCR22" s="700"/>
      <c r="BCS22" s="700"/>
      <c r="BCT22" s="700"/>
      <c r="BCU22" s="700"/>
      <c r="BCV22" s="700"/>
      <c r="BCW22" s="700"/>
      <c r="BCX22" s="700"/>
      <c r="BCY22" s="700"/>
      <c r="BCZ22" s="700"/>
      <c r="BDA22" s="700"/>
      <c r="BDB22" s="700"/>
      <c r="BDC22" s="700"/>
      <c r="BDD22" s="700"/>
      <c r="BDE22" s="700"/>
      <c r="BDF22" s="700"/>
      <c r="BDG22" s="700"/>
      <c r="BDH22" s="700"/>
      <c r="BDI22" s="700"/>
      <c r="BDJ22" s="700"/>
      <c r="BDK22" s="700"/>
      <c r="BDL22" s="700"/>
      <c r="BDM22" s="700"/>
      <c r="BDN22" s="700"/>
      <c r="BDO22" s="700"/>
      <c r="BDP22" s="700"/>
      <c r="BDQ22" s="700"/>
      <c r="BDR22" s="700"/>
      <c r="BDS22" s="700"/>
      <c r="BDT22" s="700"/>
      <c r="BDU22" s="700"/>
      <c r="BDV22" s="700"/>
      <c r="BDW22" s="700"/>
      <c r="BDX22" s="700"/>
      <c r="BDY22" s="700"/>
      <c r="BDZ22" s="700"/>
      <c r="BEA22" s="700"/>
      <c r="BEB22" s="700"/>
      <c r="BEC22" s="700"/>
      <c r="BED22" s="700"/>
      <c r="BEE22" s="700"/>
      <c r="BEF22" s="700"/>
      <c r="BEG22" s="700"/>
      <c r="BEH22" s="700"/>
      <c r="BEI22" s="700"/>
      <c r="BEJ22" s="700"/>
      <c r="BEK22" s="700"/>
      <c r="BEL22" s="700"/>
      <c r="BEM22" s="700"/>
      <c r="BEN22" s="700"/>
      <c r="BEO22" s="700"/>
      <c r="BEP22" s="700"/>
      <c r="BEQ22" s="700"/>
      <c r="BER22" s="700"/>
      <c r="BES22" s="700"/>
      <c r="BET22" s="700"/>
      <c r="BEU22" s="700"/>
      <c r="BEV22" s="700"/>
      <c r="BEW22" s="700"/>
      <c r="BEX22" s="700"/>
      <c r="BEY22" s="700"/>
      <c r="BEZ22" s="700"/>
      <c r="BFA22" s="700"/>
      <c r="BFB22" s="700"/>
      <c r="BFC22" s="700"/>
      <c r="BFD22" s="700"/>
      <c r="BFE22" s="700"/>
      <c r="BFF22" s="700"/>
      <c r="BFG22" s="700"/>
      <c r="BFH22" s="700"/>
      <c r="BFI22" s="700"/>
      <c r="BFJ22" s="700"/>
      <c r="BFK22" s="700"/>
      <c r="BFL22" s="700"/>
      <c r="BFM22" s="700"/>
      <c r="BFN22" s="700"/>
      <c r="BFO22" s="700"/>
      <c r="BFP22" s="700"/>
      <c r="BFQ22" s="700"/>
      <c r="BFR22" s="700"/>
      <c r="BFS22" s="700"/>
      <c r="BFT22" s="700"/>
      <c r="BFU22" s="700"/>
      <c r="BFV22" s="700"/>
      <c r="BFW22" s="700"/>
      <c r="BFX22" s="700"/>
      <c r="BFY22" s="700"/>
      <c r="BFZ22" s="700"/>
      <c r="BGA22" s="700"/>
      <c r="BGB22" s="700"/>
      <c r="BGC22" s="700"/>
      <c r="BGD22" s="700"/>
      <c r="BGE22" s="700"/>
      <c r="BGF22" s="700"/>
      <c r="BGG22" s="700"/>
      <c r="BGH22" s="700"/>
      <c r="BGI22" s="700"/>
      <c r="BGJ22" s="700"/>
      <c r="BGK22" s="700"/>
      <c r="BGL22" s="700"/>
      <c r="BGM22" s="700"/>
      <c r="BGN22" s="700"/>
      <c r="BGO22" s="700"/>
      <c r="BGP22" s="700"/>
      <c r="BGQ22" s="700"/>
      <c r="BGR22" s="700"/>
      <c r="BGS22" s="700"/>
      <c r="BGT22" s="700"/>
      <c r="BGU22" s="700"/>
      <c r="BGV22" s="700"/>
      <c r="BGW22" s="700"/>
      <c r="BGX22" s="700"/>
      <c r="BGY22" s="700"/>
      <c r="BGZ22" s="700"/>
      <c r="BHA22" s="700"/>
      <c r="BHB22" s="700"/>
      <c r="BHC22" s="700"/>
      <c r="BHD22" s="700"/>
      <c r="BHE22" s="700"/>
      <c r="BHF22" s="700"/>
      <c r="BHG22" s="700"/>
      <c r="BHH22" s="700"/>
      <c r="BHI22" s="700"/>
      <c r="BHJ22" s="700"/>
      <c r="BHK22" s="700"/>
      <c r="BHL22" s="700"/>
      <c r="BHM22" s="700"/>
      <c r="BHN22" s="700"/>
      <c r="BHO22" s="700"/>
      <c r="BHP22" s="700"/>
      <c r="BHQ22" s="700"/>
      <c r="BHR22" s="700"/>
      <c r="BHS22" s="700"/>
      <c r="BHT22" s="700"/>
      <c r="BHU22" s="700"/>
      <c r="BHV22" s="700"/>
      <c r="BHW22" s="700"/>
      <c r="BHX22" s="700"/>
      <c r="BHY22" s="700"/>
      <c r="BHZ22" s="700"/>
      <c r="BIA22" s="700"/>
      <c r="BIB22" s="700"/>
      <c r="BIC22" s="700"/>
      <c r="BID22" s="700"/>
      <c r="BIE22" s="700"/>
      <c r="BIF22" s="700"/>
      <c r="BIG22" s="700"/>
      <c r="BIH22" s="700"/>
      <c r="BII22" s="700"/>
      <c r="BIJ22" s="700"/>
      <c r="BIK22" s="700"/>
      <c r="BIL22" s="700"/>
      <c r="BIM22" s="700"/>
      <c r="BIN22" s="700"/>
      <c r="BIO22" s="700"/>
      <c r="BIP22" s="700"/>
      <c r="BIQ22" s="700"/>
      <c r="BIR22" s="700"/>
      <c r="BIS22" s="700"/>
      <c r="BIT22" s="700"/>
      <c r="BIU22" s="700"/>
      <c r="BIV22" s="700"/>
      <c r="BIW22" s="700"/>
      <c r="BIX22" s="700"/>
      <c r="BIY22" s="700"/>
      <c r="BIZ22" s="700"/>
      <c r="BJA22" s="700"/>
      <c r="BJB22" s="700"/>
      <c r="BJC22" s="700"/>
      <c r="BJD22" s="700"/>
      <c r="BJE22" s="700"/>
      <c r="BJF22" s="700"/>
      <c r="BJG22" s="700"/>
      <c r="BJH22" s="700"/>
      <c r="BJI22" s="700"/>
      <c r="BJJ22" s="700"/>
      <c r="BJK22" s="700"/>
      <c r="BJL22" s="700"/>
      <c r="BJM22" s="700"/>
      <c r="BJN22" s="700"/>
      <c r="BJO22" s="700"/>
      <c r="BJP22" s="700"/>
      <c r="BJQ22" s="700"/>
      <c r="BJR22" s="700"/>
      <c r="BJS22" s="700"/>
      <c r="BJT22" s="700"/>
      <c r="BJU22" s="700"/>
      <c r="BJV22" s="700"/>
      <c r="BJW22" s="700"/>
      <c r="BJX22" s="700"/>
      <c r="BJY22" s="700"/>
      <c r="BJZ22" s="700"/>
      <c r="BKA22" s="700"/>
      <c r="BKB22" s="700"/>
      <c r="BKC22" s="700"/>
      <c r="BKD22" s="700"/>
      <c r="BKE22" s="700"/>
      <c r="BKF22" s="700"/>
      <c r="BKG22" s="700"/>
      <c r="BKH22" s="700"/>
      <c r="BKI22" s="700"/>
      <c r="BKJ22" s="700"/>
      <c r="BKK22" s="700"/>
      <c r="BKL22" s="700"/>
      <c r="BKM22" s="700"/>
      <c r="BKN22" s="700"/>
      <c r="BKO22" s="700"/>
      <c r="BKP22" s="700"/>
      <c r="BKQ22" s="700"/>
      <c r="BKR22" s="700"/>
      <c r="BKS22" s="700"/>
      <c r="BKT22" s="700"/>
      <c r="BKU22" s="700"/>
      <c r="BKV22" s="700"/>
      <c r="BKW22" s="700"/>
      <c r="BKX22" s="700"/>
      <c r="BKY22" s="700"/>
      <c r="BKZ22" s="700"/>
      <c r="BLA22" s="700"/>
      <c r="BLB22" s="700"/>
      <c r="BLC22" s="700"/>
      <c r="BLD22" s="700"/>
      <c r="BLE22" s="700"/>
      <c r="BLF22" s="700"/>
      <c r="BLG22" s="700"/>
      <c r="BLH22" s="700"/>
      <c r="BLI22" s="700"/>
      <c r="BLJ22" s="700"/>
      <c r="BLK22" s="700"/>
      <c r="BLL22" s="700"/>
      <c r="BLM22" s="700"/>
      <c r="BLN22" s="700"/>
      <c r="BLO22" s="700"/>
      <c r="BLP22" s="700"/>
      <c r="BLQ22" s="700"/>
      <c r="BLR22" s="700"/>
      <c r="BLS22" s="700"/>
      <c r="BLT22" s="700"/>
      <c r="BLU22" s="700"/>
      <c r="BLV22" s="700"/>
      <c r="BLW22" s="700"/>
      <c r="BLX22" s="700"/>
      <c r="BLY22" s="700"/>
      <c r="BLZ22" s="700"/>
      <c r="BMA22" s="700"/>
      <c r="BMB22" s="700"/>
      <c r="BMC22" s="700"/>
      <c r="BMD22" s="700"/>
      <c r="BME22" s="700"/>
      <c r="BMF22" s="700"/>
      <c r="BMG22" s="700"/>
      <c r="BMH22" s="700"/>
      <c r="BMI22" s="700"/>
      <c r="BMJ22" s="700"/>
      <c r="BMK22" s="700"/>
      <c r="BML22" s="700"/>
      <c r="BMM22" s="700"/>
      <c r="BMN22" s="700"/>
      <c r="BMO22" s="700"/>
      <c r="BMP22" s="700"/>
      <c r="BMQ22" s="700"/>
      <c r="BMR22" s="700"/>
      <c r="BMS22" s="700"/>
      <c r="BMT22" s="700"/>
      <c r="BMU22" s="700"/>
      <c r="BMV22" s="700"/>
      <c r="BMW22" s="700"/>
      <c r="BMX22" s="700"/>
      <c r="BMY22" s="700"/>
      <c r="BMZ22" s="700"/>
      <c r="BNA22" s="700"/>
      <c r="BNB22" s="700"/>
      <c r="BNC22" s="700"/>
      <c r="BND22" s="700"/>
      <c r="BNE22" s="700"/>
      <c r="BNF22" s="700"/>
      <c r="BNG22" s="700"/>
      <c r="BNH22" s="700"/>
      <c r="BNI22" s="700"/>
      <c r="BNJ22" s="700"/>
      <c r="BNK22" s="700"/>
      <c r="BNL22" s="700"/>
      <c r="BNM22" s="700"/>
      <c r="BNN22" s="700"/>
      <c r="BNO22" s="700"/>
      <c r="BNP22" s="700"/>
      <c r="BNQ22" s="700"/>
      <c r="BNR22" s="700"/>
      <c r="BNS22" s="700"/>
      <c r="BNT22" s="700"/>
      <c r="BNU22" s="700"/>
      <c r="BNV22" s="700"/>
      <c r="BNW22" s="700"/>
      <c r="BNX22" s="700"/>
      <c r="BNY22" s="700"/>
      <c r="BNZ22" s="700"/>
      <c r="BOA22" s="700"/>
      <c r="BOB22" s="700"/>
      <c r="BOC22" s="700"/>
      <c r="BOD22" s="700"/>
      <c r="BOE22" s="700"/>
      <c r="BOF22" s="700"/>
      <c r="BOG22" s="700"/>
      <c r="BOH22" s="700"/>
      <c r="BOI22" s="700"/>
      <c r="BOJ22" s="700"/>
      <c r="BOK22" s="700"/>
      <c r="BOL22" s="700"/>
      <c r="BOM22" s="700"/>
      <c r="BON22" s="700"/>
      <c r="BOO22" s="700"/>
      <c r="BOP22" s="700"/>
      <c r="BOQ22" s="700"/>
      <c r="BOR22" s="700"/>
      <c r="BOS22" s="700"/>
      <c r="BOT22" s="700"/>
      <c r="BOU22" s="700"/>
      <c r="BOV22" s="700"/>
      <c r="BOW22" s="700"/>
      <c r="BOX22" s="700"/>
      <c r="BOY22" s="700"/>
      <c r="BOZ22" s="700"/>
      <c r="BPA22" s="700"/>
      <c r="BPB22" s="700"/>
      <c r="BPC22" s="700"/>
      <c r="BPD22" s="700"/>
      <c r="BPE22" s="700"/>
      <c r="BPF22" s="700"/>
      <c r="BPG22" s="700"/>
      <c r="BPH22" s="700"/>
      <c r="BPI22" s="700"/>
      <c r="BPJ22" s="700"/>
      <c r="BPK22" s="700"/>
      <c r="BPL22" s="700"/>
      <c r="BPM22" s="700"/>
      <c r="BPN22" s="700"/>
      <c r="BPO22" s="700"/>
      <c r="BPP22" s="700"/>
      <c r="BPQ22" s="700"/>
      <c r="BPR22" s="700"/>
      <c r="BPS22" s="700"/>
      <c r="BPT22" s="700"/>
      <c r="BPU22" s="700"/>
      <c r="BPV22" s="700"/>
      <c r="BPW22" s="700"/>
      <c r="BPX22" s="700"/>
      <c r="BPY22" s="700"/>
      <c r="BPZ22" s="700"/>
      <c r="BQA22" s="700"/>
      <c r="BQB22" s="700"/>
      <c r="BQC22" s="700"/>
      <c r="BQD22" s="700"/>
      <c r="BQE22" s="700"/>
      <c r="BQF22" s="700"/>
      <c r="BQG22" s="700"/>
      <c r="BQH22" s="700"/>
      <c r="BQI22" s="700"/>
      <c r="BQJ22" s="700"/>
      <c r="BQK22" s="700"/>
      <c r="BQL22" s="700"/>
      <c r="BQM22" s="700"/>
      <c r="BQN22" s="700"/>
      <c r="BQO22" s="700"/>
      <c r="BQP22" s="700"/>
      <c r="BQQ22" s="700"/>
      <c r="BQR22" s="700"/>
      <c r="BQS22" s="700"/>
      <c r="BQT22" s="700"/>
      <c r="BQU22" s="700"/>
      <c r="BQV22" s="700"/>
      <c r="BQW22" s="700"/>
      <c r="BQX22" s="700"/>
      <c r="BQY22" s="700"/>
      <c r="BQZ22" s="700"/>
      <c r="BRA22" s="700"/>
      <c r="BRB22" s="700"/>
      <c r="BRC22" s="700"/>
      <c r="BRD22" s="700"/>
      <c r="BRE22" s="700"/>
      <c r="BRF22" s="700"/>
      <c r="BRG22" s="700"/>
      <c r="BRH22" s="700"/>
      <c r="BRI22" s="700"/>
      <c r="BRJ22" s="700"/>
      <c r="BRK22" s="700"/>
      <c r="BRL22" s="700"/>
      <c r="BRM22" s="700"/>
      <c r="BRN22" s="700"/>
      <c r="BRO22" s="700"/>
      <c r="BRP22" s="700"/>
      <c r="BRQ22" s="700"/>
      <c r="BRR22" s="700"/>
      <c r="BRS22" s="700"/>
      <c r="BRT22" s="700"/>
      <c r="BRU22" s="700"/>
      <c r="BRV22" s="700"/>
      <c r="BRW22" s="700"/>
      <c r="BRX22" s="700"/>
      <c r="BRY22" s="700"/>
      <c r="BRZ22" s="700"/>
      <c r="BSA22" s="700"/>
      <c r="BSB22" s="700"/>
      <c r="BSC22" s="700"/>
      <c r="BSD22" s="700"/>
      <c r="BSE22" s="700"/>
      <c r="BSF22" s="700"/>
      <c r="BSG22" s="700"/>
      <c r="BSH22" s="700"/>
      <c r="BSI22" s="700"/>
      <c r="BSJ22" s="700"/>
      <c r="BSK22" s="700"/>
      <c r="BSL22" s="700"/>
      <c r="BSM22" s="700"/>
      <c r="BSN22" s="700"/>
      <c r="BSO22" s="700"/>
      <c r="BSP22" s="700"/>
      <c r="BSQ22" s="700"/>
      <c r="BSR22" s="700"/>
      <c r="BSS22" s="700"/>
      <c r="BST22" s="700"/>
      <c r="BSU22" s="700"/>
      <c r="BSV22" s="700"/>
      <c r="BSW22" s="700"/>
      <c r="BSX22" s="700"/>
      <c r="BSY22" s="700"/>
      <c r="BSZ22" s="700"/>
      <c r="BTA22" s="700"/>
      <c r="BTB22" s="700"/>
      <c r="BTC22" s="700"/>
      <c r="BTD22" s="700"/>
      <c r="BTE22" s="700"/>
      <c r="BTF22" s="700"/>
      <c r="BTG22" s="700"/>
      <c r="BTH22" s="700"/>
      <c r="BTI22" s="700"/>
      <c r="BTJ22" s="700"/>
      <c r="BTK22" s="700"/>
      <c r="BTL22" s="700"/>
      <c r="BTM22" s="700"/>
      <c r="BTN22" s="700"/>
      <c r="BTO22" s="700"/>
      <c r="BTP22" s="700"/>
      <c r="BTQ22" s="700"/>
      <c r="BTR22" s="700"/>
      <c r="BTS22" s="700"/>
      <c r="BTT22" s="700"/>
      <c r="BTU22" s="700"/>
      <c r="BTV22" s="700"/>
      <c r="BTW22" s="700"/>
      <c r="BTX22" s="700"/>
      <c r="BTY22" s="700"/>
      <c r="BTZ22" s="700"/>
      <c r="BUA22" s="700"/>
      <c r="BUB22" s="700"/>
      <c r="BUC22" s="700"/>
      <c r="BUD22" s="700"/>
      <c r="BUE22" s="700"/>
      <c r="BUF22" s="700"/>
      <c r="BUG22" s="700"/>
      <c r="BUH22" s="700"/>
      <c r="BUI22" s="700"/>
      <c r="BUJ22" s="700"/>
      <c r="BUK22" s="700"/>
      <c r="BUL22" s="700"/>
      <c r="BUM22" s="700"/>
      <c r="BUN22" s="700"/>
      <c r="BUO22" s="700"/>
      <c r="BUP22" s="700"/>
      <c r="BUQ22" s="700"/>
      <c r="BUR22" s="700"/>
      <c r="BUS22" s="700"/>
      <c r="BUT22" s="700"/>
      <c r="BUU22" s="700"/>
      <c r="BUV22" s="700"/>
      <c r="BUW22" s="700"/>
      <c r="BUX22" s="700"/>
      <c r="BUY22" s="700"/>
      <c r="BUZ22" s="700"/>
      <c r="BVA22" s="700"/>
      <c r="BVB22" s="700"/>
      <c r="BVC22" s="700"/>
      <c r="BVD22" s="700"/>
      <c r="BVE22" s="700"/>
      <c r="BVF22" s="700"/>
      <c r="BVG22" s="700"/>
      <c r="BVH22" s="700"/>
      <c r="BVI22" s="700"/>
      <c r="BVJ22" s="700"/>
      <c r="BVK22" s="700"/>
      <c r="BVL22" s="700"/>
      <c r="BVM22" s="700"/>
      <c r="BVN22" s="700"/>
      <c r="BVO22" s="700"/>
      <c r="BVP22" s="700"/>
      <c r="BVQ22" s="700"/>
      <c r="BVR22" s="700"/>
      <c r="BVS22" s="700"/>
      <c r="BVT22" s="700"/>
      <c r="BVU22" s="700"/>
      <c r="BVV22" s="700"/>
      <c r="BVW22" s="700"/>
      <c r="BVX22" s="700"/>
      <c r="BVY22" s="700"/>
      <c r="BVZ22" s="700"/>
      <c r="BWA22" s="700"/>
      <c r="BWB22" s="700"/>
      <c r="BWC22" s="700"/>
      <c r="BWD22" s="700"/>
      <c r="BWE22" s="700"/>
      <c r="BWF22" s="700"/>
      <c r="BWG22" s="700"/>
      <c r="BWH22" s="700"/>
      <c r="BWI22" s="700"/>
      <c r="BWJ22" s="700"/>
      <c r="BWK22" s="700"/>
      <c r="BWL22" s="700"/>
      <c r="BWM22" s="700"/>
      <c r="BWN22" s="700"/>
      <c r="BWO22" s="700"/>
      <c r="BWP22" s="700"/>
      <c r="BWQ22" s="700"/>
      <c r="BWR22" s="700"/>
      <c r="BWS22" s="700"/>
      <c r="BWT22" s="700"/>
      <c r="BWU22" s="700"/>
      <c r="BWV22" s="700"/>
      <c r="BWW22" s="700"/>
      <c r="BWX22" s="700"/>
      <c r="BWY22" s="700"/>
      <c r="BWZ22" s="700"/>
      <c r="BXA22" s="700"/>
      <c r="BXB22" s="700"/>
      <c r="BXC22" s="700"/>
      <c r="BXD22" s="700"/>
      <c r="BXE22" s="700"/>
      <c r="BXF22" s="700"/>
      <c r="BXG22" s="700"/>
      <c r="BXH22" s="700"/>
      <c r="BXI22" s="700"/>
      <c r="BXJ22" s="700"/>
      <c r="BXK22" s="700"/>
      <c r="BXL22" s="700"/>
      <c r="BXM22" s="700"/>
      <c r="BXN22" s="700"/>
      <c r="BXO22" s="700"/>
      <c r="BXP22" s="700"/>
      <c r="BXQ22" s="700"/>
      <c r="BXR22" s="700"/>
      <c r="BXS22" s="700"/>
      <c r="BXT22" s="700"/>
      <c r="BXU22" s="700"/>
      <c r="BXV22" s="700"/>
      <c r="BXW22" s="700"/>
      <c r="BXX22" s="700"/>
      <c r="BXY22" s="700"/>
      <c r="BXZ22" s="700"/>
    </row>
    <row r="23" spans="1:2002" ht="15">
      <c r="A23" s="717"/>
      <c r="B23" s="706"/>
      <c r="C23" s="721" t="s">
        <v>44</v>
      </c>
      <c r="D23" s="738">
        <f>BS!Q34</f>
        <v>288000</v>
      </c>
      <c r="E23" s="738">
        <f>BS!P34</f>
        <v>406000</v>
      </c>
      <c r="F23" s="738">
        <f>BS!O34</f>
        <v>486000</v>
      </c>
      <c r="G23" s="738">
        <f>BS!N34</f>
        <v>663000</v>
      </c>
      <c r="H23" s="738">
        <f>BS!M34</f>
        <v>1034000</v>
      </c>
      <c r="I23" s="738"/>
      <c r="J23" s="738"/>
      <c r="K23" s="738"/>
      <c r="L23" s="738"/>
      <c r="M23" s="738"/>
      <c r="N23" s="738"/>
      <c r="O23" s="738"/>
      <c r="P23" s="738"/>
      <c r="Q23" s="738"/>
      <c r="R23" s="738"/>
      <c r="S23" s="712"/>
      <c r="T23" s="700"/>
      <c r="U23" s="700"/>
      <c r="V23" s="700"/>
      <c r="W23" s="700"/>
      <c r="X23" s="700"/>
      <c r="Y23" s="700"/>
      <c r="Z23" s="700"/>
      <c r="AA23" s="700"/>
      <c r="AB23" s="700"/>
      <c r="AC23" s="700"/>
      <c r="AD23" s="700"/>
      <c r="AE23" s="700"/>
      <c r="AF23" s="700"/>
      <c r="AG23" s="700"/>
      <c r="AH23" s="700"/>
      <c r="AI23" s="700"/>
      <c r="AJ23" s="700"/>
      <c r="AK23" s="700"/>
      <c r="AL23" s="700"/>
      <c r="AM23" s="700"/>
      <c r="AN23" s="700"/>
      <c r="AO23" s="700"/>
      <c r="AP23" s="700"/>
      <c r="AQ23" s="700"/>
      <c r="AR23" s="700"/>
      <c r="AS23" s="700"/>
      <c r="AT23" s="700"/>
      <c r="AU23" s="700"/>
      <c r="AV23" s="700"/>
      <c r="AW23" s="700"/>
      <c r="AX23" s="700"/>
      <c r="AY23" s="700"/>
      <c r="AZ23" s="700"/>
      <c r="BA23" s="700"/>
      <c r="BB23" s="700"/>
      <c r="BC23" s="700"/>
      <c r="BD23" s="700"/>
      <c r="BE23" s="700"/>
      <c r="BF23" s="700"/>
      <c r="BG23" s="700"/>
      <c r="BH23" s="700"/>
      <c r="BI23" s="700"/>
      <c r="BJ23" s="700"/>
      <c r="BK23" s="700"/>
      <c r="BL23" s="700"/>
      <c r="BM23" s="700"/>
      <c r="BN23" s="700"/>
      <c r="BO23" s="700"/>
      <c r="BP23" s="700"/>
      <c r="BQ23" s="700"/>
      <c r="BR23" s="700"/>
      <c r="BS23" s="700"/>
      <c r="BT23" s="700"/>
      <c r="BU23" s="700"/>
      <c r="BV23" s="700"/>
      <c r="BW23" s="700"/>
      <c r="BX23" s="700"/>
      <c r="BY23" s="700"/>
      <c r="BZ23" s="700"/>
      <c r="CA23" s="700"/>
      <c r="CB23" s="700"/>
      <c r="CC23" s="700"/>
      <c r="CD23" s="700"/>
      <c r="CE23" s="700"/>
      <c r="CF23" s="700"/>
      <c r="CG23" s="700"/>
      <c r="CH23" s="700"/>
      <c r="CI23" s="700"/>
      <c r="CJ23" s="700"/>
      <c r="CK23" s="700"/>
      <c r="CL23" s="700"/>
      <c r="CM23" s="700"/>
      <c r="CN23" s="700"/>
      <c r="CO23" s="700"/>
      <c r="CP23" s="700"/>
      <c r="CQ23" s="700"/>
      <c r="CR23" s="700"/>
      <c r="CS23" s="700"/>
      <c r="CT23" s="700"/>
      <c r="CU23" s="700"/>
      <c r="CV23" s="700"/>
      <c r="CW23" s="700"/>
      <c r="CX23" s="700"/>
      <c r="CY23" s="700"/>
      <c r="CZ23" s="700"/>
      <c r="DA23" s="700"/>
      <c r="DB23" s="700"/>
      <c r="DC23" s="700"/>
      <c r="DD23" s="700"/>
      <c r="DE23" s="700"/>
      <c r="DF23" s="700"/>
      <c r="DG23" s="700"/>
      <c r="DH23" s="700"/>
      <c r="DI23" s="700"/>
      <c r="DJ23" s="700"/>
      <c r="DK23" s="700"/>
      <c r="DL23" s="700"/>
      <c r="DM23" s="700"/>
      <c r="DN23" s="700"/>
      <c r="DO23" s="700"/>
      <c r="DP23" s="700"/>
      <c r="DQ23" s="700"/>
      <c r="DR23" s="700"/>
      <c r="DS23" s="700"/>
      <c r="DT23" s="700"/>
      <c r="DU23" s="700"/>
      <c r="DV23" s="700"/>
      <c r="DW23" s="700"/>
      <c r="DX23" s="700"/>
      <c r="DY23" s="700"/>
      <c r="DZ23" s="700"/>
      <c r="EA23" s="700"/>
      <c r="EB23" s="700"/>
      <c r="EC23" s="700"/>
      <c r="ED23" s="700"/>
      <c r="EE23" s="700"/>
      <c r="EF23" s="700"/>
      <c r="EG23" s="700"/>
      <c r="EH23" s="700"/>
      <c r="EI23" s="700"/>
      <c r="EJ23" s="700"/>
      <c r="EK23" s="700"/>
      <c r="EL23" s="700"/>
      <c r="EM23" s="700"/>
      <c r="EN23" s="700"/>
      <c r="EO23" s="700"/>
      <c r="EP23" s="700"/>
      <c r="EQ23" s="700"/>
      <c r="ER23" s="700"/>
      <c r="ES23" s="700"/>
      <c r="ET23" s="700"/>
      <c r="EU23" s="700"/>
      <c r="EV23" s="700"/>
      <c r="EW23" s="700"/>
      <c r="EX23" s="700"/>
      <c r="EY23" s="700"/>
      <c r="EZ23" s="700"/>
      <c r="FA23" s="700"/>
      <c r="FB23" s="700"/>
      <c r="FC23" s="700"/>
      <c r="FD23" s="700"/>
      <c r="FE23" s="700"/>
      <c r="FF23" s="700"/>
      <c r="FG23" s="700"/>
      <c r="FH23" s="700"/>
      <c r="FI23" s="700"/>
      <c r="FJ23" s="700"/>
      <c r="FK23" s="700"/>
      <c r="FL23" s="700"/>
      <c r="FM23" s="700"/>
      <c r="FN23" s="700"/>
      <c r="FO23" s="700"/>
      <c r="FP23" s="700"/>
      <c r="FQ23" s="700"/>
      <c r="FR23" s="700"/>
      <c r="FS23" s="700"/>
      <c r="FT23" s="700"/>
      <c r="FU23" s="700"/>
      <c r="FV23" s="700"/>
      <c r="FW23" s="700"/>
      <c r="FX23" s="700"/>
      <c r="FY23" s="700"/>
      <c r="FZ23" s="700"/>
      <c r="GA23" s="700"/>
      <c r="GB23" s="700"/>
      <c r="GC23" s="700"/>
      <c r="GD23" s="700"/>
      <c r="GE23" s="700"/>
      <c r="GF23" s="700"/>
      <c r="GG23" s="700"/>
      <c r="GH23" s="700"/>
      <c r="GI23" s="700"/>
      <c r="GJ23" s="700"/>
      <c r="GK23" s="700"/>
      <c r="GL23" s="700"/>
      <c r="GM23" s="700"/>
      <c r="GN23" s="700"/>
      <c r="GO23" s="700"/>
      <c r="GP23" s="700"/>
      <c r="GQ23" s="700"/>
      <c r="GR23" s="700"/>
      <c r="GS23" s="700"/>
      <c r="GT23" s="700"/>
      <c r="GU23" s="700"/>
      <c r="GV23" s="700"/>
      <c r="GW23" s="700"/>
      <c r="GX23" s="700"/>
      <c r="GY23" s="700"/>
      <c r="GZ23" s="700"/>
      <c r="HA23" s="700"/>
      <c r="HB23" s="700"/>
      <c r="HC23" s="700"/>
      <c r="HD23" s="700"/>
      <c r="HE23" s="700"/>
      <c r="HF23" s="700"/>
      <c r="HG23" s="700"/>
      <c r="HH23" s="700"/>
      <c r="HI23" s="700"/>
      <c r="HJ23" s="700"/>
      <c r="HK23" s="700"/>
      <c r="HL23" s="700"/>
      <c r="HM23" s="700"/>
      <c r="HN23" s="700"/>
      <c r="HO23" s="700"/>
      <c r="HP23" s="700"/>
      <c r="HQ23" s="700"/>
      <c r="HR23" s="700"/>
      <c r="HS23" s="700"/>
      <c r="HT23" s="700"/>
      <c r="HU23" s="700"/>
      <c r="HV23" s="700"/>
      <c r="HW23" s="700"/>
      <c r="HX23" s="700"/>
      <c r="HY23" s="700"/>
      <c r="HZ23" s="700"/>
      <c r="IA23" s="700"/>
      <c r="IB23" s="700"/>
      <c r="IC23" s="700"/>
      <c r="ID23" s="700"/>
      <c r="IE23" s="700"/>
      <c r="IF23" s="700"/>
      <c r="IG23" s="700"/>
      <c r="IH23" s="700"/>
      <c r="II23" s="700"/>
      <c r="IJ23" s="700"/>
      <c r="IK23" s="700"/>
      <c r="IL23" s="700"/>
      <c r="IM23" s="700"/>
      <c r="IN23" s="700"/>
      <c r="IO23" s="700"/>
      <c r="IP23" s="700"/>
      <c r="IQ23" s="700"/>
      <c r="IR23" s="700"/>
      <c r="IS23" s="700"/>
      <c r="IT23" s="700"/>
      <c r="IU23" s="700"/>
      <c r="IV23" s="700"/>
      <c r="IW23" s="700"/>
      <c r="IX23" s="700"/>
      <c r="IY23" s="700"/>
      <c r="IZ23" s="700"/>
      <c r="JA23" s="700"/>
      <c r="JB23" s="700"/>
      <c r="JC23" s="700"/>
      <c r="JD23" s="700"/>
      <c r="JE23" s="700"/>
      <c r="JF23" s="700"/>
      <c r="JG23" s="700"/>
      <c r="JH23" s="700"/>
      <c r="JI23" s="700"/>
      <c r="JJ23" s="700"/>
      <c r="JK23" s="700"/>
      <c r="JL23" s="700"/>
      <c r="JM23" s="700"/>
      <c r="JN23" s="700"/>
      <c r="JO23" s="700"/>
      <c r="JP23" s="700"/>
      <c r="JQ23" s="700"/>
      <c r="JR23" s="700"/>
      <c r="JS23" s="700"/>
      <c r="JT23" s="700"/>
      <c r="JU23" s="700"/>
      <c r="JV23" s="700"/>
      <c r="JW23" s="700"/>
      <c r="JX23" s="700"/>
      <c r="JY23" s="700"/>
      <c r="JZ23" s="700"/>
      <c r="KA23" s="700"/>
      <c r="KB23" s="700"/>
      <c r="KC23" s="700"/>
      <c r="KD23" s="700"/>
      <c r="KE23" s="700"/>
      <c r="KF23" s="700"/>
      <c r="KG23" s="700"/>
      <c r="KH23" s="700"/>
      <c r="KI23" s="700"/>
      <c r="KJ23" s="700"/>
      <c r="KK23" s="700"/>
      <c r="KL23" s="700"/>
      <c r="KM23" s="700"/>
      <c r="KN23" s="700"/>
      <c r="KO23" s="700"/>
      <c r="KP23" s="700"/>
      <c r="KQ23" s="700"/>
      <c r="KR23" s="700"/>
      <c r="KS23" s="700"/>
      <c r="KT23" s="700"/>
      <c r="KU23" s="700"/>
      <c r="KV23" s="700"/>
      <c r="KW23" s="700"/>
      <c r="KX23" s="700"/>
      <c r="KY23" s="700"/>
      <c r="KZ23" s="700"/>
      <c r="LA23" s="700"/>
      <c r="LB23" s="700"/>
      <c r="LC23" s="700"/>
      <c r="LD23" s="700"/>
      <c r="LE23" s="700"/>
      <c r="LF23" s="700"/>
      <c r="LG23" s="700"/>
      <c r="LH23" s="700"/>
      <c r="LI23" s="700"/>
      <c r="LJ23" s="700"/>
      <c r="LK23" s="700"/>
      <c r="LL23" s="700"/>
      <c r="LM23" s="700"/>
      <c r="LN23" s="700"/>
      <c r="LO23" s="700"/>
      <c r="LP23" s="700"/>
      <c r="LQ23" s="700"/>
      <c r="LR23" s="700"/>
      <c r="LS23" s="700"/>
      <c r="LT23" s="700"/>
      <c r="LU23" s="700"/>
      <c r="LV23" s="700"/>
      <c r="LW23" s="700"/>
      <c r="LX23" s="700"/>
      <c r="LY23" s="700"/>
      <c r="LZ23" s="700"/>
      <c r="MA23" s="700"/>
      <c r="MB23" s="700"/>
      <c r="MC23" s="700"/>
      <c r="MD23" s="700"/>
      <c r="ME23" s="700"/>
      <c r="MF23" s="700"/>
      <c r="MG23" s="700"/>
      <c r="MH23" s="700"/>
      <c r="MI23" s="700"/>
      <c r="MJ23" s="700"/>
      <c r="MK23" s="700"/>
      <c r="ML23" s="700"/>
      <c r="MM23" s="700"/>
      <c r="MN23" s="700"/>
      <c r="MO23" s="700"/>
      <c r="MP23" s="700"/>
      <c r="MQ23" s="700"/>
      <c r="MR23" s="700"/>
      <c r="MS23" s="700"/>
      <c r="MT23" s="700"/>
      <c r="MU23" s="700"/>
      <c r="MV23" s="700"/>
      <c r="MW23" s="700"/>
      <c r="MX23" s="700"/>
      <c r="MY23" s="700"/>
      <c r="MZ23" s="700"/>
      <c r="NA23" s="700"/>
      <c r="NB23" s="700"/>
      <c r="NC23" s="700"/>
      <c r="ND23" s="700"/>
      <c r="NE23" s="700"/>
      <c r="NF23" s="700"/>
      <c r="NG23" s="700"/>
      <c r="NH23" s="700"/>
      <c r="NI23" s="700"/>
      <c r="NJ23" s="700"/>
      <c r="NK23" s="700"/>
      <c r="NL23" s="700"/>
      <c r="NM23" s="700"/>
      <c r="NN23" s="700"/>
      <c r="NO23" s="700"/>
      <c r="NP23" s="700"/>
      <c r="NQ23" s="700"/>
      <c r="NR23" s="700"/>
      <c r="NS23" s="700"/>
      <c r="NT23" s="700"/>
      <c r="NU23" s="700"/>
      <c r="NV23" s="700"/>
      <c r="NW23" s="700"/>
      <c r="NX23" s="700"/>
      <c r="NY23" s="700"/>
      <c r="NZ23" s="700"/>
      <c r="OA23" s="700"/>
      <c r="OB23" s="700"/>
      <c r="OC23" s="700"/>
      <c r="OD23" s="700"/>
      <c r="OE23" s="700"/>
      <c r="OF23" s="700"/>
      <c r="OG23" s="700"/>
      <c r="OH23" s="700"/>
      <c r="OI23" s="700"/>
      <c r="OJ23" s="700"/>
      <c r="OK23" s="700"/>
      <c r="OL23" s="700"/>
      <c r="OM23" s="700"/>
      <c r="ON23" s="700"/>
      <c r="OO23" s="700"/>
      <c r="OP23" s="700"/>
      <c r="OQ23" s="700"/>
      <c r="OR23" s="700"/>
      <c r="OS23" s="700"/>
      <c r="OT23" s="700"/>
      <c r="OU23" s="700"/>
      <c r="OV23" s="700"/>
      <c r="OW23" s="700"/>
      <c r="OX23" s="700"/>
      <c r="OY23" s="700"/>
      <c r="OZ23" s="700"/>
      <c r="PA23" s="700"/>
      <c r="PB23" s="700"/>
      <c r="PC23" s="700"/>
      <c r="PD23" s="700"/>
      <c r="PE23" s="700"/>
      <c r="PF23" s="700"/>
      <c r="PG23" s="700"/>
      <c r="PH23" s="700"/>
      <c r="PI23" s="700"/>
      <c r="PJ23" s="700"/>
      <c r="PK23" s="700"/>
      <c r="PL23" s="700"/>
      <c r="PM23" s="700"/>
      <c r="PN23" s="700"/>
      <c r="PO23" s="700"/>
      <c r="PP23" s="700"/>
      <c r="PQ23" s="700"/>
      <c r="PR23" s="700"/>
      <c r="PS23" s="700"/>
      <c r="PT23" s="700"/>
      <c r="PU23" s="700"/>
      <c r="PV23" s="700"/>
      <c r="PW23" s="700"/>
      <c r="PX23" s="700"/>
      <c r="PY23" s="700"/>
      <c r="PZ23" s="700"/>
      <c r="QA23" s="700"/>
      <c r="QB23" s="700"/>
      <c r="QC23" s="700"/>
      <c r="QD23" s="700"/>
      <c r="QE23" s="700"/>
      <c r="QF23" s="700"/>
      <c r="QG23" s="700"/>
      <c r="QH23" s="700"/>
      <c r="QI23" s="700"/>
      <c r="QJ23" s="700"/>
      <c r="QK23" s="700"/>
      <c r="QL23" s="700"/>
      <c r="QM23" s="700"/>
      <c r="QN23" s="700"/>
      <c r="QO23" s="700"/>
      <c r="QP23" s="700"/>
      <c r="QQ23" s="700"/>
      <c r="QR23" s="700"/>
      <c r="QS23" s="700"/>
      <c r="QT23" s="700"/>
      <c r="QU23" s="700"/>
      <c r="QV23" s="700"/>
      <c r="QW23" s="700"/>
      <c r="QX23" s="700"/>
      <c r="QY23" s="700"/>
      <c r="QZ23" s="700"/>
      <c r="RA23" s="700"/>
      <c r="RB23" s="700"/>
      <c r="RC23" s="700"/>
      <c r="RD23" s="700"/>
      <c r="RE23" s="700"/>
      <c r="RF23" s="700"/>
      <c r="RG23" s="700"/>
      <c r="RH23" s="700"/>
      <c r="RI23" s="700"/>
      <c r="RJ23" s="700"/>
      <c r="RK23" s="700"/>
      <c r="RL23" s="700"/>
      <c r="RM23" s="700"/>
      <c r="RN23" s="700"/>
      <c r="RO23" s="700"/>
      <c r="RP23" s="700"/>
      <c r="RQ23" s="700"/>
      <c r="RR23" s="700"/>
      <c r="RS23" s="700"/>
      <c r="RT23" s="700"/>
      <c r="RU23" s="700"/>
      <c r="RV23" s="700"/>
      <c r="RW23" s="700"/>
      <c r="RX23" s="700"/>
      <c r="RY23" s="700"/>
      <c r="RZ23" s="700"/>
      <c r="SA23" s="700"/>
      <c r="SB23" s="700"/>
      <c r="SC23" s="700"/>
      <c r="SD23" s="700"/>
      <c r="SE23" s="700"/>
      <c r="SF23" s="700"/>
      <c r="SG23" s="700"/>
      <c r="SH23" s="700"/>
      <c r="SI23" s="700"/>
      <c r="SJ23" s="700"/>
      <c r="SK23" s="700"/>
      <c r="SL23" s="700"/>
      <c r="SM23" s="700"/>
      <c r="SN23" s="700"/>
      <c r="SO23" s="700"/>
      <c r="SP23" s="700"/>
      <c r="SQ23" s="700"/>
      <c r="SR23" s="700"/>
      <c r="SS23" s="700"/>
      <c r="ST23" s="700"/>
      <c r="SU23" s="700"/>
      <c r="SV23" s="700"/>
      <c r="SW23" s="700"/>
      <c r="SX23" s="700"/>
      <c r="SY23" s="700"/>
      <c r="SZ23" s="700"/>
      <c r="TA23" s="700"/>
      <c r="TB23" s="700"/>
      <c r="TC23" s="700"/>
      <c r="TD23" s="700"/>
      <c r="TE23" s="700"/>
      <c r="TF23" s="700"/>
      <c r="TG23" s="700"/>
      <c r="TH23" s="700"/>
      <c r="TI23" s="700"/>
      <c r="TJ23" s="700"/>
      <c r="TK23" s="700"/>
      <c r="TL23" s="700"/>
      <c r="TM23" s="700"/>
      <c r="TN23" s="700"/>
      <c r="TO23" s="700"/>
      <c r="TP23" s="700"/>
      <c r="TQ23" s="700"/>
      <c r="TR23" s="700"/>
      <c r="TS23" s="700"/>
      <c r="TT23" s="700"/>
      <c r="TU23" s="700"/>
      <c r="TV23" s="700"/>
      <c r="TW23" s="700"/>
      <c r="TX23" s="700"/>
      <c r="TY23" s="700"/>
      <c r="TZ23" s="700"/>
      <c r="UA23" s="700"/>
      <c r="UB23" s="700"/>
      <c r="UC23" s="700"/>
      <c r="UD23" s="700"/>
      <c r="UE23" s="700"/>
      <c r="UF23" s="700"/>
      <c r="UG23" s="700"/>
      <c r="UH23" s="700"/>
      <c r="UI23" s="700"/>
      <c r="UJ23" s="700"/>
      <c r="UK23" s="700"/>
      <c r="UL23" s="700"/>
      <c r="UM23" s="700"/>
      <c r="UN23" s="700"/>
      <c r="UO23" s="700"/>
      <c r="UP23" s="700"/>
      <c r="UQ23" s="700"/>
      <c r="UR23" s="700"/>
      <c r="US23" s="700"/>
      <c r="UT23" s="700"/>
      <c r="UU23" s="700"/>
      <c r="UV23" s="700"/>
      <c r="UW23" s="700"/>
      <c r="UX23" s="700"/>
      <c r="UY23" s="700"/>
      <c r="UZ23" s="700"/>
      <c r="VA23" s="700"/>
      <c r="VB23" s="700"/>
      <c r="VC23" s="700"/>
      <c r="VD23" s="700"/>
      <c r="VE23" s="700"/>
      <c r="VF23" s="700"/>
      <c r="VG23" s="700"/>
      <c r="VH23" s="700"/>
      <c r="VI23" s="700"/>
      <c r="VJ23" s="700"/>
      <c r="VK23" s="700"/>
      <c r="VL23" s="700"/>
      <c r="VM23" s="700"/>
      <c r="VN23" s="700"/>
      <c r="VO23" s="700"/>
      <c r="VP23" s="700"/>
      <c r="VQ23" s="700"/>
      <c r="VR23" s="700"/>
      <c r="VS23" s="700"/>
      <c r="VT23" s="700"/>
      <c r="VU23" s="700"/>
      <c r="VV23" s="700"/>
      <c r="VW23" s="700"/>
      <c r="VX23" s="700"/>
      <c r="VY23" s="700"/>
      <c r="VZ23" s="700"/>
      <c r="WA23" s="700"/>
      <c r="WB23" s="700"/>
      <c r="WC23" s="700"/>
      <c r="WD23" s="700"/>
      <c r="WE23" s="700"/>
      <c r="WF23" s="700"/>
      <c r="WG23" s="700"/>
      <c r="WH23" s="700"/>
      <c r="WI23" s="700"/>
      <c r="WJ23" s="700"/>
      <c r="WK23" s="700"/>
      <c r="WL23" s="700"/>
      <c r="WM23" s="700"/>
      <c r="WN23" s="700"/>
      <c r="WO23" s="700"/>
      <c r="WP23" s="700"/>
      <c r="WQ23" s="700"/>
      <c r="WR23" s="700"/>
      <c r="WS23" s="700"/>
      <c r="WT23" s="700"/>
      <c r="WU23" s="700"/>
      <c r="WV23" s="700"/>
      <c r="WW23" s="700"/>
      <c r="WX23" s="700"/>
      <c r="WY23" s="700"/>
      <c r="WZ23" s="700"/>
      <c r="XA23" s="700"/>
      <c r="XB23" s="700"/>
      <c r="XC23" s="700"/>
      <c r="XD23" s="700"/>
      <c r="XE23" s="700"/>
      <c r="XF23" s="700"/>
      <c r="XG23" s="700"/>
      <c r="XH23" s="700"/>
      <c r="XI23" s="700"/>
      <c r="XJ23" s="700"/>
      <c r="XK23" s="700"/>
      <c r="XL23" s="700"/>
      <c r="XM23" s="700"/>
      <c r="XN23" s="700"/>
      <c r="XO23" s="700"/>
      <c r="XP23" s="700"/>
      <c r="XQ23" s="700"/>
      <c r="XR23" s="700"/>
      <c r="XS23" s="700"/>
      <c r="XT23" s="700"/>
      <c r="XU23" s="700"/>
      <c r="XV23" s="700"/>
      <c r="XW23" s="700"/>
      <c r="XX23" s="700"/>
      <c r="XY23" s="700"/>
      <c r="XZ23" s="700"/>
      <c r="YA23" s="700"/>
      <c r="YB23" s="700"/>
      <c r="YC23" s="700"/>
      <c r="YD23" s="700"/>
      <c r="YE23" s="700"/>
      <c r="YF23" s="700"/>
      <c r="YG23" s="700"/>
      <c r="YH23" s="700"/>
      <c r="YI23" s="700"/>
      <c r="YJ23" s="700"/>
      <c r="YK23" s="700"/>
      <c r="YL23" s="700"/>
      <c r="YM23" s="700"/>
      <c r="YN23" s="700"/>
      <c r="YO23" s="700"/>
      <c r="YP23" s="700"/>
      <c r="YQ23" s="700"/>
      <c r="YR23" s="700"/>
      <c r="YS23" s="700"/>
      <c r="YT23" s="700"/>
      <c r="YU23" s="700"/>
      <c r="YV23" s="700"/>
      <c r="YW23" s="700"/>
      <c r="YX23" s="700"/>
      <c r="YY23" s="700"/>
      <c r="YZ23" s="700"/>
      <c r="ZA23" s="700"/>
      <c r="ZB23" s="700"/>
      <c r="ZC23" s="700"/>
      <c r="ZD23" s="700"/>
      <c r="ZE23" s="700"/>
      <c r="ZF23" s="700"/>
      <c r="ZG23" s="700"/>
      <c r="ZH23" s="700"/>
      <c r="ZI23" s="700"/>
      <c r="ZJ23" s="700"/>
      <c r="ZK23" s="700"/>
      <c r="ZL23" s="700"/>
      <c r="ZM23" s="700"/>
      <c r="ZN23" s="700"/>
      <c r="ZO23" s="700"/>
      <c r="ZP23" s="700"/>
      <c r="ZQ23" s="700"/>
      <c r="ZR23" s="700"/>
      <c r="ZS23" s="700"/>
      <c r="ZT23" s="700"/>
      <c r="ZU23" s="700"/>
      <c r="ZV23" s="700"/>
      <c r="ZW23" s="700"/>
      <c r="ZX23" s="700"/>
      <c r="ZY23" s="700"/>
      <c r="ZZ23" s="700"/>
      <c r="AAA23" s="700"/>
      <c r="AAB23" s="700"/>
      <c r="AAC23" s="700"/>
      <c r="AAD23" s="700"/>
      <c r="AAE23" s="700"/>
      <c r="AAF23" s="700"/>
      <c r="AAG23" s="700"/>
      <c r="AAH23" s="700"/>
      <c r="AAI23" s="700"/>
      <c r="AAJ23" s="700"/>
      <c r="AAK23" s="700"/>
      <c r="AAL23" s="700"/>
      <c r="AAM23" s="700"/>
      <c r="AAN23" s="700"/>
      <c r="AAO23" s="700"/>
      <c r="AAP23" s="700"/>
      <c r="AAQ23" s="700"/>
      <c r="AAR23" s="700"/>
      <c r="AAS23" s="700"/>
      <c r="AAT23" s="700"/>
      <c r="AAU23" s="700"/>
      <c r="AAV23" s="700"/>
      <c r="AAW23" s="700"/>
      <c r="AAX23" s="700"/>
      <c r="AAY23" s="700"/>
      <c r="AAZ23" s="700"/>
      <c r="ABA23" s="700"/>
      <c r="ABB23" s="700"/>
      <c r="ABC23" s="700"/>
      <c r="ABD23" s="700"/>
      <c r="ABE23" s="700"/>
      <c r="ABF23" s="700"/>
      <c r="ABG23" s="700"/>
      <c r="ABH23" s="700"/>
      <c r="ABI23" s="700"/>
      <c r="ABJ23" s="700"/>
      <c r="ABK23" s="700"/>
      <c r="ABL23" s="700"/>
      <c r="ABM23" s="700"/>
      <c r="ABN23" s="700"/>
      <c r="ABO23" s="700"/>
      <c r="ABP23" s="700"/>
      <c r="ABQ23" s="700"/>
      <c r="ABR23" s="700"/>
      <c r="ABS23" s="700"/>
      <c r="ABT23" s="700"/>
      <c r="ABU23" s="700"/>
      <c r="ABV23" s="700"/>
      <c r="ABW23" s="700"/>
      <c r="ABX23" s="700"/>
      <c r="ABY23" s="700"/>
      <c r="ABZ23" s="700"/>
      <c r="ACA23" s="700"/>
      <c r="ACB23" s="700"/>
      <c r="ACC23" s="700"/>
      <c r="ACD23" s="700"/>
      <c r="ACE23" s="700"/>
      <c r="ACF23" s="700"/>
      <c r="ACG23" s="700"/>
      <c r="ACH23" s="700"/>
      <c r="ACI23" s="700"/>
      <c r="ACJ23" s="700"/>
      <c r="ACK23" s="700"/>
      <c r="ACL23" s="700"/>
      <c r="ACM23" s="700"/>
      <c r="ACN23" s="700"/>
      <c r="ACO23" s="700"/>
      <c r="ACP23" s="700"/>
      <c r="ACQ23" s="700"/>
      <c r="ACR23" s="700"/>
      <c r="ACS23" s="700"/>
      <c r="ACT23" s="700"/>
      <c r="ACU23" s="700"/>
      <c r="ACV23" s="700"/>
      <c r="ACW23" s="700"/>
      <c r="ACX23" s="700"/>
      <c r="ACY23" s="700"/>
      <c r="ACZ23" s="700"/>
      <c r="ADA23" s="700"/>
      <c r="ADB23" s="700"/>
      <c r="ADC23" s="700"/>
      <c r="ADD23" s="700"/>
      <c r="ADE23" s="700"/>
      <c r="ADF23" s="700"/>
      <c r="ADG23" s="700"/>
      <c r="ADH23" s="700"/>
      <c r="ADI23" s="700"/>
      <c r="ADJ23" s="700"/>
      <c r="ADK23" s="700"/>
      <c r="ADL23" s="700"/>
      <c r="ADM23" s="700"/>
      <c r="ADN23" s="700"/>
      <c r="ADO23" s="700"/>
      <c r="ADP23" s="700"/>
      <c r="ADQ23" s="700"/>
      <c r="ADR23" s="700"/>
      <c r="ADS23" s="700"/>
      <c r="ADT23" s="700"/>
      <c r="ADU23" s="700"/>
      <c r="ADV23" s="700"/>
      <c r="ADW23" s="700"/>
      <c r="ADX23" s="700"/>
      <c r="ADY23" s="700"/>
      <c r="ADZ23" s="700"/>
      <c r="AEA23" s="700"/>
      <c r="AEB23" s="700"/>
      <c r="AEC23" s="700"/>
      <c r="AED23" s="700"/>
      <c r="AEE23" s="700"/>
      <c r="AEF23" s="700"/>
      <c r="AEG23" s="700"/>
      <c r="AEH23" s="700"/>
      <c r="AEI23" s="700"/>
      <c r="AEJ23" s="700"/>
      <c r="AEK23" s="700"/>
      <c r="AEL23" s="700"/>
      <c r="AEM23" s="700"/>
      <c r="AEN23" s="700"/>
      <c r="AEO23" s="700"/>
      <c r="AEP23" s="700"/>
      <c r="AEQ23" s="700"/>
      <c r="AER23" s="700"/>
      <c r="AES23" s="700"/>
      <c r="AET23" s="700"/>
      <c r="AEU23" s="700"/>
      <c r="AEV23" s="700"/>
      <c r="AEW23" s="700"/>
      <c r="AEX23" s="700"/>
      <c r="AEY23" s="700"/>
      <c r="AEZ23" s="700"/>
      <c r="AFA23" s="700"/>
      <c r="AFB23" s="700"/>
      <c r="AFC23" s="700"/>
      <c r="AFD23" s="700"/>
      <c r="AFE23" s="700"/>
      <c r="AFF23" s="700"/>
      <c r="AFG23" s="700"/>
      <c r="AFH23" s="700"/>
      <c r="AFI23" s="700"/>
      <c r="AFJ23" s="700"/>
      <c r="AFK23" s="700"/>
      <c r="AFL23" s="700"/>
      <c r="AFM23" s="700"/>
      <c r="AFN23" s="700"/>
      <c r="AFO23" s="700"/>
      <c r="AFP23" s="700"/>
      <c r="AFQ23" s="700"/>
      <c r="AFR23" s="700"/>
      <c r="AFS23" s="700"/>
      <c r="AFT23" s="700"/>
      <c r="AFU23" s="700"/>
      <c r="AFV23" s="700"/>
      <c r="AFW23" s="700"/>
      <c r="AFX23" s="700"/>
      <c r="AFY23" s="700"/>
      <c r="AFZ23" s="700"/>
      <c r="AGA23" s="700"/>
      <c r="AGB23" s="700"/>
      <c r="AGC23" s="700"/>
      <c r="AGD23" s="700"/>
      <c r="AGE23" s="700"/>
      <c r="AGF23" s="700"/>
      <c r="AGG23" s="700"/>
      <c r="AGH23" s="700"/>
      <c r="AGI23" s="700"/>
      <c r="AGJ23" s="700"/>
      <c r="AGK23" s="700"/>
      <c r="AGL23" s="700"/>
      <c r="AGM23" s="700"/>
      <c r="AGN23" s="700"/>
      <c r="AGO23" s="700"/>
      <c r="AGP23" s="700"/>
      <c r="AGQ23" s="700"/>
      <c r="AGR23" s="700"/>
      <c r="AGS23" s="700"/>
      <c r="AGT23" s="700"/>
      <c r="AGU23" s="700"/>
      <c r="AGV23" s="700"/>
      <c r="AGW23" s="700"/>
      <c r="AGX23" s="700"/>
      <c r="AGY23" s="700"/>
      <c r="AGZ23" s="700"/>
      <c r="AHA23" s="700"/>
      <c r="AHB23" s="700"/>
      <c r="AHC23" s="700"/>
      <c r="AHD23" s="700"/>
      <c r="AHE23" s="700"/>
      <c r="AHF23" s="700"/>
      <c r="AHG23" s="700"/>
      <c r="AHH23" s="700"/>
      <c r="AHI23" s="700"/>
      <c r="AHJ23" s="700"/>
      <c r="AHK23" s="700"/>
      <c r="AHL23" s="700"/>
      <c r="AHM23" s="700"/>
      <c r="AHN23" s="700"/>
      <c r="AHO23" s="700"/>
      <c r="AHP23" s="700"/>
      <c r="AHQ23" s="700"/>
      <c r="AHR23" s="700"/>
      <c r="AHS23" s="700"/>
      <c r="AHT23" s="700"/>
      <c r="AHU23" s="700"/>
      <c r="AHV23" s="700"/>
      <c r="AHW23" s="700"/>
      <c r="AHX23" s="700"/>
      <c r="AHY23" s="700"/>
      <c r="AHZ23" s="700"/>
      <c r="AIA23" s="700"/>
      <c r="AIB23" s="700"/>
      <c r="AIC23" s="700"/>
      <c r="AID23" s="700"/>
      <c r="AIE23" s="700"/>
      <c r="AIF23" s="700"/>
      <c r="AIG23" s="700"/>
      <c r="AIH23" s="700"/>
      <c r="AII23" s="700"/>
      <c r="AIJ23" s="700"/>
      <c r="AIK23" s="700"/>
      <c r="AIL23" s="700"/>
      <c r="AIM23" s="700"/>
      <c r="AIN23" s="700"/>
      <c r="AIO23" s="700"/>
      <c r="AIP23" s="700"/>
      <c r="AIQ23" s="700"/>
      <c r="AIR23" s="700"/>
      <c r="AIS23" s="700"/>
      <c r="AIT23" s="700"/>
      <c r="AIU23" s="700"/>
      <c r="AIV23" s="700"/>
      <c r="AIW23" s="700"/>
      <c r="AIX23" s="700"/>
      <c r="AIY23" s="700"/>
      <c r="AIZ23" s="700"/>
      <c r="AJA23" s="700"/>
      <c r="AJB23" s="700"/>
      <c r="AJC23" s="700"/>
      <c r="AJD23" s="700"/>
      <c r="AJE23" s="700"/>
      <c r="AJF23" s="700"/>
      <c r="AJG23" s="700"/>
      <c r="AJH23" s="700"/>
      <c r="AJI23" s="700"/>
      <c r="AJJ23" s="700"/>
      <c r="AJK23" s="700"/>
      <c r="AJL23" s="700"/>
      <c r="AJM23" s="700"/>
      <c r="AJN23" s="700"/>
      <c r="AJO23" s="700"/>
      <c r="AJP23" s="700"/>
      <c r="AJQ23" s="700"/>
      <c r="AJR23" s="700"/>
      <c r="AJS23" s="700"/>
      <c r="AJT23" s="700"/>
      <c r="AJU23" s="700"/>
      <c r="AJV23" s="700"/>
      <c r="AJW23" s="700"/>
      <c r="AJX23" s="700"/>
      <c r="AJY23" s="700"/>
      <c r="AJZ23" s="700"/>
      <c r="AKA23" s="700"/>
      <c r="AKB23" s="700"/>
      <c r="AKC23" s="700"/>
      <c r="AKD23" s="700"/>
      <c r="AKE23" s="700"/>
      <c r="AKF23" s="700"/>
      <c r="AKG23" s="700"/>
      <c r="AKH23" s="700"/>
      <c r="AKI23" s="700"/>
      <c r="AKJ23" s="700"/>
      <c r="AKK23" s="700"/>
      <c r="AKL23" s="700"/>
      <c r="AKM23" s="700"/>
      <c r="AKN23" s="700"/>
      <c r="AKO23" s="700"/>
      <c r="AKP23" s="700"/>
      <c r="AKQ23" s="700"/>
      <c r="AKR23" s="700"/>
      <c r="AKS23" s="700"/>
      <c r="AKT23" s="700"/>
      <c r="AKU23" s="700"/>
      <c r="AKV23" s="700"/>
      <c r="AKW23" s="700"/>
      <c r="AKX23" s="700"/>
      <c r="AKY23" s="700"/>
      <c r="AKZ23" s="700"/>
      <c r="ALA23" s="700"/>
      <c r="ALB23" s="700"/>
      <c r="ALC23" s="700"/>
      <c r="ALD23" s="700"/>
      <c r="ALE23" s="700"/>
      <c r="ALF23" s="700"/>
      <c r="ALG23" s="700"/>
      <c r="ALH23" s="700"/>
      <c r="ALI23" s="700"/>
      <c r="ALJ23" s="700"/>
      <c r="ALK23" s="700"/>
      <c r="ALL23" s="700"/>
      <c r="ALM23" s="700"/>
      <c r="ALN23" s="700"/>
      <c r="ALO23" s="700"/>
      <c r="ALP23" s="700"/>
      <c r="ALQ23" s="700"/>
      <c r="ALR23" s="700"/>
      <c r="ALS23" s="700"/>
      <c r="ALT23" s="700"/>
      <c r="ALU23" s="700"/>
      <c r="ALV23" s="700"/>
      <c r="ALW23" s="700"/>
      <c r="ALX23" s="700"/>
      <c r="ALY23" s="700"/>
      <c r="ALZ23" s="700"/>
      <c r="AMA23" s="700"/>
      <c r="AMB23" s="700"/>
      <c r="AMC23" s="700"/>
      <c r="AMD23" s="700"/>
      <c r="AME23" s="700"/>
      <c r="AMF23" s="700"/>
      <c r="AMG23" s="700"/>
      <c r="AMH23" s="700"/>
      <c r="AMI23" s="700"/>
      <c r="AMJ23" s="700"/>
      <c r="AMK23" s="700"/>
      <c r="AML23" s="700"/>
      <c r="AMM23" s="700"/>
      <c r="AMN23" s="700"/>
      <c r="AMO23" s="700"/>
      <c r="AMP23" s="700"/>
      <c r="AMQ23" s="700"/>
      <c r="AMR23" s="700"/>
      <c r="AMS23" s="700"/>
      <c r="AMT23" s="700"/>
      <c r="AMU23" s="700"/>
      <c r="AMV23" s="700"/>
      <c r="AMW23" s="700"/>
      <c r="AMX23" s="700"/>
      <c r="AMY23" s="700"/>
      <c r="AMZ23" s="700"/>
      <c r="ANA23" s="700"/>
      <c r="ANB23" s="700"/>
      <c r="ANC23" s="700"/>
      <c r="AND23" s="700"/>
      <c r="ANE23" s="700"/>
      <c r="ANF23" s="700"/>
      <c r="ANG23" s="700"/>
      <c r="ANH23" s="700"/>
      <c r="ANI23" s="700"/>
      <c r="ANJ23" s="700"/>
      <c r="ANK23" s="700"/>
      <c r="ANL23" s="700"/>
      <c r="ANM23" s="700"/>
      <c r="ANN23" s="700"/>
      <c r="ANO23" s="700"/>
      <c r="ANP23" s="700"/>
      <c r="ANQ23" s="700"/>
      <c r="ANR23" s="700"/>
      <c r="ANS23" s="700"/>
      <c r="ANT23" s="700"/>
      <c r="ANU23" s="700"/>
      <c r="ANV23" s="700"/>
      <c r="ANW23" s="700"/>
      <c r="ANX23" s="700"/>
      <c r="ANY23" s="700"/>
      <c r="ANZ23" s="700"/>
      <c r="AOA23" s="700"/>
      <c r="AOB23" s="700"/>
      <c r="AOC23" s="700"/>
      <c r="AOD23" s="700"/>
      <c r="AOE23" s="700"/>
      <c r="AOF23" s="700"/>
      <c r="AOG23" s="700"/>
      <c r="AOH23" s="700"/>
      <c r="AOI23" s="700"/>
      <c r="AOJ23" s="700"/>
      <c r="AOK23" s="700"/>
      <c r="AOL23" s="700"/>
      <c r="AOM23" s="700"/>
      <c r="AON23" s="700"/>
      <c r="AOO23" s="700"/>
      <c r="AOP23" s="700"/>
      <c r="AOQ23" s="700"/>
      <c r="AOR23" s="700"/>
      <c r="AOS23" s="700"/>
      <c r="AOT23" s="700"/>
      <c r="AOU23" s="700"/>
      <c r="AOV23" s="700"/>
      <c r="AOW23" s="700"/>
      <c r="AOX23" s="700"/>
      <c r="AOY23" s="700"/>
      <c r="AOZ23" s="700"/>
      <c r="APA23" s="700"/>
      <c r="APB23" s="700"/>
      <c r="APC23" s="700"/>
      <c r="APD23" s="700"/>
      <c r="APE23" s="700"/>
      <c r="APF23" s="700"/>
      <c r="APG23" s="700"/>
      <c r="APH23" s="700"/>
      <c r="API23" s="700"/>
      <c r="APJ23" s="700"/>
      <c r="APK23" s="700"/>
      <c r="APL23" s="700"/>
      <c r="APM23" s="700"/>
      <c r="APN23" s="700"/>
      <c r="APO23" s="700"/>
      <c r="APP23" s="700"/>
      <c r="APQ23" s="700"/>
      <c r="APR23" s="700"/>
      <c r="APS23" s="700"/>
      <c r="APT23" s="700"/>
      <c r="APU23" s="700"/>
      <c r="APV23" s="700"/>
      <c r="APW23" s="700"/>
      <c r="APX23" s="700"/>
      <c r="APY23" s="700"/>
      <c r="APZ23" s="700"/>
      <c r="AQA23" s="700"/>
      <c r="AQB23" s="700"/>
      <c r="AQC23" s="700"/>
      <c r="AQD23" s="700"/>
      <c r="AQE23" s="700"/>
      <c r="AQF23" s="700"/>
      <c r="AQG23" s="700"/>
      <c r="AQH23" s="700"/>
      <c r="AQI23" s="700"/>
      <c r="AQJ23" s="700"/>
      <c r="AQK23" s="700"/>
      <c r="AQL23" s="700"/>
      <c r="AQM23" s="700"/>
      <c r="AQN23" s="700"/>
      <c r="AQO23" s="700"/>
      <c r="AQP23" s="700"/>
      <c r="AQQ23" s="700"/>
      <c r="AQR23" s="700"/>
      <c r="AQS23" s="700"/>
      <c r="AQT23" s="700"/>
      <c r="AQU23" s="700"/>
      <c r="AQV23" s="700"/>
      <c r="AQW23" s="700"/>
      <c r="AQX23" s="700"/>
      <c r="AQY23" s="700"/>
      <c r="AQZ23" s="700"/>
      <c r="ARA23" s="700"/>
      <c r="ARB23" s="700"/>
      <c r="ARC23" s="700"/>
      <c r="ARD23" s="700"/>
      <c r="ARE23" s="700"/>
      <c r="ARF23" s="700"/>
      <c r="ARG23" s="700"/>
      <c r="ARH23" s="700"/>
      <c r="ARI23" s="700"/>
      <c r="ARJ23" s="700"/>
      <c r="ARK23" s="700"/>
      <c r="ARL23" s="700"/>
      <c r="ARM23" s="700"/>
      <c r="ARN23" s="700"/>
      <c r="ARO23" s="700"/>
      <c r="ARP23" s="700"/>
      <c r="ARQ23" s="700"/>
      <c r="ARR23" s="700"/>
      <c r="ARS23" s="700"/>
      <c r="ART23" s="700"/>
      <c r="ARU23" s="700"/>
      <c r="ARV23" s="700"/>
      <c r="ARW23" s="700"/>
      <c r="ARX23" s="700"/>
      <c r="ARY23" s="700"/>
      <c r="ARZ23" s="700"/>
      <c r="ASA23" s="700"/>
      <c r="ASB23" s="700"/>
      <c r="ASC23" s="700"/>
      <c r="ASD23" s="700"/>
      <c r="ASE23" s="700"/>
      <c r="ASF23" s="700"/>
      <c r="ASG23" s="700"/>
      <c r="ASH23" s="700"/>
      <c r="ASI23" s="700"/>
      <c r="ASJ23" s="700"/>
      <c r="ASK23" s="700"/>
      <c r="ASL23" s="700"/>
      <c r="ASM23" s="700"/>
      <c r="ASN23" s="700"/>
      <c r="ASO23" s="700"/>
      <c r="ASP23" s="700"/>
      <c r="ASQ23" s="700"/>
      <c r="ASR23" s="700"/>
      <c r="ASS23" s="700"/>
      <c r="AST23" s="700"/>
      <c r="ASU23" s="700"/>
      <c r="ASV23" s="700"/>
      <c r="ASW23" s="700"/>
      <c r="ASX23" s="700"/>
      <c r="ASY23" s="700"/>
      <c r="ASZ23" s="700"/>
      <c r="ATA23" s="700"/>
      <c r="ATB23" s="700"/>
      <c r="ATC23" s="700"/>
      <c r="ATD23" s="700"/>
      <c r="ATE23" s="700"/>
      <c r="ATF23" s="700"/>
      <c r="ATG23" s="700"/>
      <c r="ATH23" s="700"/>
      <c r="ATI23" s="700"/>
      <c r="ATJ23" s="700"/>
      <c r="ATK23" s="700"/>
      <c r="ATL23" s="700"/>
      <c r="ATM23" s="700"/>
      <c r="ATN23" s="700"/>
      <c r="ATO23" s="700"/>
      <c r="ATP23" s="700"/>
      <c r="ATQ23" s="700"/>
      <c r="ATR23" s="700"/>
      <c r="ATS23" s="700"/>
      <c r="ATT23" s="700"/>
      <c r="ATU23" s="700"/>
      <c r="ATV23" s="700"/>
      <c r="ATW23" s="700"/>
      <c r="ATX23" s="700"/>
      <c r="ATY23" s="700"/>
      <c r="ATZ23" s="700"/>
      <c r="AUA23" s="700"/>
      <c r="AUB23" s="700"/>
      <c r="AUC23" s="700"/>
      <c r="AUD23" s="700"/>
      <c r="AUE23" s="700"/>
      <c r="AUF23" s="700"/>
      <c r="AUG23" s="700"/>
      <c r="AUH23" s="700"/>
      <c r="AUI23" s="700"/>
      <c r="AUJ23" s="700"/>
      <c r="AUK23" s="700"/>
      <c r="AUL23" s="700"/>
      <c r="AUM23" s="700"/>
      <c r="AUN23" s="700"/>
      <c r="AUO23" s="700"/>
      <c r="AUP23" s="700"/>
      <c r="AUQ23" s="700"/>
      <c r="AUR23" s="700"/>
      <c r="AUS23" s="700"/>
      <c r="AUT23" s="700"/>
      <c r="AUU23" s="700"/>
      <c r="AUV23" s="700"/>
      <c r="AUW23" s="700"/>
      <c r="AUX23" s="700"/>
      <c r="AUY23" s="700"/>
      <c r="AUZ23" s="700"/>
      <c r="AVA23" s="700"/>
      <c r="AVB23" s="700"/>
      <c r="AVC23" s="700"/>
      <c r="AVD23" s="700"/>
      <c r="AVE23" s="700"/>
      <c r="AVF23" s="700"/>
      <c r="AVG23" s="700"/>
      <c r="AVH23" s="700"/>
      <c r="AVI23" s="700"/>
      <c r="AVJ23" s="700"/>
      <c r="AVK23" s="700"/>
      <c r="AVL23" s="700"/>
      <c r="AVM23" s="700"/>
      <c r="AVN23" s="700"/>
      <c r="AVO23" s="700"/>
      <c r="AVP23" s="700"/>
      <c r="AVQ23" s="700"/>
      <c r="AVR23" s="700"/>
      <c r="AVS23" s="700"/>
      <c r="AVT23" s="700"/>
      <c r="AVU23" s="700"/>
      <c r="AVV23" s="700"/>
      <c r="AVW23" s="700"/>
      <c r="AVX23" s="700"/>
      <c r="AVY23" s="700"/>
      <c r="AVZ23" s="700"/>
      <c r="AWA23" s="700"/>
      <c r="AWB23" s="700"/>
      <c r="AWC23" s="700"/>
      <c r="AWD23" s="700"/>
      <c r="AWE23" s="700"/>
      <c r="AWF23" s="700"/>
      <c r="AWG23" s="700"/>
      <c r="AWH23" s="700"/>
      <c r="AWI23" s="700"/>
      <c r="AWJ23" s="700"/>
      <c r="AWK23" s="700"/>
      <c r="AWL23" s="700"/>
      <c r="AWM23" s="700"/>
      <c r="AWN23" s="700"/>
      <c r="AWO23" s="700"/>
      <c r="AWP23" s="700"/>
      <c r="AWQ23" s="700"/>
      <c r="AWR23" s="700"/>
      <c r="AWS23" s="700"/>
      <c r="AWT23" s="700"/>
      <c r="AWU23" s="700"/>
      <c r="AWV23" s="700"/>
      <c r="AWW23" s="700"/>
      <c r="AWX23" s="700"/>
      <c r="AWY23" s="700"/>
      <c r="AWZ23" s="700"/>
      <c r="AXA23" s="700"/>
      <c r="AXB23" s="700"/>
      <c r="AXC23" s="700"/>
      <c r="AXD23" s="700"/>
      <c r="AXE23" s="700"/>
      <c r="AXF23" s="700"/>
      <c r="AXG23" s="700"/>
      <c r="AXH23" s="700"/>
      <c r="AXI23" s="700"/>
      <c r="AXJ23" s="700"/>
      <c r="AXK23" s="700"/>
      <c r="AXL23" s="700"/>
      <c r="AXM23" s="700"/>
      <c r="AXN23" s="700"/>
      <c r="AXO23" s="700"/>
      <c r="AXP23" s="700"/>
      <c r="AXQ23" s="700"/>
      <c r="AXR23" s="700"/>
      <c r="AXS23" s="700"/>
      <c r="AXT23" s="700"/>
      <c r="AXU23" s="700"/>
      <c r="AXV23" s="700"/>
      <c r="AXW23" s="700"/>
      <c r="AXX23" s="700"/>
      <c r="AXY23" s="700"/>
      <c r="AXZ23" s="700"/>
      <c r="AYA23" s="700"/>
      <c r="AYB23" s="700"/>
      <c r="AYC23" s="700"/>
      <c r="AYD23" s="700"/>
      <c r="AYE23" s="700"/>
      <c r="AYF23" s="700"/>
      <c r="AYG23" s="700"/>
      <c r="AYH23" s="700"/>
      <c r="AYI23" s="700"/>
      <c r="AYJ23" s="700"/>
      <c r="AYK23" s="700"/>
      <c r="AYL23" s="700"/>
      <c r="AYM23" s="700"/>
      <c r="AYN23" s="700"/>
      <c r="AYO23" s="700"/>
      <c r="AYP23" s="700"/>
      <c r="AYQ23" s="700"/>
      <c r="AYR23" s="700"/>
      <c r="AYS23" s="700"/>
      <c r="AYT23" s="700"/>
      <c r="AYU23" s="700"/>
      <c r="AYV23" s="700"/>
      <c r="AYW23" s="700"/>
      <c r="AYX23" s="700"/>
      <c r="AYY23" s="700"/>
      <c r="AYZ23" s="700"/>
      <c r="AZA23" s="700"/>
      <c r="AZB23" s="700"/>
      <c r="AZC23" s="700"/>
      <c r="AZD23" s="700"/>
      <c r="AZE23" s="700"/>
      <c r="AZF23" s="700"/>
      <c r="AZG23" s="700"/>
      <c r="AZH23" s="700"/>
      <c r="AZI23" s="700"/>
      <c r="AZJ23" s="700"/>
      <c r="AZK23" s="700"/>
      <c r="AZL23" s="700"/>
      <c r="AZM23" s="700"/>
      <c r="AZN23" s="700"/>
      <c r="AZO23" s="700"/>
      <c r="AZP23" s="700"/>
      <c r="AZQ23" s="700"/>
      <c r="AZR23" s="700"/>
      <c r="AZS23" s="700"/>
      <c r="AZT23" s="700"/>
      <c r="AZU23" s="700"/>
      <c r="AZV23" s="700"/>
      <c r="AZW23" s="700"/>
      <c r="AZX23" s="700"/>
      <c r="AZY23" s="700"/>
      <c r="AZZ23" s="700"/>
      <c r="BAA23" s="700"/>
      <c r="BAB23" s="700"/>
      <c r="BAC23" s="700"/>
      <c r="BAD23" s="700"/>
      <c r="BAE23" s="700"/>
      <c r="BAF23" s="700"/>
      <c r="BAG23" s="700"/>
      <c r="BAH23" s="700"/>
      <c r="BAI23" s="700"/>
      <c r="BAJ23" s="700"/>
      <c r="BAK23" s="700"/>
      <c r="BAL23" s="700"/>
      <c r="BAM23" s="700"/>
      <c r="BAN23" s="700"/>
      <c r="BAO23" s="700"/>
      <c r="BAP23" s="700"/>
      <c r="BAQ23" s="700"/>
      <c r="BAR23" s="700"/>
      <c r="BAS23" s="700"/>
      <c r="BAT23" s="700"/>
      <c r="BAU23" s="700"/>
      <c r="BAV23" s="700"/>
      <c r="BAW23" s="700"/>
      <c r="BAX23" s="700"/>
      <c r="BAY23" s="700"/>
      <c r="BAZ23" s="700"/>
      <c r="BBA23" s="700"/>
      <c r="BBB23" s="700"/>
      <c r="BBC23" s="700"/>
      <c r="BBD23" s="700"/>
      <c r="BBE23" s="700"/>
      <c r="BBF23" s="700"/>
      <c r="BBG23" s="700"/>
      <c r="BBH23" s="700"/>
      <c r="BBI23" s="700"/>
      <c r="BBJ23" s="700"/>
      <c r="BBK23" s="700"/>
      <c r="BBL23" s="700"/>
      <c r="BBM23" s="700"/>
      <c r="BBN23" s="700"/>
      <c r="BBO23" s="700"/>
      <c r="BBP23" s="700"/>
      <c r="BBQ23" s="700"/>
      <c r="BBR23" s="700"/>
      <c r="BBS23" s="700"/>
      <c r="BBT23" s="700"/>
      <c r="BBU23" s="700"/>
      <c r="BBV23" s="700"/>
      <c r="BBW23" s="700"/>
      <c r="BBX23" s="700"/>
      <c r="BBY23" s="700"/>
      <c r="BBZ23" s="700"/>
      <c r="BCA23" s="700"/>
      <c r="BCB23" s="700"/>
      <c r="BCC23" s="700"/>
      <c r="BCD23" s="700"/>
      <c r="BCE23" s="700"/>
      <c r="BCF23" s="700"/>
      <c r="BCG23" s="700"/>
      <c r="BCH23" s="700"/>
      <c r="BCI23" s="700"/>
      <c r="BCJ23" s="700"/>
      <c r="BCK23" s="700"/>
      <c r="BCL23" s="700"/>
      <c r="BCM23" s="700"/>
      <c r="BCN23" s="700"/>
      <c r="BCO23" s="700"/>
      <c r="BCP23" s="700"/>
      <c r="BCQ23" s="700"/>
      <c r="BCR23" s="700"/>
      <c r="BCS23" s="700"/>
      <c r="BCT23" s="700"/>
      <c r="BCU23" s="700"/>
      <c r="BCV23" s="700"/>
      <c r="BCW23" s="700"/>
      <c r="BCX23" s="700"/>
      <c r="BCY23" s="700"/>
      <c r="BCZ23" s="700"/>
      <c r="BDA23" s="700"/>
      <c r="BDB23" s="700"/>
      <c r="BDC23" s="700"/>
      <c r="BDD23" s="700"/>
      <c r="BDE23" s="700"/>
      <c r="BDF23" s="700"/>
      <c r="BDG23" s="700"/>
      <c r="BDH23" s="700"/>
      <c r="BDI23" s="700"/>
      <c r="BDJ23" s="700"/>
      <c r="BDK23" s="700"/>
      <c r="BDL23" s="700"/>
      <c r="BDM23" s="700"/>
      <c r="BDN23" s="700"/>
      <c r="BDO23" s="700"/>
      <c r="BDP23" s="700"/>
      <c r="BDQ23" s="700"/>
      <c r="BDR23" s="700"/>
      <c r="BDS23" s="700"/>
      <c r="BDT23" s="700"/>
      <c r="BDU23" s="700"/>
      <c r="BDV23" s="700"/>
      <c r="BDW23" s="700"/>
      <c r="BDX23" s="700"/>
      <c r="BDY23" s="700"/>
      <c r="BDZ23" s="700"/>
      <c r="BEA23" s="700"/>
      <c r="BEB23" s="700"/>
      <c r="BEC23" s="700"/>
      <c r="BED23" s="700"/>
      <c r="BEE23" s="700"/>
      <c r="BEF23" s="700"/>
      <c r="BEG23" s="700"/>
      <c r="BEH23" s="700"/>
      <c r="BEI23" s="700"/>
      <c r="BEJ23" s="700"/>
      <c r="BEK23" s="700"/>
      <c r="BEL23" s="700"/>
      <c r="BEM23" s="700"/>
      <c r="BEN23" s="700"/>
      <c r="BEO23" s="700"/>
      <c r="BEP23" s="700"/>
      <c r="BEQ23" s="700"/>
      <c r="BER23" s="700"/>
      <c r="BES23" s="700"/>
      <c r="BET23" s="700"/>
      <c r="BEU23" s="700"/>
      <c r="BEV23" s="700"/>
      <c r="BEW23" s="700"/>
      <c r="BEX23" s="700"/>
      <c r="BEY23" s="700"/>
      <c r="BEZ23" s="700"/>
      <c r="BFA23" s="700"/>
      <c r="BFB23" s="700"/>
      <c r="BFC23" s="700"/>
      <c r="BFD23" s="700"/>
      <c r="BFE23" s="700"/>
      <c r="BFF23" s="700"/>
      <c r="BFG23" s="700"/>
      <c r="BFH23" s="700"/>
      <c r="BFI23" s="700"/>
      <c r="BFJ23" s="700"/>
      <c r="BFK23" s="700"/>
      <c r="BFL23" s="700"/>
      <c r="BFM23" s="700"/>
      <c r="BFN23" s="700"/>
      <c r="BFO23" s="700"/>
      <c r="BFP23" s="700"/>
      <c r="BFQ23" s="700"/>
      <c r="BFR23" s="700"/>
      <c r="BFS23" s="700"/>
      <c r="BFT23" s="700"/>
      <c r="BFU23" s="700"/>
      <c r="BFV23" s="700"/>
      <c r="BFW23" s="700"/>
      <c r="BFX23" s="700"/>
      <c r="BFY23" s="700"/>
      <c r="BFZ23" s="700"/>
      <c r="BGA23" s="700"/>
      <c r="BGB23" s="700"/>
      <c r="BGC23" s="700"/>
      <c r="BGD23" s="700"/>
      <c r="BGE23" s="700"/>
      <c r="BGF23" s="700"/>
      <c r="BGG23" s="700"/>
      <c r="BGH23" s="700"/>
      <c r="BGI23" s="700"/>
      <c r="BGJ23" s="700"/>
      <c r="BGK23" s="700"/>
      <c r="BGL23" s="700"/>
      <c r="BGM23" s="700"/>
      <c r="BGN23" s="700"/>
      <c r="BGO23" s="700"/>
      <c r="BGP23" s="700"/>
      <c r="BGQ23" s="700"/>
      <c r="BGR23" s="700"/>
      <c r="BGS23" s="700"/>
      <c r="BGT23" s="700"/>
      <c r="BGU23" s="700"/>
      <c r="BGV23" s="700"/>
      <c r="BGW23" s="700"/>
      <c r="BGX23" s="700"/>
      <c r="BGY23" s="700"/>
      <c r="BGZ23" s="700"/>
      <c r="BHA23" s="700"/>
      <c r="BHB23" s="700"/>
      <c r="BHC23" s="700"/>
      <c r="BHD23" s="700"/>
      <c r="BHE23" s="700"/>
      <c r="BHF23" s="700"/>
      <c r="BHG23" s="700"/>
      <c r="BHH23" s="700"/>
      <c r="BHI23" s="700"/>
      <c r="BHJ23" s="700"/>
      <c r="BHK23" s="700"/>
      <c r="BHL23" s="700"/>
      <c r="BHM23" s="700"/>
      <c r="BHN23" s="700"/>
      <c r="BHO23" s="700"/>
      <c r="BHP23" s="700"/>
      <c r="BHQ23" s="700"/>
      <c r="BHR23" s="700"/>
      <c r="BHS23" s="700"/>
      <c r="BHT23" s="700"/>
      <c r="BHU23" s="700"/>
      <c r="BHV23" s="700"/>
      <c r="BHW23" s="700"/>
      <c r="BHX23" s="700"/>
      <c r="BHY23" s="700"/>
      <c r="BHZ23" s="700"/>
      <c r="BIA23" s="700"/>
      <c r="BIB23" s="700"/>
      <c r="BIC23" s="700"/>
      <c r="BID23" s="700"/>
      <c r="BIE23" s="700"/>
      <c r="BIF23" s="700"/>
      <c r="BIG23" s="700"/>
      <c r="BIH23" s="700"/>
      <c r="BII23" s="700"/>
      <c r="BIJ23" s="700"/>
      <c r="BIK23" s="700"/>
      <c r="BIL23" s="700"/>
      <c r="BIM23" s="700"/>
      <c r="BIN23" s="700"/>
      <c r="BIO23" s="700"/>
      <c r="BIP23" s="700"/>
      <c r="BIQ23" s="700"/>
      <c r="BIR23" s="700"/>
      <c r="BIS23" s="700"/>
      <c r="BIT23" s="700"/>
      <c r="BIU23" s="700"/>
      <c r="BIV23" s="700"/>
      <c r="BIW23" s="700"/>
      <c r="BIX23" s="700"/>
      <c r="BIY23" s="700"/>
      <c r="BIZ23" s="700"/>
      <c r="BJA23" s="700"/>
      <c r="BJB23" s="700"/>
      <c r="BJC23" s="700"/>
      <c r="BJD23" s="700"/>
      <c r="BJE23" s="700"/>
      <c r="BJF23" s="700"/>
      <c r="BJG23" s="700"/>
      <c r="BJH23" s="700"/>
      <c r="BJI23" s="700"/>
      <c r="BJJ23" s="700"/>
      <c r="BJK23" s="700"/>
      <c r="BJL23" s="700"/>
      <c r="BJM23" s="700"/>
      <c r="BJN23" s="700"/>
      <c r="BJO23" s="700"/>
      <c r="BJP23" s="700"/>
      <c r="BJQ23" s="700"/>
      <c r="BJR23" s="700"/>
      <c r="BJS23" s="700"/>
      <c r="BJT23" s="700"/>
      <c r="BJU23" s="700"/>
      <c r="BJV23" s="700"/>
      <c r="BJW23" s="700"/>
      <c r="BJX23" s="700"/>
      <c r="BJY23" s="700"/>
      <c r="BJZ23" s="700"/>
      <c r="BKA23" s="700"/>
      <c r="BKB23" s="700"/>
      <c r="BKC23" s="700"/>
      <c r="BKD23" s="700"/>
      <c r="BKE23" s="700"/>
      <c r="BKF23" s="700"/>
      <c r="BKG23" s="700"/>
      <c r="BKH23" s="700"/>
      <c r="BKI23" s="700"/>
      <c r="BKJ23" s="700"/>
      <c r="BKK23" s="700"/>
      <c r="BKL23" s="700"/>
      <c r="BKM23" s="700"/>
      <c r="BKN23" s="700"/>
      <c r="BKO23" s="700"/>
      <c r="BKP23" s="700"/>
      <c r="BKQ23" s="700"/>
      <c r="BKR23" s="700"/>
      <c r="BKS23" s="700"/>
      <c r="BKT23" s="700"/>
      <c r="BKU23" s="700"/>
      <c r="BKV23" s="700"/>
      <c r="BKW23" s="700"/>
      <c r="BKX23" s="700"/>
      <c r="BKY23" s="700"/>
      <c r="BKZ23" s="700"/>
      <c r="BLA23" s="700"/>
      <c r="BLB23" s="700"/>
      <c r="BLC23" s="700"/>
      <c r="BLD23" s="700"/>
      <c r="BLE23" s="700"/>
      <c r="BLF23" s="700"/>
      <c r="BLG23" s="700"/>
      <c r="BLH23" s="700"/>
      <c r="BLI23" s="700"/>
      <c r="BLJ23" s="700"/>
      <c r="BLK23" s="700"/>
      <c r="BLL23" s="700"/>
      <c r="BLM23" s="700"/>
      <c r="BLN23" s="700"/>
      <c r="BLO23" s="700"/>
      <c r="BLP23" s="700"/>
      <c r="BLQ23" s="700"/>
      <c r="BLR23" s="700"/>
      <c r="BLS23" s="700"/>
      <c r="BLT23" s="700"/>
      <c r="BLU23" s="700"/>
      <c r="BLV23" s="700"/>
      <c r="BLW23" s="700"/>
      <c r="BLX23" s="700"/>
      <c r="BLY23" s="700"/>
      <c r="BLZ23" s="700"/>
      <c r="BMA23" s="700"/>
      <c r="BMB23" s="700"/>
      <c r="BMC23" s="700"/>
      <c r="BMD23" s="700"/>
      <c r="BME23" s="700"/>
      <c r="BMF23" s="700"/>
      <c r="BMG23" s="700"/>
      <c r="BMH23" s="700"/>
      <c r="BMI23" s="700"/>
      <c r="BMJ23" s="700"/>
      <c r="BMK23" s="700"/>
      <c r="BML23" s="700"/>
      <c r="BMM23" s="700"/>
      <c r="BMN23" s="700"/>
      <c r="BMO23" s="700"/>
      <c r="BMP23" s="700"/>
      <c r="BMQ23" s="700"/>
      <c r="BMR23" s="700"/>
      <c r="BMS23" s="700"/>
      <c r="BMT23" s="700"/>
      <c r="BMU23" s="700"/>
      <c r="BMV23" s="700"/>
      <c r="BMW23" s="700"/>
      <c r="BMX23" s="700"/>
      <c r="BMY23" s="700"/>
      <c r="BMZ23" s="700"/>
      <c r="BNA23" s="700"/>
      <c r="BNB23" s="700"/>
      <c r="BNC23" s="700"/>
      <c r="BND23" s="700"/>
      <c r="BNE23" s="700"/>
      <c r="BNF23" s="700"/>
      <c r="BNG23" s="700"/>
      <c r="BNH23" s="700"/>
      <c r="BNI23" s="700"/>
      <c r="BNJ23" s="700"/>
      <c r="BNK23" s="700"/>
      <c r="BNL23" s="700"/>
      <c r="BNM23" s="700"/>
      <c r="BNN23" s="700"/>
      <c r="BNO23" s="700"/>
      <c r="BNP23" s="700"/>
      <c r="BNQ23" s="700"/>
      <c r="BNR23" s="700"/>
      <c r="BNS23" s="700"/>
      <c r="BNT23" s="700"/>
      <c r="BNU23" s="700"/>
      <c r="BNV23" s="700"/>
      <c r="BNW23" s="700"/>
      <c r="BNX23" s="700"/>
      <c r="BNY23" s="700"/>
      <c r="BNZ23" s="700"/>
      <c r="BOA23" s="700"/>
      <c r="BOB23" s="700"/>
      <c r="BOC23" s="700"/>
      <c r="BOD23" s="700"/>
      <c r="BOE23" s="700"/>
      <c r="BOF23" s="700"/>
      <c r="BOG23" s="700"/>
      <c r="BOH23" s="700"/>
      <c r="BOI23" s="700"/>
      <c r="BOJ23" s="700"/>
      <c r="BOK23" s="700"/>
      <c r="BOL23" s="700"/>
      <c r="BOM23" s="700"/>
      <c r="BON23" s="700"/>
      <c r="BOO23" s="700"/>
      <c r="BOP23" s="700"/>
      <c r="BOQ23" s="700"/>
      <c r="BOR23" s="700"/>
      <c r="BOS23" s="700"/>
      <c r="BOT23" s="700"/>
      <c r="BOU23" s="700"/>
      <c r="BOV23" s="700"/>
      <c r="BOW23" s="700"/>
      <c r="BOX23" s="700"/>
      <c r="BOY23" s="700"/>
      <c r="BOZ23" s="700"/>
      <c r="BPA23" s="700"/>
      <c r="BPB23" s="700"/>
      <c r="BPC23" s="700"/>
      <c r="BPD23" s="700"/>
      <c r="BPE23" s="700"/>
      <c r="BPF23" s="700"/>
      <c r="BPG23" s="700"/>
      <c r="BPH23" s="700"/>
      <c r="BPI23" s="700"/>
      <c r="BPJ23" s="700"/>
      <c r="BPK23" s="700"/>
      <c r="BPL23" s="700"/>
      <c r="BPM23" s="700"/>
      <c r="BPN23" s="700"/>
      <c r="BPO23" s="700"/>
      <c r="BPP23" s="700"/>
      <c r="BPQ23" s="700"/>
      <c r="BPR23" s="700"/>
      <c r="BPS23" s="700"/>
      <c r="BPT23" s="700"/>
      <c r="BPU23" s="700"/>
      <c r="BPV23" s="700"/>
      <c r="BPW23" s="700"/>
      <c r="BPX23" s="700"/>
      <c r="BPY23" s="700"/>
      <c r="BPZ23" s="700"/>
      <c r="BQA23" s="700"/>
      <c r="BQB23" s="700"/>
      <c r="BQC23" s="700"/>
      <c r="BQD23" s="700"/>
      <c r="BQE23" s="700"/>
      <c r="BQF23" s="700"/>
      <c r="BQG23" s="700"/>
      <c r="BQH23" s="700"/>
      <c r="BQI23" s="700"/>
      <c r="BQJ23" s="700"/>
      <c r="BQK23" s="700"/>
      <c r="BQL23" s="700"/>
      <c r="BQM23" s="700"/>
      <c r="BQN23" s="700"/>
      <c r="BQO23" s="700"/>
      <c r="BQP23" s="700"/>
      <c r="BQQ23" s="700"/>
      <c r="BQR23" s="700"/>
      <c r="BQS23" s="700"/>
      <c r="BQT23" s="700"/>
      <c r="BQU23" s="700"/>
      <c r="BQV23" s="700"/>
      <c r="BQW23" s="700"/>
      <c r="BQX23" s="700"/>
      <c r="BQY23" s="700"/>
      <c r="BQZ23" s="700"/>
      <c r="BRA23" s="700"/>
      <c r="BRB23" s="700"/>
      <c r="BRC23" s="700"/>
      <c r="BRD23" s="700"/>
      <c r="BRE23" s="700"/>
      <c r="BRF23" s="700"/>
      <c r="BRG23" s="700"/>
      <c r="BRH23" s="700"/>
      <c r="BRI23" s="700"/>
      <c r="BRJ23" s="700"/>
      <c r="BRK23" s="700"/>
      <c r="BRL23" s="700"/>
      <c r="BRM23" s="700"/>
      <c r="BRN23" s="700"/>
      <c r="BRO23" s="700"/>
      <c r="BRP23" s="700"/>
      <c r="BRQ23" s="700"/>
      <c r="BRR23" s="700"/>
      <c r="BRS23" s="700"/>
      <c r="BRT23" s="700"/>
      <c r="BRU23" s="700"/>
      <c r="BRV23" s="700"/>
      <c r="BRW23" s="700"/>
      <c r="BRX23" s="700"/>
      <c r="BRY23" s="700"/>
      <c r="BRZ23" s="700"/>
      <c r="BSA23" s="700"/>
      <c r="BSB23" s="700"/>
      <c r="BSC23" s="700"/>
      <c r="BSD23" s="700"/>
      <c r="BSE23" s="700"/>
      <c r="BSF23" s="700"/>
      <c r="BSG23" s="700"/>
      <c r="BSH23" s="700"/>
      <c r="BSI23" s="700"/>
      <c r="BSJ23" s="700"/>
      <c r="BSK23" s="700"/>
      <c r="BSL23" s="700"/>
      <c r="BSM23" s="700"/>
      <c r="BSN23" s="700"/>
      <c r="BSO23" s="700"/>
      <c r="BSP23" s="700"/>
      <c r="BSQ23" s="700"/>
      <c r="BSR23" s="700"/>
      <c r="BSS23" s="700"/>
      <c r="BST23" s="700"/>
      <c r="BSU23" s="700"/>
      <c r="BSV23" s="700"/>
      <c r="BSW23" s="700"/>
      <c r="BSX23" s="700"/>
      <c r="BSY23" s="700"/>
      <c r="BSZ23" s="700"/>
      <c r="BTA23" s="700"/>
      <c r="BTB23" s="700"/>
      <c r="BTC23" s="700"/>
      <c r="BTD23" s="700"/>
      <c r="BTE23" s="700"/>
      <c r="BTF23" s="700"/>
      <c r="BTG23" s="700"/>
      <c r="BTH23" s="700"/>
      <c r="BTI23" s="700"/>
      <c r="BTJ23" s="700"/>
      <c r="BTK23" s="700"/>
      <c r="BTL23" s="700"/>
      <c r="BTM23" s="700"/>
      <c r="BTN23" s="700"/>
      <c r="BTO23" s="700"/>
      <c r="BTP23" s="700"/>
      <c r="BTQ23" s="700"/>
      <c r="BTR23" s="700"/>
      <c r="BTS23" s="700"/>
      <c r="BTT23" s="700"/>
      <c r="BTU23" s="700"/>
      <c r="BTV23" s="700"/>
      <c r="BTW23" s="700"/>
      <c r="BTX23" s="700"/>
      <c r="BTY23" s="700"/>
      <c r="BTZ23" s="700"/>
      <c r="BUA23" s="700"/>
      <c r="BUB23" s="700"/>
      <c r="BUC23" s="700"/>
      <c r="BUD23" s="700"/>
      <c r="BUE23" s="700"/>
      <c r="BUF23" s="700"/>
      <c r="BUG23" s="700"/>
      <c r="BUH23" s="700"/>
      <c r="BUI23" s="700"/>
      <c r="BUJ23" s="700"/>
      <c r="BUK23" s="700"/>
      <c r="BUL23" s="700"/>
      <c r="BUM23" s="700"/>
      <c r="BUN23" s="700"/>
      <c r="BUO23" s="700"/>
      <c r="BUP23" s="700"/>
      <c r="BUQ23" s="700"/>
      <c r="BUR23" s="700"/>
      <c r="BUS23" s="700"/>
      <c r="BUT23" s="700"/>
      <c r="BUU23" s="700"/>
      <c r="BUV23" s="700"/>
      <c r="BUW23" s="700"/>
      <c r="BUX23" s="700"/>
      <c r="BUY23" s="700"/>
      <c r="BUZ23" s="700"/>
      <c r="BVA23" s="700"/>
      <c r="BVB23" s="700"/>
      <c r="BVC23" s="700"/>
      <c r="BVD23" s="700"/>
      <c r="BVE23" s="700"/>
      <c r="BVF23" s="700"/>
      <c r="BVG23" s="700"/>
      <c r="BVH23" s="700"/>
      <c r="BVI23" s="700"/>
      <c r="BVJ23" s="700"/>
      <c r="BVK23" s="700"/>
      <c r="BVL23" s="700"/>
      <c r="BVM23" s="700"/>
      <c r="BVN23" s="700"/>
      <c r="BVO23" s="700"/>
      <c r="BVP23" s="700"/>
      <c r="BVQ23" s="700"/>
      <c r="BVR23" s="700"/>
      <c r="BVS23" s="700"/>
      <c r="BVT23" s="700"/>
      <c r="BVU23" s="700"/>
      <c r="BVV23" s="700"/>
      <c r="BVW23" s="700"/>
      <c r="BVX23" s="700"/>
      <c r="BVY23" s="700"/>
      <c r="BVZ23" s="700"/>
      <c r="BWA23" s="700"/>
      <c r="BWB23" s="700"/>
      <c r="BWC23" s="700"/>
      <c r="BWD23" s="700"/>
      <c r="BWE23" s="700"/>
      <c r="BWF23" s="700"/>
      <c r="BWG23" s="700"/>
      <c r="BWH23" s="700"/>
      <c r="BWI23" s="700"/>
      <c r="BWJ23" s="700"/>
      <c r="BWK23" s="700"/>
      <c r="BWL23" s="700"/>
      <c r="BWM23" s="700"/>
      <c r="BWN23" s="700"/>
      <c r="BWO23" s="700"/>
      <c r="BWP23" s="700"/>
      <c r="BWQ23" s="700"/>
      <c r="BWR23" s="700"/>
      <c r="BWS23" s="700"/>
      <c r="BWT23" s="700"/>
      <c r="BWU23" s="700"/>
      <c r="BWV23" s="700"/>
      <c r="BWW23" s="700"/>
      <c r="BWX23" s="700"/>
      <c r="BWY23" s="700"/>
      <c r="BWZ23" s="700"/>
      <c r="BXA23" s="700"/>
      <c r="BXB23" s="700"/>
      <c r="BXC23" s="700"/>
      <c r="BXD23" s="700"/>
      <c r="BXE23" s="700"/>
      <c r="BXF23" s="700"/>
      <c r="BXG23" s="700"/>
      <c r="BXH23" s="700"/>
      <c r="BXI23" s="700"/>
      <c r="BXJ23" s="700"/>
      <c r="BXK23" s="700"/>
      <c r="BXL23" s="700"/>
      <c r="BXM23" s="700"/>
      <c r="BXN23" s="700"/>
      <c r="BXO23" s="700"/>
      <c r="BXP23" s="700"/>
      <c r="BXQ23" s="700"/>
      <c r="BXR23" s="700"/>
      <c r="BXS23" s="700"/>
      <c r="BXT23" s="700"/>
      <c r="BXU23" s="700"/>
      <c r="BXV23" s="700"/>
      <c r="BXW23" s="700"/>
      <c r="BXX23" s="700"/>
      <c r="BXY23" s="700"/>
      <c r="BXZ23" s="700"/>
    </row>
    <row r="24" spans="1:2002" ht="15">
      <c r="A24" s="717"/>
      <c r="B24" s="706"/>
      <c r="C24" s="721" t="s">
        <v>45</v>
      </c>
      <c r="D24" s="738">
        <f>BS!Q35</f>
        <v>129000</v>
      </c>
      <c r="E24" s="738">
        <f>BS!P35</f>
        <v>124000</v>
      </c>
      <c r="F24" s="738">
        <f>BS!O35</f>
        <v>163000</v>
      </c>
      <c r="G24" s="738">
        <f>BS!N35</f>
        <v>134000</v>
      </c>
      <c r="H24" s="738">
        <f>BS!M35</f>
        <v>144000</v>
      </c>
      <c r="I24" s="738"/>
      <c r="J24" s="738"/>
      <c r="K24" s="738"/>
      <c r="L24" s="738"/>
      <c r="M24" s="738"/>
      <c r="N24" s="738"/>
      <c r="O24" s="738"/>
      <c r="P24" s="738"/>
      <c r="Q24" s="738"/>
      <c r="R24" s="738"/>
      <c r="S24" s="712"/>
      <c r="T24" s="700"/>
      <c r="U24" s="700"/>
      <c r="V24" s="700"/>
      <c r="W24" s="700"/>
      <c r="X24" s="700"/>
      <c r="Y24" s="700"/>
      <c r="Z24" s="700"/>
      <c r="AA24" s="700"/>
      <c r="AB24" s="700"/>
      <c r="AC24" s="700"/>
      <c r="AD24" s="700"/>
      <c r="AE24" s="700"/>
      <c r="AF24" s="700"/>
      <c r="AG24" s="700"/>
      <c r="AH24" s="700"/>
      <c r="AI24" s="700"/>
      <c r="AJ24" s="700"/>
      <c r="AK24" s="700"/>
      <c r="AL24" s="700"/>
      <c r="AM24" s="700"/>
      <c r="AN24" s="700"/>
      <c r="AO24" s="700"/>
      <c r="AP24" s="700"/>
      <c r="AQ24" s="700"/>
      <c r="AR24" s="700"/>
      <c r="AS24" s="700"/>
      <c r="AT24" s="700"/>
      <c r="AU24" s="700"/>
      <c r="AV24" s="700"/>
      <c r="AW24" s="700"/>
      <c r="AX24" s="700"/>
      <c r="AY24" s="700"/>
      <c r="AZ24" s="700"/>
      <c r="BA24" s="700"/>
      <c r="BB24" s="700"/>
      <c r="BC24" s="700"/>
      <c r="BD24" s="700"/>
      <c r="BE24" s="700"/>
      <c r="BF24" s="700"/>
      <c r="BG24" s="700"/>
      <c r="BH24" s="700"/>
      <c r="BI24" s="700"/>
      <c r="BJ24" s="700"/>
      <c r="BK24" s="700"/>
      <c r="BL24" s="700"/>
      <c r="BM24" s="700"/>
      <c r="BN24" s="700"/>
      <c r="BO24" s="700"/>
      <c r="BP24" s="700"/>
      <c r="BQ24" s="700"/>
      <c r="BR24" s="700"/>
      <c r="BS24" s="700"/>
      <c r="BT24" s="700"/>
      <c r="BU24" s="700"/>
      <c r="BV24" s="700"/>
      <c r="BW24" s="700"/>
      <c r="BX24" s="700"/>
      <c r="BY24" s="700"/>
      <c r="BZ24" s="700"/>
      <c r="CA24" s="700"/>
      <c r="CB24" s="700"/>
      <c r="CC24" s="700"/>
      <c r="CD24" s="700"/>
      <c r="CE24" s="700"/>
      <c r="CF24" s="700"/>
      <c r="CG24" s="700"/>
      <c r="CH24" s="700"/>
      <c r="CI24" s="700"/>
      <c r="CJ24" s="700"/>
      <c r="CK24" s="700"/>
      <c r="CL24" s="700"/>
      <c r="CM24" s="700"/>
      <c r="CN24" s="700"/>
      <c r="CO24" s="700"/>
      <c r="CP24" s="700"/>
      <c r="CQ24" s="700"/>
      <c r="CR24" s="700"/>
      <c r="CS24" s="700"/>
      <c r="CT24" s="700"/>
      <c r="CU24" s="700"/>
      <c r="CV24" s="700"/>
      <c r="CW24" s="700"/>
      <c r="CX24" s="700"/>
      <c r="CY24" s="700"/>
      <c r="CZ24" s="700"/>
      <c r="DA24" s="700"/>
      <c r="DB24" s="700"/>
      <c r="DC24" s="700"/>
      <c r="DD24" s="700"/>
      <c r="DE24" s="700"/>
      <c r="DF24" s="700"/>
      <c r="DG24" s="700"/>
      <c r="DH24" s="700"/>
      <c r="DI24" s="700"/>
      <c r="DJ24" s="700"/>
      <c r="DK24" s="700"/>
      <c r="DL24" s="700"/>
      <c r="DM24" s="700"/>
      <c r="DN24" s="700"/>
      <c r="DO24" s="700"/>
      <c r="DP24" s="700"/>
      <c r="DQ24" s="700"/>
      <c r="DR24" s="700"/>
      <c r="DS24" s="700"/>
      <c r="DT24" s="700"/>
      <c r="DU24" s="700"/>
      <c r="DV24" s="700"/>
      <c r="DW24" s="700"/>
      <c r="DX24" s="700"/>
      <c r="DY24" s="700"/>
      <c r="DZ24" s="700"/>
      <c r="EA24" s="700"/>
      <c r="EB24" s="700"/>
      <c r="EC24" s="700"/>
      <c r="ED24" s="700"/>
      <c r="EE24" s="700"/>
      <c r="EF24" s="700"/>
      <c r="EG24" s="700"/>
      <c r="EH24" s="700"/>
      <c r="EI24" s="700"/>
      <c r="EJ24" s="700"/>
      <c r="EK24" s="700"/>
      <c r="EL24" s="700"/>
      <c r="EM24" s="700"/>
      <c r="EN24" s="700"/>
      <c r="EO24" s="700"/>
      <c r="EP24" s="700"/>
      <c r="EQ24" s="700"/>
      <c r="ER24" s="700"/>
      <c r="ES24" s="700"/>
      <c r="ET24" s="700"/>
      <c r="EU24" s="700"/>
      <c r="EV24" s="700"/>
      <c r="EW24" s="700"/>
      <c r="EX24" s="700"/>
      <c r="EY24" s="700"/>
      <c r="EZ24" s="700"/>
      <c r="FA24" s="700"/>
      <c r="FB24" s="700"/>
      <c r="FC24" s="700"/>
      <c r="FD24" s="700"/>
      <c r="FE24" s="700"/>
      <c r="FF24" s="700"/>
      <c r="FG24" s="700"/>
      <c r="FH24" s="700"/>
      <c r="FI24" s="700"/>
      <c r="FJ24" s="700"/>
      <c r="FK24" s="700"/>
      <c r="FL24" s="700"/>
      <c r="FM24" s="700"/>
      <c r="FN24" s="700"/>
      <c r="FO24" s="700"/>
      <c r="FP24" s="700"/>
      <c r="FQ24" s="700"/>
      <c r="FR24" s="700"/>
      <c r="FS24" s="700"/>
      <c r="FT24" s="700"/>
      <c r="FU24" s="700"/>
      <c r="FV24" s="700"/>
      <c r="FW24" s="700"/>
      <c r="FX24" s="700"/>
      <c r="FY24" s="700"/>
      <c r="FZ24" s="700"/>
      <c r="GA24" s="700"/>
      <c r="GB24" s="700"/>
      <c r="GC24" s="700"/>
      <c r="GD24" s="700"/>
      <c r="GE24" s="700"/>
      <c r="GF24" s="700"/>
      <c r="GG24" s="700"/>
      <c r="GH24" s="700"/>
      <c r="GI24" s="700"/>
      <c r="GJ24" s="700"/>
      <c r="GK24" s="700"/>
      <c r="GL24" s="700"/>
      <c r="GM24" s="700"/>
      <c r="GN24" s="700"/>
      <c r="GO24" s="700"/>
      <c r="GP24" s="700"/>
      <c r="GQ24" s="700"/>
      <c r="GR24" s="700"/>
      <c r="GS24" s="700"/>
      <c r="GT24" s="700"/>
      <c r="GU24" s="700"/>
      <c r="GV24" s="700"/>
      <c r="GW24" s="700"/>
      <c r="GX24" s="700"/>
      <c r="GY24" s="700"/>
      <c r="GZ24" s="700"/>
      <c r="HA24" s="700"/>
      <c r="HB24" s="700"/>
      <c r="HC24" s="700"/>
      <c r="HD24" s="700"/>
      <c r="HE24" s="700"/>
      <c r="HF24" s="700"/>
      <c r="HG24" s="700"/>
      <c r="HH24" s="700"/>
      <c r="HI24" s="700"/>
      <c r="HJ24" s="700"/>
      <c r="HK24" s="700"/>
      <c r="HL24" s="700"/>
      <c r="HM24" s="700"/>
      <c r="HN24" s="700"/>
      <c r="HO24" s="700"/>
      <c r="HP24" s="700"/>
      <c r="HQ24" s="700"/>
      <c r="HR24" s="700"/>
      <c r="HS24" s="700"/>
      <c r="HT24" s="700"/>
      <c r="HU24" s="700"/>
      <c r="HV24" s="700"/>
      <c r="HW24" s="700"/>
      <c r="HX24" s="700"/>
      <c r="HY24" s="700"/>
      <c r="HZ24" s="700"/>
      <c r="IA24" s="700"/>
      <c r="IB24" s="700"/>
      <c r="IC24" s="700"/>
      <c r="ID24" s="700"/>
      <c r="IE24" s="700"/>
      <c r="IF24" s="700"/>
      <c r="IG24" s="700"/>
      <c r="IH24" s="700"/>
      <c r="II24" s="700"/>
      <c r="IJ24" s="700"/>
      <c r="IK24" s="700"/>
      <c r="IL24" s="700"/>
      <c r="IM24" s="700"/>
      <c r="IN24" s="700"/>
      <c r="IO24" s="700"/>
      <c r="IP24" s="700"/>
      <c r="IQ24" s="700"/>
      <c r="IR24" s="700"/>
      <c r="IS24" s="700"/>
      <c r="IT24" s="700"/>
      <c r="IU24" s="700"/>
      <c r="IV24" s="700"/>
      <c r="IW24" s="700"/>
      <c r="IX24" s="700"/>
      <c r="IY24" s="700"/>
      <c r="IZ24" s="700"/>
      <c r="JA24" s="700"/>
      <c r="JB24" s="700"/>
      <c r="JC24" s="700"/>
      <c r="JD24" s="700"/>
      <c r="JE24" s="700"/>
      <c r="JF24" s="700"/>
      <c r="JG24" s="700"/>
      <c r="JH24" s="700"/>
      <c r="JI24" s="700"/>
      <c r="JJ24" s="700"/>
      <c r="JK24" s="700"/>
      <c r="JL24" s="700"/>
      <c r="JM24" s="700"/>
      <c r="JN24" s="700"/>
      <c r="JO24" s="700"/>
      <c r="JP24" s="700"/>
      <c r="JQ24" s="700"/>
      <c r="JR24" s="700"/>
      <c r="JS24" s="700"/>
      <c r="JT24" s="700"/>
      <c r="JU24" s="700"/>
      <c r="JV24" s="700"/>
      <c r="JW24" s="700"/>
      <c r="JX24" s="700"/>
      <c r="JY24" s="700"/>
      <c r="JZ24" s="700"/>
      <c r="KA24" s="700"/>
      <c r="KB24" s="700"/>
      <c r="KC24" s="700"/>
      <c r="KD24" s="700"/>
      <c r="KE24" s="700"/>
      <c r="KF24" s="700"/>
      <c r="KG24" s="700"/>
      <c r="KH24" s="700"/>
      <c r="KI24" s="700"/>
      <c r="KJ24" s="700"/>
      <c r="KK24" s="700"/>
      <c r="KL24" s="700"/>
      <c r="KM24" s="700"/>
      <c r="KN24" s="700"/>
      <c r="KO24" s="700"/>
      <c r="KP24" s="700"/>
      <c r="KQ24" s="700"/>
      <c r="KR24" s="700"/>
      <c r="KS24" s="700"/>
      <c r="KT24" s="700"/>
      <c r="KU24" s="700"/>
      <c r="KV24" s="700"/>
      <c r="KW24" s="700"/>
      <c r="KX24" s="700"/>
      <c r="KY24" s="700"/>
      <c r="KZ24" s="700"/>
      <c r="LA24" s="700"/>
      <c r="LB24" s="700"/>
      <c r="LC24" s="700"/>
      <c r="LD24" s="700"/>
      <c r="LE24" s="700"/>
      <c r="LF24" s="700"/>
      <c r="LG24" s="700"/>
      <c r="LH24" s="700"/>
      <c r="LI24" s="700"/>
      <c r="LJ24" s="700"/>
      <c r="LK24" s="700"/>
      <c r="LL24" s="700"/>
      <c r="LM24" s="700"/>
      <c r="LN24" s="700"/>
      <c r="LO24" s="700"/>
      <c r="LP24" s="700"/>
      <c r="LQ24" s="700"/>
      <c r="LR24" s="700"/>
      <c r="LS24" s="700"/>
      <c r="LT24" s="700"/>
      <c r="LU24" s="700"/>
      <c r="LV24" s="700"/>
      <c r="LW24" s="700"/>
      <c r="LX24" s="700"/>
      <c r="LY24" s="700"/>
      <c r="LZ24" s="700"/>
      <c r="MA24" s="700"/>
      <c r="MB24" s="700"/>
      <c r="MC24" s="700"/>
      <c r="MD24" s="700"/>
      <c r="ME24" s="700"/>
      <c r="MF24" s="700"/>
      <c r="MG24" s="700"/>
      <c r="MH24" s="700"/>
      <c r="MI24" s="700"/>
      <c r="MJ24" s="700"/>
      <c r="MK24" s="700"/>
      <c r="ML24" s="700"/>
      <c r="MM24" s="700"/>
      <c r="MN24" s="700"/>
      <c r="MO24" s="700"/>
      <c r="MP24" s="700"/>
      <c r="MQ24" s="700"/>
      <c r="MR24" s="700"/>
      <c r="MS24" s="700"/>
      <c r="MT24" s="700"/>
      <c r="MU24" s="700"/>
      <c r="MV24" s="700"/>
      <c r="MW24" s="700"/>
      <c r="MX24" s="700"/>
      <c r="MY24" s="700"/>
      <c r="MZ24" s="700"/>
      <c r="NA24" s="700"/>
      <c r="NB24" s="700"/>
      <c r="NC24" s="700"/>
      <c r="ND24" s="700"/>
      <c r="NE24" s="700"/>
      <c r="NF24" s="700"/>
      <c r="NG24" s="700"/>
      <c r="NH24" s="700"/>
      <c r="NI24" s="700"/>
      <c r="NJ24" s="700"/>
      <c r="NK24" s="700"/>
      <c r="NL24" s="700"/>
      <c r="NM24" s="700"/>
      <c r="NN24" s="700"/>
      <c r="NO24" s="700"/>
      <c r="NP24" s="700"/>
      <c r="NQ24" s="700"/>
      <c r="NR24" s="700"/>
      <c r="NS24" s="700"/>
      <c r="NT24" s="700"/>
      <c r="NU24" s="700"/>
      <c r="NV24" s="700"/>
      <c r="NW24" s="700"/>
      <c r="NX24" s="700"/>
      <c r="NY24" s="700"/>
      <c r="NZ24" s="700"/>
      <c r="OA24" s="700"/>
      <c r="OB24" s="700"/>
      <c r="OC24" s="700"/>
      <c r="OD24" s="700"/>
      <c r="OE24" s="700"/>
      <c r="OF24" s="700"/>
      <c r="OG24" s="700"/>
      <c r="OH24" s="700"/>
      <c r="OI24" s="700"/>
      <c r="OJ24" s="700"/>
      <c r="OK24" s="700"/>
      <c r="OL24" s="700"/>
      <c r="OM24" s="700"/>
      <c r="ON24" s="700"/>
      <c r="OO24" s="700"/>
      <c r="OP24" s="700"/>
      <c r="OQ24" s="700"/>
      <c r="OR24" s="700"/>
      <c r="OS24" s="700"/>
      <c r="OT24" s="700"/>
      <c r="OU24" s="700"/>
      <c r="OV24" s="700"/>
      <c r="OW24" s="700"/>
      <c r="OX24" s="700"/>
      <c r="OY24" s="700"/>
      <c r="OZ24" s="700"/>
      <c r="PA24" s="700"/>
      <c r="PB24" s="700"/>
      <c r="PC24" s="700"/>
      <c r="PD24" s="700"/>
      <c r="PE24" s="700"/>
      <c r="PF24" s="700"/>
      <c r="PG24" s="700"/>
      <c r="PH24" s="700"/>
      <c r="PI24" s="700"/>
      <c r="PJ24" s="700"/>
      <c r="PK24" s="700"/>
      <c r="PL24" s="700"/>
      <c r="PM24" s="700"/>
      <c r="PN24" s="700"/>
      <c r="PO24" s="700"/>
      <c r="PP24" s="700"/>
      <c r="PQ24" s="700"/>
      <c r="PR24" s="700"/>
      <c r="PS24" s="700"/>
      <c r="PT24" s="700"/>
      <c r="PU24" s="700"/>
      <c r="PV24" s="700"/>
      <c r="PW24" s="700"/>
      <c r="PX24" s="700"/>
      <c r="PY24" s="700"/>
      <c r="PZ24" s="700"/>
      <c r="QA24" s="700"/>
      <c r="QB24" s="700"/>
      <c r="QC24" s="700"/>
      <c r="QD24" s="700"/>
      <c r="QE24" s="700"/>
      <c r="QF24" s="700"/>
      <c r="QG24" s="700"/>
      <c r="QH24" s="700"/>
      <c r="QI24" s="700"/>
      <c r="QJ24" s="700"/>
      <c r="QK24" s="700"/>
      <c r="QL24" s="700"/>
      <c r="QM24" s="700"/>
      <c r="QN24" s="700"/>
      <c r="QO24" s="700"/>
      <c r="QP24" s="700"/>
      <c r="QQ24" s="700"/>
      <c r="QR24" s="700"/>
      <c r="QS24" s="700"/>
      <c r="QT24" s="700"/>
      <c r="QU24" s="700"/>
      <c r="QV24" s="700"/>
      <c r="QW24" s="700"/>
      <c r="QX24" s="700"/>
      <c r="QY24" s="700"/>
      <c r="QZ24" s="700"/>
      <c r="RA24" s="700"/>
      <c r="RB24" s="700"/>
      <c r="RC24" s="700"/>
      <c r="RD24" s="700"/>
      <c r="RE24" s="700"/>
      <c r="RF24" s="700"/>
      <c r="RG24" s="700"/>
      <c r="RH24" s="700"/>
      <c r="RI24" s="700"/>
      <c r="RJ24" s="700"/>
      <c r="RK24" s="700"/>
      <c r="RL24" s="700"/>
      <c r="RM24" s="700"/>
      <c r="RN24" s="700"/>
      <c r="RO24" s="700"/>
      <c r="RP24" s="700"/>
      <c r="RQ24" s="700"/>
      <c r="RR24" s="700"/>
      <c r="RS24" s="700"/>
      <c r="RT24" s="700"/>
      <c r="RU24" s="700"/>
      <c r="RV24" s="700"/>
      <c r="RW24" s="700"/>
      <c r="RX24" s="700"/>
      <c r="RY24" s="700"/>
      <c r="RZ24" s="700"/>
      <c r="SA24" s="700"/>
      <c r="SB24" s="700"/>
      <c r="SC24" s="700"/>
      <c r="SD24" s="700"/>
      <c r="SE24" s="700"/>
      <c r="SF24" s="700"/>
      <c r="SG24" s="700"/>
      <c r="SH24" s="700"/>
      <c r="SI24" s="700"/>
      <c r="SJ24" s="700"/>
      <c r="SK24" s="700"/>
      <c r="SL24" s="700"/>
      <c r="SM24" s="700"/>
      <c r="SN24" s="700"/>
      <c r="SO24" s="700"/>
      <c r="SP24" s="700"/>
      <c r="SQ24" s="700"/>
      <c r="SR24" s="700"/>
      <c r="SS24" s="700"/>
      <c r="ST24" s="700"/>
      <c r="SU24" s="700"/>
      <c r="SV24" s="700"/>
      <c r="SW24" s="700"/>
      <c r="SX24" s="700"/>
      <c r="SY24" s="700"/>
      <c r="SZ24" s="700"/>
      <c r="TA24" s="700"/>
      <c r="TB24" s="700"/>
      <c r="TC24" s="700"/>
      <c r="TD24" s="700"/>
      <c r="TE24" s="700"/>
      <c r="TF24" s="700"/>
      <c r="TG24" s="700"/>
      <c r="TH24" s="700"/>
      <c r="TI24" s="700"/>
      <c r="TJ24" s="700"/>
      <c r="TK24" s="700"/>
      <c r="TL24" s="700"/>
      <c r="TM24" s="700"/>
      <c r="TN24" s="700"/>
      <c r="TO24" s="700"/>
      <c r="TP24" s="700"/>
      <c r="TQ24" s="700"/>
      <c r="TR24" s="700"/>
      <c r="TS24" s="700"/>
      <c r="TT24" s="700"/>
      <c r="TU24" s="700"/>
      <c r="TV24" s="700"/>
      <c r="TW24" s="700"/>
      <c r="TX24" s="700"/>
      <c r="TY24" s="700"/>
      <c r="TZ24" s="700"/>
      <c r="UA24" s="700"/>
      <c r="UB24" s="700"/>
      <c r="UC24" s="700"/>
      <c r="UD24" s="700"/>
      <c r="UE24" s="700"/>
      <c r="UF24" s="700"/>
      <c r="UG24" s="700"/>
      <c r="UH24" s="700"/>
      <c r="UI24" s="700"/>
      <c r="UJ24" s="700"/>
      <c r="UK24" s="700"/>
      <c r="UL24" s="700"/>
      <c r="UM24" s="700"/>
      <c r="UN24" s="700"/>
      <c r="UO24" s="700"/>
      <c r="UP24" s="700"/>
      <c r="UQ24" s="700"/>
      <c r="UR24" s="700"/>
      <c r="US24" s="700"/>
      <c r="UT24" s="700"/>
      <c r="UU24" s="700"/>
      <c r="UV24" s="700"/>
      <c r="UW24" s="700"/>
      <c r="UX24" s="700"/>
      <c r="UY24" s="700"/>
      <c r="UZ24" s="700"/>
      <c r="VA24" s="700"/>
      <c r="VB24" s="700"/>
      <c r="VC24" s="700"/>
      <c r="VD24" s="700"/>
      <c r="VE24" s="700"/>
      <c r="VF24" s="700"/>
      <c r="VG24" s="700"/>
      <c r="VH24" s="700"/>
      <c r="VI24" s="700"/>
      <c r="VJ24" s="700"/>
      <c r="VK24" s="700"/>
      <c r="VL24" s="700"/>
      <c r="VM24" s="700"/>
      <c r="VN24" s="700"/>
      <c r="VO24" s="700"/>
      <c r="VP24" s="700"/>
      <c r="VQ24" s="700"/>
      <c r="VR24" s="700"/>
      <c r="VS24" s="700"/>
      <c r="VT24" s="700"/>
      <c r="VU24" s="700"/>
      <c r="VV24" s="700"/>
      <c r="VW24" s="700"/>
      <c r="VX24" s="700"/>
      <c r="VY24" s="700"/>
      <c r="VZ24" s="700"/>
      <c r="WA24" s="700"/>
      <c r="WB24" s="700"/>
      <c r="WC24" s="700"/>
      <c r="WD24" s="700"/>
      <c r="WE24" s="700"/>
      <c r="WF24" s="700"/>
      <c r="WG24" s="700"/>
      <c r="WH24" s="700"/>
      <c r="WI24" s="700"/>
      <c r="WJ24" s="700"/>
      <c r="WK24" s="700"/>
      <c r="WL24" s="700"/>
      <c r="WM24" s="700"/>
      <c r="WN24" s="700"/>
      <c r="WO24" s="700"/>
      <c r="WP24" s="700"/>
      <c r="WQ24" s="700"/>
      <c r="WR24" s="700"/>
      <c r="WS24" s="700"/>
      <c r="WT24" s="700"/>
      <c r="WU24" s="700"/>
      <c r="WV24" s="700"/>
      <c r="WW24" s="700"/>
      <c r="WX24" s="700"/>
      <c r="WY24" s="700"/>
      <c r="WZ24" s="700"/>
      <c r="XA24" s="700"/>
      <c r="XB24" s="700"/>
      <c r="XC24" s="700"/>
      <c r="XD24" s="700"/>
      <c r="XE24" s="700"/>
      <c r="XF24" s="700"/>
      <c r="XG24" s="700"/>
      <c r="XH24" s="700"/>
      <c r="XI24" s="700"/>
      <c r="XJ24" s="700"/>
      <c r="XK24" s="700"/>
      <c r="XL24" s="700"/>
      <c r="XM24" s="700"/>
      <c r="XN24" s="700"/>
      <c r="XO24" s="700"/>
      <c r="XP24" s="700"/>
      <c r="XQ24" s="700"/>
      <c r="XR24" s="700"/>
      <c r="XS24" s="700"/>
      <c r="XT24" s="700"/>
      <c r="XU24" s="700"/>
      <c r="XV24" s="700"/>
      <c r="XW24" s="700"/>
      <c r="XX24" s="700"/>
      <c r="XY24" s="700"/>
      <c r="XZ24" s="700"/>
      <c r="YA24" s="700"/>
      <c r="YB24" s="700"/>
      <c r="YC24" s="700"/>
      <c r="YD24" s="700"/>
      <c r="YE24" s="700"/>
      <c r="YF24" s="700"/>
      <c r="YG24" s="700"/>
      <c r="YH24" s="700"/>
      <c r="YI24" s="700"/>
      <c r="YJ24" s="700"/>
      <c r="YK24" s="700"/>
      <c r="YL24" s="700"/>
      <c r="YM24" s="700"/>
      <c r="YN24" s="700"/>
      <c r="YO24" s="700"/>
      <c r="YP24" s="700"/>
      <c r="YQ24" s="700"/>
      <c r="YR24" s="700"/>
      <c r="YS24" s="700"/>
      <c r="YT24" s="700"/>
      <c r="YU24" s="700"/>
      <c r="YV24" s="700"/>
      <c r="YW24" s="700"/>
      <c r="YX24" s="700"/>
      <c r="YY24" s="700"/>
      <c r="YZ24" s="700"/>
      <c r="ZA24" s="700"/>
      <c r="ZB24" s="700"/>
      <c r="ZC24" s="700"/>
      <c r="ZD24" s="700"/>
      <c r="ZE24" s="700"/>
      <c r="ZF24" s="700"/>
      <c r="ZG24" s="700"/>
      <c r="ZH24" s="700"/>
      <c r="ZI24" s="700"/>
      <c r="ZJ24" s="700"/>
      <c r="ZK24" s="700"/>
      <c r="ZL24" s="700"/>
      <c r="ZM24" s="700"/>
      <c r="ZN24" s="700"/>
      <c r="ZO24" s="700"/>
      <c r="ZP24" s="700"/>
      <c r="ZQ24" s="700"/>
      <c r="ZR24" s="700"/>
      <c r="ZS24" s="700"/>
      <c r="ZT24" s="700"/>
      <c r="ZU24" s="700"/>
      <c r="ZV24" s="700"/>
      <c r="ZW24" s="700"/>
      <c r="ZX24" s="700"/>
      <c r="ZY24" s="700"/>
      <c r="ZZ24" s="700"/>
      <c r="AAA24" s="700"/>
      <c r="AAB24" s="700"/>
      <c r="AAC24" s="700"/>
      <c r="AAD24" s="700"/>
      <c r="AAE24" s="700"/>
      <c r="AAF24" s="700"/>
      <c r="AAG24" s="700"/>
      <c r="AAH24" s="700"/>
      <c r="AAI24" s="700"/>
      <c r="AAJ24" s="700"/>
      <c r="AAK24" s="700"/>
      <c r="AAL24" s="700"/>
      <c r="AAM24" s="700"/>
      <c r="AAN24" s="700"/>
      <c r="AAO24" s="700"/>
      <c r="AAP24" s="700"/>
      <c r="AAQ24" s="700"/>
      <c r="AAR24" s="700"/>
      <c r="AAS24" s="700"/>
      <c r="AAT24" s="700"/>
      <c r="AAU24" s="700"/>
      <c r="AAV24" s="700"/>
      <c r="AAW24" s="700"/>
      <c r="AAX24" s="700"/>
      <c r="AAY24" s="700"/>
      <c r="AAZ24" s="700"/>
      <c r="ABA24" s="700"/>
      <c r="ABB24" s="700"/>
      <c r="ABC24" s="700"/>
      <c r="ABD24" s="700"/>
      <c r="ABE24" s="700"/>
      <c r="ABF24" s="700"/>
      <c r="ABG24" s="700"/>
      <c r="ABH24" s="700"/>
      <c r="ABI24" s="700"/>
      <c r="ABJ24" s="700"/>
      <c r="ABK24" s="700"/>
      <c r="ABL24" s="700"/>
      <c r="ABM24" s="700"/>
      <c r="ABN24" s="700"/>
      <c r="ABO24" s="700"/>
      <c r="ABP24" s="700"/>
      <c r="ABQ24" s="700"/>
      <c r="ABR24" s="700"/>
      <c r="ABS24" s="700"/>
      <c r="ABT24" s="700"/>
      <c r="ABU24" s="700"/>
      <c r="ABV24" s="700"/>
      <c r="ABW24" s="700"/>
      <c r="ABX24" s="700"/>
      <c r="ABY24" s="700"/>
      <c r="ABZ24" s="700"/>
      <c r="ACA24" s="700"/>
      <c r="ACB24" s="700"/>
      <c r="ACC24" s="700"/>
      <c r="ACD24" s="700"/>
      <c r="ACE24" s="700"/>
      <c r="ACF24" s="700"/>
      <c r="ACG24" s="700"/>
      <c r="ACH24" s="700"/>
      <c r="ACI24" s="700"/>
      <c r="ACJ24" s="700"/>
      <c r="ACK24" s="700"/>
      <c r="ACL24" s="700"/>
      <c r="ACM24" s="700"/>
      <c r="ACN24" s="700"/>
      <c r="ACO24" s="700"/>
      <c r="ACP24" s="700"/>
      <c r="ACQ24" s="700"/>
      <c r="ACR24" s="700"/>
      <c r="ACS24" s="700"/>
      <c r="ACT24" s="700"/>
      <c r="ACU24" s="700"/>
      <c r="ACV24" s="700"/>
      <c r="ACW24" s="700"/>
      <c r="ACX24" s="700"/>
      <c r="ACY24" s="700"/>
      <c r="ACZ24" s="700"/>
      <c r="ADA24" s="700"/>
      <c r="ADB24" s="700"/>
      <c r="ADC24" s="700"/>
      <c r="ADD24" s="700"/>
      <c r="ADE24" s="700"/>
      <c r="ADF24" s="700"/>
      <c r="ADG24" s="700"/>
      <c r="ADH24" s="700"/>
      <c r="ADI24" s="700"/>
      <c r="ADJ24" s="700"/>
      <c r="ADK24" s="700"/>
      <c r="ADL24" s="700"/>
      <c r="ADM24" s="700"/>
      <c r="ADN24" s="700"/>
      <c r="ADO24" s="700"/>
      <c r="ADP24" s="700"/>
      <c r="ADQ24" s="700"/>
      <c r="ADR24" s="700"/>
      <c r="ADS24" s="700"/>
      <c r="ADT24" s="700"/>
      <c r="ADU24" s="700"/>
      <c r="ADV24" s="700"/>
      <c r="ADW24" s="700"/>
      <c r="ADX24" s="700"/>
      <c r="ADY24" s="700"/>
      <c r="ADZ24" s="700"/>
      <c r="AEA24" s="700"/>
      <c r="AEB24" s="700"/>
      <c r="AEC24" s="700"/>
      <c r="AED24" s="700"/>
      <c r="AEE24" s="700"/>
      <c r="AEF24" s="700"/>
      <c r="AEG24" s="700"/>
      <c r="AEH24" s="700"/>
      <c r="AEI24" s="700"/>
      <c r="AEJ24" s="700"/>
      <c r="AEK24" s="700"/>
      <c r="AEL24" s="700"/>
      <c r="AEM24" s="700"/>
      <c r="AEN24" s="700"/>
      <c r="AEO24" s="700"/>
      <c r="AEP24" s="700"/>
      <c r="AEQ24" s="700"/>
      <c r="AER24" s="700"/>
      <c r="AES24" s="700"/>
      <c r="AET24" s="700"/>
      <c r="AEU24" s="700"/>
      <c r="AEV24" s="700"/>
      <c r="AEW24" s="700"/>
      <c r="AEX24" s="700"/>
      <c r="AEY24" s="700"/>
      <c r="AEZ24" s="700"/>
      <c r="AFA24" s="700"/>
      <c r="AFB24" s="700"/>
      <c r="AFC24" s="700"/>
      <c r="AFD24" s="700"/>
      <c r="AFE24" s="700"/>
      <c r="AFF24" s="700"/>
      <c r="AFG24" s="700"/>
      <c r="AFH24" s="700"/>
      <c r="AFI24" s="700"/>
      <c r="AFJ24" s="700"/>
      <c r="AFK24" s="700"/>
      <c r="AFL24" s="700"/>
      <c r="AFM24" s="700"/>
      <c r="AFN24" s="700"/>
      <c r="AFO24" s="700"/>
      <c r="AFP24" s="700"/>
      <c r="AFQ24" s="700"/>
      <c r="AFR24" s="700"/>
      <c r="AFS24" s="700"/>
      <c r="AFT24" s="700"/>
      <c r="AFU24" s="700"/>
      <c r="AFV24" s="700"/>
      <c r="AFW24" s="700"/>
      <c r="AFX24" s="700"/>
      <c r="AFY24" s="700"/>
      <c r="AFZ24" s="700"/>
      <c r="AGA24" s="700"/>
      <c r="AGB24" s="700"/>
      <c r="AGC24" s="700"/>
      <c r="AGD24" s="700"/>
      <c r="AGE24" s="700"/>
      <c r="AGF24" s="700"/>
      <c r="AGG24" s="700"/>
      <c r="AGH24" s="700"/>
      <c r="AGI24" s="700"/>
      <c r="AGJ24" s="700"/>
      <c r="AGK24" s="700"/>
      <c r="AGL24" s="700"/>
      <c r="AGM24" s="700"/>
      <c r="AGN24" s="700"/>
      <c r="AGO24" s="700"/>
      <c r="AGP24" s="700"/>
      <c r="AGQ24" s="700"/>
      <c r="AGR24" s="700"/>
      <c r="AGS24" s="700"/>
      <c r="AGT24" s="700"/>
      <c r="AGU24" s="700"/>
      <c r="AGV24" s="700"/>
      <c r="AGW24" s="700"/>
      <c r="AGX24" s="700"/>
      <c r="AGY24" s="700"/>
      <c r="AGZ24" s="700"/>
      <c r="AHA24" s="700"/>
      <c r="AHB24" s="700"/>
      <c r="AHC24" s="700"/>
      <c r="AHD24" s="700"/>
      <c r="AHE24" s="700"/>
      <c r="AHF24" s="700"/>
      <c r="AHG24" s="700"/>
      <c r="AHH24" s="700"/>
      <c r="AHI24" s="700"/>
      <c r="AHJ24" s="700"/>
      <c r="AHK24" s="700"/>
      <c r="AHL24" s="700"/>
      <c r="AHM24" s="700"/>
      <c r="AHN24" s="700"/>
      <c r="AHO24" s="700"/>
      <c r="AHP24" s="700"/>
      <c r="AHQ24" s="700"/>
      <c r="AHR24" s="700"/>
      <c r="AHS24" s="700"/>
      <c r="AHT24" s="700"/>
      <c r="AHU24" s="700"/>
      <c r="AHV24" s="700"/>
      <c r="AHW24" s="700"/>
      <c r="AHX24" s="700"/>
      <c r="AHY24" s="700"/>
      <c r="AHZ24" s="700"/>
      <c r="AIA24" s="700"/>
      <c r="AIB24" s="700"/>
      <c r="AIC24" s="700"/>
      <c r="AID24" s="700"/>
      <c r="AIE24" s="700"/>
      <c r="AIF24" s="700"/>
      <c r="AIG24" s="700"/>
      <c r="AIH24" s="700"/>
      <c r="AII24" s="700"/>
      <c r="AIJ24" s="700"/>
      <c r="AIK24" s="700"/>
      <c r="AIL24" s="700"/>
      <c r="AIM24" s="700"/>
      <c r="AIN24" s="700"/>
      <c r="AIO24" s="700"/>
      <c r="AIP24" s="700"/>
      <c r="AIQ24" s="700"/>
      <c r="AIR24" s="700"/>
      <c r="AIS24" s="700"/>
      <c r="AIT24" s="700"/>
      <c r="AIU24" s="700"/>
      <c r="AIV24" s="700"/>
      <c r="AIW24" s="700"/>
      <c r="AIX24" s="700"/>
      <c r="AIY24" s="700"/>
      <c r="AIZ24" s="700"/>
      <c r="AJA24" s="700"/>
      <c r="AJB24" s="700"/>
      <c r="AJC24" s="700"/>
      <c r="AJD24" s="700"/>
      <c r="AJE24" s="700"/>
      <c r="AJF24" s="700"/>
      <c r="AJG24" s="700"/>
      <c r="AJH24" s="700"/>
      <c r="AJI24" s="700"/>
      <c r="AJJ24" s="700"/>
      <c r="AJK24" s="700"/>
      <c r="AJL24" s="700"/>
      <c r="AJM24" s="700"/>
      <c r="AJN24" s="700"/>
      <c r="AJO24" s="700"/>
      <c r="AJP24" s="700"/>
      <c r="AJQ24" s="700"/>
      <c r="AJR24" s="700"/>
      <c r="AJS24" s="700"/>
      <c r="AJT24" s="700"/>
      <c r="AJU24" s="700"/>
      <c r="AJV24" s="700"/>
      <c r="AJW24" s="700"/>
      <c r="AJX24" s="700"/>
      <c r="AJY24" s="700"/>
      <c r="AJZ24" s="700"/>
      <c r="AKA24" s="700"/>
      <c r="AKB24" s="700"/>
      <c r="AKC24" s="700"/>
      <c r="AKD24" s="700"/>
      <c r="AKE24" s="700"/>
      <c r="AKF24" s="700"/>
      <c r="AKG24" s="700"/>
      <c r="AKH24" s="700"/>
      <c r="AKI24" s="700"/>
      <c r="AKJ24" s="700"/>
      <c r="AKK24" s="700"/>
      <c r="AKL24" s="700"/>
      <c r="AKM24" s="700"/>
      <c r="AKN24" s="700"/>
      <c r="AKO24" s="700"/>
      <c r="AKP24" s="700"/>
      <c r="AKQ24" s="700"/>
      <c r="AKR24" s="700"/>
      <c r="AKS24" s="700"/>
      <c r="AKT24" s="700"/>
      <c r="AKU24" s="700"/>
      <c r="AKV24" s="700"/>
      <c r="AKW24" s="700"/>
      <c r="AKX24" s="700"/>
      <c r="AKY24" s="700"/>
      <c r="AKZ24" s="700"/>
      <c r="ALA24" s="700"/>
      <c r="ALB24" s="700"/>
      <c r="ALC24" s="700"/>
      <c r="ALD24" s="700"/>
      <c r="ALE24" s="700"/>
      <c r="ALF24" s="700"/>
      <c r="ALG24" s="700"/>
      <c r="ALH24" s="700"/>
      <c r="ALI24" s="700"/>
      <c r="ALJ24" s="700"/>
      <c r="ALK24" s="700"/>
      <c r="ALL24" s="700"/>
      <c r="ALM24" s="700"/>
      <c r="ALN24" s="700"/>
      <c r="ALO24" s="700"/>
      <c r="ALP24" s="700"/>
      <c r="ALQ24" s="700"/>
      <c r="ALR24" s="700"/>
      <c r="ALS24" s="700"/>
      <c r="ALT24" s="700"/>
      <c r="ALU24" s="700"/>
      <c r="ALV24" s="700"/>
      <c r="ALW24" s="700"/>
      <c r="ALX24" s="700"/>
      <c r="ALY24" s="700"/>
      <c r="ALZ24" s="700"/>
      <c r="AMA24" s="700"/>
      <c r="AMB24" s="700"/>
      <c r="AMC24" s="700"/>
      <c r="AMD24" s="700"/>
      <c r="AME24" s="700"/>
      <c r="AMF24" s="700"/>
      <c r="AMG24" s="700"/>
      <c r="AMH24" s="700"/>
      <c r="AMI24" s="700"/>
      <c r="AMJ24" s="700"/>
      <c r="AMK24" s="700"/>
      <c r="AML24" s="700"/>
      <c r="AMM24" s="700"/>
      <c r="AMN24" s="700"/>
      <c r="AMO24" s="700"/>
      <c r="AMP24" s="700"/>
      <c r="AMQ24" s="700"/>
      <c r="AMR24" s="700"/>
      <c r="AMS24" s="700"/>
      <c r="AMT24" s="700"/>
      <c r="AMU24" s="700"/>
      <c r="AMV24" s="700"/>
      <c r="AMW24" s="700"/>
      <c r="AMX24" s="700"/>
      <c r="AMY24" s="700"/>
      <c r="AMZ24" s="700"/>
      <c r="ANA24" s="700"/>
      <c r="ANB24" s="700"/>
      <c r="ANC24" s="700"/>
      <c r="AND24" s="700"/>
      <c r="ANE24" s="700"/>
      <c r="ANF24" s="700"/>
      <c r="ANG24" s="700"/>
      <c r="ANH24" s="700"/>
      <c r="ANI24" s="700"/>
      <c r="ANJ24" s="700"/>
      <c r="ANK24" s="700"/>
      <c r="ANL24" s="700"/>
      <c r="ANM24" s="700"/>
      <c r="ANN24" s="700"/>
      <c r="ANO24" s="700"/>
      <c r="ANP24" s="700"/>
      <c r="ANQ24" s="700"/>
      <c r="ANR24" s="700"/>
      <c r="ANS24" s="700"/>
      <c r="ANT24" s="700"/>
      <c r="ANU24" s="700"/>
      <c r="ANV24" s="700"/>
      <c r="ANW24" s="700"/>
      <c r="ANX24" s="700"/>
      <c r="ANY24" s="700"/>
      <c r="ANZ24" s="700"/>
      <c r="AOA24" s="700"/>
      <c r="AOB24" s="700"/>
      <c r="AOC24" s="700"/>
      <c r="AOD24" s="700"/>
      <c r="AOE24" s="700"/>
      <c r="AOF24" s="700"/>
      <c r="AOG24" s="700"/>
      <c r="AOH24" s="700"/>
      <c r="AOI24" s="700"/>
      <c r="AOJ24" s="700"/>
      <c r="AOK24" s="700"/>
      <c r="AOL24" s="700"/>
      <c r="AOM24" s="700"/>
      <c r="AON24" s="700"/>
      <c r="AOO24" s="700"/>
      <c r="AOP24" s="700"/>
      <c r="AOQ24" s="700"/>
      <c r="AOR24" s="700"/>
      <c r="AOS24" s="700"/>
      <c r="AOT24" s="700"/>
      <c r="AOU24" s="700"/>
      <c r="AOV24" s="700"/>
      <c r="AOW24" s="700"/>
      <c r="AOX24" s="700"/>
      <c r="AOY24" s="700"/>
      <c r="AOZ24" s="700"/>
      <c r="APA24" s="700"/>
      <c r="APB24" s="700"/>
      <c r="APC24" s="700"/>
      <c r="APD24" s="700"/>
      <c r="APE24" s="700"/>
      <c r="APF24" s="700"/>
      <c r="APG24" s="700"/>
      <c r="APH24" s="700"/>
      <c r="API24" s="700"/>
      <c r="APJ24" s="700"/>
      <c r="APK24" s="700"/>
      <c r="APL24" s="700"/>
      <c r="APM24" s="700"/>
      <c r="APN24" s="700"/>
      <c r="APO24" s="700"/>
      <c r="APP24" s="700"/>
      <c r="APQ24" s="700"/>
      <c r="APR24" s="700"/>
      <c r="APS24" s="700"/>
      <c r="APT24" s="700"/>
      <c r="APU24" s="700"/>
      <c r="APV24" s="700"/>
      <c r="APW24" s="700"/>
      <c r="APX24" s="700"/>
      <c r="APY24" s="700"/>
      <c r="APZ24" s="700"/>
      <c r="AQA24" s="700"/>
      <c r="AQB24" s="700"/>
      <c r="AQC24" s="700"/>
      <c r="AQD24" s="700"/>
      <c r="AQE24" s="700"/>
      <c r="AQF24" s="700"/>
      <c r="AQG24" s="700"/>
      <c r="AQH24" s="700"/>
      <c r="AQI24" s="700"/>
      <c r="AQJ24" s="700"/>
      <c r="AQK24" s="700"/>
      <c r="AQL24" s="700"/>
      <c r="AQM24" s="700"/>
      <c r="AQN24" s="700"/>
      <c r="AQO24" s="700"/>
      <c r="AQP24" s="700"/>
      <c r="AQQ24" s="700"/>
      <c r="AQR24" s="700"/>
      <c r="AQS24" s="700"/>
      <c r="AQT24" s="700"/>
      <c r="AQU24" s="700"/>
      <c r="AQV24" s="700"/>
      <c r="AQW24" s="700"/>
      <c r="AQX24" s="700"/>
      <c r="AQY24" s="700"/>
      <c r="AQZ24" s="700"/>
      <c r="ARA24" s="700"/>
      <c r="ARB24" s="700"/>
      <c r="ARC24" s="700"/>
      <c r="ARD24" s="700"/>
      <c r="ARE24" s="700"/>
      <c r="ARF24" s="700"/>
      <c r="ARG24" s="700"/>
      <c r="ARH24" s="700"/>
      <c r="ARI24" s="700"/>
      <c r="ARJ24" s="700"/>
      <c r="ARK24" s="700"/>
      <c r="ARL24" s="700"/>
      <c r="ARM24" s="700"/>
      <c r="ARN24" s="700"/>
      <c r="ARO24" s="700"/>
      <c r="ARP24" s="700"/>
      <c r="ARQ24" s="700"/>
      <c r="ARR24" s="700"/>
      <c r="ARS24" s="700"/>
      <c r="ART24" s="700"/>
      <c r="ARU24" s="700"/>
      <c r="ARV24" s="700"/>
      <c r="ARW24" s="700"/>
      <c r="ARX24" s="700"/>
      <c r="ARY24" s="700"/>
      <c r="ARZ24" s="700"/>
      <c r="ASA24" s="700"/>
      <c r="ASB24" s="700"/>
      <c r="ASC24" s="700"/>
      <c r="ASD24" s="700"/>
      <c r="ASE24" s="700"/>
      <c r="ASF24" s="700"/>
      <c r="ASG24" s="700"/>
      <c r="ASH24" s="700"/>
      <c r="ASI24" s="700"/>
      <c r="ASJ24" s="700"/>
      <c r="ASK24" s="700"/>
      <c r="ASL24" s="700"/>
      <c r="ASM24" s="700"/>
      <c r="ASN24" s="700"/>
      <c r="ASO24" s="700"/>
      <c r="ASP24" s="700"/>
      <c r="ASQ24" s="700"/>
      <c r="ASR24" s="700"/>
      <c r="ASS24" s="700"/>
      <c r="AST24" s="700"/>
      <c r="ASU24" s="700"/>
      <c r="ASV24" s="700"/>
      <c r="ASW24" s="700"/>
      <c r="ASX24" s="700"/>
      <c r="ASY24" s="700"/>
      <c r="ASZ24" s="700"/>
      <c r="ATA24" s="700"/>
      <c r="ATB24" s="700"/>
      <c r="ATC24" s="700"/>
      <c r="ATD24" s="700"/>
      <c r="ATE24" s="700"/>
      <c r="ATF24" s="700"/>
      <c r="ATG24" s="700"/>
      <c r="ATH24" s="700"/>
      <c r="ATI24" s="700"/>
      <c r="ATJ24" s="700"/>
      <c r="ATK24" s="700"/>
      <c r="ATL24" s="700"/>
      <c r="ATM24" s="700"/>
      <c r="ATN24" s="700"/>
      <c r="ATO24" s="700"/>
      <c r="ATP24" s="700"/>
      <c r="ATQ24" s="700"/>
      <c r="ATR24" s="700"/>
      <c r="ATS24" s="700"/>
      <c r="ATT24" s="700"/>
      <c r="ATU24" s="700"/>
      <c r="ATV24" s="700"/>
      <c r="ATW24" s="700"/>
      <c r="ATX24" s="700"/>
      <c r="ATY24" s="700"/>
      <c r="ATZ24" s="700"/>
      <c r="AUA24" s="700"/>
      <c r="AUB24" s="700"/>
      <c r="AUC24" s="700"/>
      <c r="AUD24" s="700"/>
      <c r="AUE24" s="700"/>
      <c r="AUF24" s="700"/>
      <c r="AUG24" s="700"/>
      <c r="AUH24" s="700"/>
      <c r="AUI24" s="700"/>
      <c r="AUJ24" s="700"/>
      <c r="AUK24" s="700"/>
      <c r="AUL24" s="700"/>
      <c r="AUM24" s="700"/>
      <c r="AUN24" s="700"/>
      <c r="AUO24" s="700"/>
      <c r="AUP24" s="700"/>
      <c r="AUQ24" s="700"/>
      <c r="AUR24" s="700"/>
      <c r="AUS24" s="700"/>
      <c r="AUT24" s="700"/>
      <c r="AUU24" s="700"/>
      <c r="AUV24" s="700"/>
      <c r="AUW24" s="700"/>
      <c r="AUX24" s="700"/>
      <c r="AUY24" s="700"/>
      <c r="AUZ24" s="700"/>
      <c r="AVA24" s="700"/>
      <c r="AVB24" s="700"/>
      <c r="AVC24" s="700"/>
      <c r="AVD24" s="700"/>
      <c r="AVE24" s="700"/>
      <c r="AVF24" s="700"/>
      <c r="AVG24" s="700"/>
      <c r="AVH24" s="700"/>
      <c r="AVI24" s="700"/>
      <c r="AVJ24" s="700"/>
      <c r="AVK24" s="700"/>
      <c r="AVL24" s="700"/>
      <c r="AVM24" s="700"/>
      <c r="AVN24" s="700"/>
      <c r="AVO24" s="700"/>
      <c r="AVP24" s="700"/>
      <c r="AVQ24" s="700"/>
      <c r="AVR24" s="700"/>
      <c r="AVS24" s="700"/>
      <c r="AVT24" s="700"/>
      <c r="AVU24" s="700"/>
      <c r="AVV24" s="700"/>
      <c r="AVW24" s="700"/>
      <c r="AVX24" s="700"/>
      <c r="AVY24" s="700"/>
      <c r="AVZ24" s="700"/>
      <c r="AWA24" s="700"/>
      <c r="AWB24" s="700"/>
      <c r="AWC24" s="700"/>
      <c r="AWD24" s="700"/>
      <c r="AWE24" s="700"/>
      <c r="AWF24" s="700"/>
      <c r="AWG24" s="700"/>
      <c r="AWH24" s="700"/>
      <c r="AWI24" s="700"/>
      <c r="AWJ24" s="700"/>
      <c r="AWK24" s="700"/>
      <c r="AWL24" s="700"/>
      <c r="AWM24" s="700"/>
      <c r="AWN24" s="700"/>
      <c r="AWO24" s="700"/>
      <c r="AWP24" s="700"/>
      <c r="AWQ24" s="700"/>
      <c r="AWR24" s="700"/>
      <c r="AWS24" s="700"/>
      <c r="AWT24" s="700"/>
      <c r="AWU24" s="700"/>
      <c r="AWV24" s="700"/>
      <c r="AWW24" s="700"/>
      <c r="AWX24" s="700"/>
      <c r="AWY24" s="700"/>
      <c r="AWZ24" s="700"/>
      <c r="AXA24" s="700"/>
      <c r="AXB24" s="700"/>
      <c r="AXC24" s="700"/>
      <c r="AXD24" s="700"/>
      <c r="AXE24" s="700"/>
      <c r="AXF24" s="700"/>
      <c r="AXG24" s="700"/>
      <c r="AXH24" s="700"/>
      <c r="AXI24" s="700"/>
      <c r="AXJ24" s="700"/>
      <c r="AXK24" s="700"/>
      <c r="AXL24" s="700"/>
      <c r="AXM24" s="700"/>
      <c r="AXN24" s="700"/>
      <c r="AXO24" s="700"/>
      <c r="AXP24" s="700"/>
      <c r="AXQ24" s="700"/>
      <c r="AXR24" s="700"/>
      <c r="AXS24" s="700"/>
      <c r="AXT24" s="700"/>
      <c r="AXU24" s="700"/>
      <c r="AXV24" s="700"/>
      <c r="AXW24" s="700"/>
      <c r="AXX24" s="700"/>
      <c r="AXY24" s="700"/>
      <c r="AXZ24" s="700"/>
      <c r="AYA24" s="700"/>
      <c r="AYB24" s="700"/>
      <c r="AYC24" s="700"/>
      <c r="AYD24" s="700"/>
      <c r="AYE24" s="700"/>
      <c r="AYF24" s="700"/>
      <c r="AYG24" s="700"/>
      <c r="AYH24" s="700"/>
      <c r="AYI24" s="700"/>
      <c r="AYJ24" s="700"/>
      <c r="AYK24" s="700"/>
      <c r="AYL24" s="700"/>
      <c r="AYM24" s="700"/>
      <c r="AYN24" s="700"/>
      <c r="AYO24" s="700"/>
      <c r="AYP24" s="700"/>
      <c r="AYQ24" s="700"/>
      <c r="AYR24" s="700"/>
      <c r="AYS24" s="700"/>
      <c r="AYT24" s="700"/>
      <c r="AYU24" s="700"/>
      <c r="AYV24" s="700"/>
      <c r="AYW24" s="700"/>
      <c r="AYX24" s="700"/>
      <c r="AYY24" s="700"/>
      <c r="AYZ24" s="700"/>
      <c r="AZA24" s="700"/>
      <c r="AZB24" s="700"/>
      <c r="AZC24" s="700"/>
      <c r="AZD24" s="700"/>
      <c r="AZE24" s="700"/>
      <c r="AZF24" s="700"/>
      <c r="AZG24" s="700"/>
      <c r="AZH24" s="700"/>
      <c r="AZI24" s="700"/>
      <c r="AZJ24" s="700"/>
      <c r="AZK24" s="700"/>
      <c r="AZL24" s="700"/>
      <c r="AZM24" s="700"/>
      <c r="AZN24" s="700"/>
      <c r="AZO24" s="700"/>
      <c r="AZP24" s="700"/>
      <c r="AZQ24" s="700"/>
      <c r="AZR24" s="700"/>
      <c r="AZS24" s="700"/>
      <c r="AZT24" s="700"/>
      <c r="AZU24" s="700"/>
      <c r="AZV24" s="700"/>
      <c r="AZW24" s="700"/>
      <c r="AZX24" s="700"/>
      <c r="AZY24" s="700"/>
      <c r="AZZ24" s="700"/>
      <c r="BAA24" s="700"/>
      <c r="BAB24" s="700"/>
      <c r="BAC24" s="700"/>
      <c r="BAD24" s="700"/>
      <c r="BAE24" s="700"/>
      <c r="BAF24" s="700"/>
      <c r="BAG24" s="700"/>
      <c r="BAH24" s="700"/>
      <c r="BAI24" s="700"/>
      <c r="BAJ24" s="700"/>
      <c r="BAK24" s="700"/>
      <c r="BAL24" s="700"/>
      <c r="BAM24" s="700"/>
      <c r="BAN24" s="700"/>
      <c r="BAO24" s="700"/>
      <c r="BAP24" s="700"/>
      <c r="BAQ24" s="700"/>
      <c r="BAR24" s="700"/>
      <c r="BAS24" s="700"/>
      <c r="BAT24" s="700"/>
      <c r="BAU24" s="700"/>
      <c r="BAV24" s="700"/>
      <c r="BAW24" s="700"/>
      <c r="BAX24" s="700"/>
      <c r="BAY24" s="700"/>
      <c r="BAZ24" s="700"/>
      <c r="BBA24" s="700"/>
      <c r="BBB24" s="700"/>
      <c r="BBC24" s="700"/>
      <c r="BBD24" s="700"/>
      <c r="BBE24" s="700"/>
      <c r="BBF24" s="700"/>
      <c r="BBG24" s="700"/>
      <c r="BBH24" s="700"/>
      <c r="BBI24" s="700"/>
      <c r="BBJ24" s="700"/>
      <c r="BBK24" s="700"/>
      <c r="BBL24" s="700"/>
      <c r="BBM24" s="700"/>
      <c r="BBN24" s="700"/>
      <c r="BBO24" s="700"/>
      <c r="BBP24" s="700"/>
      <c r="BBQ24" s="700"/>
      <c r="BBR24" s="700"/>
      <c r="BBS24" s="700"/>
      <c r="BBT24" s="700"/>
      <c r="BBU24" s="700"/>
      <c r="BBV24" s="700"/>
      <c r="BBW24" s="700"/>
      <c r="BBX24" s="700"/>
      <c r="BBY24" s="700"/>
      <c r="BBZ24" s="700"/>
      <c r="BCA24" s="700"/>
      <c r="BCB24" s="700"/>
      <c r="BCC24" s="700"/>
      <c r="BCD24" s="700"/>
      <c r="BCE24" s="700"/>
      <c r="BCF24" s="700"/>
      <c r="BCG24" s="700"/>
      <c r="BCH24" s="700"/>
      <c r="BCI24" s="700"/>
      <c r="BCJ24" s="700"/>
      <c r="BCK24" s="700"/>
      <c r="BCL24" s="700"/>
      <c r="BCM24" s="700"/>
      <c r="BCN24" s="700"/>
      <c r="BCO24" s="700"/>
      <c r="BCP24" s="700"/>
      <c r="BCQ24" s="700"/>
      <c r="BCR24" s="700"/>
      <c r="BCS24" s="700"/>
      <c r="BCT24" s="700"/>
      <c r="BCU24" s="700"/>
      <c r="BCV24" s="700"/>
      <c r="BCW24" s="700"/>
      <c r="BCX24" s="700"/>
      <c r="BCY24" s="700"/>
      <c r="BCZ24" s="700"/>
      <c r="BDA24" s="700"/>
      <c r="BDB24" s="700"/>
      <c r="BDC24" s="700"/>
      <c r="BDD24" s="700"/>
      <c r="BDE24" s="700"/>
      <c r="BDF24" s="700"/>
      <c r="BDG24" s="700"/>
      <c r="BDH24" s="700"/>
      <c r="BDI24" s="700"/>
      <c r="BDJ24" s="700"/>
      <c r="BDK24" s="700"/>
      <c r="BDL24" s="700"/>
      <c r="BDM24" s="700"/>
      <c r="BDN24" s="700"/>
      <c r="BDO24" s="700"/>
      <c r="BDP24" s="700"/>
      <c r="BDQ24" s="700"/>
      <c r="BDR24" s="700"/>
      <c r="BDS24" s="700"/>
      <c r="BDT24" s="700"/>
      <c r="BDU24" s="700"/>
      <c r="BDV24" s="700"/>
      <c r="BDW24" s="700"/>
      <c r="BDX24" s="700"/>
      <c r="BDY24" s="700"/>
      <c r="BDZ24" s="700"/>
      <c r="BEA24" s="700"/>
      <c r="BEB24" s="700"/>
      <c r="BEC24" s="700"/>
      <c r="BED24" s="700"/>
      <c r="BEE24" s="700"/>
      <c r="BEF24" s="700"/>
      <c r="BEG24" s="700"/>
      <c r="BEH24" s="700"/>
      <c r="BEI24" s="700"/>
      <c r="BEJ24" s="700"/>
      <c r="BEK24" s="700"/>
      <c r="BEL24" s="700"/>
      <c r="BEM24" s="700"/>
      <c r="BEN24" s="700"/>
      <c r="BEO24" s="700"/>
      <c r="BEP24" s="700"/>
      <c r="BEQ24" s="700"/>
      <c r="BER24" s="700"/>
      <c r="BES24" s="700"/>
      <c r="BET24" s="700"/>
      <c r="BEU24" s="700"/>
      <c r="BEV24" s="700"/>
      <c r="BEW24" s="700"/>
      <c r="BEX24" s="700"/>
      <c r="BEY24" s="700"/>
      <c r="BEZ24" s="700"/>
      <c r="BFA24" s="700"/>
      <c r="BFB24" s="700"/>
      <c r="BFC24" s="700"/>
      <c r="BFD24" s="700"/>
      <c r="BFE24" s="700"/>
      <c r="BFF24" s="700"/>
      <c r="BFG24" s="700"/>
      <c r="BFH24" s="700"/>
      <c r="BFI24" s="700"/>
      <c r="BFJ24" s="700"/>
      <c r="BFK24" s="700"/>
      <c r="BFL24" s="700"/>
      <c r="BFM24" s="700"/>
      <c r="BFN24" s="700"/>
      <c r="BFO24" s="700"/>
      <c r="BFP24" s="700"/>
      <c r="BFQ24" s="700"/>
      <c r="BFR24" s="700"/>
      <c r="BFS24" s="700"/>
      <c r="BFT24" s="700"/>
      <c r="BFU24" s="700"/>
      <c r="BFV24" s="700"/>
      <c r="BFW24" s="700"/>
      <c r="BFX24" s="700"/>
      <c r="BFY24" s="700"/>
      <c r="BFZ24" s="700"/>
      <c r="BGA24" s="700"/>
      <c r="BGB24" s="700"/>
      <c r="BGC24" s="700"/>
      <c r="BGD24" s="700"/>
      <c r="BGE24" s="700"/>
      <c r="BGF24" s="700"/>
      <c r="BGG24" s="700"/>
      <c r="BGH24" s="700"/>
      <c r="BGI24" s="700"/>
      <c r="BGJ24" s="700"/>
      <c r="BGK24" s="700"/>
      <c r="BGL24" s="700"/>
      <c r="BGM24" s="700"/>
      <c r="BGN24" s="700"/>
      <c r="BGO24" s="700"/>
      <c r="BGP24" s="700"/>
      <c r="BGQ24" s="700"/>
      <c r="BGR24" s="700"/>
      <c r="BGS24" s="700"/>
      <c r="BGT24" s="700"/>
      <c r="BGU24" s="700"/>
      <c r="BGV24" s="700"/>
      <c r="BGW24" s="700"/>
      <c r="BGX24" s="700"/>
      <c r="BGY24" s="700"/>
      <c r="BGZ24" s="700"/>
      <c r="BHA24" s="700"/>
      <c r="BHB24" s="700"/>
      <c r="BHC24" s="700"/>
      <c r="BHD24" s="700"/>
      <c r="BHE24" s="700"/>
      <c r="BHF24" s="700"/>
      <c r="BHG24" s="700"/>
      <c r="BHH24" s="700"/>
      <c r="BHI24" s="700"/>
      <c r="BHJ24" s="700"/>
      <c r="BHK24" s="700"/>
      <c r="BHL24" s="700"/>
      <c r="BHM24" s="700"/>
      <c r="BHN24" s="700"/>
      <c r="BHO24" s="700"/>
      <c r="BHP24" s="700"/>
      <c r="BHQ24" s="700"/>
      <c r="BHR24" s="700"/>
      <c r="BHS24" s="700"/>
      <c r="BHT24" s="700"/>
      <c r="BHU24" s="700"/>
      <c r="BHV24" s="700"/>
      <c r="BHW24" s="700"/>
      <c r="BHX24" s="700"/>
      <c r="BHY24" s="700"/>
      <c r="BHZ24" s="700"/>
      <c r="BIA24" s="700"/>
      <c r="BIB24" s="700"/>
      <c r="BIC24" s="700"/>
      <c r="BID24" s="700"/>
      <c r="BIE24" s="700"/>
      <c r="BIF24" s="700"/>
      <c r="BIG24" s="700"/>
      <c r="BIH24" s="700"/>
      <c r="BII24" s="700"/>
      <c r="BIJ24" s="700"/>
      <c r="BIK24" s="700"/>
      <c r="BIL24" s="700"/>
      <c r="BIM24" s="700"/>
      <c r="BIN24" s="700"/>
      <c r="BIO24" s="700"/>
      <c r="BIP24" s="700"/>
      <c r="BIQ24" s="700"/>
      <c r="BIR24" s="700"/>
      <c r="BIS24" s="700"/>
      <c r="BIT24" s="700"/>
      <c r="BIU24" s="700"/>
      <c r="BIV24" s="700"/>
      <c r="BIW24" s="700"/>
      <c r="BIX24" s="700"/>
      <c r="BIY24" s="700"/>
      <c r="BIZ24" s="700"/>
      <c r="BJA24" s="700"/>
      <c r="BJB24" s="700"/>
      <c r="BJC24" s="700"/>
      <c r="BJD24" s="700"/>
      <c r="BJE24" s="700"/>
      <c r="BJF24" s="700"/>
      <c r="BJG24" s="700"/>
      <c r="BJH24" s="700"/>
      <c r="BJI24" s="700"/>
      <c r="BJJ24" s="700"/>
      <c r="BJK24" s="700"/>
      <c r="BJL24" s="700"/>
      <c r="BJM24" s="700"/>
      <c r="BJN24" s="700"/>
      <c r="BJO24" s="700"/>
      <c r="BJP24" s="700"/>
      <c r="BJQ24" s="700"/>
      <c r="BJR24" s="700"/>
      <c r="BJS24" s="700"/>
      <c r="BJT24" s="700"/>
      <c r="BJU24" s="700"/>
      <c r="BJV24" s="700"/>
      <c r="BJW24" s="700"/>
      <c r="BJX24" s="700"/>
      <c r="BJY24" s="700"/>
      <c r="BJZ24" s="700"/>
      <c r="BKA24" s="700"/>
      <c r="BKB24" s="700"/>
      <c r="BKC24" s="700"/>
      <c r="BKD24" s="700"/>
      <c r="BKE24" s="700"/>
      <c r="BKF24" s="700"/>
      <c r="BKG24" s="700"/>
      <c r="BKH24" s="700"/>
      <c r="BKI24" s="700"/>
      <c r="BKJ24" s="700"/>
      <c r="BKK24" s="700"/>
      <c r="BKL24" s="700"/>
      <c r="BKM24" s="700"/>
      <c r="BKN24" s="700"/>
      <c r="BKO24" s="700"/>
      <c r="BKP24" s="700"/>
      <c r="BKQ24" s="700"/>
      <c r="BKR24" s="700"/>
      <c r="BKS24" s="700"/>
      <c r="BKT24" s="700"/>
      <c r="BKU24" s="700"/>
      <c r="BKV24" s="700"/>
      <c r="BKW24" s="700"/>
      <c r="BKX24" s="700"/>
      <c r="BKY24" s="700"/>
      <c r="BKZ24" s="700"/>
      <c r="BLA24" s="700"/>
      <c r="BLB24" s="700"/>
      <c r="BLC24" s="700"/>
      <c r="BLD24" s="700"/>
      <c r="BLE24" s="700"/>
      <c r="BLF24" s="700"/>
      <c r="BLG24" s="700"/>
      <c r="BLH24" s="700"/>
      <c r="BLI24" s="700"/>
      <c r="BLJ24" s="700"/>
      <c r="BLK24" s="700"/>
      <c r="BLL24" s="700"/>
      <c r="BLM24" s="700"/>
      <c r="BLN24" s="700"/>
      <c r="BLO24" s="700"/>
      <c r="BLP24" s="700"/>
      <c r="BLQ24" s="700"/>
      <c r="BLR24" s="700"/>
      <c r="BLS24" s="700"/>
      <c r="BLT24" s="700"/>
      <c r="BLU24" s="700"/>
      <c r="BLV24" s="700"/>
      <c r="BLW24" s="700"/>
      <c r="BLX24" s="700"/>
      <c r="BLY24" s="700"/>
      <c r="BLZ24" s="700"/>
      <c r="BMA24" s="700"/>
      <c r="BMB24" s="700"/>
      <c r="BMC24" s="700"/>
      <c r="BMD24" s="700"/>
      <c r="BME24" s="700"/>
      <c r="BMF24" s="700"/>
      <c r="BMG24" s="700"/>
      <c r="BMH24" s="700"/>
      <c r="BMI24" s="700"/>
      <c r="BMJ24" s="700"/>
      <c r="BMK24" s="700"/>
      <c r="BML24" s="700"/>
      <c r="BMM24" s="700"/>
      <c r="BMN24" s="700"/>
      <c r="BMO24" s="700"/>
      <c r="BMP24" s="700"/>
      <c r="BMQ24" s="700"/>
      <c r="BMR24" s="700"/>
      <c r="BMS24" s="700"/>
      <c r="BMT24" s="700"/>
      <c r="BMU24" s="700"/>
      <c r="BMV24" s="700"/>
      <c r="BMW24" s="700"/>
      <c r="BMX24" s="700"/>
      <c r="BMY24" s="700"/>
      <c r="BMZ24" s="700"/>
      <c r="BNA24" s="700"/>
      <c r="BNB24" s="700"/>
      <c r="BNC24" s="700"/>
      <c r="BND24" s="700"/>
      <c r="BNE24" s="700"/>
      <c r="BNF24" s="700"/>
      <c r="BNG24" s="700"/>
      <c r="BNH24" s="700"/>
      <c r="BNI24" s="700"/>
      <c r="BNJ24" s="700"/>
      <c r="BNK24" s="700"/>
      <c r="BNL24" s="700"/>
      <c r="BNM24" s="700"/>
      <c r="BNN24" s="700"/>
      <c r="BNO24" s="700"/>
      <c r="BNP24" s="700"/>
      <c r="BNQ24" s="700"/>
      <c r="BNR24" s="700"/>
      <c r="BNS24" s="700"/>
      <c r="BNT24" s="700"/>
      <c r="BNU24" s="700"/>
      <c r="BNV24" s="700"/>
      <c r="BNW24" s="700"/>
      <c r="BNX24" s="700"/>
      <c r="BNY24" s="700"/>
      <c r="BNZ24" s="700"/>
      <c r="BOA24" s="700"/>
      <c r="BOB24" s="700"/>
      <c r="BOC24" s="700"/>
      <c r="BOD24" s="700"/>
      <c r="BOE24" s="700"/>
      <c r="BOF24" s="700"/>
      <c r="BOG24" s="700"/>
      <c r="BOH24" s="700"/>
      <c r="BOI24" s="700"/>
      <c r="BOJ24" s="700"/>
      <c r="BOK24" s="700"/>
      <c r="BOL24" s="700"/>
      <c r="BOM24" s="700"/>
      <c r="BON24" s="700"/>
      <c r="BOO24" s="700"/>
      <c r="BOP24" s="700"/>
      <c r="BOQ24" s="700"/>
      <c r="BOR24" s="700"/>
      <c r="BOS24" s="700"/>
      <c r="BOT24" s="700"/>
      <c r="BOU24" s="700"/>
      <c r="BOV24" s="700"/>
      <c r="BOW24" s="700"/>
      <c r="BOX24" s="700"/>
      <c r="BOY24" s="700"/>
      <c r="BOZ24" s="700"/>
      <c r="BPA24" s="700"/>
      <c r="BPB24" s="700"/>
      <c r="BPC24" s="700"/>
      <c r="BPD24" s="700"/>
      <c r="BPE24" s="700"/>
      <c r="BPF24" s="700"/>
      <c r="BPG24" s="700"/>
      <c r="BPH24" s="700"/>
      <c r="BPI24" s="700"/>
      <c r="BPJ24" s="700"/>
      <c r="BPK24" s="700"/>
      <c r="BPL24" s="700"/>
      <c r="BPM24" s="700"/>
      <c r="BPN24" s="700"/>
      <c r="BPO24" s="700"/>
      <c r="BPP24" s="700"/>
      <c r="BPQ24" s="700"/>
      <c r="BPR24" s="700"/>
      <c r="BPS24" s="700"/>
      <c r="BPT24" s="700"/>
      <c r="BPU24" s="700"/>
      <c r="BPV24" s="700"/>
      <c r="BPW24" s="700"/>
      <c r="BPX24" s="700"/>
      <c r="BPY24" s="700"/>
      <c r="BPZ24" s="700"/>
      <c r="BQA24" s="700"/>
      <c r="BQB24" s="700"/>
      <c r="BQC24" s="700"/>
      <c r="BQD24" s="700"/>
      <c r="BQE24" s="700"/>
      <c r="BQF24" s="700"/>
      <c r="BQG24" s="700"/>
      <c r="BQH24" s="700"/>
      <c r="BQI24" s="700"/>
      <c r="BQJ24" s="700"/>
      <c r="BQK24" s="700"/>
      <c r="BQL24" s="700"/>
      <c r="BQM24" s="700"/>
      <c r="BQN24" s="700"/>
      <c r="BQO24" s="700"/>
      <c r="BQP24" s="700"/>
      <c r="BQQ24" s="700"/>
      <c r="BQR24" s="700"/>
      <c r="BQS24" s="700"/>
      <c r="BQT24" s="700"/>
      <c r="BQU24" s="700"/>
      <c r="BQV24" s="700"/>
      <c r="BQW24" s="700"/>
      <c r="BQX24" s="700"/>
      <c r="BQY24" s="700"/>
      <c r="BQZ24" s="700"/>
      <c r="BRA24" s="700"/>
      <c r="BRB24" s="700"/>
      <c r="BRC24" s="700"/>
      <c r="BRD24" s="700"/>
      <c r="BRE24" s="700"/>
      <c r="BRF24" s="700"/>
      <c r="BRG24" s="700"/>
      <c r="BRH24" s="700"/>
      <c r="BRI24" s="700"/>
      <c r="BRJ24" s="700"/>
      <c r="BRK24" s="700"/>
      <c r="BRL24" s="700"/>
      <c r="BRM24" s="700"/>
      <c r="BRN24" s="700"/>
      <c r="BRO24" s="700"/>
      <c r="BRP24" s="700"/>
      <c r="BRQ24" s="700"/>
      <c r="BRR24" s="700"/>
      <c r="BRS24" s="700"/>
      <c r="BRT24" s="700"/>
      <c r="BRU24" s="700"/>
      <c r="BRV24" s="700"/>
      <c r="BRW24" s="700"/>
      <c r="BRX24" s="700"/>
      <c r="BRY24" s="700"/>
      <c r="BRZ24" s="700"/>
      <c r="BSA24" s="700"/>
      <c r="BSB24" s="700"/>
      <c r="BSC24" s="700"/>
      <c r="BSD24" s="700"/>
      <c r="BSE24" s="700"/>
      <c r="BSF24" s="700"/>
      <c r="BSG24" s="700"/>
      <c r="BSH24" s="700"/>
      <c r="BSI24" s="700"/>
      <c r="BSJ24" s="700"/>
      <c r="BSK24" s="700"/>
      <c r="BSL24" s="700"/>
      <c r="BSM24" s="700"/>
      <c r="BSN24" s="700"/>
      <c r="BSO24" s="700"/>
      <c r="BSP24" s="700"/>
      <c r="BSQ24" s="700"/>
      <c r="BSR24" s="700"/>
      <c r="BSS24" s="700"/>
      <c r="BST24" s="700"/>
      <c r="BSU24" s="700"/>
      <c r="BSV24" s="700"/>
      <c r="BSW24" s="700"/>
      <c r="BSX24" s="700"/>
      <c r="BSY24" s="700"/>
      <c r="BSZ24" s="700"/>
      <c r="BTA24" s="700"/>
      <c r="BTB24" s="700"/>
      <c r="BTC24" s="700"/>
      <c r="BTD24" s="700"/>
      <c r="BTE24" s="700"/>
      <c r="BTF24" s="700"/>
      <c r="BTG24" s="700"/>
      <c r="BTH24" s="700"/>
      <c r="BTI24" s="700"/>
      <c r="BTJ24" s="700"/>
      <c r="BTK24" s="700"/>
      <c r="BTL24" s="700"/>
      <c r="BTM24" s="700"/>
      <c r="BTN24" s="700"/>
      <c r="BTO24" s="700"/>
      <c r="BTP24" s="700"/>
      <c r="BTQ24" s="700"/>
      <c r="BTR24" s="700"/>
      <c r="BTS24" s="700"/>
      <c r="BTT24" s="700"/>
      <c r="BTU24" s="700"/>
      <c r="BTV24" s="700"/>
      <c r="BTW24" s="700"/>
      <c r="BTX24" s="700"/>
      <c r="BTY24" s="700"/>
      <c r="BTZ24" s="700"/>
      <c r="BUA24" s="700"/>
      <c r="BUB24" s="700"/>
      <c r="BUC24" s="700"/>
      <c r="BUD24" s="700"/>
      <c r="BUE24" s="700"/>
      <c r="BUF24" s="700"/>
      <c r="BUG24" s="700"/>
      <c r="BUH24" s="700"/>
      <c r="BUI24" s="700"/>
      <c r="BUJ24" s="700"/>
      <c r="BUK24" s="700"/>
      <c r="BUL24" s="700"/>
      <c r="BUM24" s="700"/>
      <c r="BUN24" s="700"/>
      <c r="BUO24" s="700"/>
      <c r="BUP24" s="700"/>
      <c r="BUQ24" s="700"/>
      <c r="BUR24" s="700"/>
      <c r="BUS24" s="700"/>
      <c r="BUT24" s="700"/>
      <c r="BUU24" s="700"/>
      <c r="BUV24" s="700"/>
      <c r="BUW24" s="700"/>
      <c r="BUX24" s="700"/>
      <c r="BUY24" s="700"/>
      <c r="BUZ24" s="700"/>
      <c r="BVA24" s="700"/>
      <c r="BVB24" s="700"/>
      <c r="BVC24" s="700"/>
      <c r="BVD24" s="700"/>
      <c r="BVE24" s="700"/>
      <c r="BVF24" s="700"/>
      <c r="BVG24" s="700"/>
      <c r="BVH24" s="700"/>
      <c r="BVI24" s="700"/>
      <c r="BVJ24" s="700"/>
      <c r="BVK24" s="700"/>
      <c r="BVL24" s="700"/>
      <c r="BVM24" s="700"/>
      <c r="BVN24" s="700"/>
      <c r="BVO24" s="700"/>
      <c r="BVP24" s="700"/>
      <c r="BVQ24" s="700"/>
      <c r="BVR24" s="700"/>
      <c r="BVS24" s="700"/>
      <c r="BVT24" s="700"/>
      <c r="BVU24" s="700"/>
      <c r="BVV24" s="700"/>
      <c r="BVW24" s="700"/>
      <c r="BVX24" s="700"/>
      <c r="BVY24" s="700"/>
      <c r="BVZ24" s="700"/>
      <c r="BWA24" s="700"/>
      <c r="BWB24" s="700"/>
      <c r="BWC24" s="700"/>
      <c r="BWD24" s="700"/>
      <c r="BWE24" s="700"/>
      <c r="BWF24" s="700"/>
      <c r="BWG24" s="700"/>
      <c r="BWH24" s="700"/>
      <c r="BWI24" s="700"/>
      <c r="BWJ24" s="700"/>
      <c r="BWK24" s="700"/>
      <c r="BWL24" s="700"/>
      <c r="BWM24" s="700"/>
      <c r="BWN24" s="700"/>
      <c r="BWO24" s="700"/>
      <c r="BWP24" s="700"/>
      <c r="BWQ24" s="700"/>
      <c r="BWR24" s="700"/>
      <c r="BWS24" s="700"/>
      <c r="BWT24" s="700"/>
      <c r="BWU24" s="700"/>
      <c r="BWV24" s="700"/>
      <c r="BWW24" s="700"/>
      <c r="BWX24" s="700"/>
      <c r="BWY24" s="700"/>
      <c r="BWZ24" s="700"/>
      <c r="BXA24" s="700"/>
      <c r="BXB24" s="700"/>
      <c r="BXC24" s="700"/>
      <c r="BXD24" s="700"/>
      <c r="BXE24" s="700"/>
      <c r="BXF24" s="700"/>
      <c r="BXG24" s="700"/>
      <c r="BXH24" s="700"/>
      <c r="BXI24" s="700"/>
      <c r="BXJ24" s="700"/>
      <c r="BXK24" s="700"/>
      <c r="BXL24" s="700"/>
      <c r="BXM24" s="700"/>
      <c r="BXN24" s="700"/>
      <c r="BXO24" s="700"/>
      <c r="BXP24" s="700"/>
      <c r="BXQ24" s="700"/>
      <c r="BXR24" s="700"/>
      <c r="BXS24" s="700"/>
      <c r="BXT24" s="700"/>
      <c r="BXU24" s="700"/>
      <c r="BXV24" s="700"/>
      <c r="BXW24" s="700"/>
      <c r="BXX24" s="700"/>
      <c r="BXY24" s="700"/>
      <c r="BXZ24" s="700"/>
    </row>
    <row r="25" spans="1:2002" ht="15">
      <c r="A25" s="717"/>
      <c r="B25" s="706"/>
      <c r="C25" s="721" t="s">
        <v>46</v>
      </c>
      <c r="D25" s="738">
        <f>BS!Q36</f>
        <v>23000</v>
      </c>
      <c r="E25" s="738">
        <f>BS!P36</f>
        <v>24000</v>
      </c>
      <c r="F25" s="738">
        <f>BS!O36</f>
        <v>27000</v>
      </c>
      <c r="G25" s="738">
        <f>BS!N36</f>
        <v>81000</v>
      </c>
      <c r="H25" s="738">
        <f>BS!M36</f>
        <v>11000</v>
      </c>
      <c r="I25" s="738"/>
      <c r="J25" s="738"/>
      <c r="K25" s="738"/>
      <c r="L25" s="738"/>
      <c r="M25" s="738"/>
      <c r="N25" s="738"/>
      <c r="O25" s="738"/>
      <c r="P25" s="738"/>
      <c r="Q25" s="738"/>
      <c r="R25" s="738"/>
      <c r="S25" s="712"/>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700"/>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700"/>
      <c r="DO25" s="700"/>
      <c r="DP25" s="700"/>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700"/>
      <c r="FL25" s="700"/>
      <c r="FM25" s="700"/>
      <c r="FN25" s="700"/>
      <c r="FO25" s="700"/>
      <c r="FP25" s="700"/>
      <c r="FQ25" s="700"/>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c r="JA25" s="700"/>
      <c r="JB25" s="700"/>
      <c r="JC25" s="700"/>
      <c r="JD25" s="700"/>
      <c r="JE25" s="700"/>
      <c r="JF25" s="700"/>
      <c r="JG25" s="700"/>
      <c r="JH25" s="700"/>
      <c r="JI25" s="700"/>
      <c r="JJ25" s="700"/>
      <c r="JK25" s="700"/>
      <c r="JL25" s="700"/>
      <c r="JM25" s="700"/>
      <c r="JN25" s="700"/>
      <c r="JO25" s="700"/>
      <c r="JP25" s="700"/>
      <c r="JQ25" s="700"/>
      <c r="JR25" s="700"/>
      <c r="JS25" s="700"/>
      <c r="JT25" s="700"/>
      <c r="JU25" s="700"/>
      <c r="JV25" s="700"/>
      <c r="JW25" s="700"/>
      <c r="JX25" s="700"/>
      <c r="JY25" s="700"/>
      <c r="JZ25" s="700"/>
      <c r="KA25" s="700"/>
      <c r="KB25" s="700"/>
      <c r="KC25" s="700"/>
      <c r="KD25" s="700"/>
      <c r="KE25" s="700"/>
      <c r="KF25" s="700"/>
      <c r="KG25" s="700"/>
      <c r="KH25" s="700"/>
      <c r="KI25" s="700"/>
      <c r="KJ25" s="700"/>
      <c r="KK25" s="700"/>
      <c r="KL25" s="700"/>
      <c r="KM25" s="700"/>
      <c r="KN25" s="700"/>
      <c r="KO25" s="700"/>
      <c r="KP25" s="700"/>
      <c r="KQ25" s="700"/>
      <c r="KR25" s="700"/>
      <c r="KS25" s="700"/>
      <c r="KT25" s="700"/>
      <c r="KU25" s="700"/>
      <c r="KV25" s="700"/>
      <c r="KW25" s="700"/>
      <c r="KX25" s="700"/>
      <c r="KY25" s="700"/>
      <c r="KZ25" s="700"/>
      <c r="LA25" s="700"/>
      <c r="LB25" s="700"/>
      <c r="LC25" s="700"/>
      <c r="LD25" s="700"/>
      <c r="LE25" s="700"/>
      <c r="LF25" s="700"/>
      <c r="LG25" s="700"/>
      <c r="LH25" s="700"/>
      <c r="LI25" s="700"/>
      <c r="LJ25" s="700"/>
      <c r="LK25" s="700"/>
      <c r="LL25" s="700"/>
      <c r="LM25" s="700"/>
      <c r="LN25" s="700"/>
      <c r="LO25" s="700"/>
      <c r="LP25" s="700"/>
      <c r="LQ25" s="700"/>
      <c r="LR25" s="700"/>
      <c r="LS25" s="700"/>
      <c r="LT25" s="700"/>
      <c r="LU25" s="700"/>
      <c r="LV25" s="700"/>
      <c r="LW25" s="700"/>
      <c r="LX25" s="700"/>
      <c r="LY25" s="700"/>
      <c r="LZ25" s="700"/>
      <c r="MA25" s="700"/>
      <c r="MB25" s="700"/>
      <c r="MC25" s="700"/>
      <c r="MD25" s="700"/>
      <c r="ME25" s="700"/>
      <c r="MF25" s="700"/>
      <c r="MG25" s="700"/>
      <c r="MH25" s="700"/>
      <c r="MI25" s="700"/>
      <c r="MJ25" s="700"/>
      <c r="MK25" s="700"/>
      <c r="ML25" s="700"/>
      <c r="MM25" s="700"/>
      <c r="MN25" s="700"/>
      <c r="MO25" s="700"/>
      <c r="MP25" s="700"/>
      <c r="MQ25" s="700"/>
      <c r="MR25" s="700"/>
      <c r="MS25" s="700"/>
      <c r="MT25" s="700"/>
      <c r="MU25" s="700"/>
      <c r="MV25" s="700"/>
      <c r="MW25" s="700"/>
      <c r="MX25" s="700"/>
      <c r="MY25" s="700"/>
      <c r="MZ25" s="700"/>
      <c r="NA25" s="700"/>
      <c r="NB25" s="700"/>
      <c r="NC25" s="700"/>
      <c r="ND25" s="700"/>
      <c r="NE25" s="700"/>
      <c r="NF25" s="700"/>
      <c r="NG25" s="700"/>
      <c r="NH25" s="700"/>
      <c r="NI25" s="700"/>
      <c r="NJ25" s="700"/>
      <c r="NK25" s="700"/>
      <c r="NL25" s="700"/>
      <c r="NM25" s="700"/>
      <c r="NN25" s="700"/>
      <c r="NO25" s="700"/>
      <c r="NP25" s="700"/>
      <c r="NQ25" s="700"/>
      <c r="NR25" s="700"/>
      <c r="NS25" s="700"/>
      <c r="NT25" s="700"/>
      <c r="NU25" s="700"/>
      <c r="NV25" s="700"/>
      <c r="NW25" s="700"/>
      <c r="NX25" s="700"/>
      <c r="NY25" s="700"/>
      <c r="NZ25" s="700"/>
      <c r="OA25" s="700"/>
      <c r="OB25" s="700"/>
      <c r="OC25" s="700"/>
      <c r="OD25" s="700"/>
      <c r="OE25" s="700"/>
      <c r="OF25" s="700"/>
      <c r="OG25" s="700"/>
      <c r="OH25" s="700"/>
      <c r="OI25" s="700"/>
      <c r="OJ25" s="700"/>
      <c r="OK25" s="700"/>
      <c r="OL25" s="700"/>
      <c r="OM25" s="700"/>
      <c r="ON25" s="700"/>
      <c r="OO25" s="700"/>
      <c r="OP25" s="700"/>
      <c r="OQ25" s="700"/>
      <c r="OR25" s="700"/>
      <c r="OS25" s="700"/>
      <c r="OT25" s="700"/>
      <c r="OU25" s="700"/>
      <c r="OV25" s="700"/>
      <c r="OW25" s="700"/>
      <c r="OX25" s="700"/>
      <c r="OY25" s="700"/>
      <c r="OZ25" s="700"/>
      <c r="PA25" s="700"/>
      <c r="PB25" s="700"/>
      <c r="PC25" s="700"/>
      <c r="PD25" s="700"/>
      <c r="PE25" s="700"/>
      <c r="PF25" s="700"/>
      <c r="PG25" s="700"/>
      <c r="PH25" s="700"/>
      <c r="PI25" s="700"/>
      <c r="PJ25" s="700"/>
      <c r="PK25" s="700"/>
      <c r="PL25" s="700"/>
      <c r="PM25" s="700"/>
      <c r="PN25" s="700"/>
      <c r="PO25" s="700"/>
      <c r="PP25" s="700"/>
      <c r="PQ25" s="700"/>
      <c r="PR25" s="700"/>
      <c r="PS25" s="700"/>
      <c r="PT25" s="700"/>
      <c r="PU25" s="700"/>
      <c r="PV25" s="700"/>
      <c r="PW25" s="700"/>
      <c r="PX25" s="700"/>
      <c r="PY25" s="700"/>
      <c r="PZ25" s="700"/>
      <c r="QA25" s="700"/>
      <c r="QB25" s="700"/>
      <c r="QC25" s="700"/>
      <c r="QD25" s="700"/>
      <c r="QE25" s="700"/>
      <c r="QF25" s="700"/>
      <c r="QG25" s="700"/>
      <c r="QH25" s="700"/>
      <c r="QI25" s="700"/>
      <c r="QJ25" s="700"/>
      <c r="QK25" s="700"/>
      <c r="QL25" s="700"/>
      <c r="QM25" s="700"/>
      <c r="QN25" s="700"/>
      <c r="QO25" s="700"/>
      <c r="QP25" s="700"/>
      <c r="QQ25" s="700"/>
      <c r="QR25" s="700"/>
      <c r="QS25" s="700"/>
      <c r="QT25" s="700"/>
      <c r="QU25" s="700"/>
      <c r="QV25" s="700"/>
      <c r="QW25" s="700"/>
      <c r="QX25" s="700"/>
      <c r="QY25" s="700"/>
      <c r="QZ25" s="700"/>
      <c r="RA25" s="700"/>
      <c r="RB25" s="700"/>
      <c r="RC25" s="700"/>
      <c r="RD25" s="700"/>
      <c r="RE25" s="700"/>
      <c r="RF25" s="700"/>
      <c r="RG25" s="700"/>
      <c r="RH25" s="700"/>
      <c r="RI25" s="700"/>
      <c r="RJ25" s="700"/>
      <c r="RK25" s="700"/>
      <c r="RL25" s="700"/>
      <c r="RM25" s="700"/>
      <c r="RN25" s="700"/>
      <c r="RO25" s="700"/>
      <c r="RP25" s="700"/>
      <c r="RQ25" s="700"/>
      <c r="RR25" s="700"/>
      <c r="RS25" s="700"/>
      <c r="RT25" s="700"/>
      <c r="RU25" s="700"/>
      <c r="RV25" s="700"/>
      <c r="RW25" s="700"/>
      <c r="RX25" s="700"/>
      <c r="RY25" s="700"/>
      <c r="RZ25" s="700"/>
      <c r="SA25" s="700"/>
      <c r="SB25" s="700"/>
      <c r="SC25" s="700"/>
      <c r="SD25" s="700"/>
      <c r="SE25" s="700"/>
      <c r="SF25" s="700"/>
      <c r="SG25" s="700"/>
      <c r="SH25" s="700"/>
      <c r="SI25" s="700"/>
      <c r="SJ25" s="700"/>
      <c r="SK25" s="700"/>
      <c r="SL25" s="700"/>
      <c r="SM25" s="700"/>
      <c r="SN25" s="700"/>
      <c r="SO25" s="700"/>
      <c r="SP25" s="700"/>
      <c r="SQ25" s="700"/>
      <c r="SR25" s="700"/>
      <c r="SS25" s="700"/>
      <c r="ST25" s="700"/>
      <c r="SU25" s="700"/>
      <c r="SV25" s="700"/>
      <c r="SW25" s="700"/>
      <c r="SX25" s="700"/>
      <c r="SY25" s="700"/>
      <c r="SZ25" s="700"/>
      <c r="TA25" s="700"/>
      <c r="TB25" s="700"/>
      <c r="TC25" s="700"/>
      <c r="TD25" s="700"/>
      <c r="TE25" s="700"/>
      <c r="TF25" s="700"/>
      <c r="TG25" s="700"/>
      <c r="TH25" s="700"/>
      <c r="TI25" s="700"/>
      <c r="TJ25" s="700"/>
      <c r="TK25" s="700"/>
      <c r="TL25" s="700"/>
      <c r="TM25" s="700"/>
      <c r="TN25" s="700"/>
      <c r="TO25" s="700"/>
      <c r="TP25" s="700"/>
      <c r="TQ25" s="700"/>
      <c r="TR25" s="700"/>
      <c r="TS25" s="700"/>
      <c r="TT25" s="700"/>
      <c r="TU25" s="700"/>
      <c r="TV25" s="700"/>
      <c r="TW25" s="700"/>
      <c r="TX25" s="700"/>
      <c r="TY25" s="700"/>
      <c r="TZ25" s="700"/>
      <c r="UA25" s="700"/>
      <c r="UB25" s="700"/>
      <c r="UC25" s="700"/>
      <c r="UD25" s="700"/>
      <c r="UE25" s="700"/>
      <c r="UF25" s="700"/>
      <c r="UG25" s="700"/>
      <c r="UH25" s="700"/>
      <c r="UI25" s="700"/>
      <c r="UJ25" s="700"/>
      <c r="UK25" s="700"/>
      <c r="UL25" s="700"/>
      <c r="UM25" s="700"/>
      <c r="UN25" s="700"/>
      <c r="UO25" s="700"/>
      <c r="UP25" s="700"/>
      <c r="UQ25" s="700"/>
      <c r="UR25" s="700"/>
      <c r="US25" s="700"/>
      <c r="UT25" s="700"/>
      <c r="UU25" s="700"/>
      <c r="UV25" s="700"/>
      <c r="UW25" s="700"/>
      <c r="UX25" s="700"/>
      <c r="UY25" s="700"/>
      <c r="UZ25" s="700"/>
      <c r="VA25" s="700"/>
      <c r="VB25" s="700"/>
      <c r="VC25" s="700"/>
      <c r="VD25" s="700"/>
      <c r="VE25" s="700"/>
      <c r="VF25" s="700"/>
      <c r="VG25" s="700"/>
      <c r="VH25" s="700"/>
      <c r="VI25" s="700"/>
      <c r="VJ25" s="700"/>
      <c r="VK25" s="700"/>
      <c r="VL25" s="700"/>
      <c r="VM25" s="700"/>
      <c r="VN25" s="700"/>
      <c r="VO25" s="700"/>
      <c r="VP25" s="700"/>
      <c r="VQ25" s="700"/>
      <c r="VR25" s="700"/>
      <c r="VS25" s="700"/>
      <c r="VT25" s="700"/>
      <c r="VU25" s="700"/>
      <c r="VV25" s="700"/>
      <c r="VW25" s="700"/>
      <c r="VX25" s="700"/>
      <c r="VY25" s="700"/>
      <c r="VZ25" s="700"/>
      <c r="WA25" s="700"/>
      <c r="WB25" s="700"/>
      <c r="WC25" s="700"/>
      <c r="WD25" s="700"/>
      <c r="WE25" s="700"/>
      <c r="WF25" s="700"/>
      <c r="WG25" s="700"/>
      <c r="WH25" s="700"/>
      <c r="WI25" s="700"/>
      <c r="WJ25" s="700"/>
      <c r="WK25" s="700"/>
      <c r="WL25" s="700"/>
      <c r="WM25" s="700"/>
      <c r="WN25" s="700"/>
      <c r="WO25" s="700"/>
      <c r="WP25" s="700"/>
      <c r="WQ25" s="700"/>
      <c r="WR25" s="700"/>
      <c r="WS25" s="700"/>
      <c r="WT25" s="700"/>
      <c r="WU25" s="700"/>
      <c r="WV25" s="700"/>
      <c r="WW25" s="700"/>
      <c r="WX25" s="700"/>
      <c r="WY25" s="700"/>
      <c r="WZ25" s="700"/>
      <c r="XA25" s="700"/>
      <c r="XB25" s="700"/>
      <c r="XC25" s="700"/>
      <c r="XD25" s="700"/>
      <c r="XE25" s="700"/>
      <c r="XF25" s="700"/>
      <c r="XG25" s="700"/>
      <c r="XH25" s="700"/>
      <c r="XI25" s="700"/>
      <c r="XJ25" s="700"/>
      <c r="XK25" s="700"/>
      <c r="XL25" s="700"/>
      <c r="XM25" s="700"/>
      <c r="XN25" s="700"/>
      <c r="XO25" s="700"/>
      <c r="XP25" s="700"/>
      <c r="XQ25" s="700"/>
      <c r="XR25" s="700"/>
      <c r="XS25" s="700"/>
      <c r="XT25" s="700"/>
      <c r="XU25" s="700"/>
      <c r="XV25" s="700"/>
      <c r="XW25" s="700"/>
      <c r="XX25" s="700"/>
      <c r="XY25" s="700"/>
      <c r="XZ25" s="700"/>
      <c r="YA25" s="700"/>
      <c r="YB25" s="700"/>
      <c r="YC25" s="700"/>
      <c r="YD25" s="700"/>
      <c r="YE25" s="700"/>
      <c r="YF25" s="700"/>
      <c r="YG25" s="700"/>
      <c r="YH25" s="700"/>
      <c r="YI25" s="700"/>
      <c r="YJ25" s="700"/>
      <c r="YK25" s="700"/>
      <c r="YL25" s="700"/>
      <c r="YM25" s="700"/>
      <c r="YN25" s="700"/>
      <c r="YO25" s="700"/>
      <c r="YP25" s="700"/>
      <c r="YQ25" s="700"/>
      <c r="YR25" s="700"/>
      <c r="YS25" s="700"/>
      <c r="YT25" s="700"/>
      <c r="YU25" s="700"/>
      <c r="YV25" s="700"/>
      <c r="YW25" s="700"/>
      <c r="YX25" s="700"/>
      <c r="YY25" s="700"/>
      <c r="YZ25" s="700"/>
      <c r="ZA25" s="700"/>
      <c r="ZB25" s="700"/>
      <c r="ZC25" s="700"/>
      <c r="ZD25" s="700"/>
      <c r="ZE25" s="700"/>
      <c r="ZF25" s="700"/>
      <c r="ZG25" s="700"/>
      <c r="ZH25" s="700"/>
      <c r="ZI25" s="700"/>
      <c r="ZJ25" s="700"/>
      <c r="ZK25" s="700"/>
      <c r="ZL25" s="700"/>
      <c r="ZM25" s="700"/>
      <c r="ZN25" s="700"/>
      <c r="ZO25" s="700"/>
      <c r="ZP25" s="700"/>
      <c r="ZQ25" s="700"/>
      <c r="ZR25" s="700"/>
      <c r="ZS25" s="700"/>
      <c r="ZT25" s="700"/>
      <c r="ZU25" s="700"/>
      <c r="ZV25" s="700"/>
      <c r="ZW25" s="700"/>
      <c r="ZX25" s="700"/>
      <c r="ZY25" s="700"/>
      <c r="ZZ25" s="700"/>
      <c r="AAA25" s="700"/>
      <c r="AAB25" s="700"/>
      <c r="AAC25" s="700"/>
      <c r="AAD25" s="700"/>
      <c r="AAE25" s="700"/>
      <c r="AAF25" s="700"/>
      <c r="AAG25" s="700"/>
      <c r="AAH25" s="700"/>
      <c r="AAI25" s="700"/>
      <c r="AAJ25" s="700"/>
      <c r="AAK25" s="700"/>
      <c r="AAL25" s="700"/>
      <c r="AAM25" s="700"/>
      <c r="AAN25" s="700"/>
      <c r="AAO25" s="700"/>
      <c r="AAP25" s="700"/>
      <c r="AAQ25" s="700"/>
      <c r="AAR25" s="700"/>
      <c r="AAS25" s="700"/>
      <c r="AAT25" s="700"/>
      <c r="AAU25" s="700"/>
      <c r="AAV25" s="700"/>
      <c r="AAW25" s="700"/>
      <c r="AAX25" s="700"/>
      <c r="AAY25" s="700"/>
      <c r="AAZ25" s="700"/>
      <c r="ABA25" s="700"/>
      <c r="ABB25" s="700"/>
      <c r="ABC25" s="700"/>
      <c r="ABD25" s="700"/>
      <c r="ABE25" s="700"/>
      <c r="ABF25" s="700"/>
      <c r="ABG25" s="700"/>
      <c r="ABH25" s="700"/>
      <c r="ABI25" s="700"/>
      <c r="ABJ25" s="700"/>
      <c r="ABK25" s="700"/>
      <c r="ABL25" s="700"/>
      <c r="ABM25" s="700"/>
      <c r="ABN25" s="700"/>
      <c r="ABO25" s="700"/>
      <c r="ABP25" s="700"/>
      <c r="ABQ25" s="700"/>
      <c r="ABR25" s="700"/>
      <c r="ABS25" s="700"/>
      <c r="ABT25" s="700"/>
      <c r="ABU25" s="700"/>
      <c r="ABV25" s="700"/>
      <c r="ABW25" s="700"/>
      <c r="ABX25" s="700"/>
      <c r="ABY25" s="700"/>
      <c r="ABZ25" s="700"/>
      <c r="ACA25" s="700"/>
      <c r="ACB25" s="700"/>
      <c r="ACC25" s="700"/>
      <c r="ACD25" s="700"/>
      <c r="ACE25" s="700"/>
      <c r="ACF25" s="700"/>
      <c r="ACG25" s="700"/>
      <c r="ACH25" s="700"/>
      <c r="ACI25" s="700"/>
      <c r="ACJ25" s="700"/>
      <c r="ACK25" s="700"/>
      <c r="ACL25" s="700"/>
      <c r="ACM25" s="700"/>
      <c r="ACN25" s="700"/>
      <c r="ACO25" s="700"/>
      <c r="ACP25" s="700"/>
      <c r="ACQ25" s="700"/>
      <c r="ACR25" s="700"/>
      <c r="ACS25" s="700"/>
      <c r="ACT25" s="700"/>
      <c r="ACU25" s="700"/>
      <c r="ACV25" s="700"/>
      <c r="ACW25" s="700"/>
      <c r="ACX25" s="700"/>
      <c r="ACY25" s="700"/>
      <c r="ACZ25" s="700"/>
      <c r="ADA25" s="700"/>
      <c r="ADB25" s="700"/>
      <c r="ADC25" s="700"/>
      <c r="ADD25" s="700"/>
      <c r="ADE25" s="700"/>
      <c r="ADF25" s="700"/>
      <c r="ADG25" s="700"/>
      <c r="ADH25" s="700"/>
      <c r="ADI25" s="700"/>
      <c r="ADJ25" s="700"/>
      <c r="ADK25" s="700"/>
      <c r="ADL25" s="700"/>
      <c r="ADM25" s="700"/>
      <c r="ADN25" s="700"/>
      <c r="ADO25" s="700"/>
      <c r="ADP25" s="700"/>
      <c r="ADQ25" s="700"/>
      <c r="ADR25" s="700"/>
      <c r="ADS25" s="700"/>
      <c r="ADT25" s="700"/>
      <c r="ADU25" s="700"/>
      <c r="ADV25" s="700"/>
      <c r="ADW25" s="700"/>
      <c r="ADX25" s="700"/>
      <c r="ADY25" s="700"/>
      <c r="ADZ25" s="700"/>
      <c r="AEA25" s="700"/>
      <c r="AEB25" s="700"/>
      <c r="AEC25" s="700"/>
      <c r="AED25" s="700"/>
      <c r="AEE25" s="700"/>
      <c r="AEF25" s="700"/>
      <c r="AEG25" s="700"/>
      <c r="AEH25" s="700"/>
      <c r="AEI25" s="700"/>
      <c r="AEJ25" s="700"/>
      <c r="AEK25" s="700"/>
      <c r="AEL25" s="700"/>
      <c r="AEM25" s="700"/>
      <c r="AEN25" s="700"/>
      <c r="AEO25" s="700"/>
      <c r="AEP25" s="700"/>
      <c r="AEQ25" s="700"/>
      <c r="AER25" s="700"/>
      <c r="AES25" s="700"/>
      <c r="AET25" s="700"/>
      <c r="AEU25" s="700"/>
      <c r="AEV25" s="700"/>
      <c r="AEW25" s="700"/>
      <c r="AEX25" s="700"/>
      <c r="AEY25" s="700"/>
      <c r="AEZ25" s="700"/>
      <c r="AFA25" s="700"/>
      <c r="AFB25" s="700"/>
      <c r="AFC25" s="700"/>
      <c r="AFD25" s="700"/>
      <c r="AFE25" s="700"/>
      <c r="AFF25" s="700"/>
      <c r="AFG25" s="700"/>
      <c r="AFH25" s="700"/>
      <c r="AFI25" s="700"/>
      <c r="AFJ25" s="700"/>
      <c r="AFK25" s="700"/>
      <c r="AFL25" s="700"/>
      <c r="AFM25" s="700"/>
      <c r="AFN25" s="700"/>
      <c r="AFO25" s="700"/>
      <c r="AFP25" s="700"/>
      <c r="AFQ25" s="700"/>
      <c r="AFR25" s="700"/>
      <c r="AFS25" s="700"/>
      <c r="AFT25" s="700"/>
      <c r="AFU25" s="700"/>
      <c r="AFV25" s="700"/>
      <c r="AFW25" s="700"/>
      <c r="AFX25" s="700"/>
      <c r="AFY25" s="700"/>
      <c r="AFZ25" s="700"/>
      <c r="AGA25" s="700"/>
      <c r="AGB25" s="700"/>
      <c r="AGC25" s="700"/>
      <c r="AGD25" s="700"/>
      <c r="AGE25" s="700"/>
      <c r="AGF25" s="700"/>
      <c r="AGG25" s="700"/>
      <c r="AGH25" s="700"/>
      <c r="AGI25" s="700"/>
      <c r="AGJ25" s="700"/>
      <c r="AGK25" s="700"/>
      <c r="AGL25" s="700"/>
      <c r="AGM25" s="700"/>
      <c r="AGN25" s="700"/>
      <c r="AGO25" s="700"/>
      <c r="AGP25" s="700"/>
      <c r="AGQ25" s="700"/>
      <c r="AGR25" s="700"/>
      <c r="AGS25" s="700"/>
      <c r="AGT25" s="700"/>
      <c r="AGU25" s="700"/>
      <c r="AGV25" s="700"/>
      <c r="AGW25" s="700"/>
      <c r="AGX25" s="700"/>
      <c r="AGY25" s="700"/>
      <c r="AGZ25" s="700"/>
      <c r="AHA25" s="700"/>
      <c r="AHB25" s="700"/>
      <c r="AHC25" s="700"/>
      <c r="AHD25" s="700"/>
      <c r="AHE25" s="700"/>
      <c r="AHF25" s="700"/>
      <c r="AHG25" s="700"/>
      <c r="AHH25" s="700"/>
      <c r="AHI25" s="700"/>
      <c r="AHJ25" s="700"/>
      <c r="AHK25" s="700"/>
      <c r="AHL25" s="700"/>
      <c r="AHM25" s="700"/>
      <c r="AHN25" s="700"/>
      <c r="AHO25" s="700"/>
      <c r="AHP25" s="700"/>
      <c r="AHQ25" s="700"/>
      <c r="AHR25" s="700"/>
      <c r="AHS25" s="700"/>
      <c r="AHT25" s="700"/>
      <c r="AHU25" s="700"/>
      <c r="AHV25" s="700"/>
      <c r="AHW25" s="700"/>
      <c r="AHX25" s="700"/>
      <c r="AHY25" s="700"/>
      <c r="AHZ25" s="700"/>
      <c r="AIA25" s="700"/>
      <c r="AIB25" s="700"/>
      <c r="AIC25" s="700"/>
      <c r="AID25" s="700"/>
      <c r="AIE25" s="700"/>
      <c r="AIF25" s="700"/>
      <c r="AIG25" s="700"/>
      <c r="AIH25" s="700"/>
      <c r="AII25" s="700"/>
      <c r="AIJ25" s="700"/>
      <c r="AIK25" s="700"/>
      <c r="AIL25" s="700"/>
      <c r="AIM25" s="700"/>
      <c r="AIN25" s="700"/>
      <c r="AIO25" s="700"/>
      <c r="AIP25" s="700"/>
      <c r="AIQ25" s="700"/>
      <c r="AIR25" s="700"/>
      <c r="AIS25" s="700"/>
      <c r="AIT25" s="700"/>
      <c r="AIU25" s="700"/>
      <c r="AIV25" s="700"/>
      <c r="AIW25" s="700"/>
      <c r="AIX25" s="700"/>
      <c r="AIY25" s="700"/>
      <c r="AIZ25" s="700"/>
      <c r="AJA25" s="700"/>
      <c r="AJB25" s="700"/>
      <c r="AJC25" s="700"/>
      <c r="AJD25" s="700"/>
      <c r="AJE25" s="700"/>
      <c r="AJF25" s="700"/>
      <c r="AJG25" s="700"/>
      <c r="AJH25" s="700"/>
      <c r="AJI25" s="700"/>
      <c r="AJJ25" s="700"/>
      <c r="AJK25" s="700"/>
      <c r="AJL25" s="700"/>
      <c r="AJM25" s="700"/>
      <c r="AJN25" s="700"/>
      <c r="AJO25" s="700"/>
      <c r="AJP25" s="700"/>
      <c r="AJQ25" s="700"/>
      <c r="AJR25" s="700"/>
      <c r="AJS25" s="700"/>
      <c r="AJT25" s="700"/>
      <c r="AJU25" s="700"/>
      <c r="AJV25" s="700"/>
      <c r="AJW25" s="700"/>
      <c r="AJX25" s="700"/>
      <c r="AJY25" s="700"/>
      <c r="AJZ25" s="700"/>
      <c r="AKA25" s="700"/>
      <c r="AKB25" s="700"/>
      <c r="AKC25" s="700"/>
      <c r="AKD25" s="700"/>
      <c r="AKE25" s="700"/>
      <c r="AKF25" s="700"/>
      <c r="AKG25" s="700"/>
      <c r="AKH25" s="700"/>
      <c r="AKI25" s="700"/>
      <c r="AKJ25" s="700"/>
      <c r="AKK25" s="700"/>
      <c r="AKL25" s="700"/>
      <c r="AKM25" s="700"/>
      <c r="AKN25" s="700"/>
      <c r="AKO25" s="700"/>
      <c r="AKP25" s="700"/>
      <c r="AKQ25" s="700"/>
      <c r="AKR25" s="700"/>
      <c r="AKS25" s="700"/>
      <c r="AKT25" s="700"/>
      <c r="AKU25" s="700"/>
      <c r="AKV25" s="700"/>
      <c r="AKW25" s="700"/>
      <c r="AKX25" s="700"/>
      <c r="AKY25" s="700"/>
      <c r="AKZ25" s="700"/>
      <c r="ALA25" s="700"/>
      <c r="ALB25" s="700"/>
      <c r="ALC25" s="700"/>
      <c r="ALD25" s="700"/>
      <c r="ALE25" s="700"/>
      <c r="ALF25" s="700"/>
      <c r="ALG25" s="700"/>
      <c r="ALH25" s="700"/>
      <c r="ALI25" s="700"/>
      <c r="ALJ25" s="700"/>
      <c r="ALK25" s="700"/>
      <c r="ALL25" s="700"/>
      <c r="ALM25" s="700"/>
      <c r="ALN25" s="700"/>
      <c r="ALO25" s="700"/>
      <c r="ALP25" s="700"/>
      <c r="ALQ25" s="700"/>
      <c r="ALR25" s="700"/>
      <c r="ALS25" s="700"/>
      <c r="ALT25" s="700"/>
      <c r="ALU25" s="700"/>
      <c r="ALV25" s="700"/>
      <c r="ALW25" s="700"/>
      <c r="ALX25" s="700"/>
      <c r="ALY25" s="700"/>
      <c r="ALZ25" s="700"/>
      <c r="AMA25" s="700"/>
      <c r="AMB25" s="700"/>
      <c r="AMC25" s="700"/>
      <c r="AMD25" s="700"/>
      <c r="AME25" s="700"/>
      <c r="AMF25" s="700"/>
      <c r="AMG25" s="700"/>
      <c r="AMH25" s="700"/>
      <c r="AMI25" s="700"/>
      <c r="AMJ25" s="700"/>
      <c r="AMK25" s="700"/>
      <c r="AML25" s="700"/>
      <c r="AMM25" s="700"/>
      <c r="AMN25" s="700"/>
      <c r="AMO25" s="700"/>
      <c r="AMP25" s="700"/>
      <c r="AMQ25" s="700"/>
      <c r="AMR25" s="700"/>
      <c r="AMS25" s="700"/>
      <c r="AMT25" s="700"/>
      <c r="AMU25" s="700"/>
      <c r="AMV25" s="700"/>
      <c r="AMW25" s="700"/>
      <c r="AMX25" s="700"/>
      <c r="AMY25" s="700"/>
      <c r="AMZ25" s="700"/>
      <c r="ANA25" s="700"/>
      <c r="ANB25" s="700"/>
      <c r="ANC25" s="700"/>
      <c r="AND25" s="700"/>
      <c r="ANE25" s="700"/>
      <c r="ANF25" s="700"/>
      <c r="ANG25" s="700"/>
      <c r="ANH25" s="700"/>
      <c r="ANI25" s="700"/>
      <c r="ANJ25" s="700"/>
      <c r="ANK25" s="700"/>
      <c r="ANL25" s="700"/>
      <c r="ANM25" s="700"/>
      <c r="ANN25" s="700"/>
      <c r="ANO25" s="700"/>
      <c r="ANP25" s="700"/>
      <c r="ANQ25" s="700"/>
      <c r="ANR25" s="700"/>
      <c r="ANS25" s="700"/>
      <c r="ANT25" s="700"/>
      <c r="ANU25" s="700"/>
      <c r="ANV25" s="700"/>
      <c r="ANW25" s="700"/>
      <c r="ANX25" s="700"/>
      <c r="ANY25" s="700"/>
      <c r="ANZ25" s="700"/>
      <c r="AOA25" s="700"/>
      <c r="AOB25" s="700"/>
      <c r="AOC25" s="700"/>
      <c r="AOD25" s="700"/>
      <c r="AOE25" s="700"/>
      <c r="AOF25" s="700"/>
      <c r="AOG25" s="700"/>
      <c r="AOH25" s="700"/>
      <c r="AOI25" s="700"/>
      <c r="AOJ25" s="700"/>
      <c r="AOK25" s="700"/>
      <c r="AOL25" s="700"/>
      <c r="AOM25" s="700"/>
      <c r="AON25" s="700"/>
      <c r="AOO25" s="700"/>
      <c r="AOP25" s="700"/>
      <c r="AOQ25" s="700"/>
      <c r="AOR25" s="700"/>
      <c r="AOS25" s="700"/>
      <c r="AOT25" s="700"/>
      <c r="AOU25" s="700"/>
      <c r="AOV25" s="700"/>
      <c r="AOW25" s="700"/>
      <c r="AOX25" s="700"/>
      <c r="AOY25" s="700"/>
      <c r="AOZ25" s="700"/>
      <c r="APA25" s="700"/>
      <c r="APB25" s="700"/>
      <c r="APC25" s="700"/>
      <c r="APD25" s="700"/>
      <c r="APE25" s="700"/>
      <c r="APF25" s="700"/>
      <c r="APG25" s="700"/>
      <c r="APH25" s="700"/>
      <c r="API25" s="700"/>
      <c r="APJ25" s="700"/>
      <c r="APK25" s="700"/>
      <c r="APL25" s="700"/>
      <c r="APM25" s="700"/>
      <c r="APN25" s="700"/>
      <c r="APO25" s="700"/>
      <c r="APP25" s="700"/>
      <c r="APQ25" s="700"/>
      <c r="APR25" s="700"/>
      <c r="APS25" s="700"/>
      <c r="APT25" s="700"/>
      <c r="APU25" s="700"/>
      <c r="APV25" s="700"/>
      <c r="APW25" s="700"/>
      <c r="APX25" s="700"/>
      <c r="APY25" s="700"/>
      <c r="APZ25" s="700"/>
      <c r="AQA25" s="700"/>
      <c r="AQB25" s="700"/>
      <c r="AQC25" s="700"/>
      <c r="AQD25" s="700"/>
      <c r="AQE25" s="700"/>
      <c r="AQF25" s="700"/>
      <c r="AQG25" s="700"/>
      <c r="AQH25" s="700"/>
      <c r="AQI25" s="700"/>
      <c r="AQJ25" s="700"/>
      <c r="AQK25" s="700"/>
      <c r="AQL25" s="700"/>
      <c r="AQM25" s="700"/>
      <c r="AQN25" s="700"/>
      <c r="AQO25" s="700"/>
      <c r="AQP25" s="700"/>
      <c r="AQQ25" s="700"/>
      <c r="AQR25" s="700"/>
      <c r="AQS25" s="700"/>
      <c r="AQT25" s="700"/>
      <c r="AQU25" s="700"/>
      <c r="AQV25" s="700"/>
      <c r="AQW25" s="700"/>
      <c r="AQX25" s="700"/>
      <c r="AQY25" s="700"/>
      <c r="AQZ25" s="700"/>
      <c r="ARA25" s="700"/>
      <c r="ARB25" s="700"/>
      <c r="ARC25" s="700"/>
      <c r="ARD25" s="700"/>
      <c r="ARE25" s="700"/>
      <c r="ARF25" s="700"/>
      <c r="ARG25" s="700"/>
      <c r="ARH25" s="700"/>
      <c r="ARI25" s="700"/>
      <c r="ARJ25" s="700"/>
      <c r="ARK25" s="700"/>
      <c r="ARL25" s="700"/>
      <c r="ARM25" s="700"/>
      <c r="ARN25" s="700"/>
      <c r="ARO25" s="700"/>
      <c r="ARP25" s="700"/>
      <c r="ARQ25" s="700"/>
      <c r="ARR25" s="700"/>
      <c r="ARS25" s="700"/>
      <c r="ART25" s="700"/>
      <c r="ARU25" s="700"/>
      <c r="ARV25" s="700"/>
      <c r="ARW25" s="700"/>
      <c r="ARX25" s="700"/>
      <c r="ARY25" s="700"/>
      <c r="ARZ25" s="700"/>
      <c r="ASA25" s="700"/>
      <c r="ASB25" s="700"/>
      <c r="ASC25" s="700"/>
      <c r="ASD25" s="700"/>
      <c r="ASE25" s="700"/>
      <c r="ASF25" s="700"/>
      <c r="ASG25" s="700"/>
      <c r="ASH25" s="700"/>
      <c r="ASI25" s="700"/>
      <c r="ASJ25" s="700"/>
      <c r="ASK25" s="700"/>
      <c r="ASL25" s="700"/>
      <c r="ASM25" s="700"/>
      <c r="ASN25" s="700"/>
      <c r="ASO25" s="700"/>
      <c r="ASP25" s="700"/>
      <c r="ASQ25" s="700"/>
      <c r="ASR25" s="700"/>
      <c r="ASS25" s="700"/>
      <c r="AST25" s="700"/>
      <c r="ASU25" s="700"/>
      <c r="ASV25" s="700"/>
      <c r="ASW25" s="700"/>
      <c r="ASX25" s="700"/>
      <c r="ASY25" s="700"/>
      <c r="ASZ25" s="700"/>
      <c r="ATA25" s="700"/>
      <c r="ATB25" s="700"/>
      <c r="ATC25" s="700"/>
      <c r="ATD25" s="700"/>
      <c r="ATE25" s="700"/>
      <c r="ATF25" s="700"/>
      <c r="ATG25" s="700"/>
      <c r="ATH25" s="700"/>
      <c r="ATI25" s="700"/>
      <c r="ATJ25" s="700"/>
      <c r="ATK25" s="700"/>
      <c r="ATL25" s="700"/>
      <c r="ATM25" s="700"/>
      <c r="ATN25" s="700"/>
      <c r="ATO25" s="700"/>
      <c r="ATP25" s="700"/>
      <c r="ATQ25" s="700"/>
      <c r="ATR25" s="700"/>
      <c r="ATS25" s="700"/>
      <c r="ATT25" s="700"/>
      <c r="ATU25" s="700"/>
      <c r="ATV25" s="700"/>
      <c r="ATW25" s="700"/>
      <c r="ATX25" s="700"/>
      <c r="ATY25" s="700"/>
      <c r="ATZ25" s="700"/>
      <c r="AUA25" s="700"/>
      <c r="AUB25" s="700"/>
      <c r="AUC25" s="700"/>
      <c r="AUD25" s="700"/>
      <c r="AUE25" s="700"/>
      <c r="AUF25" s="700"/>
      <c r="AUG25" s="700"/>
      <c r="AUH25" s="700"/>
      <c r="AUI25" s="700"/>
      <c r="AUJ25" s="700"/>
      <c r="AUK25" s="700"/>
      <c r="AUL25" s="700"/>
      <c r="AUM25" s="700"/>
      <c r="AUN25" s="700"/>
      <c r="AUO25" s="700"/>
      <c r="AUP25" s="700"/>
      <c r="AUQ25" s="700"/>
      <c r="AUR25" s="700"/>
      <c r="AUS25" s="700"/>
      <c r="AUT25" s="700"/>
      <c r="AUU25" s="700"/>
      <c r="AUV25" s="700"/>
      <c r="AUW25" s="700"/>
      <c r="AUX25" s="700"/>
      <c r="AUY25" s="700"/>
      <c r="AUZ25" s="700"/>
      <c r="AVA25" s="700"/>
      <c r="AVB25" s="700"/>
      <c r="AVC25" s="700"/>
      <c r="AVD25" s="700"/>
      <c r="AVE25" s="700"/>
      <c r="AVF25" s="700"/>
      <c r="AVG25" s="700"/>
      <c r="AVH25" s="700"/>
      <c r="AVI25" s="700"/>
      <c r="AVJ25" s="700"/>
      <c r="AVK25" s="700"/>
      <c r="AVL25" s="700"/>
      <c r="AVM25" s="700"/>
      <c r="AVN25" s="700"/>
      <c r="AVO25" s="700"/>
      <c r="AVP25" s="700"/>
      <c r="AVQ25" s="700"/>
      <c r="AVR25" s="700"/>
      <c r="AVS25" s="700"/>
      <c r="AVT25" s="700"/>
      <c r="AVU25" s="700"/>
      <c r="AVV25" s="700"/>
      <c r="AVW25" s="700"/>
      <c r="AVX25" s="700"/>
      <c r="AVY25" s="700"/>
      <c r="AVZ25" s="700"/>
      <c r="AWA25" s="700"/>
      <c r="AWB25" s="700"/>
      <c r="AWC25" s="700"/>
      <c r="AWD25" s="700"/>
      <c r="AWE25" s="700"/>
      <c r="AWF25" s="700"/>
      <c r="AWG25" s="700"/>
      <c r="AWH25" s="700"/>
      <c r="AWI25" s="700"/>
      <c r="AWJ25" s="700"/>
      <c r="AWK25" s="700"/>
      <c r="AWL25" s="700"/>
      <c r="AWM25" s="700"/>
      <c r="AWN25" s="700"/>
      <c r="AWO25" s="700"/>
      <c r="AWP25" s="700"/>
      <c r="AWQ25" s="700"/>
      <c r="AWR25" s="700"/>
      <c r="AWS25" s="700"/>
      <c r="AWT25" s="700"/>
      <c r="AWU25" s="700"/>
      <c r="AWV25" s="700"/>
      <c r="AWW25" s="700"/>
      <c r="AWX25" s="700"/>
      <c r="AWY25" s="700"/>
      <c r="AWZ25" s="700"/>
      <c r="AXA25" s="700"/>
      <c r="AXB25" s="700"/>
      <c r="AXC25" s="700"/>
      <c r="AXD25" s="700"/>
      <c r="AXE25" s="700"/>
      <c r="AXF25" s="700"/>
      <c r="AXG25" s="700"/>
      <c r="AXH25" s="700"/>
      <c r="AXI25" s="700"/>
      <c r="AXJ25" s="700"/>
      <c r="AXK25" s="700"/>
      <c r="AXL25" s="700"/>
      <c r="AXM25" s="700"/>
      <c r="AXN25" s="700"/>
      <c r="AXO25" s="700"/>
      <c r="AXP25" s="700"/>
      <c r="AXQ25" s="700"/>
      <c r="AXR25" s="700"/>
      <c r="AXS25" s="700"/>
      <c r="AXT25" s="700"/>
      <c r="AXU25" s="700"/>
      <c r="AXV25" s="700"/>
      <c r="AXW25" s="700"/>
      <c r="AXX25" s="700"/>
      <c r="AXY25" s="700"/>
      <c r="AXZ25" s="700"/>
      <c r="AYA25" s="700"/>
      <c r="AYB25" s="700"/>
      <c r="AYC25" s="700"/>
      <c r="AYD25" s="700"/>
      <c r="AYE25" s="700"/>
      <c r="AYF25" s="700"/>
      <c r="AYG25" s="700"/>
      <c r="AYH25" s="700"/>
      <c r="AYI25" s="700"/>
      <c r="AYJ25" s="700"/>
      <c r="AYK25" s="700"/>
      <c r="AYL25" s="700"/>
      <c r="AYM25" s="700"/>
      <c r="AYN25" s="700"/>
      <c r="AYO25" s="700"/>
      <c r="AYP25" s="700"/>
      <c r="AYQ25" s="700"/>
      <c r="AYR25" s="700"/>
      <c r="AYS25" s="700"/>
      <c r="AYT25" s="700"/>
      <c r="AYU25" s="700"/>
      <c r="AYV25" s="700"/>
      <c r="AYW25" s="700"/>
      <c r="AYX25" s="700"/>
      <c r="AYY25" s="700"/>
      <c r="AYZ25" s="700"/>
      <c r="AZA25" s="700"/>
      <c r="AZB25" s="700"/>
      <c r="AZC25" s="700"/>
      <c r="AZD25" s="700"/>
      <c r="AZE25" s="700"/>
      <c r="AZF25" s="700"/>
      <c r="AZG25" s="700"/>
      <c r="AZH25" s="700"/>
      <c r="AZI25" s="700"/>
      <c r="AZJ25" s="700"/>
      <c r="AZK25" s="700"/>
      <c r="AZL25" s="700"/>
      <c r="AZM25" s="700"/>
      <c r="AZN25" s="700"/>
      <c r="AZO25" s="700"/>
      <c r="AZP25" s="700"/>
      <c r="AZQ25" s="700"/>
      <c r="AZR25" s="700"/>
      <c r="AZS25" s="700"/>
      <c r="AZT25" s="700"/>
      <c r="AZU25" s="700"/>
      <c r="AZV25" s="700"/>
      <c r="AZW25" s="700"/>
      <c r="AZX25" s="700"/>
      <c r="AZY25" s="700"/>
      <c r="AZZ25" s="700"/>
      <c r="BAA25" s="700"/>
      <c r="BAB25" s="700"/>
      <c r="BAC25" s="700"/>
      <c r="BAD25" s="700"/>
      <c r="BAE25" s="700"/>
      <c r="BAF25" s="700"/>
      <c r="BAG25" s="700"/>
      <c r="BAH25" s="700"/>
      <c r="BAI25" s="700"/>
      <c r="BAJ25" s="700"/>
      <c r="BAK25" s="700"/>
      <c r="BAL25" s="700"/>
      <c r="BAM25" s="700"/>
      <c r="BAN25" s="700"/>
      <c r="BAO25" s="700"/>
      <c r="BAP25" s="700"/>
      <c r="BAQ25" s="700"/>
      <c r="BAR25" s="700"/>
      <c r="BAS25" s="700"/>
      <c r="BAT25" s="700"/>
      <c r="BAU25" s="700"/>
      <c r="BAV25" s="700"/>
      <c r="BAW25" s="700"/>
      <c r="BAX25" s="700"/>
      <c r="BAY25" s="700"/>
      <c r="BAZ25" s="700"/>
      <c r="BBA25" s="700"/>
      <c r="BBB25" s="700"/>
      <c r="BBC25" s="700"/>
      <c r="BBD25" s="700"/>
      <c r="BBE25" s="700"/>
      <c r="BBF25" s="700"/>
      <c r="BBG25" s="700"/>
      <c r="BBH25" s="700"/>
      <c r="BBI25" s="700"/>
      <c r="BBJ25" s="700"/>
      <c r="BBK25" s="700"/>
      <c r="BBL25" s="700"/>
      <c r="BBM25" s="700"/>
      <c r="BBN25" s="700"/>
      <c r="BBO25" s="700"/>
      <c r="BBP25" s="700"/>
      <c r="BBQ25" s="700"/>
      <c r="BBR25" s="700"/>
      <c r="BBS25" s="700"/>
      <c r="BBT25" s="700"/>
      <c r="BBU25" s="700"/>
      <c r="BBV25" s="700"/>
      <c r="BBW25" s="700"/>
      <c r="BBX25" s="700"/>
      <c r="BBY25" s="700"/>
      <c r="BBZ25" s="700"/>
      <c r="BCA25" s="700"/>
      <c r="BCB25" s="700"/>
      <c r="BCC25" s="700"/>
      <c r="BCD25" s="700"/>
      <c r="BCE25" s="700"/>
      <c r="BCF25" s="700"/>
      <c r="BCG25" s="700"/>
      <c r="BCH25" s="700"/>
      <c r="BCI25" s="700"/>
      <c r="BCJ25" s="700"/>
      <c r="BCK25" s="700"/>
      <c r="BCL25" s="700"/>
      <c r="BCM25" s="700"/>
      <c r="BCN25" s="700"/>
      <c r="BCO25" s="700"/>
      <c r="BCP25" s="700"/>
      <c r="BCQ25" s="700"/>
      <c r="BCR25" s="700"/>
      <c r="BCS25" s="700"/>
      <c r="BCT25" s="700"/>
      <c r="BCU25" s="700"/>
      <c r="BCV25" s="700"/>
      <c r="BCW25" s="700"/>
      <c r="BCX25" s="700"/>
      <c r="BCY25" s="700"/>
      <c r="BCZ25" s="700"/>
      <c r="BDA25" s="700"/>
      <c r="BDB25" s="700"/>
      <c r="BDC25" s="700"/>
      <c r="BDD25" s="700"/>
      <c r="BDE25" s="700"/>
      <c r="BDF25" s="700"/>
      <c r="BDG25" s="700"/>
      <c r="BDH25" s="700"/>
      <c r="BDI25" s="700"/>
      <c r="BDJ25" s="700"/>
      <c r="BDK25" s="700"/>
      <c r="BDL25" s="700"/>
      <c r="BDM25" s="700"/>
      <c r="BDN25" s="700"/>
      <c r="BDO25" s="700"/>
      <c r="BDP25" s="700"/>
      <c r="BDQ25" s="700"/>
      <c r="BDR25" s="700"/>
      <c r="BDS25" s="700"/>
      <c r="BDT25" s="700"/>
      <c r="BDU25" s="700"/>
      <c r="BDV25" s="700"/>
      <c r="BDW25" s="700"/>
      <c r="BDX25" s="700"/>
      <c r="BDY25" s="700"/>
      <c r="BDZ25" s="700"/>
      <c r="BEA25" s="700"/>
      <c r="BEB25" s="700"/>
      <c r="BEC25" s="700"/>
      <c r="BED25" s="700"/>
      <c r="BEE25" s="700"/>
      <c r="BEF25" s="700"/>
      <c r="BEG25" s="700"/>
      <c r="BEH25" s="700"/>
      <c r="BEI25" s="700"/>
      <c r="BEJ25" s="700"/>
      <c r="BEK25" s="700"/>
      <c r="BEL25" s="700"/>
      <c r="BEM25" s="700"/>
      <c r="BEN25" s="700"/>
      <c r="BEO25" s="700"/>
      <c r="BEP25" s="700"/>
      <c r="BEQ25" s="700"/>
      <c r="BER25" s="700"/>
      <c r="BES25" s="700"/>
      <c r="BET25" s="700"/>
      <c r="BEU25" s="700"/>
      <c r="BEV25" s="700"/>
      <c r="BEW25" s="700"/>
      <c r="BEX25" s="700"/>
      <c r="BEY25" s="700"/>
      <c r="BEZ25" s="700"/>
      <c r="BFA25" s="700"/>
      <c r="BFB25" s="700"/>
      <c r="BFC25" s="700"/>
      <c r="BFD25" s="700"/>
      <c r="BFE25" s="700"/>
      <c r="BFF25" s="700"/>
      <c r="BFG25" s="700"/>
      <c r="BFH25" s="700"/>
      <c r="BFI25" s="700"/>
      <c r="BFJ25" s="700"/>
      <c r="BFK25" s="700"/>
      <c r="BFL25" s="700"/>
      <c r="BFM25" s="700"/>
      <c r="BFN25" s="700"/>
      <c r="BFO25" s="700"/>
      <c r="BFP25" s="700"/>
      <c r="BFQ25" s="700"/>
      <c r="BFR25" s="700"/>
      <c r="BFS25" s="700"/>
      <c r="BFT25" s="700"/>
      <c r="BFU25" s="700"/>
      <c r="BFV25" s="700"/>
      <c r="BFW25" s="700"/>
      <c r="BFX25" s="700"/>
      <c r="BFY25" s="700"/>
      <c r="BFZ25" s="700"/>
      <c r="BGA25" s="700"/>
      <c r="BGB25" s="700"/>
      <c r="BGC25" s="700"/>
      <c r="BGD25" s="700"/>
      <c r="BGE25" s="700"/>
      <c r="BGF25" s="700"/>
      <c r="BGG25" s="700"/>
      <c r="BGH25" s="700"/>
      <c r="BGI25" s="700"/>
      <c r="BGJ25" s="700"/>
      <c r="BGK25" s="700"/>
      <c r="BGL25" s="700"/>
      <c r="BGM25" s="700"/>
      <c r="BGN25" s="700"/>
      <c r="BGO25" s="700"/>
      <c r="BGP25" s="700"/>
      <c r="BGQ25" s="700"/>
      <c r="BGR25" s="700"/>
      <c r="BGS25" s="700"/>
      <c r="BGT25" s="700"/>
      <c r="BGU25" s="700"/>
      <c r="BGV25" s="700"/>
      <c r="BGW25" s="700"/>
      <c r="BGX25" s="700"/>
      <c r="BGY25" s="700"/>
      <c r="BGZ25" s="700"/>
      <c r="BHA25" s="700"/>
      <c r="BHB25" s="700"/>
      <c r="BHC25" s="700"/>
      <c r="BHD25" s="700"/>
      <c r="BHE25" s="700"/>
      <c r="BHF25" s="700"/>
      <c r="BHG25" s="700"/>
      <c r="BHH25" s="700"/>
      <c r="BHI25" s="700"/>
      <c r="BHJ25" s="700"/>
      <c r="BHK25" s="700"/>
      <c r="BHL25" s="700"/>
      <c r="BHM25" s="700"/>
      <c r="BHN25" s="700"/>
      <c r="BHO25" s="700"/>
      <c r="BHP25" s="700"/>
      <c r="BHQ25" s="700"/>
      <c r="BHR25" s="700"/>
      <c r="BHS25" s="700"/>
      <c r="BHT25" s="700"/>
      <c r="BHU25" s="700"/>
      <c r="BHV25" s="700"/>
      <c r="BHW25" s="700"/>
      <c r="BHX25" s="700"/>
      <c r="BHY25" s="700"/>
      <c r="BHZ25" s="700"/>
      <c r="BIA25" s="700"/>
      <c r="BIB25" s="700"/>
      <c r="BIC25" s="700"/>
      <c r="BID25" s="700"/>
      <c r="BIE25" s="700"/>
      <c r="BIF25" s="700"/>
      <c r="BIG25" s="700"/>
      <c r="BIH25" s="700"/>
      <c r="BII25" s="700"/>
      <c r="BIJ25" s="700"/>
      <c r="BIK25" s="700"/>
      <c r="BIL25" s="700"/>
      <c r="BIM25" s="700"/>
      <c r="BIN25" s="700"/>
      <c r="BIO25" s="700"/>
      <c r="BIP25" s="700"/>
      <c r="BIQ25" s="700"/>
      <c r="BIR25" s="700"/>
      <c r="BIS25" s="700"/>
      <c r="BIT25" s="700"/>
      <c r="BIU25" s="700"/>
      <c r="BIV25" s="700"/>
      <c r="BIW25" s="700"/>
      <c r="BIX25" s="700"/>
      <c r="BIY25" s="700"/>
      <c r="BIZ25" s="700"/>
      <c r="BJA25" s="700"/>
      <c r="BJB25" s="700"/>
      <c r="BJC25" s="700"/>
      <c r="BJD25" s="700"/>
      <c r="BJE25" s="700"/>
      <c r="BJF25" s="700"/>
      <c r="BJG25" s="700"/>
      <c r="BJH25" s="700"/>
      <c r="BJI25" s="700"/>
      <c r="BJJ25" s="700"/>
      <c r="BJK25" s="700"/>
      <c r="BJL25" s="700"/>
      <c r="BJM25" s="700"/>
      <c r="BJN25" s="700"/>
      <c r="BJO25" s="700"/>
      <c r="BJP25" s="700"/>
      <c r="BJQ25" s="700"/>
      <c r="BJR25" s="700"/>
      <c r="BJS25" s="700"/>
      <c r="BJT25" s="700"/>
      <c r="BJU25" s="700"/>
      <c r="BJV25" s="700"/>
      <c r="BJW25" s="700"/>
      <c r="BJX25" s="700"/>
      <c r="BJY25" s="700"/>
      <c r="BJZ25" s="700"/>
      <c r="BKA25" s="700"/>
      <c r="BKB25" s="700"/>
      <c r="BKC25" s="700"/>
      <c r="BKD25" s="700"/>
      <c r="BKE25" s="700"/>
      <c r="BKF25" s="700"/>
      <c r="BKG25" s="700"/>
      <c r="BKH25" s="700"/>
      <c r="BKI25" s="700"/>
      <c r="BKJ25" s="700"/>
      <c r="BKK25" s="700"/>
      <c r="BKL25" s="700"/>
      <c r="BKM25" s="700"/>
      <c r="BKN25" s="700"/>
      <c r="BKO25" s="700"/>
      <c r="BKP25" s="700"/>
      <c r="BKQ25" s="700"/>
      <c r="BKR25" s="700"/>
      <c r="BKS25" s="700"/>
      <c r="BKT25" s="700"/>
      <c r="BKU25" s="700"/>
      <c r="BKV25" s="700"/>
      <c r="BKW25" s="700"/>
      <c r="BKX25" s="700"/>
      <c r="BKY25" s="700"/>
      <c r="BKZ25" s="700"/>
      <c r="BLA25" s="700"/>
      <c r="BLB25" s="700"/>
      <c r="BLC25" s="700"/>
      <c r="BLD25" s="700"/>
      <c r="BLE25" s="700"/>
      <c r="BLF25" s="700"/>
      <c r="BLG25" s="700"/>
      <c r="BLH25" s="700"/>
      <c r="BLI25" s="700"/>
      <c r="BLJ25" s="700"/>
      <c r="BLK25" s="700"/>
      <c r="BLL25" s="700"/>
      <c r="BLM25" s="700"/>
      <c r="BLN25" s="700"/>
      <c r="BLO25" s="700"/>
      <c r="BLP25" s="700"/>
      <c r="BLQ25" s="700"/>
      <c r="BLR25" s="700"/>
      <c r="BLS25" s="700"/>
      <c r="BLT25" s="700"/>
      <c r="BLU25" s="700"/>
      <c r="BLV25" s="700"/>
      <c r="BLW25" s="700"/>
      <c r="BLX25" s="700"/>
      <c r="BLY25" s="700"/>
      <c r="BLZ25" s="700"/>
      <c r="BMA25" s="700"/>
      <c r="BMB25" s="700"/>
      <c r="BMC25" s="700"/>
      <c r="BMD25" s="700"/>
      <c r="BME25" s="700"/>
      <c r="BMF25" s="700"/>
      <c r="BMG25" s="700"/>
      <c r="BMH25" s="700"/>
      <c r="BMI25" s="700"/>
      <c r="BMJ25" s="700"/>
      <c r="BMK25" s="700"/>
      <c r="BML25" s="700"/>
      <c r="BMM25" s="700"/>
      <c r="BMN25" s="700"/>
      <c r="BMO25" s="700"/>
      <c r="BMP25" s="700"/>
      <c r="BMQ25" s="700"/>
      <c r="BMR25" s="700"/>
      <c r="BMS25" s="700"/>
      <c r="BMT25" s="700"/>
      <c r="BMU25" s="700"/>
      <c r="BMV25" s="700"/>
      <c r="BMW25" s="700"/>
      <c r="BMX25" s="700"/>
      <c r="BMY25" s="700"/>
      <c r="BMZ25" s="700"/>
      <c r="BNA25" s="700"/>
      <c r="BNB25" s="700"/>
      <c r="BNC25" s="700"/>
      <c r="BND25" s="700"/>
      <c r="BNE25" s="700"/>
      <c r="BNF25" s="700"/>
      <c r="BNG25" s="700"/>
      <c r="BNH25" s="700"/>
      <c r="BNI25" s="700"/>
      <c r="BNJ25" s="700"/>
      <c r="BNK25" s="700"/>
      <c r="BNL25" s="700"/>
      <c r="BNM25" s="700"/>
      <c r="BNN25" s="700"/>
      <c r="BNO25" s="700"/>
      <c r="BNP25" s="700"/>
      <c r="BNQ25" s="700"/>
      <c r="BNR25" s="700"/>
      <c r="BNS25" s="700"/>
      <c r="BNT25" s="700"/>
      <c r="BNU25" s="700"/>
      <c r="BNV25" s="700"/>
      <c r="BNW25" s="700"/>
      <c r="BNX25" s="700"/>
      <c r="BNY25" s="700"/>
      <c r="BNZ25" s="700"/>
      <c r="BOA25" s="700"/>
      <c r="BOB25" s="700"/>
      <c r="BOC25" s="700"/>
      <c r="BOD25" s="700"/>
      <c r="BOE25" s="700"/>
      <c r="BOF25" s="700"/>
      <c r="BOG25" s="700"/>
      <c r="BOH25" s="700"/>
      <c r="BOI25" s="700"/>
      <c r="BOJ25" s="700"/>
      <c r="BOK25" s="700"/>
      <c r="BOL25" s="700"/>
      <c r="BOM25" s="700"/>
      <c r="BON25" s="700"/>
      <c r="BOO25" s="700"/>
      <c r="BOP25" s="700"/>
      <c r="BOQ25" s="700"/>
      <c r="BOR25" s="700"/>
      <c r="BOS25" s="700"/>
      <c r="BOT25" s="700"/>
      <c r="BOU25" s="700"/>
      <c r="BOV25" s="700"/>
      <c r="BOW25" s="700"/>
      <c r="BOX25" s="700"/>
      <c r="BOY25" s="700"/>
      <c r="BOZ25" s="700"/>
      <c r="BPA25" s="700"/>
      <c r="BPB25" s="700"/>
      <c r="BPC25" s="700"/>
      <c r="BPD25" s="700"/>
      <c r="BPE25" s="700"/>
      <c r="BPF25" s="700"/>
      <c r="BPG25" s="700"/>
      <c r="BPH25" s="700"/>
      <c r="BPI25" s="700"/>
      <c r="BPJ25" s="700"/>
      <c r="BPK25" s="700"/>
      <c r="BPL25" s="700"/>
      <c r="BPM25" s="700"/>
      <c r="BPN25" s="700"/>
      <c r="BPO25" s="700"/>
      <c r="BPP25" s="700"/>
      <c r="BPQ25" s="700"/>
      <c r="BPR25" s="700"/>
      <c r="BPS25" s="700"/>
      <c r="BPT25" s="700"/>
      <c r="BPU25" s="700"/>
      <c r="BPV25" s="700"/>
      <c r="BPW25" s="700"/>
      <c r="BPX25" s="700"/>
      <c r="BPY25" s="700"/>
      <c r="BPZ25" s="700"/>
      <c r="BQA25" s="700"/>
      <c r="BQB25" s="700"/>
      <c r="BQC25" s="700"/>
      <c r="BQD25" s="700"/>
      <c r="BQE25" s="700"/>
      <c r="BQF25" s="700"/>
      <c r="BQG25" s="700"/>
      <c r="BQH25" s="700"/>
      <c r="BQI25" s="700"/>
      <c r="BQJ25" s="700"/>
      <c r="BQK25" s="700"/>
      <c r="BQL25" s="700"/>
      <c r="BQM25" s="700"/>
      <c r="BQN25" s="700"/>
      <c r="BQO25" s="700"/>
      <c r="BQP25" s="700"/>
      <c r="BQQ25" s="700"/>
      <c r="BQR25" s="700"/>
      <c r="BQS25" s="700"/>
      <c r="BQT25" s="700"/>
      <c r="BQU25" s="700"/>
      <c r="BQV25" s="700"/>
      <c r="BQW25" s="700"/>
      <c r="BQX25" s="700"/>
      <c r="BQY25" s="700"/>
      <c r="BQZ25" s="700"/>
      <c r="BRA25" s="700"/>
      <c r="BRB25" s="700"/>
      <c r="BRC25" s="700"/>
      <c r="BRD25" s="700"/>
      <c r="BRE25" s="700"/>
      <c r="BRF25" s="700"/>
      <c r="BRG25" s="700"/>
      <c r="BRH25" s="700"/>
      <c r="BRI25" s="700"/>
      <c r="BRJ25" s="700"/>
      <c r="BRK25" s="700"/>
      <c r="BRL25" s="700"/>
      <c r="BRM25" s="700"/>
      <c r="BRN25" s="700"/>
      <c r="BRO25" s="700"/>
      <c r="BRP25" s="700"/>
      <c r="BRQ25" s="700"/>
      <c r="BRR25" s="700"/>
      <c r="BRS25" s="700"/>
      <c r="BRT25" s="700"/>
      <c r="BRU25" s="700"/>
      <c r="BRV25" s="700"/>
      <c r="BRW25" s="700"/>
      <c r="BRX25" s="700"/>
      <c r="BRY25" s="700"/>
      <c r="BRZ25" s="700"/>
      <c r="BSA25" s="700"/>
      <c r="BSB25" s="700"/>
      <c r="BSC25" s="700"/>
      <c r="BSD25" s="700"/>
      <c r="BSE25" s="700"/>
      <c r="BSF25" s="700"/>
      <c r="BSG25" s="700"/>
      <c r="BSH25" s="700"/>
      <c r="BSI25" s="700"/>
      <c r="BSJ25" s="700"/>
      <c r="BSK25" s="700"/>
      <c r="BSL25" s="700"/>
      <c r="BSM25" s="700"/>
      <c r="BSN25" s="700"/>
      <c r="BSO25" s="700"/>
      <c r="BSP25" s="700"/>
      <c r="BSQ25" s="700"/>
      <c r="BSR25" s="700"/>
      <c r="BSS25" s="700"/>
      <c r="BST25" s="700"/>
      <c r="BSU25" s="700"/>
      <c r="BSV25" s="700"/>
      <c r="BSW25" s="700"/>
      <c r="BSX25" s="700"/>
      <c r="BSY25" s="700"/>
      <c r="BSZ25" s="700"/>
      <c r="BTA25" s="700"/>
      <c r="BTB25" s="700"/>
      <c r="BTC25" s="700"/>
      <c r="BTD25" s="700"/>
      <c r="BTE25" s="700"/>
      <c r="BTF25" s="700"/>
      <c r="BTG25" s="700"/>
      <c r="BTH25" s="700"/>
      <c r="BTI25" s="700"/>
      <c r="BTJ25" s="700"/>
      <c r="BTK25" s="700"/>
      <c r="BTL25" s="700"/>
      <c r="BTM25" s="700"/>
      <c r="BTN25" s="700"/>
      <c r="BTO25" s="700"/>
      <c r="BTP25" s="700"/>
      <c r="BTQ25" s="700"/>
      <c r="BTR25" s="700"/>
      <c r="BTS25" s="700"/>
      <c r="BTT25" s="700"/>
      <c r="BTU25" s="700"/>
      <c r="BTV25" s="700"/>
      <c r="BTW25" s="700"/>
      <c r="BTX25" s="700"/>
      <c r="BTY25" s="700"/>
      <c r="BTZ25" s="700"/>
      <c r="BUA25" s="700"/>
      <c r="BUB25" s="700"/>
      <c r="BUC25" s="700"/>
      <c r="BUD25" s="700"/>
      <c r="BUE25" s="700"/>
      <c r="BUF25" s="700"/>
      <c r="BUG25" s="700"/>
      <c r="BUH25" s="700"/>
      <c r="BUI25" s="700"/>
      <c r="BUJ25" s="700"/>
      <c r="BUK25" s="700"/>
      <c r="BUL25" s="700"/>
      <c r="BUM25" s="700"/>
      <c r="BUN25" s="700"/>
      <c r="BUO25" s="700"/>
      <c r="BUP25" s="700"/>
      <c r="BUQ25" s="700"/>
      <c r="BUR25" s="700"/>
      <c r="BUS25" s="700"/>
      <c r="BUT25" s="700"/>
      <c r="BUU25" s="700"/>
      <c r="BUV25" s="700"/>
      <c r="BUW25" s="700"/>
      <c r="BUX25" s="700"/>
      <c r="BUY25" s="700"/>
      <c r="BUZ25" s="700"/>
      <c r="BVA25" s="700"/>
      <c r="BVB25" s="700"/>
      <c r="BVC25" s="700"/>
      <c r="BVD25" s="700"/>
      <c r="BVE25" s="700"/>
      <c r="BVF25" s="700"/>
      <c r="BVG25" s="700"/>
      <c r="BVH25" s="700"/>
      <c r="BVI25" s="700"/>
      <c r="BVJ25" s="700"/>
      <c r="BVK25" s="700"/>
      <c r="BVL25" s="700"/>
      <c r="BVM25" s="700"/>
      <c r="BVN25" s="700"/>
      <c r="BVO25" s="700"/>
      <c r="BVP25" s="700"/>
      <c r="BVQ25" s="700"/>
      <c r="BVR25" s="700"/>
      <c r="BVS25" s="700"/>
      <c r="BVT25" s="700"/>
      <c r="BVU25" s="700"/>
      <c r="BVV25" s="700"/>
      <c r="BVW25" s="700"/>
      <c r="BVX25" s="700"/>
      <c r="BVY25" s="700"/>
      <c r="BVZ25" s="700"/>
      <c r="BWA25" s="700"/>
      <c r="BWB25" s="700"/>
      <c r="BWC25" s="700"/>
      <c r="BWD25" s="700"/>
      <c r="BWE25" s="700"/>
      <c r="BWF25" s="700"/>
      <c r="BWG25" s="700"/>
      <c r="BWH25" s="700"/>
      <c r="BWI25" s="700"/>
      <c r="BWJ25" s="700"/>
      <c r="BWK25" s="700"/>
      <c r="BWL25" s="700"/>
      <c r="BWM25" s="700"/>
      <c r="BWN25" s="700"/>
      <c r="BWO25" s="700"/>
      <c r="BWP25" s="700"/>
      <c r="BWQ25" s="700"/>
      <c r="BWR25" s="700"/>
      <c r="BWS25" s="700"/>
      <c r="BWT25" s="700"/>
      <c r="BWU25" s="700"/>
      <c r="BWV25" s="700"/>
      <c r="BWW25" s="700"/>
      <c r="BWX25" s="700"/>
      <c r="BWY25" s="700"/>
      <c r="BWZ25" s="700"/>
      <c r="BXA25" s="700"/>
      <c r="BXB25" s="700"/>
      <c r="BXC25" s="700"/>
      <c r="BXD25" s="700"/>
      <c r="BXE25" s="700"/>
      <c r="BXF25" s="700"/>
      <c r="BXG25" s="700"/>
      <c r="BXH25" s="700"/>
      <c r="BXI25" s="700"/>
      <c r="BXJ25" s="700"/>
      <c r="BXK25" s="700"/>
      <c r="BXL25" s="700"/>
      <c r="BXM25" s="700"/>
      <c r="BXN25" s="700"/>
      <c r="BXO25" s="700"/>
      <c r="BXP25" s="700"/>
      <c r="BXQ25" s="700"/>
      <c r="BXR25" s="700"/>
      <c r="BXS25" s="700"/>
      <c r="BXT25" s="700"/>
      <c r="BXU25" s="700"/>
      <c r="BXV25" s="700"/>
      <c r="BXW25" s="700"/>
      <c r="BXX25" s="700"/>
      <c r="BXY25" s="700"/>
      <c r="BXZ25" s="700"/>
    </row>
    <row r="26" spans="1:2002" ht="15">
      <c r="A26" s="717"/>
      <c r="B26" s="706"/>
      <c r="C26" s="721" t="s">
        <v>47</v>
      </c>
      <c r="D26" s="738">
        <f>BS!Q60</f>
        <v>441000</v>
      </c>
      <c r="E26" s="738">
        <f>BS!P60</f>
        <v>492000</v>
      </c>
      <c r="F26" s="738">
        <f>BS!O60</f>
        <v>512000</v>
      </c>
      <c r="G26" s="738">
        <f>BS!N60</f>
        <v>567000</v>
      </c>
      <c r="H26" s="738">
        <f>BS!M60</f>
        <v>831000</v>
      </c>
      <c r="I26" s="738"/>
      <c r="J26" s="738"/>
      <c r="K26" s="738"/>
      <c r="L26" s="738"/>
      <c r="M26" s="738"/>
      <c r="N26" s="738"/>
      <c r="O26" s="738"/>
      <c r="P26" s="738"/>
      <c r="Q26" s="738"/>
      <c r="R26" s="738"/>
      <c r="S26" s="712"/>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700"/>
      <c r="BO26" s="700"/>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700"/>
      <c r="DS26" s="700"/>
      <c r="DT26" s="700"/>
      <c r="DU26" s="700"/>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700"/>
      <c r="FQ26" s="700"/>
      <c r="FR26" s="700"/>
      <c r="FS26" s="700"/>
      <c r="FT26" s="700"/>
      <c r="FU26" s="700"/>
      <c r="FV26" s="700"/>
      <c r="FW26" s="700"/>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c r="JH26" s="700"/>
      <c r="JI26" s="700"/>
      <c r="JJ26" s="700"/>
      <c r="JK26" s="700"/>
      <c r="JL26" s="700"/>
      <c r="JM26" s="700"/>
      <c r="JN26" s="700"/>
      <c r="JO26" s="700"/>
      <c r="JP26" s="700"/>
      <c r="JQ26" s="700"/>
      <c r="JR26" s="700"/>
      <c r="JS26" s="700"/>
      <c r="JT26" s="700"/>
      <c r="JU26" s="700"/>
      <c r="JV26" s="700"/>
      <c r="JW26" s="700"/>
      <c r="JX26" s="700"/>
      <c r="JY26" s="700"/>
      <c r="JZ26" s="700"/>
      <c r="KA26" s="700"/>
      <c r="KB26" s="700"/>
      <c r="KC26" s="700"/>
      <c r="KD26" s="700"/>
      <c r="KE26" s="700"/>
      <c r="KF26" s="700"/>
      <c r="KG26" s="700"/>
      <c r="KH26" s="700"/>
      <c r="KI26" s="700"/>
      <c r="KJ26" s="700"/>
      <c r="KK26" s="700"/>
      <c r="KL26" s="700"/>
      <c r="KM26" s="700"/>
      <c r="KN26" s="700"/>
      <c r="KO26" s="700"/>
      <c r="KP26" s="700"/>
      <c r="KQ26" s="700"/>
      <c r="KR26" s="700"/>
      <c r="KS26" s="700"/>
      <c r="KT26" s="700"/>
      <c r="KU26" s="700"/>
      <c r="KV26" s="700"/>
      <c r="KW26" s="700"/>
      <c r="KX26" s="700"/>
      <c r="KY26" s="700"/>
      <c r="KZ26" s="700"/>
      <c r="LA26" s="700"/>
      <c r="LB26" s="700"/>
      <c r="LC26" s="700"/>
      <c r="LD26" s="700"/>
      <c r="LE26" s="700"/>
      <c r="LF26" s="700"/>
      <c r="LG26" s="700"/>
      <c r="LH26" s="700"/>
      <c r="LI26" s="700"/>
      <c r="LJ26" s="700"/>
      <c r="LK26" s="700"/>
      <c r="LL26" s="700"/>
      <c r="LM26" s="700"/>
      <c r="LN26" s="700"/>
      <c r="LO26" s="700"/>
      <c r="LP26" s="700"/>
      <c r="LQ26" s="700"/>
      <c r="LR26" s="700"/>
      <c r="LS26" s="700"/>
      <c r="LT26" s="700"/>
      <c r="LU26" s="700"/>
      <c r="LV26" s="700"/>
      <c r="LW26" s="700"/>
      <c r="LX26" s="700"/>
      <c r="LY26" s="700"/>
      <c r="LZ26" s="700"/>
      <c r="MA26" s="700"/>
      <c r="MB26" s="700"/>
      <c r="MC26" s="700"/>
      <c r="MD26" s="700"/>
      <c r="ME26" s="700"/>
      <c r="MF26" s="700"/>
      <c r="MG26" s="700"/>
      <c r="MH26" s="700"/>
      <c r="MI26" s="700"/>
      <c r="MJ26" s="700"/>
      <c r="MK26" s="700"/>
      <c r="ML26" s="700"/>
      <c r="MM26" s="700"/>
      <c r="MN26" s="700"/>
      <c r="MO26" s="700"/>
      <c r="MP26" s="700"/>
      <c r="MQ26" s="700"/>
      <c r="MR26" s="700"/>
      <c r="MS26" s="700"/>
      <c r="MT26" s="700"/>
      <c r="MU26" s="700"/>
      <c r="MV26" s="700"/>
      <c r="MW26" s="700"/>
      <c r="MX26" s="700"/>
      <c r="MY26" s="700"/>
      <c r="MZ26" s="700"/>
      <c r="NA26" s="700"/>
      <c r="NB26" s="700"/>
      <c r="NC26" s="700"/>
      <c r="ND26" s="700"/>
      <c r="NE26" s="700"/>
      <c r="NF26" s="700"/>
      <c r="NG26" s="700"/>
      <c r="NH26" s="700"/>
      <c r="NI26" s="700"/>
      <c r="NJ26" s="700"/>
      <c r="NK26" s="700"/>
      <c r="NL26" s="700"/>
      <c r="NM26" s="700"/>
      <c r="NN26" s="700"/>
      <c r="NO26" s="700"/>
      <c r="NP26" s="700"/>
      <c r="NQ26" s="700"/>
      <c r="NR26" s="700"/>
      <c r="NS26" s="700"/>
      <c r="NT26" s="700"/>
      <c r="NU26" s="700"/>
      <c r="NV26" s="700"/>
      <c r="NW26" s="700"/>
      <c r="NX26" s="700"/>
      <c r="NY26" s="700"/>
      <c r="NZ26" s="700"/>
      <c r="OA26" s="700"/>
      <c r="OB26" s="700"/>
      <c r="OC26" s="700"/>
      <c r="OD26" s="700"/>
      <c r="OE26" s="700"/>
      <c r="OF26" s="700"/>
      <c r="OG26" s="700"/>
      <c r="OH26" s="700"/>
      <c r="OI26" s="700"/>
      <c r="OJ26" s="700"/>
      <c r="OK26" s="700"/>
      <c r="OL26" s="700"/>
      <c r="OM26" s="700"/>
      <c r="ON26" s="700"/>
      <c r="OO26" s="700"/>
      <c r="OP26" s="700"/>
      <c r="OQ26" s="700"/>
      <c r="OR26" s="700"/>
      <c r="OS26" s="700"/>
      <c r="OT26" s="700"/>
      <c r="OU26" s="700"/>
      <c r="OV26" s="700"/>
      <c r="OW26" s="700"/>
      <c r="OX26" s="700"/>
      <c r="OY26" s="700"/>
      <c r="OZ26" s="700"/>
      <c r="PA26" s="700"/>
      <c r="PB26" s="700"/>
      <c r="PC26" s="700"/>
      <c r="PD26" s="700"/>
      <c r="PE26" s="700"/>
      <c r="PF26" s="700"/>
      <c r="PG26" s="700"/>
      <c r="PH26" s="700"/>
      <c r="PI26" s="700"/>
      <c r="PJ26" s="700"/>
      <c r="PK26" s="700"/>
      <c r="PL26" s="700"/>
      <c r="PM26" s="700"/>
      <c r="PN26" s="700"/>
      <c r="PO26" s="700"/>
      <c r="PP26" s="700"/>
      <c r="PQ26" s="700"/>
      <c r="PR26" s="700"/>
      <c r="PS26" s="700"/>
      <c r="PT26" s="700"/>
      <c r="PU26" s="700"/>
      <c r="PV26" s="700"/>
      <c r="PW26" s="700"/>
      <c r="PX26" s="700"/>
      <c r="PY26" s="700"/>
      <c r="PZ26" s="700"/>
      <c r="QA26" s="700"/>
      <c r="QB26" s="700"/>
      <c r="QC26" s="700"/>
      <c r="QD26" s="700"/>
      <c r="QE26" s="700"/>
      <c r="QF26" s="700"/>
      <c r="QG26" s="700"/>
      <c r="QH26" s="700"/>
      <c r="QI26" s="700"/>
      <c r="QJ26" s="700"/>
      <c r="QK26" s="700"/>
      <c r="QL26" s="700"/>
      <c r="QM26" s="700"/>
      <c r="QN26" s="700"/>
      <c r="QO26" s="700"/>
      <c r="QP26" s="700"/>
      <c r="QQ26" s="700"/>
      <c r="QR26" s="700"/>
      <c r="QS26" s="700"/>
      <c r="QT26" s="700"/>
      <c r="QU26" s="700"/>
      <c r="QV26" s="700"/>
      <c r="QW26" s="700"/>
      <c r="QX26" s="700"/>
      <c r="QY26" s="700"/>
      <c r="QZ26" s="700"/>
      <c r="RA26" s="700"/>
      <c r="RB26" s="700"/>
      <c r="RC26" s="700"/>
      <c r="RD26" s="700"/>
      <c r="RE26" s="700"/>
      <c r="RF26" s="700"/>
      <c r="RG26" s="700"/>
      <c r="RH26" s="700"/>
      <c r="RI26" s="700"/>
      <c r="RJ26" s="700"/>
      <c r="RK26" s="700"/>
      <c r="RL26" s="700"/>
      <c r="RM26" s="700"/>
      <c r="RN26" s="700"/>
      <c r="RO26" s="700"/>
      <c r="RP26" s="700"/>
      <c r="RQ26" s="700"/>
      <c r="RR26" s="700"/>
      <c r="RS26" s="700"/>
      <c r="RT26" s="700"/>
      <c r="RU26" s="700"/>
      <c r="RV26" s="700"/>
      <c r="RW26" s="700"/>
      <c r="RX26" s="700"/>
      <c r="RY26" s="700"/>
      <c r="RZ26" s="700"/>
      <c r="SA26" s="700"/>
      <c r="SB26" s="700"/>
      <c r="SC26" s="700"/>
      <c r="SD26" s="700"/>
      <c r="SE26" s="700"/>
      <c r="SF26" s="700"/>
      <c r="SG26" s="700"/>
      <c r="SH26" s="700"/>
      <c r="SI26" s="700"/>
      <c r="SJ26" s="700"/>
      <c r="SK26" s="700"/>
      <c r="SL26" s="700"/>
      <c r="SM26" s="700"/>
      <c r="SN26" s="700"/>
      <c r="SO26" s="700"/>
      <c r="SP26" s="700"/>
      <c r="SQ26" s="700"/>
      <c r="SR26" s="700"/>
      <c r="SS26" s="700"/>
      <c r="ST26" s="700"/>
      <c r="SU26" s="700"/>
      <c r="SV26" s="700"/>
      <c r="SW26" s="700"/>
      <c r="SX26" s="700"/>
      <c r="SY26" s="700"/>
      <c r="SZ26" s="700"/>
      <c r="TA26" s="700"/>
      <c r="TB26" s="700"/>
      <c r="TC26" s="700"/>
      <c r="TD26" s="700"/>
      <c r="TE26" s="700"/>
      <c r="TF26" s="700"/>
      <c r="TG26" s="700"/>
      <c r="TH26" s="700"/>
      <c r="TI26" s="700"/>
      <c r="TJ26" s="700"/>
      <c r="TK26" s="700"/>
      <c r="TL26" s="700"/>
      <c r="TM26" s="700"/>
      <c r="TN26" s="700"/>
      <c r="TO26" s="700"/>
      <c r="TP26" s="700"/>
      <c r="TQ26" s="700"/>
      <c r="TR26" s="700"/>
      <c r="TS26" s="700"/>
      <c r="TT26" s="700"/>
      <c r="TU26" s="700"/>
      <c r="TV26" s="700"/>
      <c r="TW26" s="700"/>
      <c r="TX26" s="700"/>
      <c r="TY26" s="700"/>
      <c r="TZ26" s="700"/>
      <c r="UA26" s="700"/>
      <c r="UB26" s="700"/>
      <c r="UC26" s="700"/>
      <c r="UD26" s="700"/>
      <c r="UE26" s="700"/>
      <c r="UF26" s="700"/>
      <c r="UG26" s="700"/>
      <c r="UH26" s="700"/>
      <c r="UI26" s="700"/>
      <c r="UJ26" s="700"/>
      <c r="UK26" s="700"/>
      <c r="UL26" s="700"/>
      <c r="UM26" s="700"/>
      <c r="UN26" s="700"/>
      <c r="UO26" s="700"/>
      <c r="UP26" s="700"/>
      <c r="UQ26" s="700"/>
      <c r="UR26" s="700"/>
      <c r="US26" s="700"/>
      <c r="UT26" s="700"/>
      <c r="UU26" s="700"/>
      <c r="UV26" s="700"/>
      <c r="UW26" s="700"/>
      <c r="UX26" s="700"/>
      <c r="UY26" s="700"/>
      <c r="UZ26" s="700"/>
      <c r="VA26" s="700"/>
      <c r="VB26" s="700"/>
      <c r="VC26" s="700"/>
      <c r="VD26" s="700"/>
      <c r="VE26" s="700"/>
      <c r="VF26" s="700"/>
      <c r="VG26" s="700"/>
      <c r="VH26" s="700"/>
      <c r="VI26" s="700"/>
      <c r="VJ26" s="700"/>
      <c r="VK26" s="700"/>
      <c r="VL26" s="700"/>
      <c r="VM26" s="700"/>
      <c r="VN26" s="700"/>
      <c r="VO26" s="700"/>
      <c r="VP26" s="700"/>
      <c r="VQ26" s="700"/>
      <c r="VR26" s="700"/>
      <c r="VS26" s="700"/>
      <c r="VT26" s="700"/>
      <c r="VU26" s="700"/>
      <c r="VV26" s="700"/>
      <c r="VW26" s="700"/>
      <c r="VX26" s="700"/>
      <c r="VY26" s="700"/>
      <c r="VZ26" s="700"/>
      <c r="WA26" s="700"/>
      <c r="WB26" s="700"/>
      <c r="WC26" s="700"/>
      <c r="WD26" s="700"/>
      <c r="WE26" s="700"/>
      <c r="WF26" s="700"/>
      <c r="WG26" s="700"/>
      <c r="WH26" s="700"/>
      <c r="WI26" s="700"/>
      <c r="WJ26" s="700"/>
      <c r="WK26" s="700"/>
      <c r="WL26" s="700"/>
      <c r="WM26" s="700"/>
      <c r="WN26" s="700"/>
      <c r="WO26" s="700"/>
      <c r="WP26" s="700"/>
      <c r="WQ26" s="700"/>
      <c r="WR26" s="700"/>
      <c r="WS26" s="700"/>
      <c r="WT26" s="700"/>
      <c r="WU26" s="700"/>
      <c r="WV26" s="700"/>
      <c r="WW26" s="700"/>
      <c r="WX26" s="700"/>
      <c r="WY26" s="700"/>
      <c r="WZ26" s="700"/>
      <c r="XA26" s="700"/>
      <c r="XB26" s="700"/>
      <c r="XC26" s="700"/>
      <c r="XD26" s="700"/>
      <c r="XE26" s="700"/>
      <c r="XF26" s="700"/>
      <c r="XG26" s="700"/>
      <c r="XH26" s="700"/>
      <c r="XI26" s="700"/>
      <c r="XJ26" s="700"/>
      <c r="XK26" s="700"/>
      <c r="XL26" s="700"/>
      <c r="XM26" s="700"/>
      <c r="XN26" s="700"/>
      <c r="XO26" s="700"/>
      <c r="XP26" s="700"/>
      <c r="XQ26" s="700"/>
      <c r="XR26" s="700"/>
      <c r="XS26" s="700"/>
      <c r="XT26" s="700"/>
      <c r="XU26" s="700"/>
      <c r="XV26" s="700"/>
      <c r="XW26" s="700"/>
      <c r="XX26" s="700"/>
      <c r="XY26" s="700"/>
      <c r="XZ26" s="700"/>
      <c r="YA26" s="700"/>
      <c r="YB26" s="700"/>
      <c r="YC26" s="700"/>
      <c r="YD26" s="700"/>
      <c r="YE26" s="700"/>
      <c r="YF26" s="700"/>
      <c r="YG26" s="700"/>
      <c r="YH26" s="700"/>
      <c r="YI26" s="700"/>
      <c r="YJ26" s="700"/>
      <c r="YK26" s="700"/>
      <c r="YL26" s="700"/>
      <c r="YM26" s="700"/>
      <c r="YN26" s="700"/>
      <c r="YO26" s="700"/>
      <c r="YP26" s="700"/>
      <c r="YQ26" s="700"/>
      <c r="YR26" s="700"/>
      <c r="YS26" s="700"/>
      <c r="YT26" s="700"/>
      <c r="YU26" s="700"/>
      <c r="YV26" s="700"/>
      <c r="YW26" s="700"/>
      <c r="YX26" s="700"/>
      <c r="YY26" s="700"/>
      <c r="YZ26" s="700"/>
      <c r="ZA26" s="700"/>
      <c r="ZB26" s="700"/>
      <c r="ZC26" s="700"/>
      <c r="ZD26" s="700"/>
      <c r="ZE26" s="700"/>
      <c r="ZF26" s="700"/>
      <c r="ZG26" s="700"/>
      <c r="ZH26" s="700"/>
      <c r="ZI26" s="700"/>
      <c r="ZJ26" s="700"/>
      <c r="ZK26" s="700"/>
      <c r="ZL26" s="700"/>
      <c r="ZM26" s="700"/>
      <c r="ZN26" s="700"/>
      <c r="ZO26" s="700"/>
      <c r="ZP26" s="700"/>
      <c r="ZQ26" s="700"/>
      <c r="ZR26" s="700"/>
      <c r="ZS26" s="700"/>
      <c r="ZT26" s="700"/>
      <c r="ZU26" s="700"/>
      <c r="ZV26" s="700"/>
      <c r="ZW26" s="700"/>
      <c r="ZX26" s="700"/>
      <c r="ZY26" s="700"/>
      <c r="ZZ26" s="700"/>
      <c r="AAA26" s="700"/>
      <c r="AAB26" s="700"/>
      <c r="AAC26" s="700"/>
      <c r="AAD26" s="700"/>
      <c r="AAE26" s="700"/>
      <c r="AAF26" s="700"/>
      <c r="AAG26" s="700"/>
      <c r="AAH26" s="700"/>
      <c r="AAI26" s="700"/>
      <c r="AAJ26" s="700"/>
      <c r="AAK26" s="700"/>
      <c r="AAL26" s="700"/>
      <c r="AAM26" s="700"/>
      <c r="AAN26" s="700"/>
      <c r="AAO26" s="700"/>
      <c r="AAP26" s="700"/>
      <c r="AAQ26" s="700"/>
      <c r="AAR26" s="700"/>
      <c r="AAS26" s="700"/>
      <c r="AAT26" s="700"/>
      <c r="AAU26" s="700"/>
      <c r="AAV26" s="700"/>
      <c r="AAW26" s="700"/>
      <c r="AAX26" s="700"/>
      <c r="AAY26" s="700"/>
      <c r="AAZ26" s="700"/>
      <c r="ABA26" s="700"/>
      <c r="ABB26" s="700"/>
      <c r="ABC26" s="700"/>
      <c r="ABD26" s="700"/>
      <c r="ABE26" s="700"/>
      <c r="ABF26" s="700"/>
      <c r="ABG26" s="700"/>
      <c r="ABH26" s="700"/>
      <c r="ABI26" s="700"/>
      <c r="ABJ26" s="700"/>
      <c r="ABK26" s="700"/>
      <c r="ABL26" s="700"/>
      <c r="ABM26" s="700"/>
      <c r="ABN26" s="700"/>
      <c r="ABO26" s="700"/>
      <c r="ABP26" s="700"/>
      <c r="ABQ26" s="700"/>
      <c r="ABR26" s="700"/>
      <c r="ABS26" s="700"/>
      <c r="ABT26" s="700"/>
      <c r="ABU26" s="700"/>
      <c r="ABV26" s="700"/>
      <c r="ABW26" s="700"/>
      <c r="ABX26" s="700"/>
      <c r="ABY26" s="700"/>
      <c r="ABZ26" s="700"/>
      <c r="ACA26" s="700"/>
      <c r="ACB26" s="700"/>
      <c r="ACC26" s="700"/>
      <c r="ACD26" s="700"/>
      <c r="ACE26" s="700"/>
      <c r="ACF26" s="700"/>
      <c r="ACG26" s="700"/>
      <c r="ACH26" s="700"/>
      <c r="ACI26" s="700"/>
      <c r="ACJ26" s="700"/>
      <c r="ACK26" s="700"/>
      <c r="ACL26" s="700"/>
      <c r="ACM26" s="700"/>
      <c r="ACN26" s="700"/>
      <c r="ACO26" s="700"/>
      <c r="ACP26" s="700"/>
      <c r="ACQ26" s="700"/>
      <c r="ACR26" s="700"/>
      <c r="ACS26" s="700"/>
      <c r="ACT26" s="700"/>
      <c r="ACU26" s="700"/>
      <c r="ACV26" s="700"/>
      <c r="ACW26" s="700"/>
      <c r="ACX26" s="700"/>
      <c r="ACY26" s="700"/>
      <c r="ACZ26" s="700"/>
      <c r="ADA26" s="700"/>
      <c r="ADB26" s="700"/>
      <c r="ADC26" s="700"/>
      <c r="ADD26" s="700"/>
      <c r="ADE26" s="700"/>
      <c r="ADF26" s="700"/>
      <c r="ADG26" s="700"/>
      <c r="ADH26" s="700"/>
      <c r="ADI26" s="700"/>
      <c r="ADJ26" s="700"/>
      <c r="ADK26" s="700"/>
      <c r="ADL26" s="700"/>
      <c r="ADM26" s="700"/>
      <c r="ADN26" s="700"/>
      <c r="ADO26" s="700"/>
      <c r="ADP26" s="700"/>
      <c r="ADQ26" s="700"/>
      <c r="ADR26" s="700"/>
      <c r="ADS26" s="700"/>
      <c r="ADT26" s="700"/>
      <c r="ADU26" s="700"/>
      <c r="ADV26" s="700"/>
      <c r="ADW26" s="700"/>
      <c r="ADX26" s="700"/>
      <c r="ADY26" s="700"/>
      <c r="ADZ26" s="700"/>
      <c r="AEA26" s="700"/>
      <c r="AEB26" s="700"/>
      <c r="AEC26" s="700"/>
      <c r="AED26" s="700"/>
      <c r="AEE26" s="700"/>
      <c r="AEF26" s="700"/>
      <c r="AEG26" s="700"/>
      <c r="AEH26" s="700"/>
      <c r="AEI26" s="700"/>
      <c r="AEJ26" s="700"/>
      <c r="AEK26" s="700"/>
      <c r="AEL26" s="700"/>
      <c r="AEM26" s="700"/>
      <c r="AEN26" s="700"/>
      <c r="AEO26" s="700"/>
      <c r="AEP26" s="700"/>
      <c r="AEQ26" s="700"/>
      <c r="AER26" s="700"/>
      <c r="AES26" s="700"/>
      <c r="AET26" s="700"/>
      <c r="AEU26" s="700"/>
      <c r="AEV26" s="700"/>
      <c r="AEW26" s="700"/>
      <c r="AEX26" s="700"/>
      <c r="AEY26" s="700"/>
      <c r="AEZ26" s="700"/>
      <c r="AFA26" s="700"/>
      <c r="AFB26" s="700"/>
      <c r="AFC26" s="700"/>
      <c r="AFD26" s="700"/>
      <c r="AFE26" s="700"/>
      <c r="AFF26" s="700"/>
      <c r="AFG26" s="700"/>
      <c r="AFH26" s="700"/>
      <c r="AFI26" s="700"/>
      <c r="AFJ26" s="700"/>
      <c r="AFK26" s="700"/>
      <c r="AFL26" s="700"/>
      <c r="AFM26" s="700"/>
      <c r="AFN26" s="700"/>
      <c r="AFO26" s="700"/>
      <c r="AFP26" s="700"/>
      <c r="AFQ26" s="700"/>
      <c r="AFR26" s="700"/>
      <c r="AFS26" s="700"/>
      <c r="AFT26" s="700"/>
      <c r="AFU26" s="700"/>
      <c r="AFV26" s="700"/>
      <c r="AFW26" s="700"/>
      <c r="AFX26" s="700"/>
      <c r="AFY26" s="700"/>
      <c r="AFZ26" s="700"/>
      <c r="AGA26" s="700"/>
      <c r="AGB26" s="700"/>
      <c r="AGC26" s="700"/>
      <c r="AGD26" s="700"/>
      <c r="AGE26" s="700"/>
      <c r="AGF26" s="700"/>
      <c r="AGG26" s="700"/>
      <c r="AGH26" s="700"/>
      <c r="AGI26" s="700"/>
      <c r="AGJ26" s="700"/>
      <c r="AGK26" s="700"/>
      <c r="AGL26" s="700"/>
      <c r="AGM26" s="700"/>
      <c r="AGN26" s="700"/>
      <c r="AGO26" s="700"/>
      <c r="AGP26" s="700"/>
      <c r="AGQ26" s="700"/>
      <c r="AGR26" s="700"/>
      <c r="AGS26" s="700"/>
      <c r="AGT26" s="700"/>
      <c r="AGU26" s="700"/>
      <c r="AGV26" s="700"/>
      <c r="AGW26" s="700"/>
      <c r="AGX26" s="700"/>
      <c r="AGY26" s="700"/>
      <c r="AGZ26" s="700"/>
      <c r="AHA26" s="700"/>
      <c r="AHB26" s="700"/>
      <c r="AHC26" s="700"/>
      <c r="AHD26" s="700"/>
      <c r="AHE26" s="700"/>
      <c r="AHF26" s="700"/>
      <c r="AHG26" s="700"/>
      <c r="AHH26" s="700"/>
      <c r="AHI26" s="700"/>
      <c r="AHJ26" s="700"/>
      <c r="AHK26" s="700"/>
      <c r="AHL26" s="700"/>
      <c r="AHM26" s="700"/>
      <c r="AHN26" s="700"/>
      <c r="AHO26" s="700"/>
      <c r="AHP26" s="700"/>
      <c r="AHQ26" s="700"/>
      <c r="AHR26" s="700"/>
      <c r="AHS26" s="700"/>
      <c r="AHT26" s="700"/>
      <c r="AHU26" s="700"/>
      <c r="AHV26" s="700"/>
      <c r="AHW26" s="700"/>
      <c r="AHX26" s="700"/>
      <c r="AHY26" s="700"/>
      <c r="AHZ26" s="700"/>
      <c r="AIA26" s="700"/>
      <c r="AIB26" s="700"/>
      <c r="AIC26" s="700"/>
      <c r="AID26" s="700"/>
      <c r="AIE26" s="700"/>
      <c r="AIF26" s="700"/>
      <c r="AIG26" s="700"/>
      <c r="AIH26" s="700"/>
      <c r="AII26" s="700"/>
      <c r="AIJ26" s="700"/>
      <c r="AIK26" s="700"/>
      <c r="AIL26" s="700"/>
      <c r="AIM26" s="700"/>
      <c r="AIN26" s="700"/>
      <c r="AIO26" s="700"/>
      <c r="AIP26" s="700"/>
      <c r="AIQ26" s="700"/>
      <c r="AIR26" s="700"/>
      <c r="AIS26" s="700"/>
      <c r="AIT26" s="700"/>
      <c r="AIU26" s="700"/>
      <c r="AIV26" s="700"/>
      <c r="AIW26" s="700"/>
      <c r="AIX26" s="700"/>
      <c r="AIY26" s="700"/>
      <c r="AIZ26" s="700"/>
      <c r="AJA26" s="700"/>
      <c r="AJB26" s="700"/>
      <c r="AJC26" s="700"/>
      <c r="AJD26" s="700"/>
      <c r="AJE26" s="700"/>
      <c r="AJF26" s="700"/>
      <c r="AJG26" s="700"/>
      <c r="AJH26" s="700"/>
      <c r="AJI26" s="700"/>
      <c r="AJJ26" s="700"/>
      <c r="AJK26" s="700"/>
      <c r="AJL26" s="700"/>
      <c r="AJM26" s="700"/>
      <c r="AJN26" s="700"/>
      <c r="AJO26" s="700"/>
      <c r="AJP26" s="700"/>
      <c r="AJQ26" s="700"/>
      <c r="AJR26" s="700"/>
      <c r="AJS26" s="700"/>
      <c r="AJT26" s="700"/>
      <c r="AJU26" s="700"/>
      <c r="AJV26" s="700"/>
      <c r="AJW26" s="700"/>
      <c r="AJX26" s="700"/>
      <c r="AJY26" s="700"/>
      <c r="AJZ26" s="700"/>
      <c r="AKA26" s="700"/>
      <c r="AKB26" s="700"/>
      <c r="AKC26" s="700"/>
      <c r="AKD26" s="700"/>
      <c r="AKE26" s="700"/>
      <c r="AKF26" s="700"/>
      <c r="AKG26" s="700"/>
      <c r="AKH26" s="700"/>
      <c r="AKI26" s="700"/>
      <c r="AKJ26" s="700"/>
      <c r="AKK26" s="700"/>
      <c r="AKL26" s="700"/>
      <c r="AKM26" s="700"/>
      <c r="AKN26" s="700"/>
      <c r="AKO26" s="700"/>
      <c r="AKP26" s="700"/>
      <c r="AKQ26" s="700"/>
      <c r="AKR26" s="700"/>
      <c r="AKS26" s="700"/>
      <c r="AKT26" s="700"/>
      <c r="AKU26" s="700"/>
      <c r="AKV26" s="700"/>
      <c r="AKW26" s="700"/>
      <c r="AKX26" s="700"/>
      <c r="AKY26" s="700"/>
      <c r="AKZ26" s="700"/>
      <c r="ALA26" s="700"/>
      <c r="ALB26" s="700"/>
      <c r="ALC26" s="700"/>
      <c r="ALD26" s="700"/>
      <c r="ALE26" s="700"/>
      <c r="ALF26" s="700"/>
      <c r="ALG26" s="700"/>
      <c r="ALH26" s="700"/>
      <c r="ALI26" s="700"/>
      <c r="ALJ26" s="700"/>
      <c r="ALK26" s="700"/>
      <c r="ALL26" s="700"/>
      <c r="ALM26" s="700"/>
      <c r="ALN26" s="700"/>
      <c r="ALO26" s="700"/>
      <c r="ALP26" s="700"/>
      <c r="ALQ26" s="700"/>
      <c r="ALR26" s="700"/>
      <c r="ALS26" s="700"/>
      <c r="ALT26" s="700"/>
      <c r="ALU26" s="700"/>
      <c r="ALV26" s="700"/>
      <c r="ALW26" s="700"/>
      <c r="ALX26" s="700"/>
      <c r="ALY26" s="700"/>
      <c r="ALZ26" s="700"/>
      <c r="AMA26" s="700"/>
      <c r="AMB26" s="700"/>
      <c r="AMC26" s="700"/>
      <c r="AMD26" s="700"/>
      <c r="AME26" s="700"/>
      <c r="AMF26" s="700"/>
      <c r="AMG26" s="700"/>
      <c r="AMH26" s="700"/>
      <c r="AMI26" s="700"/>
      <c r="AMJ26" s="700"/>
      <c r="AMK26" s="700"/>
      <c r="AML26" s="700"/>
      <c r="AMM26" s="700"/>
      <c r="AMN26" s="700"/>
      <c r="AMO26" s="700"/>
      <c r="AMP26" s="700"/>
      <c r="AMQ26" s="700"/>
      <c r="AMR26" s="700"/>
      <c r="AMS26" s="700"/>
      <c r="AMT26" s="700"/>
      <c r="AMU26" s="700"/>
      <c r="AMV26" s="700"/>
      <c r="AMW26" s="700"/>
      <c r="AMX26" s="700"/>
      <c r="AMY26" s="700"/>
      <c r="AMZ26" s="700"/>
      <c r="ANA26" s="700"/>
      <c r="ANB26" s="700"/>
      <c r="ANC26" s="700"/>
      <c r="AND26" s="700"/>
      <c r="ANE26" s="700"/>
      <c r="ANF26" s="700"/>
      <c r="ANG26" s="700"/>
      <c r="ANH26" s="700"/>
      <c r="ANI26" s="700"/>
      <c r="ANJ26" s="700"/>
      <c r="ANK26" s="700"/>
      <c r="ANL26" s="700"/>
      <c r="ANM26" s="700"/>
      <c r="ANN26" s="700"/>
      <c r="ANO26" s="700"/>
      <c r="ANP26" s="700"/>
      <c r="ANQ26" s="700"/>
      <c r="ANR26" s="700"/>
      <c r="ANS26" s="700"/>
      <c r="ANT26" s="700"/>
      <c r="ANU26" s="700"/>
      <c r="ANV26" s="700"/>
      <c r="ANW26" s="700"/>
      <c r="ANX26" s="700"/>
      <c r="ANY26" s="700"/>
      <c r="ANZ26" s="700"/>
      <c r="AOA26" s="700"/>
      <c r="AOB26" s="700"/>
      <c r="AOC26" s="700"/>
      <c r="AOD26" s="700"/>
      <c r="AOE26" s="700"/>
      <c r="AOF26" s="700"/>
      <c r="AOG26" s="700"/>
      <c r="AOH26" s="700"/>
      <c r="AOI26" s="700"/>
      <c r="AOJ26" s="700"/>
      <c r="AOK26" s="700"/>
      <c r="AOL26" s="700"/>
      <c r="AOM26" s="700"/>
      <c r="AON26" s="700"/>
      <c r="AOO26" s="700"/>
      <c r="AOP26" s="700"/>
      <c r="AOQ26" s="700"/>
      <c r="AOR26" s="700"/>
      <c r="AOS26" s="700"/>
      <c r="AOT26" s="700"/>
      <c r="AOU26" s="700"/>
      <c r="AOV26" s="700"/>
      <c r="AOW26" s="700"/>
      <c r="AOX26" s="700"/>
      <c r="AOY26" s="700"/>
      <c r="AOZ26" s="700"/>
      <c r="APA26" s="700"/>
      <c r="APB26" s="700"/>
      <c r="APC26" s="700"/>
      <c r="APD26" s="700"/>
      <c r="APE26" s="700"/>
      <c r="APF26" s="700"/>
      <c r="APG26" s="700"/>
      <c r="APH26" s="700"/>
      <c r="API26" s="700"/>
      <c r="APJ26" s="700"/>
      <c r="APK26" s="700"/>
      <c r="APL26" s="700"/>
      <c r="APM26" s="700"/>
      <c r="APN26" s="700"/>
      <c r="APO26" s="700"/>
      <c r="APP26" s="700"/>
      <c r="APQ26" s="700"/>
      <c r="APR26" s="700"/>
      <c r="APS26" s="700"/>
      <c r="APT26" s="700"/>
      <c r="APU26" s="700"/>
      <c r="APV26" s="700"/>
      <c r="APW26" s="700"/>
      <c r="APX26" s="700"/>
      <c r="APY26" s="700"/>
      <c r="APZ26" s="700"/>
      <c r="AQA26" s="700"/>
      <c r="AQB26" s="700"/>
      <c r="AQC26" s="700"/>
      <c r="AQD26" s="700"/>
      <c r="AQE26" s="700"/>
      <c r="AQF26" s="700"/>
      <c r="AQG26" s="700"/>
      <c r="AQH26" s="700"/>
      <c r="AQI26" s="700"/>
      <c r="AQJ26" s="700"/>
      <c r="AQK26" s="700"/>
      <c r="AQL26" s="700"/>
      <c r="AQM26" s="700"/>
      <c r="AQN26" s="700"/>
      <c r="AQO26" s="700"/>
      <c r="AQP26" s="700"/>
      <c r="AQQ26" s="700"/>
      <c r="AQR26" s="700"/>
      <c r="AQS26" s="700"/>
      <c r="AQT26" s="700"/>
      <c r="AQU26" s="700"/>
      <c r="AQV26" s="700"/>
      <c r="AQW26" s="700"/>
      <c r="AQX26" s="700"/>
      <c r="AQY26" s="700"/>
      <c r="AQZ26" s="700"/>
      <c r="ARA26" s="700"/>
      <c r="ARB26" s="700"/>
      <c r="ARC26" s="700"/>
      <c r="ARD26" s="700"/>
      <c r="ARE26" s="700"/>
      <c r="ARF26" s="700"/>
      <c r="ARG26" s="700"/>
      <c r="ARH26" s="700"/>
      <c r="ARI26" s="700"/>
      <c r="ARJ26" s="700"/>
      <c r="ARK26" s="700"/>
      <c r="ARL26" s="700"/>
      <c r="ARM26" s="700"/>
      <c r="ARN26" s="700"/>
      <c r="ARO26" s="700"/>
      <c r="ARP26" s="700"/>
      <c r="ARQ26" s="700"/>
      <c r="ARR26" s="700"/>
      <c r="ARS26" s="700"/>
      <c r="ART26" s="700"/>
      <c r="ARU26" s="700"/>
      <c r="ARV26" s="700"/>
      <c r="ARW26" s="700"/>
      <c r="ARX26" s="700"/>
      <c r="ARY26" s="700"/>
      <c r="ARZ26" s="700"/>
      <c r="ASA26" s="700"/>
      <c r="ASB26" s="700"/>
      <c r="ASC26" s="700"/>
      <c r="ASD26" s="700"/>
      <c r="ASE26" s="700"/>
      <c r="ASF26" s="700"/>
      <c r="ASG26" s="700"/>
      <c r="ASH26" s="700"/>
      <c r="ASI26" s="700"/>
      <c r="ASJ26" s="700"/>
      <c r="ASK26" s="700"/>
      <c r="ASL26" s="700"/>
      <c r="ASM26" s="700"/>
      <c r="ASN26" s="700"/>
      <c r="ASO26" s="700"/>
      <c r="ASP26" s="700"/>
      <c r="ASQ26" s="700"/>
      <c r="ASR26" s="700"/>
      <c r="ASS26" s="700"/>
      <c r="AST26" s="700"/>
      <c r="ASU26" s="700"/>
      <c r="ASV26" s="700"/>
      <c r="ASW26" s="700"/>
      <c r="ASX26" s="700"/>
      <c r="ASY26" s="700"/>
      <c r="ASZ26" s="700"/>
      <c r="ATA26" s="700"/>
      <c r="ATB26" s="700"/>
      <c r="ATC26" s="700"/>
      <c r="ATD26" s="700"/>
      <c r="ATE26" s="700"/>
      <c r="ATF26" s="700"/>
      <c r="ATG26" s="700"/>
      <c r="ATH26" s="700"/>
      <c r="ATI26" s="700"/>
      <c r="ATJ26" s="700"/>
      <c r="ATK26" s="700"/>
      <c r="ATL26" s="700"/>
      <c r="ATM26" s="700"/>
      <c r="ATN26" s="700"/>
      <c r="ATO26" s="700"/>
      <c r="ATP26" s="700"/>
      <c r="ATQ26" s="700"/>
      <c r="ATR26" s="700"/>
      <c r="ATS26" s="700"/>
      <c r="ATT26" s="700"/>
      <c r="ATU26" s="700"/>
      <c r="ATV26" s="700"/>
      <c r="ATW26" s="700"/>
      <c r="ATX26" s="700"/>
      <c r="ATY26" s="700"/>
      <c r="ATZ26" s="700"/>
      <c r="AUA26" s="700"/>
      <c r="AUB26" s="700"/>
      <c r="AUC26" s="700"/>
      <c r="AUD26" s="700"/>
      <c r="AUE26" s="700"/>
      <c r="AUF26" s="700"/>
      <c r="AUG26" s="700"/>
      <c r="AUH26" s="700"/>
      <c r="AUI26" s="700"/>
      <c r="AUJ26" s="700"/>
      <c r="AUK26" s="700"/>
      <c r="AUL26" s="700"/>
      <c r="AUM26" s="700"/>
      <c r="AUN26" s="700"/>
      <c r="AUO26" s="700"/>
      <c r="AUP26" s="700"/>
      <c r="AUQ26" s="700"/>
      <c r="AUR26" s="700"/>
      <c r="AUS26" s="700"/>
      <c r="AUT26" s="700"/>
      <c r="AUU26" s="700"/>
      <c r="AUV26" s="700"/>
      <c r="AUW26" s="700"/>
      <c r="AUX26" s="700"/>
      <c r="AUY26" s="700"/>
      <c r="AUZ26" s="700"/>
      <c r="AVA26" s="700"/>
      <c r="AVB26" s="700"/>
      <c r="AVC26" s="700"/>
      <c r="AVD26" s="700"/>
      <c r="AVE26" s="700"/>
      <c r="AVF26" s="700"/>
      <c r="AVG26" s="700"/>
      <c r="AVH26" s="700"/>
      <c r="AVI26" s="700"/>
      <c r="AVJ26" s="700"/>
      <c r="AVK26" s="700"/>
      <c r="AVL26" s="700"/>
      <c r="AVM26" s="700"/>
      <c r="AVN26" s="700"/>
      <c r="AVO26" s="700"/>
      <c r="AVP26" s="700"/>
      <c r="AVQ26" s="700"/>
      <c r="AVR26" s="700"/>
      <c r="AVS26" s="700"/>
      <c r="AVT26" s="700"/>
      <c r="AVU26" s="700"/>
      <c r="AVV26" s="700"/>
      <c r="AVW26" s="700"/>
      <c r="AVX26" s="700"/>
      <c r="AVY26" s="700"/>
      <c r="AVZ26" s="700"/>
      <c r="AWA26" s="700"/>
      <c r="AWB26" s="700"/>
      <c r="AWC26" s="700"/>
      <c r="AWD26" s="700"/>
      <c r="AWE26" s="700"/>
      <c r="AWF26" s="700"/>
      <c r="AWG26" s="700"/>
      <c r="AWH26" s="700"/>
      <c r="AWI26" s="700"/>
      <c r="AWJ26" s="700"/>
      <c r="AWK26" s="700"/>
      <c r="AWL26" s="700"/>
      <c r="AWM26" s="700"/>
      <c r="AWN26" s="700"/>
      <c r="AWO26" s="700"/>
      <c r="AWP26" s="700"/>
      <c r="AWQ26" s="700"/>
      <c r="AWR26" s="700"/>
      <c r="AWS26" s="700"/>
      <c r="AWT26" s="700"/>
      <c r="AWU26" s="700"/>
      <c r="AWV26" s="700"/>
      <c r="AWW26" s="700"/>
      <c r="AWX26" s="700"/>
      <c r="AWY26" s="700"/>
      <c r="AWZ26" s="700"/>
      <c r="AXA26" s="700"/>
      <c r="AXB26" s="700"/>
      <c r="AXC26" s="700"/>
      <c r="AXD26" s="700"/>
      <c r="AXE26" s="700"/>
      <c r="AXF26" s="700"/>
      <c r="AXG26" s="700"/>
      <c r="AXH26" s="700"/>
      <c r="AXI26" s="700"/>
      <c r="AXJ26" s="700"/>
      <c r="AXK26" s="700"/>
      <c r="AXL26" s="700"/>
      <c r="AXM26" s="700"/>
      <c r="AXN26" s="700"/>
      <c r="AXO26" s="700"/>
      <c r="AXP26" s="700"/>
      <c r="AXQ26" s="700"/>
      <c r="AXR26" s="700"/>
      <c r="AXS26" s="700"/>
      <c r="AXT26" s="700"/>
      <c r="AXU26" s="700"/>
      <c r="AXV26" s="700"/>
      <c r="AXW26" s="700"/>
      <c r="AXX26" s="700"/>
      <c r="AXY26" s="700"/>
      <c r="AXZ26" s="700"/>
      <c r="AYA26" s="700"/>
      <c r="AYB26" s="700"/>
      <c r="AYC26" s="700"/>
      <c r="AYD26" s="700"/>
      <c r="AYE26" s="700"/>
      <c r="AYF26" s="700"/>
      <c r="AYG26" s="700"/>
      <c r="AYH26" s="700"/>
      <c r="AYI26" s="700"/>
      <c r="AYJ26" s="700"/>
      <c r="AYK26" s="700"/>
      <c r="AYL26" s="700"/>
      <c r="AYM26" s="700"/>
      <c r="AYN26" s="700"/>
      <c r="AYO26" s="700"/>
      <c r="AYP26" s="700"/>
      <c r="AYQ26" s="700"/>
      <c r="AYR26" s="700"/>
      <c r="AYS26" s="700"/>
      <c r="AYT26" s="700"/>
      <c r="AYU26" s="700"/>
      <c r="AYV26" s="700"/>
      <c r="AYW26" s="700"/>
      <c r="AYX26" s="700"/>
      <c r="AYY26" s="700"/>
      <c r="AYZ26" s="700"/>
      <c r="AZA26" s="700"/>
      <c r="AZB26" s="700"/>
      <c r="AZC26" s="700"/>
      <c r="AZD26" s="700"/>
      <c r="AZE26" s="700"/>
      <c r="AZF26" s="700"/>
      <c r="AZG26" s="700"/>
      <c r="AZH26" s="700"/>
      <c r="AZI26" s="700"/>
      <c r="AZJ26" s="700"/>
      <c r="AZK26" s="700"/>
      <c r="AZL26" s="700"/>
      <c r="AZM26" s="700"/>
      <c r="AZN26" s="700"/>
      <c r="AZO26" s="700"/>
      <c r="AZP26" s="700"/>
      <c r="AZQ26" s="700"/>
      <c r="AZR26" s="700"/>
      <c r="AZS26" s="700"/>
      <c r="AZT26" s="700"/>
      <c r="AZU26" s="700"/>
      <c r="AZV26" s="700"/>
      <c r="AZW26" s="700"/>
      <c r="AZX26" s="700"/>
      <c r="AZY26" s="700"/>
      <c r="AZZ26" s="700"/>
      <c r="BAA26" s="700"/>
      <c r="BAB26" s="700"/>
      <c r="BAC26" s="700"/>
      <c r="BAD26" s="700"/>
      <c r="BAE26" s="700"/>
      <c r="BAF26" s="700"/>
      <c r="BAG26" s="700"/>
      <c r="BAH26" s="700"/>
      <c r="BAI26" s="700"/>
      <c r="BAJ26" s="700"/>
      <c r="BAK26" s="700"/>
      <c r="BAL26" s="700"/>
      <c r="BAM26" s="700"/>
      <c r="BAN26" s="700"/>
      <c r="BAO26" s="700"/>
      <c r="BAP26" s="700"/>
      <c r="BAQ26" s="700"/>
      <c r="BAR26" s="700"/>
      <c r="BAS26" s="700"/>
      <c r="BAT26" s="700"/>
      <c r="BAU26" s="700"/>
      <c r="BAV26" s="700"/>
      <c r="BAW26" s="700"/>
      <c r="BAX26" s="700"/>
      <c r="BAY26" s="700"/>
      <c r="BAZ26" s="700"/>
      <c r="BBA26" s="700"/>
      <c r="BBB26" s="700"/>
      <c r="BBC26" s="700"/>
      <c r="BBD26" s="700"/>
      <c r="BBE26" s="700"/>
      <c r="BBF26" s="700"/>
      <c r="BBG26" s="700"/>
      <c r="BBH26" s="700"/>
      <c r="BBI26" s="700"/>
      <c r="BBJ26" s="700"/>
      <c r="BBK26" s="700"/>
      <c r="BBL26" s="700"/>
      <c r="BBM26" s="700"/>
      <c r="BBN26" s="700"/>
      <c r="BBO26" s="700"/>
      <c r="BBP26" s="700"/>
      <c r="BBQ26" s="700"/>
      <c r="BBR26" s="700"/>
      <c r="BBS26" s="700"/>
      <c r="BBT26" s="700"/>
      <c r="BBU26" s="700"/>
      <c r="BBV26" s="700"/>
      <c r="BBW26" s="700"/>
      <c r="BBX26" s="700"/>
      <c r="BBY26" s="700"/>
      <c r="BBZ26" s="700"/>
      <c r="BCA26" s="700"/>
      <c r="BCB26" s="700"/>
      <c r="BCC26" s="700"/>
      <c r="BCD26" s="700"/>
      <c r="BCE26" s="700"/>
      <c r="BCF26" s="700"/>
      <c r="BCG26" s="700"/>
      <c r="BCH26" s="700"/>
      <c r="BCI26" s="700"/>
      <c r="BCJ26" s="700"/>
      <c r="BCK26" s="700"/>
      <c r="BCL26" s="700"/>
      <c r="BCM26" s="700"/>
      <c r="BCN26" s="700"/>
      <c r="BCO26" s="700"/>
      <c r="BCP26" s="700"/>
      <c r="BCQ26" s="700"/>
      <c r="BCR26" s="700"/>
      <c r="BCS26" s="700"/>
      <c r="BCT26" s="700"/>
      <c r="BCU26" s="700"/>
      <c r="BCV26" s="700"/>
      <c r="BCW26" s="700"/>
      <c r="BCX26" s="700"/>
      <c r="BCY26" s="700"/>
      <c r="BCZ26" s="700"/>
      <c r="BDA26" s="700"/>
      <c r="BDB26" s="700"/>
      <c r="BDC26" s="700"/>
      <c r="BDD26" s="700"/>
      <c r="BDE26" s="700"/>
      <c r="BDF26" s="700"/>
      <c r="BDG26" s="700"/>
      <c r="BDH26" s="700"/>
      <c r="BDI26" s="700"/>
      <c r="BDJ26" s="700"/>
      <c r="BDK26" s="700"/>
      <c r="BDL26" s="700"/>
      <c r="BDM26" s="700"/>
      <c r="BDN26" s="700"/>
      <c r="BDO26" s="700"/>
      <c r="BDP26" s="700"/>
      <c r="BDQ26" s="700"/>
      <c r="BDR26" s="700"/>
      <c r="BDS26" s="700"/>
      <c r="BDT26" s="700"/>
      <c r="BDU26" s="700"/>
      <c r="BDV26" s="700"/>
      <c r="BDW26" s="700"/>
      <c r="BDX26" s="700"/>
      <c r="BDY26" s="700"/>
      <c r="BDZ26" s="700"/>
      <c r="BEA26" s="700"/>
      <c r="BEB26" s="700"/>
      <c r="BEC26" s="700"/>
      <c r="BED26" s="700"/>
      <c r="BEE26" s="700"/>
      <c r="BEF26" s="700"/>
      <c r="BEG26" s="700"/>
      <c r="BEH26" s="700"/>
      <c r="BEI26" s="700"/>
      <c r="BEJ26" s="700"/>
      <c r="BEK26" s="700"/>
      <c r="BEL26" s="700"/>
      <c r="BEM26" s="700"/>
      <c r="BEN26" s="700"/>
      <c r="BEO26" s="700"/>
      <c r="BEP26" s="700"/>
      <c r="BEQ26" s="700"/>
      <c r="BER26" s="700"/>
      <c r="BES26" s="700"/>
      <c r="BET26" s="700"/>
      <c r="BEU26" s="700"/>
      <c r="BEV26" s="700"/>
      <c r="BEW26" s="700"/>
      <c r="BEX26" s="700"/>
      <c r="BEY26" s="700"/>
      <c r="BEZ26" s="700"/>
      <c r="BFA26" s="700"/>
      <c r="BFB26" s="700"/>
      <c r="BFC26" s="700"/>
      <c r="BFD26" s="700"/>
      <c r="BFE26" s="700"/>
      <c r="BFF26" s="700"/>
      <c r="BFG26" s="700"/>
      <c r="BFH26" s="700"/>
      <c r="BFI26" s="700"/>
      <c r="BFJ26" s="700"/>
      <c r="BFK26" s="700"/>
      <c r="BFL26" s="700"/>
      <c r="BFM26" s="700"/>
      <c r="BFN26" s="700"/>
      <c r="BFO26" s="700"/>
      <c r="BFP26" s="700"/>
      <c r="BFQ26" s="700"/>
      <c r="BFR26" s="700"/>
      <c r="BFS26" s="700"/>
      <c r="BFT26" s="700"/>
      <c r="BFU26" s="700"/>
      <c r="BFV26" s="700"/>
      <c r="BFW26" s="700"/>
      <c r="BFX26" s="700"/>
      <c r="BFY26" s="700"/>
      <c r="BFZ26" s="700"/>
      <c r="BGA26" s="700"/>
      <c r="BGB26" s="700"/>
      <c r="BGC26" s="700"/>
      <c r="BGD26" s="700"/>
      <c r="BGE26" s="700"/>
      <c r="BGF26" s="700"/>
      <c r="BGG26" s="700"/>
      <c r="BGH26" s="700"/>
      <c r="BGI26" s="700"/>
      <c r="BGJ26" s="700"/>
      <c r="BGK26" s="700"/>
      <c r="BGL26" s="700"/>
      <c r="BGM26" s="700"/>
      <c r="BGN26" s="700"/>
      <c r="BGO26" s="700"/>
      <c r="BGP26" s="700"/>
      <c r="BGQ26" s="700"/>
      <c r="BGR26" s="700"/>
      <c r="BGS26" s="700"/>
      <c r="BGT26" s="700"/>
      <c r="BGU26" s="700"/>
      <c r="BGV26" s="700"/>
      <c r="BGW26" s="700"/>
      <c r="BGX26" s="700"/>
      <c r="BGY26" s="700"/>
      <c r="BGZ26" s="700"/>
      <c r="BHA26" s="700"/>
      <c r="BHB26" s="700"/>
      <c r="BHC26" s="700"/>
      <c r="BHD26" s="700"/>
      <c r="BHE26" s="700"/>
      <c r="BHF26" s="700"/>
      <c r="BHG26" s="700"/>
      <c r="BHH26" s="700"/>
      <c r="BHI26" s="700"/>
      <c r="BHJ26" s="700"/>
      <c r="BHK26" s="700"/>
      <c r="BHL26" s="700"/>
      <c r="BHM26" s="700"/>
      <c r="BHN26" s="700"/>
      <c r="BHO26" s="700"/>
      <c r="BHP26" s="700"/>
      <c r="BHQ26" s="700"/>
      <c r="BHR26" s="700"/>
      <c r="BHS26" s="700"/>
      <c r="BHT26" s="700"/>
      <c r="BHU26" s="700"/>
      <c r="BHV26" s="700"/>
      <c r="BHW26" s="700"/>
      <c r="BHX26" s="700"/>
      <c r="BHY26" s="700"/>
      <c r="BHZ26" s="700"/>
      <c r="BIA26" s="700"/>
      <c r="BIB26" s="700"/>
      <c r="BIC26" s="700"/>
      <c r="BID26" s="700"/>
      <c r="BIE26" s="700"/>
      <c r="BIF26" s="700"/>
      <c r="BIG26" s="700"/>
      <c r="BIH26" s="700"/>
      <c r="BII26" s="700"/>
      <c r="BIJ26" s="700"/>
      <c r="BIK26" s="700"/>
      <c r="BIL26" s="700"/>
      <c r="BIM26" s="700"/>
      <c r="BIN26" s="700"/>
      <c r="BIO26" s="700"/>
      <c r="BIP26" s="700"/>
      <c r="BIQ26" s="700"/>
      <c r="BIR26" s="700"/>
      <c r="BIS26" s="700"/>
      <c r="BIT26" s="700"/>
      <c r="BIU26" s="700"/>
      <c r="BIV26" s="700"/>
      <c r="BIW26" s="700"/>
      <c r="BIX26" s="700"/>
      <c r="BIY26" s="700"/>
      <c r="BIZ26" s="700"/>
      <c r="BJA26" s="700"/>
      <c r="BJB26" s="700"/>
      <c r="BJC26" s="700"/>
      <c r="BJD26" s="700"/>
      <c r="BJE26" s="700"/>
      <c r="BJF26" s="700"/>
      <c r="BJG26" s="700"/>
      <c r="BJH26" s="700"/>
      <c r="BJI26" s="700"/>
      <c r="BJJ26" s="700"/>
      <c r="BJK26" s="700"/>
      <c r="BJL26" s="700"/>
      <c r="BJM26" s="700"/>
      <c r="BJN26" s="700"/>
      <c r="BJO26" s="700"/>
      <c r="BJP26" s="700"/>
      <c r="BJQ26" s="700"/>
      <c r="BJR26" s="700"/>
      <c r="BJS26" s="700"/>
      <c r="BJT26" s="700"/>
      <c r="BJU26" s="700"/>
      <c r="BJV26" s="700"/>
      <c r="BJW26" s="700"/>
      <c r="BJX26" s="700"/>
      <c r="BJY26" s="700"/>
      <c r="BJZ26" s="700"/>
      <c r="BKA26" s="700"/>
      <c r="BKB26" s="700"/>
      <c r="BKC26" s="700"/>
      <c r="BKD26" s="700"/>
      <c r="BKE26" s="700"/>
      <c r="BKF26" s="700"/>
      <c r="BKG26" s="700"/>
      <c r="BKH26" s="700"/>
      <c r="BKI26" s="700"/>
      <c r="BKJ26" s="700"/>
      <c r="BKK26" s="700"/>
      <c r="BKL26" s="700"/>
      <c r="BKM26" s="700"/>
      <c r="BKN26" s="700"/>
      <c r="BKO26" s="700"/>
      <c r="BKP26" s="700"/>
      <c r="BKQ26" s="700"/>
      <c r="BKR26" s="700"/>
      <c r="BKS26" s="700"/>
      <c r="BKT26" s="700"/>
      <c r="BKU26" s="700"/>
      <c r="BKV26" s="700"/>
      <c r="BKW26" s="700"/>
      <c r="BKX26" s="700"/>
      <c r="BKY26" s="700"/>
      <c r="BKZ26" s="700"/>
      <c r="BLA26" s="700"/>
      <c r="BLB26" s="700"/>
      <c r="BLC26" s="700"/>
      <c r="BLD26" s="700"/>
      <c r="BLE26" s="700"/>
      <c r="BLF26" s="700"/>
      <c r="BLG26" s="700"/>
      <c r="BLH26" s="700"/>
      <c r="BLI26" s="700"/>
      <c r="BLJ26" s="700"/>
      <c r="BLK26" s="700"/>
      <c r="BLL26" s="700"/>
      <c r="BLM26" s="700"/>
      <c r="BLN26" s="700"/>
      <c r="BLO26" s="700"/>
      <c r="BLP26" s="700"/>
      <c r="BLQ26" s="700"/>
      <c r="BLR26" s="700"/>
      <c r="BLS26" s="700"/>
      <c r="BLT26" s="700"/>
      <c r="BLU26" s="700"/>
      <c r="BLV26" s="700"/>
      <c r="BLW26" s="700"/>
      <c r="BLX26" s="700"/>
      <c r="BLY26" s="700"/>
      <c r="BLZ26" s="700"/>
      <c r="BMA26" s="700"/>
      <c r="BMB26" s="700"/>
      <c r="BMC26" s="700"/>
      <c r="BMD26" s="700"/>
      <c r="BME26" s="700"/>
      <c r="BMF26" s="700"/>
      <c r="BMG26" s="700"/>
      <c r="BMH26" s="700"/>
      <c r="BMI26" s="700"/>
      <c r="BMJ26" s="700"/>
      <c r="BMK26" s="700"/>
      <c r="BML26" s="700"/>
      <c r="BMM26" s="700"/>
      <c r="BMN26" s="700"/>
      <c r="BMO26" s="700"/>
      <c r="BMP26" s="700"/>
      <c r="BMQ26" s="700"/>
      <c r="BMR26" s="700"/>
      <c r="BMS26" s="700"/>
      <c r="BMT26" s="700"/>
      <c r="BMU26" s="700"/>
      <c r="BMV26" s="700"/>
      <c r="BMW26" s="700"/>
      <c r="BMX26" s="700"/>
      <c r="BMY26" s="700"/>
      <c r="BMZ26" s="700"/>
      <c r="BNA26" s="700"/>
      <c r="BNB26" s="700"/>
      <c r="BNC26" s="700"/>
      <c r="BND26" s="700"/>
      <c r="BNE26" s="700"/>
      <c r="BNF26" s="700"/>
      <c r="BNG26" s="700"/>
      <c r="BNH26" s="700"/>
      <c r="BNI26" s="700"/>
      <c r="BNJ26" s="700"/>
      <c r="BNK26" s="700"/>
      <c r="BNL26" s="700"/>
      <c r="BNM26" s="700"/>
      <c r="BNN26" s="700"/>
      <c r="BNO26" s="700"/>
      <c r="BNP26" s="700"/>
      <c r="BNQ26" s="700"/>
      <c r="BNR26" s="700"/>
      <c r="BNS26" s="700"/>
      <c r="BNT26" s="700"/>
      <c r="BNU26" s="700"/>
      <c r="BNV26" s="700"/>
      <c r="BNW26" s="700"/>
      <c r="BNX26" s="700"/>
      <c r="BNY26" s="700"/>
      <c r="BNZ26" s="700"/>
      <c r="BOA26" s="700"/>
      <c r="BOB26" s="700"/>
      <c r="BOC26" s="700"/>
      <c r="BOD26" s="700"/>
      <c r="BOE26" s="700"/>
      <c r="BOF26" s="700"/>
      <c r="BOG26" s="700"/>
      <c r="BOH26" s="700"/>
      <c r="BOI26" s="700"/>
      <c r="BOJ26" s="700"/>
      <c r="BOK26" s="700"/>
      <c r="BOL26" s="700"/>
      <c r="BOM26" s="700"/>
      <c r="BON26" s="700"/>
      <c r="BOO26" s="700"/>
      <c r="BOP26" s="700"/>
      <c r="BOQ26" s="700"/>
      <c r="BOR26" s="700"/>
      <c r="BOS26" s="700"/>
      <c r="BOT26" s="700"/>
      <c r="BOU26" s="700"/>
      <c r="BOV26" s="700"/>
      <c r="BOW26" s="700"/>
      <c r="BOX26" s="700"/>
      <c r="BOY26" s="700"/>
      <c r="BOZ26" s="700"/>
      <c r="BPA26" s="700"/>
      <c r="BPB26" s="700"/>
      <c r="BPC26" s="700"/>
      <c r="BPD26" s="700"/>
      <c r="BPE26" s="700"/>
      <c r="BPF26" s="700"/>
      <c r="BPG26" s="700"/>
      <c r="BPH26" s="700"/>
      <c r="BPI26" s="700"/>
      <c r="BPJ26" s="700"/>
      <c r="BPK26" s="700"/>
      <c r="BPL26" s="700"/>
      <c r="BPM26" s="700"/>
      <c r="BPN26" s="700"/>
      <c r="BPO26" s="700"/>
      <c r="BPP26" s="700"/>
      <c r="BPQ26" s="700"/>
      <c r="BPR26" s="700"/>
      <c r="BPS26" s="700"/>
      <c r="BPT26" s="700"/>
      <c r="BPU26" s="700"/>
      <c r="BPV26" s="700"/>
      <c r="BPW26" s="700"/>
      <c r="BPX26" s="700"/>
      <c r="BPY26" s="700"/>
      <c r="BPZ26" s="700"/>
      <c r="BQA26" s="700"/>
      <c r="BQB26" s="700"/>
      <c r="BQC26" s="700"/>
      <c r="BQD26" s="700"/>
      <c r="BQE26" s="700"/>
      <c r="BQF26" s="700"/>
      <c r="BQG26" s="700"/>
      <c r="BQH26" s="700"/>
      <c r="BQI26" s="700"/>
      <c r="BQJ26" s="700"/>
      <c r="BQK26" s="700"/>
      <c r="BQL26" s="700"/>
      <c r="BQM26" s="700"/>
      <c r="BQN26" s="700"/>
      <c r="BQO26" s="700"/>
      <c r="BQP26" s="700"/>
      <c r="BQQ26" s="700"/>
      <c r="BQR26" s="700"/>
      <c r="BQS26" s="700"/>
      <c r="BQT26" s="700"/>
      <c r="BQU26" s="700"/>
      <c r="BQV26" s="700"/>
      <c r="BQW26" s="700"/>
      <c r="BQX26" s="700"/>
      <c r="BQY26" s="700"/>
      <c r="BQZ26" s="700"/>
      <c r="BRA26" s="700"/>
      <c r="BRB26" s="700"/>
      <c r="BRC26" s="700"/>
      <c r="BRD26" s="700"/>
      <c r="BRE26" s="700"/>
      <c r="BRF26" s="700"/>
      <c r="BRG26" s="700"/>
      <c r="BRH26" s="700"/>
      <c r="BRI26" s="700"/>
      <c r="BRJ26" s="700"/>
      <c r="BRK26" s="700"/>
      <c r="BRL26" s="700"/>
      <c r="BRM26" s="700"/>
      <c r="BRN26" s="700"/>
      <c r="BRO26" s="700"/>
      <c r="BRP26" s="700"/>
      <c r="BRQ26" s="700"/>
      <c r="BRR26" s="700"/>
      <c r="BRS26" s="700"/>
      <c r="BRT26" s="700"/>
      <c r="BRU26" s="700"/>
      <c r="BRV26" s="700"/>
      <c r="BRW26" s="700"/>
      <c r="BRX26" s="700"/>
      <c r="BRY26" s="700"/>
      <c r="BRZ26" s="700"/>
      <c r="BSA26" s="700"/>
      <c r="BSB26" s="700"/>
      <c r="BSC26" s="700"/>
      <c r="BSD26" s="700"/>
      <c r="BSE26" s="700"/>
      <c r="BSF26" s="700"/>
      <c r="BSG26" s="700"/>
      <c r="BSH26" s="700"/>
      <c r="BSI26" s="700"/>
      <c r="BSJ26" s="700"/>
      <c r="BSK26" s="700"/>
      <c r="BSL26" s="700"/>
      <c r="BSM26" s="700"/>
      <c r="BSN26" s="700"/>
      <c r="BSO26" s="700"/>
      <c r="BSP26" s="700"/>
      <c r="BSQ26" s="700"/>
      <c r="BSR26" s="700"/>
      <c r="BSS26" s="700"/>
      <c r="BST26" s="700"/>
      <c r="BSU26" s="700"/>
      <c r="BSV26" s="700"/>
      <c r="BSW26" s="700"/>
      <c r="BSX26" s="700"/>
      <c r="BSY26" s="700"/>
      <c r="BSZ26" s="700"/>
      <c r="BTA26" s="700"/>
      <c r="BTB26" s="700"/>
      <c r="BTC26" s="700"/>
      <c r="BTD26" s="700"/>
      <c r="BTE26" s="700"/>
      <c r="BTF26" s="700"/>
      <c r="BTG26" s="700"/>
      <c r="BTH26" s="700"/>
      <c r="BTI26" s="700"/>
      <c r="BTJ26" s="700"/>
      <c r="BTK26" s="700"/>
      <c r="BTL26" s="700"/>
      <c r="BTM26" s="700"/>
      <c r="BTN26" s="700"/>
      <c r="BTO26" s="700"/>
      <c r="BTP26" s="700"/>
      <c r="BTQ26" s="700"/>
      <c r="BTR26" s="700"/>
      <c r="BTS26" s="700"/>
      <c r="BTT26" s="700"/>
      <c r="BTU26" s="700"/>
      <c r="BTV26" s="700"/>
      <c r="BTW26" s="700"/>
      <c r="BTX26" s="700"/>
      <c r="BTY26" s="700"/>
      <c r="BTZ26" s="700"/>
      <c r="BUA26" s="700"/>
      <c r="BUB26" s="700"/>
      <c r="BUC26" s="700"/>
      <c r="BUD26" s="700"/>
      <c r="BUE26" s="700"/>
      <c r="BUF26" s="700"/>
      <c r="BUG26" s="700"/>
      <c r="BUH26" s="700"/>
      <c r="BUI26" s="700"/>
      <c r="BUJ26" s="700"/>
      <c r="BUK26" s="700"/>
      <c r="BUL26" s="700"/>
      <c r="BUM26" s="700"/>
      <c r="BUN26" s="700"/>
      <c r="BUO26" s="700"/>
      <c r="BUP26" s="700"/>
      <c r="BUQ26" s="700"/>
      <c r="BUR26" s="700"/>
      <c r="BUS26" s="700"/>
      <c r="BUT26" s="700"/>
      <c r="BUU26" s="700"/>
      <c r="BUV26" s="700"/>
      <c r="BUW26" s="700"/>
      <c r="BUX26" s="700"/>
      <c r="BUY26" s="700"/>
      <c r="BUZ26" s="700"/>
      <c r="BVA26" s="700"/>
      <c r="BVB26" s="700"/>
      <c r="BVC26" s="700"/>
      <c r="BVD26" s="700"/>
      <c r="BVE26" s="700"/>
      <c r="BVF26" s="700"/>
      <c r="BVG26" s="700"/>
      <c r="BVH26" s="700"/>
      <c r="BVI26" s="700"/>
      <c r="BVJ26" s="700"/>
      <c r="BVK26" s="700"/>
      <c r="BVL26" s="700"/>
      <c r="BVM26" s="700"/>
      <c r="BVN26" s="700"/>
      <c r="BVO26" s="700"/>
      <c r="BVP26" s="700"/>
      <c r="BVQ26" s="700"/>
      <c r="BVR26" s="700"/>
      <c r="BVS26" s="700"/>
      <c r="BVT26" s="700"/>
      <c r="BVU26" s="700"/>
      <c r="BVV26" s="700"/>
      <c r="BVW26" s="700"/>
      <c r="BVX26" s="700"/>
      <c r="BVY26" s="700"/>
      <c r="BVZ26" s="700"/>
      <c r="BWA26" s="700"/>
      <c r="BWB26" s="700"/>
      <c r="BWC26" s="700"/>
      <c r="BWD26" s="700"/>
      <c r="BWE26" s="700"/>
      <c r="BWF26" s="700"/>
      <c r="BWG26" s="700"/>
      <c r="BWH26" s="700"/>
      <c r="BWI26" s="700"/>
      <c r="BWJ26" s="700"/>
      <c r="BWK26" s="700"/>
      <c r="BWL26" s="700"/>
      <c r="BWM26" s="700"/>
      <c r="BWN26" s="700"/>
      <c r="BWO26" s="700"/>
      <c r="BWP26" s="700"/>
      <c r="BWQ26" s="700"/>
      <c r="BWR26" s="700"/>
      <c r="BWS26" s="700"/>
      <c r="BWT26" s="700"/>
      <c r="BWU26" s="700"/>
      <c r="BWV26" s="700"/>
      <c r="BWW26" s="700"/>
      <c r="BWX26" s="700"/>
      <c r="BWY26" s="700"/>
      <c r="BWZ26" s="700"/>
      <c r="BXA26" s="700"/>
      <c r="BXB26" s="700"/>
      <c r="BXC26" s="700"/>
      <c r="BXD26" s="700"/>
      <c r="BXE26" s="700"/>
      <c r="BXF26" s="700"/>
      <c r="BXG26" s="700"/>
      <c r="BXH26" s="700"/>
      <c r="BXI26" s="700"/>
      <c r="BXJ26" s="700"/>
      <c r="BXK26" s="700"/>
      <c r="BXL26" s="700"/>
      <c r="BXM26" s="700"/>
      <c r="BXN26" s="700"/>
      <c r="BXO26" s="700"/>
      <c r="BXP26" s="700"/>
      <c r="BXQ26" s="700"/>
      <c r="BXR26" s="700"/>
      <c r="BXS26" s="700"/>
      <c r="BXT26" s="700"/>
      <c r="BXU26" s="700"/>
      <c r="BXV26" s="700"/>
      <c r="BXW26" s="700"/>
      <c r="BXX26" s="700"/>
      <c r="BXY26" s="700"/>
      <c r="BXZ26" s="700"/>
    </row>
    <row r="27" spans="1:2002" ht="15">
      <c r="A27" s="717"/>
      <c r="B27" s="706"/>
      <c r="C27" s="721" t="s">
        <v>48</v>
      </c>
      <c r="D27" s="738">
        <v>2215000</v>
      </c>
      <c r="E27" s="738">
        <v>2990000</v>
      </c>
      <c r="F27" s="738">
        <v>2512000</v>
      </c>
      <c r="G27" s="738">
        <v>2162000</v>
      </c>
      <c r="H27" s="738">
        <v>3072000</v>
      </c>
      <c r="I27" s="738"/>
      <c r="J27" s="738"/>
      <c r="K27" s="738"/>
      <c r="L27" s="738"/>
      <c r="M27" s="738"/>
      <c r="N27" s="738"/>
      <c r="O27" s="738"/>
      <c r="P27" s="738"/>
      <c r="Q27" s="738"/>
      <c r="R27" s="738"/>
      <c r="S27" s="712"/>
      <c r="T27" s="700"/>
      <c r="U27" s="700"/>
      <c r="V27" s="700"/>
      <c r="W27" s="700"/>
      <c r="X27" s="700"/>
      <c r="Y27" s="700"/>
      <c r="Z27" s="700"/>
      <c r="AA27" s="700"/>
      <c r="AB27" s="700"/>
      <c r="AC27" s="700"/>
      <c r="AD27" s="700"/>
      <c r="AE27" s="700"/>
      <c r="AF27" s="700"/>
      <c r="AG27" s="700"/>
      <c r="AH27" s="700"/>
      <c r="AI27" s="700"/>
      <c r="AJ27" s="700"/>
      <c r="AK27" s="700"/>
      <c r="AL27" s="700"/>
      <c r="AM27" s="700"/>
      <c r="AN27" s="700"/>
      <c r="AO27" s="700"/>
      <c r="AP27" s="700"/>
      <c r="AQ27" s="700"/>
      <c r="AR27" s="700"/>
      <c r="AS27" s="700"/>
      <c r="AT27" s="700"/>
      <c r="AU27" s="700"/>
      <c r="AV27" s="700"/>
      <c r="AW27" s="700"/>
      <c r="AX27" s="700"/>
      <c r="AY27" s="700"/>
      <c r="AZ27" s="700"/>
      <c r="BA27" s="700"/>
      <c r="BB27" s="700"/>
      <c r="BC27" s="700"/>
      <c r="BD27" s="700"/>
      <c r="BE27" s="700"/>
      <c r="BF27" s="700"/>
      <c r="BG27" s="700"/>
      <c r="BH27" s="700"/>
      <c r="BI27" s="700"/>
      <c r="BJ27" s="700"/>
      <c r="BK27" s="700"/>
      <c r="BL27" s="700"/>
      <c r="BM27" s="700"/>
      <c r="BN27" s="700"/>
      <c r="BO27" s="700"/>
      <c r="BP27" s="700"/>
      <c r="BQ27" s="700"/>
      <c r="BR27" s="700"/>
      <c r="BS27" s="700"/>
      <c r="BT27" s="700"/>
      <c r="BU27" s="700"/>
      <c r="BV27" s="700"/>
      <c r="BW27" s="700"/>
      <c r="BX27" s="700"/>
      <c r="BY27" s="700"/>
      <c r="BZ27" s="700"/>
      <c r="CA27" s="700"/>
      <c r="CB27" s="700"/>
      <c r="CC27" s="700"/>
      <c r="CD27" s="700"/>
      <c r="CE27" s="700"/>
      <c r="CF27" s="700"/>
      <c r="CG27" s="700"/>
      <c r="CH27" s="700"/>
      <c r="CI27" s="700"/>
      <c r="CJ27" s="700"/>
      <c r="CK27" s="700"/>
      <c r="CL27" s="700"/>
      <c r="CM27" s="700"/>
      <c r="CN27" s="700"/>
      <c r="CO27" s="700"/>
      <c r="CP27" s="700"/>
      <c r="CQ27" s="700"/>
      <c r="CR27" s="700"/>
      <c r="CS27" s="700"/>
      <c r="CT27" s="700"/>
      <c r="CU27" s="700"/>
      <c r="CV27" s="700"/>
      <c r="CW27" s="700"/>
      <c r="CX27" s="700"/>
      <c r="CY27" s="700"/>
      <c r="CZ27" s="700"/>
      <c r="DA27" s="700"/>
      <c r="DB27" s="700"/>
      <c r="DC27" s="700"/>
      <c r="DD27" s="700"/>
      <c r="DE27" s="700"/>
      <c r="DF27" s="700"/>
      <c r="DG27" s="700"/>
      <c r="DH27" s="700"/>
      <c r="DI27" s="700"/>
      <c r="DJ27" s="700"/>
      <c r="DK27" s="700"/>
      <c r="DL27" s="700"/>
      <c r="DM27" s="700"/>
      <c r="DN27" s="700"/>
      <c r="DO27" s="700"/>
      <c r="DP27" s="700"/>
      <c r="DQ27" s="700"/>
      <c r="DR27" s="700"/>
      <c r="DS27" s="700"/>
      <c r="DT27" s="700"/>
      <c r="DU27" s="700"/>
      <c r="DV27" s="700"/>
      <c r="DW27" s="700"/>
      <c r="DX27" s="700"/>
      <c r="DY27" s="700"/>
      <c r="DZ27" s="700"/>
      <c r="EA27" s="700"/>
      <c r="EB27" s="700"/>
      <c r="EC27" s="700"/>
      <c r="ED27" s="700"/>
      <c r="EE27" s="700"/>
      <c r="EF27" s="700"/>
      <c r="EG27" s="700"/>
      <c r="EH27" s="700"/>
      <c r="EI27" s="700"/>
      <c r="EJ27" s="700"/>
      <c r="EK27" s="700"/>
      <c r="EL27" s="700"/>
      <c r="EM27" s="700"/>
      <c r="EN27" s="700"/>
      <c r="EO27" s="700"/>
      <c r="EP27" s="700"/>
      <c r="EQ27" s="700"/>
      <c r="ER27" s="700"/>
      <c r="ES27" s="700"/>
      <c r="ET27" s="700"/>
      <c r="EU27" s="700"/>
      <c r="EV27" s="700"/>
      <c r="EW27" s="700"/>
      <c r="EX27" s="700"/>
      <c r="EY27" s="700"/>
      <c r="EZ27" s="700"/>
      <c r="FA27" s="700"/>
      <c r="FB27" s="700"/>
      <c r="FC27" s="700"/>
      <c r="FD27" s="700"/>
      <c r="FE27" s="700"/>
      <c r="FF27" s="700"/>
      <c r="FG27" s="700"/>
      <c r="FH27" s="700"/>
      <c r="FI27" s="700"/>
      <c r="FJ27" s="700"/>
      <c r="FK27" s="700"/>
      <c r="FL27" s="700"/>
      <c r="FM27" s="700"/>
      <c r="FN27" s="700"/>
      <c r="FO27" s="700"/>
      <c r="FP27" s="700"/>
      <c r="FQ27" s="700"/>
      <c r="FR27" s="700"/>
      <c r="FS27" s="700"/>
      <c r="FT27" s="700"/>
      <c r="FU27" s="700"/>
      <c r="FV27" s="700"/>
      <c r="FW27" s="700"/>
      <c r="FX27" s="700"/>
      <c r="FY27" s="700"/>
      <c r="FZ27" s="700"/>
      <c r="GA27" s="700"/>
      <c r="GB27" s="700"/>
      <c r="GC27" s="700"/>
      <c r="GD27" s="700"/>
      <c r="GE27" s="700"/>
      <c r="GF27" s="700"/>
      <c r="GG27" s="700"/>
      <c r="GH27" s="700"/>
      <c r="GI27" s="700"/>
      <c r="GJ27" s="700"/>
      <c r="GK27" s="700"/>
      <c r="GL27" s="700"/>
      <c r="GM27" s="700"/>
      <c r="GN27" s="700"/>
      <c r="GO27" s="700"/>
      <c r="GP27" s="700"/>
      <c r="GQ27" s="700"/>
      <c r="GR27" s="700"/>
      <c r="GS27" s="700"/>
      <c r="GT27" s="700"/>
      <c r="GU27" s="700"/>
      <c r="GV27" s="700"/>
      <c r="GW27" s="700"/>
      <c r="GX27" s="700"/>
      <c r="GY27" s="700"/>
      <c r="GZ27" s="700"/>
      <c r="HA27" s="700"/>
      <c r="HB27" s="700"/>
      <c r="HC27" s="700"/>
      <c r="HD27" s="700"/>
      <c r="HE27" s="700"/>
      <c r="HF27" s="700"/>
      <c r="HG27" s="700"/>
      <c r="HH27" s="700"/>
      <c r="HI27" s="700"/>
      <c r="HJ27" s="700"/>
      <c r="HK27" s="700"/>
      <c r="HL27" s="700"/>
      <c r="HM27" s="700"/>
      <c r="HN27" s="700"/>
      <c r="HO27" s="700"/>
      <c r="HP27" s="700"/>
      <c r="HQ27" s="700"/>
      <c r="HR27" s="700"/>
      <c r="HS27" s="700"/>
      <c r="HT27" s="700"/>
      <c r="HU27" s="700"/>
      <c r="HV27" s="700"/>
      <c r="HW27" s="700"/>
      <c r="HX27" s="700"/>
      <c r="HY27" s="700"/>
      <c r="HZ27" s="700"/>
      <c r="IA27" s="700"/>
      <c r="IB27" s="700"/>
      <c r="IC27" s="700"/>
      <c r="ID27" s="700"/>
      <c r="IE27" s="700"/>
      <c r="IF27" s="700"/>
      <c r="IG27" s="700"/>
      <c r="IH27" s="700"/>
      <c r="II27" s="700"/>
      <c r="IJ27" s="700"/>
      <c r="IK27" s="700"/>
      <c r="IL27" s="700"/>
      <c r="IM27" s="700"/>
      <c r="IN27" s="700"/>
      <c r="IO27" s="700"/>
      <c r="IP27" s="700"/>
      <c r="IQ27" s="700"/>
      <c r="IR27" s="700"/>
      <c r="IS27" s="700"/>
      <c r="IT27" s="700"/>
      <c r="IU27" s="700"/>
      <c r="IV27" s="700"/>
      <c r="IW27" s="700"/>
      <c r="IX27" s="700"/>
      <c r="IY27" s="700"/>
      <c r="IZ27" s="700"/>
      <c r="JA27" s="700"/>
      <c r="JB27" s="700"/>
      <c r="JC27" s="700"/>
      <c r="JD27" s="700"/>
      <c r="JE27" s="700"/>
      <c r="JF27" s="700"/>
      <c r="JG27" s="700"/>
      <c r="JH27" s="700"/>
      <c r="JI27" s="700"/>
      <c r="JJ27" s="700"/>
      <c r="JK27" s="700"/>
      <c r="JL27" s="700"/>
      <c r="JM27" s="700"/>
      <c r="JN27" s="700"/>
      <c r="JO27" s="700"/>
      <c r="JP27" s="700"/>
      <c r="JQ27" s="700"/>
      <c r="JR27" s="700"/>
      <c r="JS27" s="700"/>
      <c r="JT27" s="700"/>
      <c r="JU27" s="700"/>
      <c r="JV27" s="700"/>
      <c r="JW27" s="700"/>
      <c r="JX27" s="700"/>
      <c r="JY27" s="700"/>
      <c r="JZ27" s="700"/>
      <c r="KA27" s="700"/>
      <c r="KB27" s="700"/>
      <c r="KC27" s="700"/>
      <c r="KD27" s="700"/>
      <c r="KE27" s="700"/>
      <c r="KF27" s="700"/>
      <c r="KG27" s="700"/>
      <c r="KH27" s="700"/>
      <c r="KI27" s="700"/>
      <c r="KJ27" s="700"/>
      <c r="KK27" s="700"/>
      <c r="KL27" s="700"/>
      <c r="KM27" s="700"/>
      <c r="KN27" s="700"/>
      <c r="KO27" s="700"/>
      <c r="KP27" s="700"/>
      <c r="KQ27" s="700"/>
      <c r="KR27" s="700"/>
      <c r="KS27" s="700"/>
      <c r="KT27" s="700"/>
      <c r="KU27" s="700"/>
      <c r="KV27" s="700"/>
      <c r="KW27" s="700"/>
      <c r="KX27" s="700"/>
      <c r="KY27" s="700"/>
      <c r="KZ27" s="700"/>
      <c r="LA27" s="700"/>
      <c r="LB27" s="700"/>
      <c r="LC27" s="700"/>
      <c r="LD27" s="700"/>
      <c r="LE27" s="700"/>
      <c r="LF27" s="700"/>
      <c r="LG27" s="700"/>
      <c r="LH27" s="700"/>
      <c r="LI27" s="700"/>
      <c r="LJ27" s="700"/>
      <c r="LK27" s="700"/>
      <c r="LL27" s="700"/>
      <c r="LM27" s="700"/>
      <c r="LN27" s="700"/>
      <c r="LO27" s="700"/>
      <c r="LP27" s="700"/>
      <c r="LQ27" s="700"/>
      <c r="LR27" s="700"/>
      <c r="LS27" s="700"/>
      <c r="LT27" s="700"/>
      <c r="LU27" s="700"/>
      <c r="LV27" s="700"/>
      <c r="LW27" s="700"/>
      <c r="LX27" s="700"/>
      <c r="LY27" s="700"/>
      <c r="LZ27" s="700"/>
      <c r="MA27" s="700"/>
      <c r="MB27" s="700"/>
      <c r="MC27" s="700"/>
      <c r="MD27" s="700"/>
      <c r="ME27" s="700"/>
      <c r="MF27" s="700"/>
      <c r="MG27" s="700"/>
      <c r="MH27" s="700"/>
      <c r="MI27" s="700"/>
      <c r="MJ27" s="700"/>
      <c r="MK27" s="700"/>
      <c r="ML27" s="700"/>
      <c r="MM27" s="700"/>
      <c r="MN27" s="700"/>
      <c r="MO27" s="700"/>
      <c r="MP27" s="700"/>
      <c r="MQ27" s="700"/>
      <c r="MR27" s="700"/>
      <c r="MS27" s="700"/>
      <c r="MT27" s="700"/>
      <c r="MU27" s="700"/>
      <c r="MV27" s="700"/>
      <c r="MW27" s="700"/>
      <c r="MX27" s="700"/>
      <c r="MY27" s="700"/>
      <c r="MZ27" s="700"/>
      <c r="NA27" s="700"/>
      <c r="NB27" s="700"/>
      <c r="NC27" s="700"/>
      <c r="ND27" s="700"/>
      <c r="NE27" s="700"/>
      <c r="NF27" s="700"/>
      <c r="NG27" s="700"/>
      <c r="NH27" s="700"/>
      <c r="NI27" s="700"/>
      <c r="NJ27" s="700"/>
      <c r="NK27" s="700"/>
      <c r="NL27" s="700"/>
      <c r="NM27" s="700"/>
      <c r="NN27" s="700"/>
      <c r="NO27" s="700"/>
      <c r="NP27" s="700"/>
      <c r="NQ27" s="700"/>
      <c r="NR27" s="700"/>
      <c r="NS27" s="700"/>
      <c r="NT27" s="700"/>
      <c r="NU27" s="700"/>
      <c r="NV27" s="700"/>
      <c r="NW27" s="700"/>
      <c r="NX27" s="700"/>
      <c r="NY27" s="700"/>
      <c r="NZ27" s="700"/>
      <c r="OA27" s="700"/>
      <c r="OB27" s="700"/>
      <c r="OC27" s="700"/>
      <c r="OD27" s="700"/>
      <c r="OE27" s="700"/>
      <c r="OF27" s="700"/>
      <c r="OG27" s="700"/>
      <c r="OH27" s="700"/>
      <c r="OI27" s="700"/>
      <c r="OJ27" s="700"/>
      <c r="OK27" s="700"/>
      <c r="OL27" s="700"/>
      <c r="OM27" s="700"/>
      <c r="ON27" s="700"/>
      <c r="OO27" s="700"/>
      <c r="OP27" s="700"/>
      <c r="OQ27" s="700"/>
      <c r="OR27" s="700"/>
      <c r="OS27" s="700"/>
      <c r="OT27" s="700"/>
      <c r="OU27" s="700"/>
      <c r="OV27" s="700"/>
      <c r="OW27" s="700"/>
      <c r="OX27" s="700"/>
      <c r="OY27" s="700"/>
      <c r="OZ27" s="700"/>
      <c r="PA27" s="700"/>
      <c r="PB27" s="700"/>
      <c r="PC27" s="700"/>
      <c r="PD27" s="700"/>
      <c r="PE27" s="700"/>
      <c r="PF27" s="700"/>
      <c r="PG27" s="700"/>
      <c r="PH27" s="700"/>
      <c r="PI27" s="700"/>
      <c r="PJ27" s="700"/>
      <c r="PK27" s="700"/>
      <c r="PL27" s="700"/>
      <c r="PM27" s="700"/>
      <c r="PN27" s="700"/>
      <c r="PO27" s="700"/>
      <c r="PP27" s="700"/>
      <c r="PQ27" s="700"/>
      <c r="PR27" s="700"/>
      <c r="PS27" s="700"/>
      <c r="PT27" s="700"/>
      <c r="PU27" s="700"/>
      <c r="PV27" s="700"/>
      <c r="PW27" s="700"/>
      <c r="PX27" s="700"/>
      <c r="PY27" s="700"/>
      <c r="PZ27" s="700"/>
      <c r="QA27" s="700"/>
      <c r="QB27" s="700"/>
      <c r="QC27" s="700"/>
      <c r="QD27" s="700"/>
      <c r="QE27" s="700"/>
      <c r="QF27" s="700"/>
      <c r="QG27" s="700"/>
      <c r="QH27" s="700"/>
      <c r="QI27" s="700"/>
      <c r="QJ27" s="700"/>
      <c r="QK27" s="700"/>
      <c r="QL27" s="700"/>
      <c r="QM27" s="700"/>
      <c r="QN27" s="700"/>
      <c r="QO27" s="700"/>
      <c r="QP27" s="700"/>
      <c r="QQ27" s="700"/>
      <c r="QR27" s="700"/>
      <c r="QS27" s="700"/>
      <c r="QT27" s="700"/>
      <c r="QU27" s="700"/>
      <c r="QV27" s="700"/>
      <c r="QW27" s="700"/>
      <c r="QX27" s="700"/>
      <c r="QY27" s="700"/>
      <c r="QZ27" s="700"/>
      <c r="RA27" s="700"/>
      <c r="RB27" s="700"/>
      <c r="RC27" s="700"/>
      <c r="RD27" s="700"/>
      <c r="RE27" s="700"/>
      <c r="RF27" s="700"/>
      <c r="RG27" s="700"/>
      <c r="RH27" s="700"/>
      <c r="RI27" s="700"/>
      <c r="RJ27" s="700"/>
      <c r="RK27" s="700"/>
      <c r="RL27" s="700"/>
      <c r="RM27" s="700"/>
      <c r="RN27" s="700"/>
      <c r="RO27" s="700"/>
      <c r="RP27" s="700"/>
      <c r="RQ27" s="700"/>
      <c r="RR27" s="700"/>
      <c r="RS27" s="700"/>
      <c r="RT27" s="700"/>
      <c r="RU27" s="700"/>
      <c r="RV27" s="700"/>
      <c r="RW27" s="700"/>
      <c r="RX27" s="700"/>
      <c r="RY27" s="700"/>
      <c r="RZ27" s="700"/>
      <c r="SA27" s="700"/>
      <c r="SB27" s="700"/>
      <c r="SC27" s="700"/>
      <c r="SD27" s="700"/>
      <c r="SE27" s="700"/>
      <c r="SF27" s="700"/>
      <c r="SG27" s="700"/>
      <c r="SH27" s="700"/>
      <c r="SI27" s="700"/>
      <c r="SJ27" s="700"/>
      <c r="SK27" s="700"/>
      <c r="SL27" s="700"/>
      <c r="SM27" s="700"/>
      <c r="SN27" s="700"/>
      <c r="SO27" s="700"/>
      <c r="SP27" s="700"/>
      <c r="SQ27" s="700"/>
      <c r="SR27" s="700"/>
      <c r="SS27" s="700"/>
      <c r="ST27" s="700"/>
      <c r="SU27" s="700"/>
      <c r="SV27" s="700"/>
      <c r="SW27" s="700"/>
      <c r="SX27" s="700"/>
      <c r="SY27" s="700"/>
      <c r="SZ27" s="700"/>
      <c r="TA27" s="700"/>
      <c r="TB27" s="700"/>
      <c r="TC27" s="700"/>
      <c r="TD27" s="700"/>
      <c r="TE27" s="700"/>
      <c r="TF27" s="700"/>
      <c r="TG27" s="700"/>
      <c r="TH27" s="700"/>
      <c r="TI27" s="700"/>
      <c r="TJ27" s="700"/>
      <c r="TK27" s="700"/>
      <c r="TL27" s="700"/>
      <c r="TM27" s="700"/>
      <c r="TN27" s="700"/>
      <c r="TO27" s="700"/>
      <c r="TP27" s="700"/>
      <c r="TQ27" s="700"/>
      <c r="TR27" s="700"/>
      <c r="TS27" s="700"/>
      <c r="TT27" s="700"/>
      <c r="TU27" s="700"/>
      <c r="TV27" s="700"/>
      <c r="TW27" s="700"/>
      <c r="TX27" s="700"/>
      <c r="TY27" s="700"/>
      <c r="TZ27" s="700"/>
      <c r="UA27" s="700"/>
      <c r="UB27" s="700"/>
      <c r="UC27" s="700"/>
      <c r="UD27" s="700"/>
      <c r="UE27" s="700"/>
      <c r="UF27" s="700"/>
      <c r="UG27" s="700"/>
      <c r="UH27" s="700"/>
      <c r="UI27" s="700"/>
      <c r="UJ27" s="700"/>
      <c r="UK27" s="700"/>
      <c r="UL27" s="700"/>
      <c r="UM27" s="700"/>
      <c r="UN27" s="700"/>
      <c r="UO27" s="700"/>
      <c r="UP27" s="700"/>
      <c r="UQ27" s="700"/>
      <c r="UR27" s="700"/>
      <c r="US27" s="700"/>
      <c r="UT27" s="700"/>
      <c r="UU27" s="700"/>
      <c r="UV27" s="700"/>
      <c r="UW27" s="700"/>
      <c r="UX27" s="700"/>
      <c r="UY27" s="700"/>
      <c r="UZ27" s="700"/>
      <c r="VA27" s="700"/>
      <c r="VB27" s="700"/>
      <c r="VC27" s="700"/>
      <c r="VD27" s="700"/>
      <c r="VE27" s="700"/>
      <c r="VF27" s="700"/>
      <c r="VG27" s="700"/>
      <c r="VH27" s="700"/>
      <c r="VI27" s="700"/>
      <c r="VJ27" s="700"/>
      <c r="VK27" s="700"/>
      <c r="VL27" s="700"/>
      <c r="VM27" s="700"/>
      <c r="VN27" s="700"/>
      <c r="VO27" s="700"/>
      <c r="VP27" s="700"/>
      <c r="VQ27" s="700"/>
      <c r="VR27" s="700"/>
      <c r="VS27" s="700"/>
      <c r="VT27" s="700"/>
      <c r="VU27" s="700"/>
      <c r="VV27" s="700"/>
      <c r="VW27" s="700"/>
      <c r="VX27" s="700"/>
      <c r="VY27" s="700"/>
      <c r="VZ27" s="700"/>
      <c r="WA27" s="700"/>
      <c r="WB27" s="700"/>
      <c r="WC27" s="700"/>
      <c r="WD27" s="700"/>
      <c r="WE27" s="700"/>
      <c r="WF27" s="700"/>
      <c r="WG27" s="700"/>
      <c r="WH27" s="700"/>
      <c r="WI27" s="700"/>
      <c r="WJ27" s="700"/>
      <c r="WK27" s="700"/>
      <c r="WL27" s="700"/>
      <c r="WM27" s="700"/>
      <c r="WN27" s="700"/>
      <c r="WO27" s="700"/>
      <c r="WP27" s="700"/>
      <c r="WQ27" s="700"/>
      <c r="WR27" s="700"/>
      <c r="WS27" s="700"/>
      <c r="WT27" s="700"/>
      <c r="WU27" s="700"/>
      <c r="WV27" s="700"/>
      <c r="WW27" s="700"/>
      <c r="WX27" s="700"/>
      <c r="WY27" s="700"/>
      <c r="WZ27" s="700"/>
      <c r="XA27" s="700"/>
      <c r="XB27" s="700"/>
      <c r="XC27" s="700"/>
      <c r="XD27" s="700"/>
      <c r="XE27" s="700"/>
      <c r="XF27" s="700"/>
      <c r="XG27" s="700"/>
      <c r="XH27" s="700"/>
      <c r="XI27" s="700"/>
      <c r="XJ27" s="700"/>
      <c r="XK27" s="700"/>
      <c r="XL27" s="700"/>
      <c r="XM27" s="700"/>
      <c r="XN27" s="700"/>
      <c r="XO27" s="700"/>
      <c r="XP27" s="700"/>
      <c r="XQ27" s="700"/>
      <c r="XR27" s="700"/>
      <c r="XS27" s="700"/>
      <c r="XT27" s="700"/>
      <c r="XU27" s="700"/>
      <c r="XV27" s="700"/>
      <c r="XW27" s="700"/>
      <c r="XX27" s="700"/>
      <c r="XY27" s="700"/>
      <c r="XZ27" s="700"/>
      <c r="YA27" s="700"/>
      <c r="YB27" s="700"/>
      <c r="YC27" s="700"/>
      <c r="YD27" s="700"/>
      <c r="YE27" s="700"/>
      <c r="YF27" s="700"/>
      <c r="YG27" s="700"/>
      <c r="YH27" s="700"/>
      <c r="YI27" s="700"/>
      <c r="YJ27" s="700"/>
      <c r="YK27" s="700"/>
      <c r="YL27" s="700"/>
      <c r="YM27" s="700"/>
      <c r="YN27" s="700"/>
      <c r="YO27" s="700"/>
      <c r="YP27" s="700"/>
      <c r="YQ27" s="700"/>
      <c r="YR27" s="700"/>
      <c r="YS27" s="700"/>
      <c r="YT27" s="700"/>
      <c r="YU27" s="700"/>
      <c r="YV27" s="700"/>
      <c r="YW27" s="700"/>
      <c r="YX27" s="700"/>
      <c r="YY27" s="700"/>
      <c r="YZ27" s="700"/>
      <c r="ZA27" s="700"/>
      <c r="ZB27" s="700"/>
      <c r="ZC27" s="700"/>
      <c r="ZD27" s="700"/>
      <c r="ZE27" s="700"/>
      <c r="ZF27" s="700"/>
      <c r="ZG27" s="700"/>
      <c r="ZH27" s="700"/>
      <c r="ZI27" s="700"/>
      <c r="ZJ27" s="700"/>
      <c r="ZK27" s="700"/>
      <c r="ZL27" s="700"/>
      <c r="ZM27" s="700"/>
      <c r="ZN27" s="700"/>
      <c r="ZO27" s="700"/>
      <c r="ZP27" s="700"/>
      <c r="ZQ27" s="700"/>
      <c r="ZR27" s="700"/>
      <c r="ZS27" s="700"/>
      <c r="ZT27" s="700"/>
      <c r="ZU27" s="700"/>
      <c r="ZV27" s="700"/>
      <c r="ZW27" s="700"/>
      <c r="ZX27" s="700"/>
      <c r="ZY27" s="700"/>
      <c r="ZZ27" s="700"/>
      <c r="AAA27" s="700"/>
      <c r="AAB27" s="700"/>
      <c r="AAC27" s="700"/>
      <c r="AAD27" s="700"/>
      <c r="AAE27" s="700"/>
      <c r="AAF27" s="700"/>
      <c r="AAG27" s="700"/>
      <c r="AAH27" s="700"/>
      <c r="AAI27" s="700"/>
      <c r="AAJ27" s="700"/>
      <c r="AAK27" s="700"/>
      <c r="AAL27" s="700"/>
      <c r="AAM27" s="700"/>
      <c r="AAN27" s="700"/>
      <c r="AAO27" s="700"/>
      <c r="AAP27" s="700"/>
      <c r="AAQ27" s="700"/>
      <c r="AAR27" s="700"/>
      <c r="AAS27" s="700"/>
      <c r="AAT27" s="700"/>
      <c r="AAU27" s="700"/>
      <c r="AAV27" s="700"/>
      <c r="AAW27" s="700"/>
      <c r="AAX27" s="700"/>
      <c r="AAY27" s="700"/>
      <c r="AAZ27" s="700"/>
      <c r="ABA27" s="700"/>
      <c r="ABB27" s="700"/>
      <c r="ABC27" s="700"/>
      <c r="ABD27" s="700"/>
      <c r="ABE27" s="700"/>
      <c r="ABF27" s="700"/>
      <c r="ABG27" s="700"/>
      <c r="ABH27" s="700"/>
      <c r="ABI27" s="700"/>
      <c r="ABJ27" s="700"/>
      <c r="ABK27" s="700"/>
      <c r="ABL27" s="700"/>
      <c r="ABM27" s="700"/>
      <c r="ABN27" s="700"/>
      <c r="ABO27" s="700"/>
      <c r="ABP27" s="700"/>
      <c r="ABQ27" s="700"/>
      <c r="ABR27" s="700"/>
      <c r="ABS27" s="700"/>
      <c r="ABT27" s="700"/>
      <c r="ABU27" s="700"/>
      <c r="ABV27" s="700"/>
      <c r="ABW27" s="700"/>
      <c r="ABX27" s="700"/>
      <c r="ABY27" s="700"/>
      <c r="ABZ27" s="700"/>
      <c r="ACA27" s="700"/>
      <c r="ACB27" s="700"/>
      <c r="ACC27" s="700"/>
      <c r="ACD27" s="700"/>
      <c r="ACE27" s="700"/>
      <c r="ACF27" s="700"/>
      <c r="ACG27" s="700"/>
      <c r="ACH27" s="700"/>
      <c r="ACI27" s="700"/>
      <c r="ACJ27" s="700"/>
      <c r="ACK27" s="700"/>
      <c r="ACL27" s="700"/>
      <c r="ACM27" s="700"/>
      <c r="ACN27" s="700"/>
      <c r="ACO27" s="700"/>
      <c r="ACP27" s="700"/>
      <c r="ACQ27" s="700"/>
      <c r="ACR27" s="700"/>
      <c r="ACS27" s="700"/>
      <c r="ACT27" s="700"/>
      <c r="ACU27" s="700"/>
      <c r="ACV27" s="700"/>
      <c r="ACW27" s="700"/>
      <c r="ACX27" s="700"/>
      <c r="ACY27" s="700"/>
      <c r="ACZ27" s="700"/>
      <c r="ADA27" s="700"/>
      <c r="ADB27" s="700"/>
      <c r="ADC27" s="700"/>
      <c r="ADD27" s="700"/>
      <c r="ADE27" s="700"/>
      <c r="ADF27" s="700"/>
      <c r="ADG27" s="700"/>
      <c r="ADH27" s="700"/>
      <c r="ADI27" s="700"/>
      <c r="ADJ27" s="700"/>
      <c r="ADK27" s="700"/>
      <c r="ADL27" s="700"/>
      <c r="ADM27" s="700"/>
      <c r="ADN27" s="700"/>
      <c r="ADO27" s="700"/>
      <c r="ADP27" s="700"/>
      <c r="ADQ27" s="700"/>
      <c r="ADR27" s="700"/>
      <c r="ADS27" s="700"/>
      <c r="ADT27" s="700"/>
      <c r="ADU27" s="700"/>
      <c r="ADV27" s="700"/>
      <c r="ADW27" s="700"/>
      <c r="ADX27" s="700"/>
      <c r="ADY27" s="700"/>
      <c r="ADZ27" s="700"/>
      <c r="AEA27" s="700"/>
      <c r="AEB27" s="700"/>
      <c r="AEC27" s="700"/>
      <c r="AED27" s="700"/>
      <c r="AEE27" s="700"/>
      <c r="AEF27" s="700"/>
      <c r="AEG27" s="700"/>
      <c r="AEH27" s="700"/>
      <c r="AEI27" s="700"/>
      <c r="AEJ27" s="700"/>
      <c r="AEK27" s="700"/>
      <c r="AEL27" s="700"/>
      <c r="AEM27" s="700"/>
      <c r="AEN27" s="700"/>
      <c r="AEO27" s="700"/>
      <c r="AEP27" s="700"/>
      <c r="AEQ27" s="700"/>
      <c r="AER27" s="700"/>
      <c r="AES27" s="700"/>
      <c r="AET27" s="700"/>
      <c r="AEU27" s="700"/>
      <c r="AEV27" s="700"/>
      <c r="AEW27" s="700"/>
      <c r="AEX27" s="700"/>
      <c r="AEY27" s="700"/>
      <c r="AEZ27" s="700"/>
      <c r="AFA27" s="700"/>
      <c r="AFB27" s="700"/>
      <c r="AFC27" s="700"/>
      <c r="AFD27" s="700"/>
      <c r="AFE27" s="700"/>
      <c r="AFF27" s="700"/>
      <c r="AFG27" s="700"/>
      <c r="AFH27" s="700"/>
      <c r="AFI27" s="700"/>
      <c r="AFJ27" s="700"/>
      <c r="AFK27" s="700"/>
      <c r="AFL27" s="700"/>
      <c r="AFM27" s="700"/>
      <c r="AFN27" s="700"/>
      <c r="AFO27" s="700"/>
      <c r="AFP27" s="700"/>
      <c r="AFQ27" s="700"/>
      <c r="AFR27" s="700"/>
      <c r="AFS27" s="700"/>
      <c r="AFT27" s="700"/>
      <c r="AFU27" s="700"/>
      <c r="AFV27" s="700"/>
      <c r="AFW27" s="700"/>
      <c r="AFX27" s="700"/>
      <c r="AFY27" s="700"/>
      <c r="AFZ27" s="700"/>
      <c r="AGA27" s="700"/>
      <c r="AGB27" s="700"/>
      <c r="AGC27" s="700"/>
      <c r="AGD27" s="700"/>
      <c r="AGE27" s="700"/>
      <c r="AGF27" s="700"/>
      <c r="AGG27" s="700"/>
      <c r="AGH27" s="700"/>
      <c r="AGI27" s="700"/>
      <c r="AGJ27" s="700"/>
      <c r="AGK27" s="700"/>
      <c r="AGL27" s="700"/>
      <c r="AGM27" s="700"/>
      <c r="AGN27" s="700"/>
      <c r="AGO27" s="700"/>
      <c r="AGP27" s="700"/>
      <c r="AGQ27" s="700"/>
      <c r="AGR27" s="700"/>
      <c r="AGS27" s="700"/>
      <c r="AGT27" s="700"/>
      <c r="AGU27" s="700"/>
      <c r="AGV27" s="700"/>
      <c r="AGW27" s="700"/>
      <c r="AGX27" s="700"/>
      <c r="AGY27" s="700"/>
      <c r="AGZ27" s="700"/>
      <c r="AHA27" s="700"/>
      <c r="AHB27" s="700"/>
      <c r="AHC27" s="700"/>
      <c r="AHD27" s="700"/>
      <c r="AHE27" s="700"/>
      <c r="AHF27" s="700"/>
      <c r="AHG27" s="700"/>
      <c r="AHH27" s="700"/>
      <c r="AHI27" s="700"/>
      <c r="AHJ27" s="700"/>
      <c r="AHK27" s="700"/>
      <c r="AHL27" s="700"/>
      <c r="AHM27" s="700"/>
      <c r="AHN27" s="700"/>
      <c r="AHO27" s="700"/>
      <c r="AHP27" s="700"/>
      <c r="AHQ27" s="700"/>
      <c r="AHR27" s="700"/>
      <c r="AHS27" s="700"/>
      <c r="AHT27" s="700"/>
      <c r="AHU27" s="700"/>
      <c r="AHV27" s="700"/>
      <c r="AHW27" s="700"/>
      <c r="AHX27" s="700"/>
      <c r="AHY27" s="700"/>
      <c r="AHZ27" s="700"/>
      <c r="AIA27" s="700"/>
      <c r="AIB27" s="700"/>
      <c r="AIC27" s="700"/>
      <c r="AID27" s="700"/>
      <c r="AIE27" s="700"/>
      <c r="AIF27" s="700"/>
      <c r="AIG27" s="700"/>
      <c r="AIH27" s="700"/>
      <c r="AII27" s="700"/>
      <c r="AIJ27" s="700"/>
      <c r="AIK27" s="700"/>
      <c r="AIL27" s="700"/>
      <c r="AIM27" s="700"/>
      <c r="AIN27" s="700"/>
      <c r="AIO27" s="700"/>
      <c r="AIP27" s="700"/>
      <c r="AIQ27" s="700"/>
      <c r="AIR27" s="700"/>
      <c r="AIS27" s="700"/>
      <c r="AIT27" s="700"/>
      <c r="AIU27" s="700"/>
      <c r="AIV27" s="700"/>
      <c r="AIW27" s="700"/>
      <c r="AIX27" s="700"/>
      <c r="AIY27" s="700"/>
      <c r="AIZ27" s="700"/>
      <c r="AJA27" s="700"/>
      <c r="AJB27" s="700"/>
      <c r="AJC27" s="700"/>
      <c r="AJD27" s="700"/>
      <c r="AJE27" s="700"/>
      <c r="AJF27" s="700"/>
      <c r="AJG27" s="700"/>
      <c r="AJH27" s="700"/>
      <c r="AJI27" s="700"/>
      <c r="AJJ27" s="700"/>
      <c r="AJK27" s="700"/>
      <c r="AJL27" s="700"/>
      <c r="AJM27" s="700"/>
      <c r="AJN27" s="700"/>
      <c r="AJO27" s="700"/>
      <c r="AJP27" s="700"/>
      <c r="AJQ27" s="700"/>
      <c r="AJR27" s="700"/>
      <c r="AJS27" s="700"/>
      <c r="AJT27" s="700"/>
      <c r="AJU27" s="700"/>
      <c r="AJV27" s="700"/>
      <c r="AJW27" s="700"/>
      <c r="AJX27" s="700"/>
      <c r="AJY27" s="700"/>
      <c r="AJZ27" s="700"/>
      <c r="AKA27" s="700"/>
      <c r="AKB27" s="700"/>
      <c r="AKC27" s="700"/>
      <c r="AKD27" s="700"/>
      <c r="AKE27" s="700"/>
      <c r="AKF27" s="700"/>
      <c r="AKG27" s="700"/>
      <c r="AKH27" s="700"/>
      <c r="AKI27" s="700"/>
      <c r="AKJ27" s="700"/>
      <c r="AKK27" s="700"/>
      <c r="AKL27" s="700"/>
      <c r="AKM27" s="700"/>
      <c r="AKN27" s="700"/>
      <c r="AKO27" s="700"/>
      <c r="AKP27" s="700"/>
      <c r="AKQ27" s="700"/>
      <c r="AKR27" s="700"/>
      <c r="AKS27" s="700"/>
      <c r="AKT27" s="700"/>
      <c r="AKU27" s="700"/>
      <c r="AKV27" s="700"/>
      <c r="AKW27" s="700"/>
      <c r="AKX27" s="700"/>
      <c r="AKY27" s="700"/>
      <c r="AKZ27" s="700"/>
      <c r="ALA27" s="700"/>
      <c r="ALB27" s="700"/>
      <c r="ALC27" s="700"/>
      <c r="ALD27" s="700"/>
      <c r="ALE27" s="700"/>
      <c r="ALF27" s="700"/>
      <c r="ALG27" s="700"/>
      <c r="ALH27" s="700"/>
      <c r="ALI27" s="700"/>
      <c r="ALJ27" s="700"/>
      <c r="ALK27" s="700"/>
      <c r="ALL27" s="700"/>
      <c r="ALM27" s="700"/>
      <c r="ALN27" s="700"/>
      <c r="ALO27" s="700"/>
      <c r="ALP27" s="700"/>
      <c r="ALQ27" s="700"/>
      <c r="ALR27" s="700"/>
      <c r="ALS27" s="700"/>
      <c r="ALT27" s="700"/>
      <c r="ALU27" s="700"/>
      <c r="ALV27" s="700"/>
      <c r="ALW27" s="700"/>
      <c r="ALX27" s="700"/>
      <c r="ALY27" s="700"/>
      <c r="ALZ27" s="700"/>
      <c r="AMA27" s="700"/>
      <c r="AMB27" s="700"/>
      <c r="AMC27" s="700"/>
      <c r="AMD27" s="700"/>
      <c r="AME27" s="700"/>
      <c r="AMF27" s="700"/>
      <c r="AMG27" s="700"/>
      <c r="AMH27" s="700"/>
      <c r="AMI27" s="700"/>
      <c r="AMJ27" s="700"/>
      <c r="AMK27" s="700"/>
      <c r="AML27" s="700"/>
      <c r="AMM27" s="700"/>
      <c r="AMN27" s="700"/>
      <c r="AMO27" s="700"/>
      <c r="AMP27" s="700"/>
      <c r="AMQ27" s="700"/>
      <c r="AMR27" s="700"/>
      <c r="AMS27" s="700"/>
      <c r="AMT27" s="700"/>
      <c r="AMU27" s="700"/>
      <c r="AMV27" s="700"/>
      <c r="AMW27" s="700"/>
      <c r="AMX27" s="700"/>
      <c r="AMY27" s="700"/>
      <c r="AMZ27" s="700"/>
      <c r="ANA27" s="700"/>
      <c r="ANB27" s="700"/>
      <c r="ANC27" s="700"/>
      <c r="AND27" s="700"/>
      <c r="ANE27" s="700"/>
      <c r="ANF27" s="700"/>
      <c r="ANG27" s="700"/>
      <c r="ANH27" s="700"/>
      <c r="ANI27" s="700"/>
      <c r="ANJ27" s="700"/>
      <c r="ANK27" s="700"/>
      <c r="ANL27" s="700"/>
      <c r="ANM27" s="700"/>
      <c r="ANN27" s="700"/>
      <c r="ANO27" s="700"/>
      <c r="ANP27" s="700"/>
      <c r="ANQ27" s="700"/>
      <c r="ANR27" s="700"/>
      <c r="ANS27" s="700"/>
      <c r="ANT27" s="700"/>
      <c r="ANU27" s="700"/>
      <c r="ANV27" s="700"/>
      <c r="ANW27" s="700"/>
      <c r="ANX27" s="700"/>
      <c r="ANY27" s="700"/>
      <c r="ANZ27" s="700"/>
      <c r="AOA27" s="700"/>
      <c r="AOB27" s="700"/>
      <c r="AOC27" s="700"/>
      <c r="AOD27" s="700"/>
      <c r="AOE27" s="700"/>
      <c r="AOF27" s="700"/>
      <c r="AOG27" s="700"/>
      <c r="AOH27" s="700"/>
      <c r="AOI27" s="700"/>
      <c r="AOJ27" s="700"/>
      <c r="AOK27" s="700"/>
      <c r="AOL27" s="700"/>
      <c r="AOM27" s="700"/>
      <c r="AON27" s="700"/>
      <c r="AOO27" s="700"/>
      <c r="AOP27" s="700"/>
      <c r="AOQ27" s="700"/>
      <c r="AOR27" s="700"/>
      <c r="AOS27" s="700"/>
      <c r="AOT27" s="700"/>
      <c r="AOU27" s="700"/>
      <c r="AOV27" s="700"/>
      <c r="AOW27" s="700"/>
      <c r="AOX27" s="700"/>
      <c r="AOY27" s="700"/>
      <c r="AOZ27" s="700"/>
      <c r="APA27" s="700"/>
      <c r="APB27" s="700"/>
      <c r="APC27" s="700"/>
      <c r="APD27" s="700"/>
      <c r="APE27" s="700"/>
      <c r="APF27" s="700"/>
      <c r="APG27" s="700"/>
      <c r="APH27" s="700"/>
      <c r="API27" s="700"/>
      <c r="APJ27" s="700"/>
      <c r="APK27" s="700"/>
      <c r="APL27" s="700"/>
      <c r="APM27" s="700"/>
      <c r="APN27" s="700"/>
      <c r="APO27" s="700"/>
      <c r="APP27" s="700"/>
      <c r="APQ27" s="700"/>
      <c r="APR27" s="700"/>
      <c r="APS27" s="700"/>
      <c r="APT27" s="700"/>
      <c r="APU27" s="700"/>
      <c r="APV27" s="700"/>
      <c r="APW27" s="700"/>
      <c r="APX27" s="700"/>
      <c r="APY27" s="700"/>
      <c r="APZ27" s="700"/>
      <c r="AQA27" s="700"/>
      <c r="AQB27" s="700"/>
      <c r="AQC27" s="700"/>
      <c r="AQD27" s="700"/>
      <c r="AQE27" s="700"/>
      <c r="AQF27" s="700"/>
      <c r="AQG27" s="700"/>
      <c r="AQH27" s="700"/>
      <c r="AQI27" s="700"/>
      <c r="AQJ27" s="700"/>
      <c r="AQK27" s="700"/>
      <c r="AQL27" s="700"/>
      <c r="AQM27" s="700"/>
      <c r="AQN27" s="700"/>
      <c r="AQO27" s="700"/>
      <c r="AQP27" s="700"/>
      <c r="AQQ27" s="700"/>
      <c r="AQR27" s="700"/>
      <c r="AQS27" s="700"/>
      <c r="AQT27" s="700"/>
      <c r="AQU27" s="700"/>
      <c r="AQV27" s="700"/>
      <c r="AQW27" s="700"/>
      <c r="AQX27" s="700"/>
      <c r="AQY27" s="700"/>
      <c r="AQZ27" s="700"/>
      <c r="ARA27" s="700"/>
      <c r="ARB27" s="700"/>
      <c r="ARC27" s="700"/>
      <c r="ARD27" s="700"/>
      <c r="ARE27" s="700"/>
      <c r="ARF27" s="700"/>
      <c r="ARG27" s="700"/>
      <c r="ARH27" s="700"/>
      <c r="ARI27" s="700"/>
      <c r="ARJ27" s="700"/>
      <c r="ARK27" s="700"/>
      <c r="ARL27" s="700"/>
      <c r="ARM27" s="700"/>
      <c r="ARN27" s="700"/>
      <c r="ARO27" s="700"/>
      <c r="ARP27" s="700"/>
      <c r="ARQ27" s="700"/>
      <c r="ARR27" s="700"/>
      <c r="ARS27" s="700"/>
      <c r="ART27" s="700"/>
      <c r="ARU27" s="700"/>
      <c r="ARV27" s="700"/>
      <c r="ARW27" s="700"/>
      <c r="ARX27" s="700"/>
      <c r="ARY27" s="700"/>
      <c r="ARZ27" s="700"/>
      <c r="ASA27" s="700"/>
      <c r="ASB27" s="700"/>
      <c r="ASC27" s="700"/>
      <c r="ASD27" s="700"/>
      <c r="ASE27" s="700"/>
      <c r="ASF27" s="700"/>
      <c r="ASG27" s="700"/>
      <c r="ASH27" s="700"/>
      <c r="ASI27" s="700"/>
      <c r="ASJ27" s="700"/>
      <c r="ASK27" s="700"/>
      <c r="ASL27" s="700"/>
      <c r="ASM27" s="700"/>
      <c r="ASN27" s="700"/>
      <c r="ASO27" s="700"/>
      <c r="ASP27" s="700"/>
      <c r="ASQ27" s="700"/>
      <c r="ASR27" s="700"/>
      <c r="ASS27" s="700"/>
      <c r="AST27" s="700"/>
      <c r="ASU27" s="700"/>
      <c r="ASV27" s="700"/>
      <c r="ASW27" s="700"/>
      <c r="ASX27" s="700"/>
      <c r="ASY27" s="700"/>
      <c r="ASZ27" s="700"/>
      <c r="ATA27" s="700"/>
      <c r="ATB27" s="700"/>
      <c r="ATC27" s="700"/>
      <c r="ATD27" s="700"/>
      <c r="ATE27" s="700"/>
      <c r="ATF27" s="700"/>
      <c r="ATG27" s="700"/>
      <c r="ATH27" s="700"/>
      <c r="ATI27" s="700"/>
      <c r="ATJ27" s="700"/>
      <c r="ATK27" s="700"/>
      <c r="ATL27" s="700"/>
      <c r="ATM27" s="700"/>
      <c r="ATN27" s="700"/>
      <c r="ATO27" s="700"/>
      <c r="ATP27" s="700"/>
      <c r="ATQ27" s="700"/>
      <c r="ATR27" s="700"/>
      <c r="ATS27" s="700"/>
      <c r="ATT27" s="700"/>
      <c r="ATU27" s="700"/>
      <c r="ATV27" s="700"/>
      <c r="ATW27" s="700"/>
      <c r="ATX27" s="700"/>
      <c r="ATY27" s="700"/>
      <c r="ATZ27" s="700"/>
      <c r="AUA27" s="700"/>
      <c r="AUB27" s="700"/>
      <c r="AUC27" s="700"/>
      <c r="AUD27" s="700"/>
      <c r="AUE27" s="700"/>
      <c r="AUF27" s="700"/>
      <c r="AUG27" s="700"/>
      <c r="AUH27" s="700"/>
      <c r="AUI27" s="700"/>
      <c r="AUJ27" s="700"/>
      <c r="AUK27" s="700"/>
      <c r="AUL27" s="700"/>
      <c r="AUM27" s="700"/>
      <c r="AUN27" s="700"/>
      <c r="AUO27" s="700"/>
      <c r="AUP27" s="700"/>
      <c r="AUQ27" s="700"/>
      <c r="AUR27" s="700"/>
      <c r="AUS27" s="700"/>
      <c r="AUT27" s="700"/>
      <c r="AUU27" s="700"/>
      <c r="AUV27" s="700"/>
      <c r="AUW27" s="700"/>
      <c r="AUX27" s="700"/>
      <c r="AUY27" s="700"/>
      <c r="AUZ27" s="700"/>
      <c r="AVA27" s="700"/>
      <c r="AVB27" s="700"/>
      <c r="AVC27" s="700"/>
      <c r="AVD27" s="700"/>
      <c r="AVE27" s="700"/>
      <c r="AVF27" s="700"/>
      <c r="AVG27" s="700"/>
      <c r="AVH27" s="700"/>
      <c r="AVI27" s="700"/>
      <c r="AVJ27" s="700"/>
      <c r="AVK27" s="700"/>
      <c r="AVL27" s="700"/>
      <c r="AVM27" s="700"/>
      <c r="AVN27" s="700"/>
      <c r="AVO27" s="700"/>
      <c r="AVP27" s="700"/>
      <c r="AVQ27" s="700"/>
      <c r="AVR27" s="700"/>
      <c r="AVS27" s="700"/>
      <c r="AVT27" s="700"/>
      <c r="AVU27" s="700"/>
      <c r="AVV27" s="700"/>
      <c r="AVW27" s="700"/>
      <c r="AVX27" s="700"/>
      <c r="AVY27" s="700"/>
      <c r="AVZ27" s="700"/>
      <c r="AWA27" s="700"/>
      <c r="AWB27" s="700"/>
      <c r="AWC27" s="700"/>
      <c r="AWD27" s="700"/>
      <c r="AWE27" s="700"/>
      <c r="AWF27" s="700"/>
      <c r="AWG27" s="700"/>
      <c r="AWH27" s="700"/>
      <c r="AWI27" s="700"/>
      <c r="AWJ27" s="700"/>
      <c r="AWK27" s="700"/>
      <c r="AWL27" s="700"/>
      <c r="AWM27" s="700"/>
      <c r="AWN27" s="700"/>
      <c r="AWO27" s="700"/>
      <c r="AWP27" s="700"/>
      <c r="AWQ27" s="700"/>
      <c r="AWR27" s="700"/>
      <c r="AWS27" s="700"/>
      <c r="AWT27" s="700"/>
      <c r="AWU27" s="700"/>
      <c r="AWV27" s="700"/>
      <c r="AWW27" s="700"/>
      <c r="AWX27" s="700"/>
      <c r="AWY27" s="700"/>
      <c r="AWZ27" s="700"/>
      <c r="AXA27" s="700"/>
      <c r="AXB27" s="700"/>
      <c r="AXC27" s="700"/>
      <c r="AXD27" s="700"/>
      <c r="AXE27" s="700"/>
      <c r="AXF27" s="700"/>
      <c r="AXG27" s="700"/>
      <c r="AXH27" s="700"/>
      <c r="AXI27" s="700"/>
      <c r="AXJ27" s="700"/>
      <c r="AXK27" s="700"/>
      <c r="AXL27" s="700"/>
      <c r="AXM27" s="700"/>
      <c r="AXN27" s="700"/>
      <c r="AXO27" s="700"/>
      <c r="AXP27" s="700"/>
      <c r="AXQ27" s="700"/>
      <c r="AXR27" s="700"/>
      <c r="AXS27" s="700"/>
      <c r="AXT27" s="700"/>
      <c r="AXU27" s="700"/>
      <c r="AXV27" s="700"/>
      <c r="AXW27" s="700"/>
      <c r="AXX27" s="700"/>
      <c r="AXY27" s="700"/>
      <c r="AXZ27" s="700"/>
      <c r="AYA27" s="700"/>
      <c r="AYB27" s="700"/>
      <c r="AYC27" s="700"/>
      <c r="AYD27" s="700"/>
      <c r="AYE27" s="700"/>
      <c r="AYF27" s="700"/>
      <c r="AYG27" s="700"/>
      <c r="AYH27" s="700"/>
      <c r="AYI27" s="700"/>
      <c r="AYJ27" s="700"/>
      <c r="AYK27" s="700"/>
      <c r="AYL27" s="700"/>
      <c r="AYM27" s="700"/>
      <c r="AYN27" s="700"/>
      <c r="AYO27" s="700"/>
      <c r="AYP27" s="700"/>
      <c r="AYQ27" s="700"/>
      <c r="AYR27" s="700"/>
      <c r="AYS27" s="700"/>
      <c r="AYT27" s="700"/>
      <c r="AYU27" s="700"/>
      <c r="AYV27" s="700"/>
      <c r="AYW27" s="700"/>
      <c r="AYX27" s="700"/>
      <c r="AYY27" s="700"/>
      <c r="AYZ27" s="700"/>
      <c r="AZA27" s="700"/>
      <c r="AZB27" s="700"/>
      <c r="AZC27" s="700"/>
      <c r="AZD27" s="700"/>
      <c r="AZE27" s="700"/>
      <c r="AZF27" s="700"/>
      <c r="AZG27" s="700"/>
      <c r="AZH27" s="700"/>
      <c r="AZI27" s="700"/>
      <c r="AZJ27" s="700"/>
      <c r="AZK27" s="700"/>
      <c r="AZL27" s="700"/>
      <c r="AZM27" s="700"/>
      <c r="AZN27" s="700"/>
      <c r="AZO27" s="700"/>
      <c r="AZP27" s="700"/>
      <c r="AZQ27" s="700"/>
      <c r="AZR27" s="700"/>
      <c r="AZS27" s="700"/>
      <c r="AZT27" s="700"/>
      <c r="AZU27" s="700"/>
      <c r="AZV27" s="700"/>
      <c r="AZW27" s="700"/>
      <c r="AZX27" s="700"/>
      <c r="AZY27" s="700"/>
      <c r="AZZ27" s="700"/>
      <c r="BAA27" s="700"/>
      <c r="BAB27" s="700"/>
      <c r="BAC27" s="700"/>
      <c r="BAD27" s="700"/>
      <c r="BAE27" s="700"/>
      <c r="BAF27" s="700"/>
      <c r="BAG27" s="700"/>
      <c r="BAH27" s="700"/>
      <c r="BAI27" s="700"/>
      <c r="BAJ27" s="700"/>
      <c r="BAK27" s="700"/>
      <c r="BAL27" s="700"/>
      <c r="BAM27" s="700"/>
      <c r="BAN27" s="700"/>
      <c r="BAO27" s="700"/>
      <c r="BAP27" s="700"/>
      <c r="BAQ27" s="700"/>
      <c r="BAR27" s="700"/>
      <c r="BAS27" s="700"/>
      <c r="BAT27" s="700"/>
      <c r="BAU27" s="700"/>
      <c r="BAV27" s="700"/>
      <c r="BAW27" s="700"/>
      <c r="BAX27" s="700"/>
      <c r="BAY27" s="700"/>
      <c r="BAZ27" s="700"/>
      <c r="BBA27" s="700"/>
      <c r="BBB27" s="700"/>
      <c r="BBC27" s="700"/>
      <c r="BBD27" s="700"/>
      <c r="BBE27" s="700"/>
      <c r="BBF27" s="700"/>
      <c r="BBG27" s="700"/>
      <c r="BBH27" s="700"/>
      <c r="BBI27" s="700"/>
      <c r="BBJ27" s="700"/>
      <c r="BBK27" s="700"/>
      <c r="BBL27" s="700"/>
      <c r="BBM27" s="700"/>
      <c r="BBN27" s="700"/>
      <c r="BBO27" s="700"/>
      <c r="BBP27" s="700"/>
      <c r="BBQ27" s="700"/>
      <c r="BBR27" s="700"/>
      <c r="BBS27" s="700"/>
      <c r="BBT27" s="700"/>
      <c r="BBU27" s="700"/>
      <c r="BBV27" s="700"/>
      <c r="BBW27" s="700"/>
      <c r="BBX27" s="700"/>
      <c r="BBY27" s="700"/>
      <c r="BBZ27" s="700"/>
      <c r="BCA27" s="700"/>
      <c r="BCB27" s="700"/>
      <c r="BCC27" s="700"/>
      <c r="BCD27" s="700"/>
      <c r="BCE27" s="700"/>
      <c r="BCF27" s="700"/>
      <c r="BCG27" s="700"/>
      <c r="BCH27" s="700"/>
      <c r="BCI27" s="700"/>
      <c r="BCJ27" s="700"/>
      <c r="BCK27" s="700"/>
      <c r="BCL27" s="700"/>
      <c r="BCM27" s="700"/>
      <c r="BCN27" s="700"/>
      <c r="BCO27" s="700"/>
      <c r="BCP27" s="700"/>
      <c r="BCQ27" s="700"/>
      <c r="BCR27" s="700"/>
      <c r="BCS27" s="700"/>
      <c r="BCT27" s="700"/>
      <c r="BCU27" s="700"/>
      <c r="BCV27" s="700"/>
      <c r="BCW27" s="700"/>
      <c r="BCX27" s="700"/>
      <c r="BCY27" s="700"/>
      <c r="BCZ27" s="700"/>
      <c r="BDA27" s="700"/>
      <c r="BDB27" s="700"/>
      <c r="BDC27" s="700"/>
      <c r="BDD27" s="700"/>
      <c r="BDE27" s="700"/>
      <c r="BDF27" s="700"/>
      <c r="BDG27" s="700"/>
      <c r="BDH27" s="700"/>
      <c r="BDI27" s="700"/>
      <c r="BDJ27" s="700"/>
      <c r="BDK27" s="700"/>
      <c r="BDL27" s="700"/>
      <c r="BDM27" s="700"/>
      <c r="BDN27" s="700"/>
      <c r="BDO27" s="700"/>
      <c r="BDP27" s="700"/>
      <c r="BDQ27" s="700"/>
      <c r="BDR27" s="700"/>
      <c r="BDS27" s="700"/>
      <c r="BDT27" s="700"/>
      <c r="BDU27" s="700"/>
      <c r="BDV27" s="700"/>
      <c r="BDW27" s="700"/>
      <c r="BDX27" s="700"/>
      <c r="BDY27" s="700"/>
      <c r="BDZ27" s="700"/>
      <c r="BEA27" s="700"/>
      <c r="BEB27" s="700"/>
      <c r="BEC27" s="700"/>
      <c r="BED27" s="700"/>
      <c r="BEE27" s="700"/>
      <c r="BEF27" s="700"/>
      <c r="BEG27" s="700"/>
      <c r="BEH27" s="700"/>
      <c r="BEI27" s="700"/>
      <c r="BEJ27" s="700"/>
      <c r="BEK27" s="700"/>
      <c r="BEL27" s="700"/>
      <c r="BEM27" s="700"/>
      <c r="BEN27" s="700"/>
      <c r="BEO27" s="700"/>
      <c r="BEP27" s="700"/>
      <c r="BEQ27" s="700"/>
      <c r="BER27" s="700"/>
      <c r="BES27" s="700"/>
      <c r="BET27" s="700"/>
      <c r="BEU27" s="700"/>
      <c r="BEV27" s="700"/>
      <c r="BEW27" s="700"/>
      <c r="BEX27" s="700"/>
      <c r="BEY27" s="700"/>
      <c r="BEZ27" s="700"/>
      <c r="BFA27" s="700"/>
      <c r="BFB27" s="700"/>
      <c r="BFC27" s="700"/>
      <c r="BFD27" s="700"/>
      <c r="BFE27" s="700"/>
      <c r="BFF27" s="700"/>
      <c r="BFG27" s="700"/>
      <c r="BFH27" s="700"/>
      <c r="BFI27" s="700"/>
      <c r="BFJ27" s="700"/>
      <c r="BFK27" s="700"/>
      <c r="BFL27" s="700"/>
      <c r="BFM27" s="700"/>
      <c r="BFN27" s="700"/>
      <c r="BFO27" s="700"/>
      <c r="BFP27" s="700"/>
      <c r="BFQ27" s="700"/>
      <c r="BFR27" s="700"/>
      <c r="BFS27" s="700"/>
      <c r="BFT27" s="700"/>
      <c r="BFU27" s="700"/>
      <c r="BFV27" s="700"/>
      <c r="BFW27" s="700"/>
      <c r="BFX27" s="700"/>
      <c r="BFY27" s="700"/>
      <c r="BFZ27" s="700"/>
      <c r="BGA27" s="700"/>
      <c r="BGB27" s="700"/>
      <c r="BGC27" s="700"/>
      <c r="BGD27" s="700"/>
      <c r="BGE27" s="700"/>
      <c r="BGF27" s="700"/>
      <c r="BGG27" s="700"/>
      <c r="BGH27" s="700"/>
      <c r="BGI27" s="700"/>
      <c r="BGJ27" s="700"/>
      <c r="BGK27" s="700"/>
      <c r="BGL27" s="700"/>
      <c r="BGM27" s="700"/>
      <c r="BGN27" s="700"/>
      <c r="BGO27" s="700"/>
      <c r="BGP27" s="700"/>
      <c r="BGQ27" s="700"/>
      <c r="BGR27" s="700"/>
      <c r="BGS27" s="700"/>
      <c r="BGT27" s="700"/>
      <c r="BGU27" s="700"/>
      <c r="BGV27" s="700"/>
      <c r="BGW27" s="700"/>
      <c r="BGX27" s="700"/>
      <c r="BGY27" s="700"/>
      <c r="BGZ27" s="700"/>
      <c r="BHA27" s="700"/>
      <c r="BHB27" s="700"/>
      <c r="BHC27" s="700"/>
      <c r="BHD27" s="700"/>
      <c r="BHE27" s="700"/>
      <c r="BHF27" s="700"/>
      <c r="BHG27" s="700"/>
      <c r="BHH27" s="700"/>
      <c r="BHI27" s="700"/>
      <c r="BHJ27" s="700"/>
      <c r="BHK27" s="700"/>
      <c r="BHL27" s="700"/>
      <c r="BHM27" s="700"/>
      <c r="BHN27" s="700"/>
      <c r="BHO27" s="700"/>
      <c r="BHP27" s="700"/>
      <c r="BHQ27" s="700"/>
      <c r="BHR27" s="700"/>
      <c r="BHS27" s="700"/>
      <c r="BHT27" s="700"/>
      <c r="BHU27" s="700"/>
      <c r="BHV27" s="700"/>
      <c r="BHW27" s="700"/>
      <c r="BHX27" s="700"/>
      <c r="BHY27" s="700"/>
      <c r="BHZ27" s="700"/>
      <c r="BIA27" s="700"/>
      <c r="BIB27" s="700"/>
      <c r="BIC27" s="700"/>
      <c r="BID27" s="700"/>
      <c r="BIE27" s="700"/>
      <c r="BIF27" s="700"/>
      <c r="BIG27" s="700"/>
      <c r="BIH27" s="700"/>
      <c r="BII27" s="700"/>
      <c r="BIJ27" s="700"/>
      <c r="BIK27" s="700"/>
      <c r="BIL27" s="700"/>
      <c r="BIM27" s="700"/>
      <c r="BIN27" s="700"/>
      <c r="BIO27" s="700"/>
      <c r="BIP27" s="700"/>
      <c r="BIQ27" s="700"/>
      <c r="BIR27" s="700"/>
      <c r="BIS27" s="700"/>
      <c r="BIT27" s="700"/>
      <c r="BIU27" s="700"/>
      <c r="BIV27" s="700"/>
      <c r="BIW27" s="700"/>
      <c r="BIX27" s="700"/>
      <c r="BIY27" s="700"/>
      <c r="BIZ27" s="700"/>
      <c r="BJA27" s="700"/>
      <c r="BJB27" s="700"/>
      <c r="BJC27" s="700"/>
      <c r="BJD27" s="700"/>
      <c r="BJE27" s="700"/>
      <c r="BJF27" s="700"/>
      <c r="BJG27" s="700"/>
      <c r="BJH27" s="700"/>
      <c r="BJI27" s="700"/>
      <c r="BJJ27" s="700"/>
      <c r="BJK27" s="700"/>
      <c r="BJL27" s="700"/>
      <c r="BJM27" s="700"/>
      <c r="BJN27" s="700"/>
      <c r="BJO27" s="700"/>
      <c r="BJP27" s="700"/>
      <c r="BJQ27" s="700"/>
      <c r="BJR27" s="700"/>
      <c r="BJS27" s="700"/>
      <c r="BJT27" s="700"/>
      <c r="BJU27" s="700"/>
      <c r="BJV27" s="700"/>
      <c r="BJW27" s="700"/>
      <c r="BJX27" s="700"/>
      <c r="BJY27" s="700"/>
      <c r="BJZ27" s="700"/>
      <c r="BKA27" s="700"/>
      <c r="BKB27" s="700"/>
      <c r="BKC27" s="700"/>
      <c r="BKD27" s="700"/>
      <c r="BKE27" s="700"/>
      <c r="BKF27" s="700"/>
      <c r="BKG27" s="700"/>
      <c r="BKH27" s="700"/>
      <c r="BKI27" s="700"/>
      <c r="BKJ27" s="700"/>
      <c r="BKK27" s="700"/>
      <c r="BKL27" s="700"/>
      <c r="BKM27" s="700"/>
      <c r="BKN27" s="700"/>
      <c r="BKO27" s="700"/>
      <c r="BKP27" s="700"/>
      <c r="BKQ27" s="700"/>
      <c r="BKR27" s="700"/>
      <c r="BKS27" s="700"/>
      <c r="BKT27" s="700"/>
      <c r="BKU27" s="700"/>
      <c r="BKV27" s="700"/>
      <c r="BKW27" s="700"/>
      <c r="BKX27" s="700"/>
      <c r="BKY27" s="700"/>
      <c r="BKZ27" s="700"/>
      <c r="BLA27" s="700"/>
      <c r="BLB27" s="700"/>
      <c r="BLC27" s="700"/>
      <c r="BLD27" s="700"/>
      <c r="BLE27" s="700"/>
      <c r="BLF27" s="700"/>
      <c r="BLG27" s="700"/>
      <c r="BLH27" s="700"/>
      <c r="BLI27" s="700"/>
      <c r="BLJ27" s="700"/>
      <c r="BLK27" s="700"/>
      <c r="BLL27" s="700"/>
      <c r="BLM27" s="700"/>
      <c r="BLN27" s="700"/>
      <c r="BLO27" s="700"/>
      <c r="BLP27" s="700"/>
      <c r="BLQ27" s="700"/>
      <c r="BLR27" s="700"/>
      <c r="BLS27" s="700"/>
      <c r="BLT27" s="700"/>
      <c r="BLU27" s="700"/>
      <c r="BLV27" s="700"/>
      <c r="BLW27" s="700"/>
      <c r="BLX27" s="700"/>
      <c r="BLY27" s="700"/>
      <c r="BLZ27" s="700"/>
      <c r="BMA27" s="700"/>
      <c r="BMB27" s="700"/>
      <c r="BMC27" s="700"/>
      <c r="BMD27" s="700"/>
      <c r="BME27" s="700"/>
      <c r="BMF27" s="700"/>
      <c r="BMG27" s="700"/>
      <c r="BMH27" s="700"/>
      <c r="BMI27" s="700"/>
      <c r="BMJ27" s="700"/>
      <c r="BMK27" s="700"/>
      <c r="BML27" s="700"/>
      <c r="BMM27" s="700"/>
      <c r="BMN27" s="700"/>
      <c r="BMO27" s="700"/>
      <c r="BMP27" s="700"/>
      <c r="BMQ27" s="700"/>
      <c r="BMR27" s="700"/>
      <c r="BMS27" s="700"/>
      <c r="BMT27" s="700"/>
      <c r="BMU27" s="700"/>
      <c r="BMV27" s="700"/>
      <c r="BMW27" s="700"/>
      <c r="BMX27" s="700"/>
      <c r="BMY27" s="700"/>
      <c r="BMZ27" s="700"/>
      <c r="BNA27" s="700"/>
      <c r="BNB27" s="700"/>
      <c r="BNC27" s="700"/>
      <c r="BND27" s="700"/>
      <c r="BNE27" s="700"/>
      <c r="BNF27" s="700"/>
      <c r="BNG27" s="700"/>
      <c r="BNH27" s="700"/>
      <c r="BNI27" s="700"/>
      <c r="BNJ27" s="700"/>
      <c r="BNK27" s="700"/>
      <c r="BNL27" s="700"/>
      <c r="BNM27" s="700"/>
      <c r="BNN27" s="700"/>
      <c r="BNO27" s="700"/>
      <c r="BNP27" s="700"/>
      <c r="BNQ27" s="700"/>
      <c r="BNR27" s="700"/>
      <c r="BNS27" s="700"/>
      <c r="BNT27" s="700"/>
      <c r="BNU27" s="700"/>
      <c r="BNV27" s="700"/>
      <c r="BNW27" s="700"/>
      <c r="BNX27" s="700"/>
      <c r="BNY27" s="700"/>
      <c r="BNZ27" s="700"/>
      <c r="BOA27" s="700"/>
      <c r="BOB27" s="700"/>
      <c r="BOC27" s="700"/>
      <c r="BOD27" s="700"/>
      <c r="BOE27" s="700"/>
      <c r="BOF27" s="700"/>
      <c r="BOG27" s="700"/>
      <c r="BOH27" s="700"/>
      <c r="BOI27" s="700"/>
      <c r="BOJ27" s="700"/>
      <c r="BOK27" s="700"/>
      <c r="BOL27" s="700"/>
      <c r="BOM27" s="700"/>
      <c r="BON27" s="700"/>
      <c r="BOO27" s="700"/>
      <c r="BOP27" s="700"/>
      <c r="BOQ27" s="700"/>
      <c r="BOR27" s="700"/>
      <c r="BOS27" s="700"/>
      <c r="BOT27" s="700"/>
      <c r="BOU27" s="700"/>
      <c r="BOV27" s="700"/>
      <c r="BOW27" s="700"/>
      <c r="BOX27" s="700"/>
      <c r="BOY27" s="700"/>
      <c r="BOZ27" s="700"/>
      <c r="BPA27" s="700"/>
      <c r="BPB27" s="700"/>
      <c r="BPC27" s="700"/>
      <c r="BPD27" s="700"/>
      <c r="BPE27" s="700"/>
      <c r="BPF27" s="700"/>
      <c r="BPG27" s="700"/>
      <c r="BPH27" s="700"/>
      <c r="BPI27" s="700"/>
      <c r="BPJ27" s="700"/>
      <c r="BPK27" s="700"/>
      <c r="BPL27" s="700"/>
      <c r="BPM27" s="700"/>
      <c r="BPN27" s="700"/>
      <c r="BPO27" s="700"/>
      <c r="BPP27" s="700"/>
      <c r="BPQ27" s="700"/>
      <c r="BPR27" s="700"/>
      <c r="BPS27" s="700"/>
      <c r="BPT27" s="700"/>
      <c r="BPU27" s="700"/>
      <c r="BPV27" s="700"/>
      <c r="BPW27" s="700"/>
      <c r="BPX27" s="700"/>
      <c r="BPY27" s="700"/>
      <c r="BPZ27" s="700"/>
      <c r="BQA27" s="700"/>
      <c r="BQB27" s="700"/>
      <c r="BQC27" s="700"/>
      <c r="BQD27" s="700"/>
      <c r="BQE27" s="700"/>
      <c r="BQF27" s="700"/>
      <c r="BQG27" s="700"/>
      <c r="BQH27" s="700"/>
      <c r="BQI27" s="700"/>
      <c r="BQJ27" s="700"/>
      <c r="BQK27" s="700"/>
      <c r="BQL27" s="700"/>
      <c r="BQM27" s="700"/>
      <c r="BQN27" s="700"/>
      <c r="BQO27" s="700"/>
      <c r="BQP27" s="700"/>
      <c r="BQQ27" s="700"/>
      <c r="BQR27" s="700"/>
      <c r="BQS27" s="700"/>
      <c r="BQT27" s="700"/>
      <c r="BQU27" s="700"/>
      <c r="BQV27" s="700"/>
      <c r="BQW27" s="700"/>
      <c r="BQX27" s="700"/>
      <c r="BQY27" s="700"/>
      <c r="BQZ27" s="700"/>
      <c r="BRA27" s="700"/>
      <c r="BRB27" s="700"/>
      <c r="BRC27" s="700"/>
      <c r="BRD27" s="700"/>
      <c r="BRE27" s="700"/>
      <c r="BRF27" s="700"/>
      <c r="BRG27" s="700"/>
      <c r="BRH27" s="700"/>
      <c r="BRI27" s="700"/>
      <c r="BRJ27" s="700"/>
      <c r="BRK27" s="700"/>
      <c r="BRL27" s="700"/>
      <c r="BRM27" s="700"/>
      <c r="BRN27" s="700"/>
      <c r="BRO27" s="700"/>
      <c r="BRP27" s="700"/>
      <c r="BRQ27" s="700"/>
      <c r="BRR27" s="700"/>
      <c r="BRS27" s="700"/>
      <c r="BRT27" s="700"/>
      <c r="BRU27" s="700"/>
      <c r="BRV27" s="700"/>
      <c r="BRW27" s="700"/>
      <c r="BRX27" s="700"/>
      <c r="BRY27" s="700"/>
      <c r="BRZ27" s="700"/>
      <c r="BSA27" s="700"/>
      <c r="BSB27" s="700"/>
      <c r="BSC27" s="700"/>
      <c r="BSD27" s="700"/>
      <c r="BSE27" s="700"/>
      <c r="BSF27" s="700"/>
      <c r="BSG27" s="700"/>
      <c r="BSH27" s="700"/>
      <c r="BSI27" s="700"/>
      <c r="BSJ27" s="700"/>
      <c r="BSK27" s="700"/>
      <c r="BSL27" s="700"/>
      <c r="BSM27" s="700"/>
      <c r="BSN27" s="700"/>
      <c r="BSO27" s="700"/>
      <c r="BSP27" s="700"/>
      <c r="BSQ27" s="700"/>
      <c r="BSR27" s="700"/>
      <c r="BSS27" s="700"/>
      <c r="BST27" s="700"/>
      <c r="BSU27" s="700"/>
      <c r="BSV27" s="700"/>
      <c r="BSW27" s="700"/>
      <c r="BSX27" s="700"/>
      <c r="BSY27" s="700"/>
      <c r="BSZ27" s="700"/>
      <c r="BTA27" s="700"/>
      <c r="BTB27" s="700"/>
      <c r="BTC27" s="700"/>
      <c r="BTD27" s="700"/>
      <c r="BTE27" s="700"/>
      <c r="BTF27" s="700"/>
      <c r="BTG27" s="700"/>
      <c r="BTH27" s="700"/>
      <c r="BTI27" s="700"/>
      <c r="BTJ27" s="700"/>
      <c r="BTK27" s="700"/>
      <c r="BTL27" s="700"/>
      <c r="BTM27" s="700"/>
      <c r="BTN27" s="700"/>
      <c r="BTO27" s="700"/>
      <c r="BTP27" s="700"/>
      <c r="BTQ27" s="700"/>
      <c r="BTR27" s="700"/>
      <c r="BTS27" s="700"/>
      <c r="BTT27" s="700"/>
      <c r="BTU27" s="700"/>
      <c r="BTV27" s="700"/>
      <c r="BTW27" s="700"/>
      <c r="BTX27" s="700"/>
      <c r="BTY27" s="700"/>
      <c r="BTZ27" s="700"/>
      <c r="BUA27" s="700"/>
      <c r="BUB27" s="700"/>
      <c r="BUC27" s="700"/>
      <c r="BUD27" s="700"/>
      <c r="BUE27" s="700"/>
      <c r="BUF27" s="700"/>
      <c r="BUG27" s="700"/>
      <c r="BUH27" s="700"/>
      <c r="BUI27" s="700"/>
      <c r="BUJ27" s="700"/>
      <c r="BUK27" s="700"/>
      <c r="BUL27" s="700"/>
      <c r="BUM27" s="700"/>
      <c r="BUN27" s="700"/>
      <c r="BUO27" s="700"/>
      <c r="BUP27" s="700"/>
      <c r="BUQ27" s="700"/>
      <c r="BUR27" s="700"/>
      <c r="BUS27" s="700"/>
      <c r="BUT27" s="700"/>
      <c r="BUU27" s="700"/>
      <c r="BUV27" s="700"/>
      <c r="BUW27" s="700"/>
      <c r="BUX27" s="700"/>
      <c r="BUY27" s="700"/>
      <c r="BUZ27" s="700"/>
      <c r="BVA27" s="700"/>
      <c r="BVB27" s="700"/>
      <c r="BVC27" s="700"/>
      <c r="BVD27" s="700"/>
      <c r="BVE27" s="700"/>
      <c r="BVF27" s="700"/>
      <c r="BVG27" s="700"/>
      <c r="BVH27" s="700"/>
      <c r="BVI27" s="700"/>
      <c r="BVJ27" s="700"/>
      <c r="BVK27" s="700"/>
      <c r="BVL27" s="700"/>
      <c r="BVM27" s="700"/>
      <c r="BVN27" s="700"/>
      <c r="BVO27" s="700"/>
      <c r="BVP27" s="700"/>
      <c r="BVQ27" s="700"/>
      <c r="BVR27" s="700"/>
      <c r="BVS27" s="700"/>
      <c r="BVT27" s="700"/>
      <c r="BVU27" s="700"/>
      <c r="BVV27" s="700"/>
      <c r="BVW27" s="700"/>
      <c r="BVX27" s="700"/>
      <c r="BVY27" s="700"/>
      <c r="BVZ27" s="700"/>
      <c r="BWA27" s="700"/>
      <c r="BWB27" s="700"/>
      <c r="BWC27" s="700"/>
      <c r="BWD27" s="700"/>
      <c r="BWE27" s="700"/>
      <c r="BWF27" s="700"/>
      <c r="BWG27" s="700"/>
      <c r="BWH27" s="700"/>
      <c r="BWI27" s="700"/>
      <c r="BWJ27" s="700"/>
      <c r="BWK27" s="700"/>
      <c r="BWL27" s="700"/>
      <c r="BWM27" s="700"/>
      <c r="BWN27" s="700"/>
      <c r="BWO27" s="700"/>
      <c r="BWP27" s="700"/>
      <c r="BWQ27" s="700"/>
      <c r="BWR27" s="700"/>
      <c r="BWS27" s="700"/>
      <c r="BWT27" s="700"/>
      <c r="BWU27" s="700"/>
      <c r="BWV27" s="700"/>
      <c r="BWW27" s="700"/>
      <c r="BWX27" s="700"/>
      <c r="BWY27" s="700"/>
      <c r="BWZ27" s="700"/>
      <c r="BXA27" s="700"/>
      <c r="BXB27" s="700"/>
      <c r="BXC27" s="700"/>
      <c r="BXD27" s="700"/>
      <c r="BXE27" s="700"/>
      <c r="BXF27" s="700"/>
      <c r="BXG27" s="700"/>
      <c r="BXH27" s="700"/>
      <c r="BXI27" s="700"/>
      <c r="BXJ27" s="700"/>
      <c r="BXK27" s="700"/>
      <c r="BXL27" s="700"/>
      <c r="BXM27" s="700"/>
      <c r="BXN27" s="700"/>
      <c r="BXO27" s="700"/>
      <c r="BXP27" s="700"/>
      <c r="BXQ27" s="700"/>
      <c r="BXR27" s="700"/>
      <c r="BXS27" s="700"/>
      <c r="BXT27" s="700"/>
      <c r="BXU27" s="700"/>
      <c r="BXV27" s="700"/>
      <c r="BXW27" s="700"/>
      <c r="BXX27" s="700"/>
      <c r="BXY27" s="700"/>
      <c r="BXZ27" s="700"/>
    </row>
    <row r="28" spans="1:2002" ht="15">
      <c r="A28" s="717"/>
      <c r="B28" s="706"/>
      <c r="C28" s="739" t="s">
        <v>49</v>
      </c>
      <c r="D28" s="740">
        <f>SUM(D20:D27)</f>
        <v>11178000</v>
      </c>
      <c r="E28" s="740">
        <f>SUM(E20:E27)</f>
        <v>9170000</v>
      </c>
      <c r="F28" s="740">
        <f>SUM(F20:F27)</f>
        <v>8792000</v>
      </c>
      <c r="G28" s="740">
        <f>SUM(G20:G27)</f>
        <v>9295000</v>
      </c>
      <c r="H28" s="740">
        <f>SUM(H20:H27)</f>
        <v>11983000</v>
      </c>
      <c r="I28" s="740"/>
      <c r="J28" s="740"/>
      <c r="K28" s="740"/>
      <c r="L28" s="740"/>
      <c r="M28" s="740"/>
      <c r="N28" s="741"/>
      <c r="O28" s="741"/>
      <c r="P28" s="741"/>
      <c r="Q28" s="741"/>
      <c r="R28" s="741"/>
      <c r="S28" s="712"/>
      <c r="T28" s="700"/>
      <c r="U28" s="700"/>
      <c r="V28" s="700"/>
      <c r="W28" s="700"/>
      <c r="X28" s="700"/>
      <c r="Y28" s="700"/>
      <c r="Z28" s="700"/>
      <c r="AA28" s="700"/>
      <c r="AB28" s="700"/>
      <c r="AC28" s="700"/>
      <c r="AD28" s="700"/>
      <c r="AE28" s="700"/>
      <c r="AF28" s="700"/>
      <c r="AG28" s="700"/>
      <c r="AH28" s="700"/>
      <c r="AI28" s="700"/>
      <c r="AJ28" s="700"/>
      <c r="AK28" s="700"/>
      <c r="AL28" s="700"/>
      <c r="AM28" s="700"/>
      <c r="AN28" s="700"/>
      <c r="AO28" s="700"/>
      <c r="AP28" s="700"/>
      <c r="AQ28" s="700"/>
      <c r="AR28" s="700"/>
      <c r="AS28" s="700"/>
      <c r="AT28" s="700"/>
      <c r="AU28" s="700"/>
      <c r="AV28" s="700"/>
      <c r="AW28" s="700"/>
      <c r="AX28" s="700"/>
      <c r="AY28" s="700"/>
      <c r="AZ28" s="700"/>
      <c r="BA28" s="700"/>
      <c r="BB28" s="700"/>
      <c r="BC28" s="700"/>
      <c r="BD28" s="700"/>
      <c r="BE28" s="700"/>
      <c r="BF28" s="700"/>
      <c r="BG28" s="700"/>
      <c r="BH28" s="700"/>
      <c r="BI28" s="700"/>
      <c r="BJ28" s="700"/>
      <c r="BK28" s="700"/>
      <c r="BL28" s="700"/>
      <c r="BM28" s="700"/>
      <c r="BN28" s="700"/>
      <c r="BO28" s="700"/>
      <c r="BP28" s="700"/>
      <c r="BQ28" s="700"/>
      <c r="BR28" s="700"/>
      <c r="BS28" s="700"/>
      <c r="BT28" s="700"/>
      <c r="BU28" s="700"/>
      <c r="BV28" s="700"/>
      <c r="BW28" s="700"/>
      <c r="BX28" s="700"/>
      <c r="BY28" s="700"/>
      <c r="BZ28" s="700"/>
      <c r="CA28" s="700"/>
      <c r="CB28" s="700"/>
      <c r="CC28" s="700"/>
      <c r="CD28" s="700"/>
      <c r="CE28" s="700"/>
      <c r="CF28" s="700"/>
      <c r="CG28" s="700"/>
      <c r="CH28" s="700"/>
      <c r="CI28" s="700"/>
      <c r="CJ28" s="700"/>
      <c r="CK28" s="700"/>
      <c r="CL28" s="700"/>
      <c r="CM28" s="700"/>
      <c r="CN28" s="700"/>
      <c r="CO28" s="700"/>
      <c r="CP28" s="700"/>
      <c r="CQ28" s="700"/>
      <c r="CR28" s="700"/>
      <c r="CS28" s="700"/>
      <c r="CT28" s="700"/>
      <c r="CU28" s="700"/>
      <c r="CV28" s="700"/>
      <c r="CW28" s="700"/>
      <c r="CX28" s="700"/>
      <c r="CY28" s="700"/>
      <c r="CZ28" s="700"/>
      <c r="DA28" s="700"/>
      <c r="DB28" s="700"/>
      <c r="DC28" s="700"/>
      <c r="DD28" s="700"/>
      <c r="DE28" s="700"/>
      <c r="DF28" s="700"/>
      <c r="DG28" s="700"/>
      <c r="DH28" s="700"/>
      <c r="DI28" s="700"/>
      <c r="DJ28" s="700"/>
      <c r="DK28" s="700"/>
      <c r="DL28" s="700"/>
      <c r="DM28" s="700"/>
      <c r="DN28" s="700"/>
      <c r="DO28" s="700"/>
      <c r="DP28" s="700"/>
      <c r="DQ28" s="700"/>
      <c r="DR28" s="700"/>
      <c r="DS28" s="700"/>
      <c r="DT28" s="700"/>
      <c r="DU28" s="700"/>
      <c r="DV28" s="700"/>
      <c r="DW28" s="700"/>
      <c r="DX28" s="700"/>
      <c r="DY28" s="700"/>
      <c r="DZ28" s="700"/>
      <c r="EA28" s="700"/>
      <c r="EB28" s="700"/>
      <c r="EC28" s="700"/>
      <c r="ED28" s="700"/>
      <c r="EE28" s="700"/>
      <c r="EF28" s="700"/>
      <c r="EG28" s="700"/>
      <c r="EH28" s="700"/>
      <c r="EI28" s="700"/>
      <c r="EJ28" s="700"/>
      <c r="EK28" s="700"/>
      <c r="EL28" s="700"/>
      <c r="EM28" s="700"/>
      <c r="EN28" s="700"/>
      <c r="EO28" s="700"/>
      <c r="EP28" s="700"/>
      <c r="EQ28" s="700"/>
      <c r="ER28" s="700"/>
      <c r="ES28" s="700"/>
      <c r="ET28" s="700"/>
      <c r="EU28" s="700"/>
      <c r="EV28" s="700"/>
      <c r="EW28" s="700"/>
      <c r="EX28" s="700"/>
      <c r="EY28" s="700"/>
      <c r="EZ28" s="700"/>
      <c r="FA28" s="700"/>
      <c r="FB28" s="700"/>
      <c r="FC28" s="700"/>
      <c r="FD28" s="700"/>
      <c r="FE28" s="700"/>
      <c r="FF28" s="700"/>
      <c r="FG28" s="700"/>
      <c r="FH28" s="700"/>
      <c r="FI28" s="700"/>
      <c r="FJ28" s="700"/>
      <c r="FK28" s="700"/>
      <c r="FL28" s="700"/>
      <c r="FM28" s="700"/>
      <c r="FN28" s="700"/>
      <c r="FO28" s="700"/>
      <c r="FP28" s="700"/>
      <c r="FQ28" s="700"/>
      <c r="FR28" s="700"/>
      <c r="FS28" s="700"/>
      <c r="FT28" s="700"/>
      <c r="FU28" s="700"/>
      <c r="FV28" s="700"/>
      <c r="FW28" s="700"/>
      <c r="FX28" s="700"/>
      <c r="FY28" s="700"/>
      <c r="FZ28" s="700"/>
      <c r="GA28" s="700"/>
      <c r="GB28" s="700"/>
      <c r="GC28" s="700"/>
      <c r="GD28" s="700"/>
      <c r="GE28" s="700"/>
      <c r="GF28" s="700"/>
      <c r="GG28" s="700"/>
      <c r="GH28" s="700"/>
      <c r="GI28" s="700"/>
      <c r="GJ28" s="700"/>
      <c r="GK28" s="700"/>
      <c r="GL28" s="700"/>
      <c r="GM28" s="700"/>
      <c r="GN28" s="700"/>
      <c r="GO28" s="700"/>
      <c r="GP28" s="700"/>
      <c r="GQ28" s="700"/>
      <c r="GR28" s="700"/>
      <c r="GS28" s="700"/>
      <c r="GT28" s="700"/>
      <c r="GU28" s="700"/>
      <c r="GV28" s="700"/>
      <c r="GW28" s="700"/>
      <c r="GX28" s="700"/>
      <c r="GY28" s="700"/>
      <c r="GZ28" s="700"/>
      <c r="HA28" s="700"/>
      <c r="HB28" s="700"/>
      <c r="HC28" s="700"/>
      <c r="HD28" s="700"/>
      <c r="HE28" s="700"/>
      <c r="HF28" s="700"/>
      <c r="HG28" s="700"/>
      <c r="HH28" s="700"/>
      <c r="HI28" s="700"/>
      <c r="HJ28" s="700"/>
      <c r="HK28" s="700"/>
      <c r="HL28" s="700"/>
      <c r="HM28" s="700"/>
      <c r="HN28" s="700"/>
      <c r="HO28" s="700"/>
      <c r="HP28" s="700"/>
      <c r="HQ28" s="700"/>
      <c r="HR28" s="700"/>
      <c r="HS28" s="700"/>
      <c r="HT28" s="700"/>
      <c r="HU28" s="700"/>
      <c r="HV28" s="700"/>
      <c r="HW28" s="700"/>
      <c r="HX28" s="700"/>
      <c r="HY28" s="700"/>
      <c r="HZ28" s="700"/>
      <c r="IA28" s="700"/>
      <c r="IB28" s="700"/>
      <c r="IC28" s="700"/>
      <c r="ID28" s="700"/>
      <c r="IE28" s="700"/>
      <c r="IF28" s="700"/>
      <c r="IG28" s="700"/>
      <c r="IH28" s="700"/>
      <c r="II28" s="700"/>
      <c r="IJ28" s="700"/>
      <c r="IK28" s="700"/>
      <c r="IL28" s="700"/>
      <c r="IM28" s="700"/>
      <c r="IN28" s="700"/>
      <c r="IO28" s="700"/>
      <c r="IP28" s="700"/>
      <c r="IQ28" s="700"/>
      <c r="IR28" s="700"/>
      <c r="IS28" s="700"/>
      <c r="IT28" s="700"/>
      <c r="IU28" s="700"/>
      <c r="IV28" s="700"/>
      <c r="IW28" s="700"/>
      <c r="IX28" s="700"/>
      <c r="IY28" s="700"/>
      <c r="IZ28" s="700"/>
      <c r="JA28" s="700"/>
      <c r="JB28" s="700"/>
      <c r="JC28" s="700"/>
      <c r="JD28" s="700"/>
      <c r="JE28" s="700"/>
      <c r="JF28" s="700"/>
      <c r="JG28" s="700"/>
      <c r="JH28" s="700"/>
      <c r="JI28" s="700"/>
      <c r="JJ28" s="700"/>
      <c r="JK28" s="700"/>
      <c r="JL28" s="700"/>
      <c r="JM28" s="700"/>
      <c r="JN28" s="700"/>
      <c r="JO28" s="700"/>
      <c r="JP28" s="700"/>
      <c r="JQ28" s="700"/>
      <c r="JR28" s="700"/>
      <c r="JS28" s="700"/>
      <c r="JT28" s="700"/>
      <c r="JU28" s="700"/>
      <c r="JV28" s="700"/>
      <c r="JW28" s="700"/>
      <c r="JX28" s="700"/>
      <c r="JY28" s="700"/>
      <c r="JZ28" s="700"/>
      <c r="KA28" s="700"/>
      <c r="KB28" s="700"/>
      <c r="KC28" s="700"/>
      <c r="KD28" s="700"/>
      <c r="KE28" s="700"/>
      <c r="KF28" s="700"/>
      <c r="KG28" s="700"/>
      <c r="KH28" s="700"/>
      <c r="KI28" s="700"/>
      <c r="KJ28" s="700"/>
      <c r="KK28" s="700"/>
      <c r="KL28" s="700"/>
      <c r="KM28" s="700"/>
      <c r="KN28" s="700"/>
      <c r="KO28" s="700"/>
      <c r="KP28" s="700"/>
      <c r="KQ28" s="700"/>
      <c r="KR28" s="700"/>
      <c r="KS28" s="700"/>
      <c r="KT28" s="700"/>
      <c r="KU28" s="700"/>
      <c r="KV28" s="700"/>
      <c r="KW28" s="700"/>
      <c r="KX28" s="700"/>
      <c r="KY28" s="700"/>
      <c r="KZ28" s="700"/>
      <c r="LA28" s="700"/>
      <c r="LB28" s="700"/>
      <c r="LC28" s="700"/>
      <c r="LD28" s="700"/>
      <c r="LE28" s="700"/>
      <c r="LF28" s="700"/>
      <c r="LG28" s="700"/>
      <c r="LH28" s="700"/>
      <c r="LI28" s="700"/>
      <c r="LJ28" s="700"/>
      <c r="LK28" s="700"/>
      <c r="LL28" s="700"/>
      <c r="LM28" s="700"/>
      <c r="LN28" s="700"/>
      <c r="LO28" s="700"/>
      <c r="LP28" s="700"/>
      <c r="LQ28" s="700"/>
      <c r="LR28" s="700"/>
      <c r="LS28" s="700"/>
      <c r="LT28" s="700"/>
      <c r="LU28" s="700"/>
      <c r="LV28" s="700"/>
      <c r="LW28" s="700"/>
      <c r="LX28" s="700"/>
      <c r="LY28" s="700"/>
      <c r="LZ28" s="700"/>
      <c r="MA28" s="700"/>
      <c r="MB28" s="700"/>
      <c r="MC28" s="700"/>
      <c r="MD28" s="700"/>
      <c r="ME28" s="700"/>
      <c r="MF28" s="700"/>
      <c r="MG28" s="700"/>
      <c r="MH28" s="700"/>
      <c r="MI28" s="700"/>
      <c r="MJ28" s="700"/>
      <c r="MK28" s="700"/>
      <c r="ML28" s="700"/>
      <c r="MM28" s="700"/>
      <c r="MN28" s="700"/>
      <c r="MO28" s="700"/>
      <c r="MP28" s="700"/>
      <c r="MQ28" s="700"/>
      <c r="MR28" s="700"/>
      <c r="MS28" s="700"/>
      <c r="MT28" s="700"/>
      <c r="MU28" s="700"/>
      <c r="MV28" s="700"/>
      <c r="MW28" s="700"/>
      <c r="MX28" s="700"/>
      <c r="MY28" s="700"/>
      <c r="MZ28" s="700"/>
      <c r="NA28" s="700"/>
      <c r="NB28" s="700"/>
      <c r="NC28" s="700"/>
      <c r="ND28" s="700"/>
      <c r="NE28" s="700"/>
      <c r="NF28" s="700"/>
      <c r="NG28" s="700"/>
      <c r="NH28" s="700"/>
      <c r="NI28" s="700"/>
      <c r="NJ28" s="700"/>
      <c r="NK28" s="700"/>
      <c r="NL28" s="700"/>
      <c r="NM28" s="700"/>
      <c r="NN28" s="700"/>
      <c r="NO28" s="700"/>
      <c r="NP28" s="700"/>
      <c r="NQ28" s="700"/>
      <c r="NR28" s="700"/>
      <c r="NS28" s="700"/>
      <c r="NT28" s="700"/>
      <c r="NU28" s="700"/>
      <c r="NV28" s="700"/>
      <c r="NW28" s="700"/>
      <c r="NX28" s="700"/>
      <c r="NY28" s="700"/>
      <c r="NZ28" s="700"/>
      <c r="OA28" s="700"/>
      <c r="OB28" s="700"/>
      <c r="OC28" s="700"/>
      <c r="OD28" s="700"/>
      <c r="OE28" s="700"/>
      <c r="OF28" s="700"/>
      <c r="OG28" s="700"/>
      <c r="OH28" s="700"/>
      <c r="OI28" s="700"/>
      <c r="OJ28" s="700"/>
      <c r="OK28" s="700"/>
      <c r="OL28" s="700"/>
      <c r="OM28" s="700"/>
      <c r="ON28" s="700"/>
      <c r="OO28" s="700"/>
      <c r="OP28" s="700"/>
      <c r="OQ28" s="700"/>
      <c r="OR28" s="700"/>
      <c r="OS28" s="700"/>
      <c r="OT28" s="700"/>
      <c r="OU28" s="700"/>
      <c r="OV28" s="700"/>
      <c r="OW28" s="700"/>
      <c r="OX28" s="700"/>
      <c r="OY28" s="700"/>
      <c r="OZ28" s="700"/>
      <c r="PA28" s="700"/>
      <c r="PB28" s="700"/>
      <c r="PC28" s="700"/>
      <c r="PD28" s="700"/>
      <c r="PE28" s="700"/>
      <c r="PF28" s="700"/>
      <c r="PG28" s="700"/>
      <c r="PH28" s="700"/>
      <c r="PI28" s="700"/>
      <c r="PJ28" s="700"/>
      <c r="PK28" s="700"/>
      <c r="PL28" s="700"/>
      <c r="PM28" s="700"/>
      <c r="PN28" s="700"/>
      <c r="PO28" s="700"/>
      <c r="PP28" s="700"/>
      <c r="PQ28" s="700"/>
      <c r="PR28" s="700"/>
      <c r="PS28" s="700"/>
      <c r="PT28" s="700"/>
      <c r="PU28" s="700"/>
      <c r="PV28" s="700"/>
      <c r="PW28" s="700"/>
      <c r="PX28" s="700"/>
      <c r="PY28" s="700"/>
      <c r="PZ28" s="700"/>
      <c r="QA28" s="700"/>
      <c r="QB28" s="700"/>
      <c r="QC28" s="700"/>
      <c r="QD28" s="700"/>
      <c r="QE28" s="700"/>
      <c r="QF28" s="700"/>
      <c r="QG28" s="700"/>
      <c r="QH28" s="700"/>
      <c r="QI28" s="700"/>
      <c r="QJ28" s="700"/>
      <c r="QK28" s="700"/>
      <c r="QL28" s="700"/>
      <c r="QM28" s="700"/>
      <c r="QN28" s="700"/>
      <c r="QO28" s="700"/>
      <c r="QP28" s="700"/>
      <c r="QQ28" s="700"/>
      <c r="QR28" s="700"/>
      <c r="QS28" s="700"/>
      <c r="QT28" s="700"/>
      <c r="QU28" s="700"/>
      <c r="QV28" s="700"/>
      <c r="QW28" s="700"/>
      <c r="QX28" s="700"/>
      <c r="QY28" s="700"/>
      <c r="QZ28" s="700"/>
      <c r="RA28" s="700"/>
      <c r="RB28" s="700"/>
      <c r="RC28" s="700"/>
      <c r="RD28" s="700"/>
      <c r="RE28" s="700"/>
      <c r="RF28" s="700"/>
      <c r="RG28" s="700"/>
      <c r="RH28" s="700"/>
      <c r="RI28" s="700"/>
      <c r="RJ28" s="700"/>
      <c r="RK28" s="700"/>
      <c r="RL28" s="700"/>
      <c r="RM28" s="700"/>
      <c r="RN28" s="700"/>
      <c r="RO28" s="700"/>
      <c r="RP28" s="700"/>
      <c r="RQ28" s="700"/>
      <c r="RR28" s="700"/>
      <c r="RS28" s="700"/>
      <c r="RT28" s="700"/>
      <c r="RU28" s="700"/>
      <c r="RV28" s="700"/>
      <c r="RW28" s="700"/>
      <c r="RX28" s="700"/>
      <c r="RY28" s="700"/>
      <c r="RZ28" s="700"/>
      <c r="SA28" s="700"/>
      <c r="SB28" s="700"/>
      <c r="SC28" s="700"/>
      <c r="SD28" s="700"/>
      <c r="SE28" s="700"/>
      <c r="SF28" s="700"/>
      <c r="SG28" s="700"/>
      <c r="SH28" s="700"/>
      <c r="SI28" s="700"/>
      <c r="SJ28" s="700"/>
      <c r="SK28" s="700"/>
      <c r="SL28" s="700"/>
      <c r="SM28" s="700"/>
      <c r="SN28" s="700"/>
      <c r="SO28" s="700"/>
      <c r="SP28" s="700"/>
      <c r="SQ28" s="700"/>
      <c r="SR28" s="700"/>
      <c r="SS28" s="700"/>
      <c r="ST28" s="700"/>
      <c r="SU28" s="700"/>
      <c r="SV28" s="700"/>
      <c r="SW28" s="700"/>
      <c r="SX28" s="700"/>
      <c r="SY28" s="700"/>
      <c r="SZ28" s="700"/>
      <c r="TA28" s="700"/>
      <c r="TB28" s="700"/>
      <c r="TC28" s="700"/>
      <c r="TD28" s="700"/>
      <c r="TE28" s="700"/>
      <c r="TF28" s="700"/>
      <c r="TG28" s="700"/>
      <c r="TH28" s="700"/>
      <c r="TI28" s="700"/>
      <c r="TJ28" s="700"/>
      <c r="TK28" s="700"/>
      <c r="TL28" s="700"/>
      <c r="TM28" s="700"/>
      <c r="TN28" s="700"/>
      <c r="TO28" s="700"/>
      <c r="TP28" s="700"/>
      <c r="TQ28" s="700"/>
      <c r="TR28" s="700"/>
      <c r="TS28" s="700"/>
      <c r="TT28" s="700"/>
      <c r="TU28" s="700"/>
      <c r="TV28" s="700"/>
      <c r="TW28" s="700"/>
      <c r="TX28" s="700"/>
      <c r="TY28" s="700"/>
      <c r="TZ28" s="700"/>
      <c r="UA28" s="700"/>
      <c r="UB28" s="700"/>
      <c r="UC28" s="700"/>
      <c r="UD28" s="700"/>
      <c r="UE28" s="700"/>
      <c r="UF28" s="700"/>
      <c r="UG28" s="700"/>
      <c r="UH28" s="700"/>
      <c r="UI28" s="700"/>
      <c r="UJ28" s="700"/>
      <c r="UK28" s="700"/>
      <c r="UL28" s="700"/>
      <c r="UM28" s="700"/>
      <c r="UN28" s="700"/>
      <c r="UO28" s="700"/>
      <c r="UP28" s="700"/>
      <c r="UQ28" s="700"/>
      <c r="UR28" s="700"/>
      <c r="US28" s="700"/>
      <c r="UT28" s="700"/>
      <c r="UU28" s="700"/>
      <c r="UV28" s="700"/>
      <c r="UW28" s="700"/>
      <c r="UX28" s="700"/>
      <c r="UY28" s="700"/>
      <c r="UZ28" s="700"/>
      <c r="VA28" s="700"/>
      <c r="VB28" s="700"/>
      <c r="VC28" s="700"/>
      <c r="VD28" s="700"/>
      <c r="VE28" s="700"/>
      <c r="VF28" s="700"/>
      <c r="VG28" s="700"/>
      <c r="VH28" s="700"/>
      <c r="VI28" s="700"/>
      <c r="VJ28" s="700"/>
      <c r="VK28" s="700"/>
      <c r="VL28" s="700"/>
      <c r="VM28" s="700"/>
      <c r="VN28" s="700"/>
      <c r="VO28" s="700"/>
      <c r="VP28" s="700"/>
      <c r="VQ28" s="700"/>
      <c r="VR28" s="700"/>
      <c r="VS28" s="700"/>
      <c r="VT28" s="700"/>
      <c r="VU28" s="700"/>
      <c r="VV28" s="700"/>
      <c r="VW28" s="700"/>
      <c r="VX28" s="700"/>
      <c r="VY28" s="700"/>
      <c r="VZ28" s="700"/>
      <c r="WA28" s="700"/>
      <c r="WB28" s="700"/>
      <c r="WC28" s="700"/>
      <c r="WD28" s="700"/>
      <c r="WE28" s="700"/>
      <c r="WF28" s="700"/>
      <c r="WG28" s="700"/>
      <c r="WH28" s="700"/>
      <c r="WI28" s="700"/>
      <c r="WJ28" s="700"/>
      <c r="WK28" s="700"/>
      <c r="WL28" s="700"/>
      <c r="WM28" s="700"/>
      <c r="WN28" s="700"/>
      <c r="WO28" s="700"/>
      <c r="WP28" s="700"/>
      <c r="WQ28" s="700"/>
      <c r="WR28" s="700"/>
      <c r="WS28" s="700"/>
      <c r="WT28" s="700"/>
      <c r="WU28" s="700"/>
      <c r="WV28" s="700"/>
      <c r="WW28" s="700"/>
      <c r="WX28" s="700"/>
      <c r="WY28" s="700"/>
      <c r="WZ28" s="700"/>
      <c r="XA28" s="700"/>
      <c r="XB28" s="700"/>
      <c r="XC28" s="700"/>
      <c r="XD28" s="700"/>
      <c r="XE28" s="700"/>
      <c r="XF28" s="700"/>
      <c r="XG28" s="700"/>
      <c r="XH28" s="700"/>
      <c r="XI28" s="700"/>
      <c r="XJ28" s="700"/>
      <c r="XK28" s="700"/>
      <c r="XL28" s="700"/>
      <c r="XM28" s="700"/>
      <c r="XN28" s="700"/>
      <c r="XO28" s="700"/>
      <c r="XP28" s="700"/>
      <c r="XQ28" s="700"/>
      <c r="XR28" s="700"/>
      <c r="XS28" s="700"/>
      <c r="XT28" s="700"/>
      <c r="XU28" s="700"/>
      <c r="XV28" s="700"/>
      <c r="XW28" s="700"/>
      <c r="XX28" s="700"/>
      <c r="XY28" s="700"/>
      <c r="XZ28" s="700"/>
      <c r="YA28" s="700"/>
      <c r="YB28" s="700"/>
      <c r="YC28" s="700"/>
      <c r="YD28" s="700"/>
      <c r="YE28" s="700"/>
      <c r="YF28" s="700"/>
      <c r="YG28" s="700"/>
      <c r="YH28" s="700"/>
      <c r="YI28" s="700"/>
      <c r="YJ28" s="700"/>
      <c r="YK28" s="700"/>
      <c r="YL28" s="700"/>
      <c r="YM28" s="700"/>
      <c r="YN28" s="700"/>
      <c r="YO28" s="700"/>
      <c r="YP28" s="700"/>
      <c r="YQ28" s="700"/>
      <c r="YR28" s="700"/>
      <c r="YS28" s="700"/>
      <c r="YT28" s="700"/>
      <c r="YU28" s="700"/>
      <c r="YV28" s="700"/>
      <c r="YW28" s="700"/>
      <c r="YX28" s="700"/>
      <c r="YY28" s="700"/>
      <c r="YZ28" s="700"/>
      <c r="ZA28" s="700"/>
      <c r="ZB28" s="700"/>
      <c r="ZC28" s="700"/>
      <c r="ZD28" s="700"/>
      <c r="ZE28" s="700"/>
      <c r="ZF28" s="700"/>
      <c r="ZG28" s="700"/>
      <c r="ZH28" s="700"/>
      <c r="ZI28" s="700"/>
      <c r="ZJ28" s="700"/>
      <c r="ZK28" s="700"/>
      <c r="ZL28" s="700"/>
      <c r="ZM28" s="700"/>
      <c r="ZN28" s="700"/>
      <c r="ZO28" s="700"/>
      <c r="ZP28" s="700"/>
      <c r="ZQ28" s="700"/>
      <c r="ZR28" s="700"/>
      <c r="ZS28" s="700"/>
      <c r="ZT28" s="700"/>
      <c r="ZU28" s="700"/>
      <c r="ZV28" s="700"/>
      <c r="ZW28" s="700"/>
      <c r="ZX28" s="700"/>
      <c r="ZY28" s="700"/>
      <c r="ZZ28" s="700"/>
      <c r="AAA28" s="700"/>
      <c r="AAB28" s="700"/>
      <c r="AAC28" s="700"/>
      <c r="AAD28" s="700"/>
      <c r="AAE28" s="700"/>
      <c r="AAF28" s="700"/>
      <c r="AAG28" s="700"/>
      <c r="AAH28" s="700"/>
      <c r="AAI28" s="700"/>
      <c r="AAJ28" s="700"/>
      <c r="AAK28" s="700"/>
      <c r="AAL28" s="700"/>
      <c r="AAM28" s="700"/>
      <c r="AAN28" s="700"/>
      <c r="AAO28" s="700"/>
      <c r="AAP28" s="700"/>
      <c r="AAQ28" s="700"/>
      <c r="AAR28" s="700"/>
      <c r="AAS28" s="700"/>
      <c r="AAT28" s="700"/>
      <c r="AAU28" s="700"/>
      <c r="AAV28" s="700"/>
      <c r="AAW28" s="700"/>
      <c r="AAX28" s="700"/>
      <c r="AAY28" s="700"/>
      <c r="AAZ28" s="700"/>
      <c r="ABA28" s="700"/>
      <c r="ABB28" s="700"/>
      <c r="ABC28" s="700"/>
      <c r="ABD28" s="700"/>
      <c r="ABE28" s="700"/>
      <c r="ABF28" s="700"/>
      <c r="ABG28" s="700"/>
      <c r="ABH28" s="700"/>
      <c r="ABI28" s="700"/>
      <c r="ABJ28" s="700"/>
      <c r="ABK28" s="700"/>
      <c r="ABL28" s="700"/>
      <c r="ABM28" s="700"/>
      <c r="ABN28" s="700"/>
      <c r="ABO28" s="700"/>
      <c r="ABP28" s="700"/>
      <c r="ABQ28" s="700"/>
      <c r="ABR28" s="700"/>
      <c r="ABS28" s="700"/>
      <c r="ABT28" s="700"/>
      <c r="ABU28" s="700"/>
      <c r="ABV28" s="700"/>
      <c r="ABW28" s="700"/>
      <c r="ABX28" s="700"/>
      <c r="ABY28" s="700"/>
      <c r="ABZ28" s="700"/>
      <c r="ACA28" s="700"/>
      <c r="ACB28" s="700"/>
      <c r="ACC28" s="700"/>
      <c r="ACD28" s="700"/>
      <c r="ACE28" s="700"/>
      <c r="ACF28" s="700"/>
      <c r="ACG28" s="700"/>
      <c r="ACH28" s="700"/>
      <c r="ACI28" s="700"/>
      <c r="ACJ28" s="700"/>
      <c r="ACK28" s="700"/>
      <c r="ACL28" s="700"/>
      <c r="ACM28" s="700"/>
      <c r="ACN28" s="700"/>
      <c r="ACO28" s="700"/>
      <c r="ACP28" s="700"/>
      <c r="ACQ28" s="700"/>
      <c r="ACR28" s="700"/>
      <c r="ACS28" s="700"/>
      <c r="ACT28" s="700"/>
      <c r="ACU28" s="700"/>
      <c r="ACV28" s="700"/>
      <c r="ACW28" s="700"/>
      <c r="ACX28" s="700"/>
      <c r="ACY28" s="700"/>
      <c r="ACZ28" s="700"/>
      <c r="ADA28" s="700"/>
      <c r="ADB28" s="700"/>
      <c r="ADC28" s="700"/>
      <c r="ADD28" s="700"/>
      <c r="ADE28" s="700"/>
      <c r="ADF28" s="700"/>
      <c r="ADG28" s="700"/>
      <c r="ADH28" s="700"/>
      <c r="ADI28" s="700"/>
      <c r="ADJ28" s="700"/>
      <c r="ADK28" s="700"/>
      <c r="ADL28" s="700"/>
      <c r="ADM28" s="700"/>
      <c r="ADN28" s="700"/>
      <c r="ADO28" s="700"/>
      <c r="ADP28" s="700"/>
      <c r="ADQ28" s="700"/>
      <c r="ADR28" s="700"/>
      <c r="ADS28" s="700"/>
      <c r="ADT28" s="700"/>
      <c r="ADU28" s="700"/>
      <c r="ADV28" s="700"/>
      <c r="ADW28" s="700"/>
      <c r="ADX28" s="700"/>
      <c r="ADY28" s="700"/>
      <c r="ADZ28" s="700"/>
      <c r="AEA28" s="700"/>
      <c r="AEB28" s="700"/>
      <c r="AEC28" s="700"/>
      <c r="AED28" s="700"/>
      <c r="AEE28" s="700"/>
      <c r="AEF28" s="700"/>
      <c r="AEG28" s="700"/>
      <c r="AEH28" s="700"/>
      <c r="AEI28" s="700"/>
      <c r="AEJ28" s="700"/>
      <c r="AEK28" s="700"/>
      <c r="AEL28" s="700"/>
      <c r="AEM28" s="700"/>
      <c r="AEN28" s="700"/>
      <c r="AEO28" s="700"/>
      <c r="AEP28" s="700"/>
      <c r="AEQ28" s="700"/>
      <c r="AER28" s="700"/>
      <c r="AES28" s="700"/>
      <c r="AET28" s="700"/>
      <c r="AEU28" s="700"/>
      <c r="AEV28" s="700"/>
      <c r="AEW28" s="700"/>
      <c r="AEX28" s="700"/>
      <c r="AEY28" s="700"/>
      <c r="AEZ28" s="700"/>
      <c r="AFA28" s="700"/>
      <c r="AFB28" s="700"/>
      <c r="AFC28" s="700"/>
      <c r="AFD28" s="700"/>
      <c r="AFE28" s="700"/>
      <c r="AFF28" s="700"/>
      <c r="AFG28" s="700"/>
      <c r="AFH28" s="700"/>
      <c r="AFI28" s="700"/>
      <c r="AFJ28" s="700"/>
      <c r="AFK28" s="700"/>
      <c r="AFL28" s="700"/>
      <c r="AFM28" s="700"/>
      <c r="AFN28" s="700"/>
      <c r="AFO28" s="700"/>
      <c r="AFP28" s="700"/>
      <c r="AFQ28" s="700"/>
      <c r="AFR28" s="700"/>
      <c r="AFS28" s="700"/>
      <c r="AFT28" s="700"/>
      <c r="AFU28" s="700"/>
      <c r="AFV28" s="700"/>
      <c r="AFW28" s="700"/>
      <c r="AFX28" s="700"/>
      <c r="AFY28" s="700"/>
      <c r="AFZ28" s="700"/>
      <c r="AGA28" s="700"/>
      <c r="AGB28" s="700"/>
      <c r="AGC28" s="700"/>
      <c r="AGD28" s="700"/>
      <c r="AGE28" s="700"/>
      <c r="AGF28" s="700"/>
      <c r="AGG28" s="700"/>
      <c r="AGH28" s="700"/>
      <c r="AGI28" s="700"/>
      <c r="AGJ28" s="700"/>
      <c r="AGK28" s="700"/>
      <c r="AGL28" s="700"/>
      <c r="AGM28" s="700"/>
      <c r="AGN28" s="700"/>
      <c r="AGO28" s="700"/>
      <c r="AGP28" s="700"/>
      <c r="AGQ28" s="700"/>
      <c r="AGR28" s="700"/>
      <c r="AGS28" s="700"/>
      <c r="AGT28" s="700"/>
      <c r="AGU28" s="700"/>
      <c r="AGV28" s="700"/>
      <c r="AGW28" s="700"/>
      <c r="AGX28" s="700"/>
      <c r="AGY28" s="700"/>
      <c r="AGZ28" s="700"/>
      <c r="AHA28" s="700"/>
      <c r="AHB28" s="700"/>
      <c r="AHC28" s="700"/>
      <c r="AHD28" s="700"/>
      <c r="AHE28" s="700"/>
      <c r="AHF28" s="700"/>
      <c r="AHG28" s="700"/>
      <c r="AHH28" s="700"/>
      <c r="AHI28" s="700"/>
      <c r="AHJ28" s="700"/>
      <c r="AHK28" s="700"/>
      <c r="AHL28" s="700"/>
      <c r="AHM28" s="700"/>
      <c r="AHN28" s="700"/>
      <c r="AHO28" s="700"/>
      <c r="AHP28" s="700"/>
      <c r="AHQ28" s="700"/>
      <c r="AHR28" s="700"/>
      <c r="AHS28" s="700"/>
      <c r="AHT28" s="700"/>
      <c r="AHU28" s="700"/>
      <c r="AHV28" s="700"/>
      <c r="AHW28" s="700"/>
      <c r="AHX28" s="700"/>
      <c r="AHY28" s="700"/>
      <c r="AHZ28" s="700"/>
      <c r="AIA28" s="700"/>
      <c r="AIB28" s="700"/>
      <c r="AIC28" s="700"/>
      <c r="AID28" s="700"/>
      <c r="AIE28" s="700"/>
      <c r="AIF28" s="700"/>
      <c r="AIG28" s="700"/>
      <c r="AIH28" s="700"/>
      <c r="AII28" s="700"/>
      <c r="AIJ28" s="700"/>
      <c r="AIK28" s="700"/>
      <c r="AIL28" s="700"/>
      <c r="AIM28" s="700"/>
      <c r="AIN28" s="700"/>
      <c r="AIO28" s="700"/>
      <c r="AIP28" s="700"/>
      <c r="AIQ28" s="700"/>
      <c r="AIR28" s="700"/>
      <c r="AIS28" s="700"/>
      <c r="AIT28" s="700"/>
      <c r="AIU28" s="700"/>
      <c r="AIV28" s="700"/>
      <c r="AIW28" s="700"/>
      <c r="AIX28" s="700"/>
      <c r="AIY28" s="700"/>
      <c r="AIZ28" s="700"/>
      <c r="AJA28" s="700"/>
      <c r="AJB28" s="700"/>
      <c r="AJC28" s="700"/>
      <c r="AJD28" s="700"/>
      <c r="AJE28" s="700"/>
      <c r="AJF28" s="700"/>
      <c r="AJG28" s="700"/>
      <c r="AJH28" s="700"/>
      <c r="AJI28" s="700"/>
      <c r="AJJ28" s="700"/>
      <c r="AJK28" s="700"/>
      <c r="AJL28" s="700"/>
      <c r="AJM28" s="700"/>
      <c r="AJN28" s="700"/>
      <c r="AJO28" s="700"/>
      <c r="AJP28" s="700"/>
      <c r="AJQ28" s="700"/>
      <c r="AJR28" s="700"/>
      <c r="AJS28" s="700"/>
      <c r="AJT28" s="700"/>
      <c r="AJU28" s="700"/>
      <c r="AJV28" s="700"/>
      <c r="AJW28" s="700"/>
      <c r="AJX28" s="700"/>
      <c r="AJY28" s="700"/>
      <c r="AJZ28" s="700"/>
      <c r="AKA28" s="700"/>
      <c r="AKB28" s="700"/>
      <c r="AKC28" s="700"/>
      <c r="AKD28" s="700"/>
      <c r="AKE28" s="700"/>
      <c r="AKF28" s="700"/>
      <c r="AKG28" s="700"/>
      <c r="AKH28" s="700"/>
      <c r="AKI28" s="700"/>
      <c r="AKJ28" s="700"/>
      <c r="AKK28" s="700"/>
      <c r="AKL28" s="700"/>
      <c r="AKM28" s="700"/>
      <c r="AKN28" s="700"/>
      <c r="AKO28" s="700"/>
      <c r="AKP28" s="700"/>
      <c r="AKQ28" s="700"/>
      <c r="AKR28" s="700"/>
      <c r="AKS28" s="700"/>
      <c r="AKT28" s="700"/>
      <c r="AKU28" s="700"/>
      <c r="AKV28" s="700"/>
      <c r="AKW28" s="700"/>
      <c r="AKX28" s="700"/>
      <c r="AKY28" s="700"/>
      <c r="AKZ28" s="700"/>
      <c r="ALA28" s="700"/>
      <c r="ALB28" s="700"/>
      <c r="ALC28" s="700"/>
      <c r="ALD28" s="700"/>
      <c r="ALE28" s="700"/>
      <c r="ALF28" s="700"/>
      <c r="ALG28" s="700"/>
      <c r="ALH28" s="700"/>
      <c r="ALI28" s="700"/>
      <c r="ALJ28" s="700"/>
      <c r="ALK28" s="700"/>
      <c r="ALL28" s="700"/>
      <c r="ALM28" s="700"/>
      <c r="ALN28" s="700"/>
      <c r="ALO28" s="700"/>
      <c r="ALP28" s="700"/>
      <c r="ALQ28" s="700"/>
      <c r="ALR28" s="700"/>
      <c r="ALS28" s="700"/>
      <c r="ALT28" s="700"/>
      <c r="ALU28" s="700"/>
      <c r="ALV28" s="700"/>
      <c r="ALW28" s="700"/>
      <c r="ALX28" s="700"/>
      <c r="ALY28" s="700"/>
      <c r="ALZ28" s="700"/>
      <c r="AMA28" s="700"/>
      <c r="AMB28" s="700"/>
      <c r="AMC28" s="700"/>
      <c r="AMD28" s="700"/>
      <c r="AME28" s="700"/>
      <c r="AMF28" s="700"/>
      <c r="AMG28" s="700"/>
      <c r="AMH28" s="700"/>
      <c r="AMI28" s="700"/>
      <c r="AMJ28" s="700"/>
      <c r="AMK28" s="700"/>
      <c r="AML28" s="700"/>
      <c r="AMM28" s="700"/>
      <c r="AMN28" s="700"/>
      <c r="AMO28" s="700"/>
      <c r="AMP28" s="700"/>
      <c r="AMQ28" s="700"/>
      <c r="AMR28" s="700"/>
      <c r="AMS28" s="700"/>
      <c r="AMT28" s="700"/>
      <c r="AMU28" s="700"/>
      <c r="AMV28" s="700"/>
      <c r="AMW28" s="700"/>
      <c r="AMX28" s="700"/>
      <c r="AMY28" s="700"/>
      <c r="AMZ28" s="700"/>
      <c r="ANA28" s="700"/>
      <c r="ANB28" s="700"/>
      <c r="ANC28" s="700"/>
      <c r="AND28" s="700"/>
      <c r="ANE28" s="700"/>
      <c r="ANF28" s="700"/>
      <c r="ANG28" s="700"/>
      <c r="ANH28" s="700"/>
      <c r="ANI28" s="700"/>
      <c r="ANJ28" s="700"/>
      <c r="ANK28" s="700"/>
      <c r="ANL28" s="700"/>
      <c r="ANM28" s="700"/>
      <c r="ANN28" s="700"/>
      <c r="ANO28" s="700"/>
      <c r="ANP28" s="700"/>
      <c r="ANQ28" s="700"/>
      <c r="ANR28" s="700"/>
      <c r="ANS28" s="700"/>
      <c r="ANT28" s="700"/>
      <c r="ANU28" s="700"/>
      <c r="ANV28" s="700"/>
      <c r="ANW28" s="700"/>
      <c r="ANX28" s="700"/>
      <c r="ANY28" s="700"/>
      <c r="ANZ28" s="700"/>
      <c r="AOA28" s="700"/>
      <c r="AOB28" s="700"/>
      <c r="AOC28" s="700"/>
      <c r="AOD28" s="700"/>
      <c r="AOE28" s="700"/>
      <c r="AOF28" s="700"/>
      <c r="AOG28" s="700"/>
      <c r="AOH28" s="700"/>
      <c r="AOI28" s="700"/>
      <c r="AOJ28" s="700"/>
      <c r="AOK28" s="700"/>
      <c r="AOL28" s="700"/>
      <c r="AOM28" s="700"/>
      <c r="AON28" s="700"/>
      <c r="AOO28" s="700"/>
      <c r="AOP28" s="700"/>
      <c r="AOQ28" s="700"/>
      <c r="AOR28" s="700"/>
      <c r="AOS28" s="700"/>
      <c r="AOT28" s="700"/>
      <c r="AOU28" s="700"/>
      <c r="AOV28" s="700"/>
      <c r="AOW28" s="700"/>
      <c r="AOX28" s="700"/>
      <c r="AOY28" s="700"/>
      <c r="AOZ28" s="700"/>
      <c r="APA28" s="700"/>
      <c r="APB28" s="700"/>
      <c r="APC28" s="700"/>
      <c r="APD28" s="700"/>
      <c r="APE28" s="700"/>
      <c r="APF28" s="700"/>
      <c r="APG28" s="700"/>
      <c r="APH28" s="700"/>
      <c r="API28" s="700"/>
      <c r="APJ28" s="700"/>
      <c r="APK28" s="700"/>
      <c r="APL28" s="700"/>
      <c r="APM28" s="700"/>
      <c r="APN28" s="700"/>
      <c r="APO28" s="700"/>
      <c r="APP28" s="700"/>
      <c r="APQ28" s="700"/>
      <c r="APR28" s="700"/>
      <c r="APS28" s="700"/>
      <c r="APT28" s="700"/>
      <c r="APU28" s="700"/>
      <c r="APV28" s="700"/>
      <c r="APW28" s="700"/>
      <c r="APX28" s="700"/>
      <c r="APY28" s="700"/>
      <c r="APZ28" s="700"/>
      <c r="AQA28" s="700"/>
      <c r="AQB28" s="700"/>
      <c r="AQC28" s="700"/>
      <c r="AQD28" s="700"/>
      <c r="AQE28" s="700"/>
      <c r="AQF28" s="700"/>
      <c r="AQG28" s="700"/>
      <c r="AQH28" s="700"/>
      <c r="AQI28" s="700"/>
      <c r="AQJ28" s="700"/>
      <c r="AQK28" s="700"/>
      <c r="AQL28" s="700"/>
      <c r="AQM28" s="700"/>
      <c r="AQN28" s="700"/>
      <c r="AQO28" s="700"/>
      <c r="AQP28" s="700"/>
      <c r="AQQ28" s="700"/>
      <c r="AQR28" s="700"/>
      <c r="AQS28" s="700"/>
      <c r="AQT28" s="700"/>
      <c r="AQU28" s="700"/>
      <c r="AQV28" s="700"/>
      <c r="AQW28" s="700"/>
      <c r="AQX28" s="700"/>
      <c r="AQY28" s="700"/>
      <c r="AQZ28" s="700"/>
      <c r="ARA28" s="700"/>
      <c r="ARB28" s="700"/>
      <c r="ARC28" s="700"/>
      <c r="ARD28" s="700"/>
      <c r="ARE28" s="700"/>
      <c r="ARF28" s="700"/>
      <c r="ARG28" s="700"/>
      <c r="ARH28" s="700"/>
      <c r="ARI28" s="700"/>
      <c r="ARJ28" s="700"/>
      <c r="ARK28" s="700"/>
      <c r="ARL28" s="700"/>
      <c r="ARM28" s="700"/>
      <c r="ARN28" s="700"/>
      <c r="ARO28" s="700"/>
      <c r="ARP28" s="700"/>
      <c r="ARQ28" s="700"/>
      <c r="ARR28" s="700"/>
      <c r="ARS28" s="700"/>
      <c r="ART28" s="700"/>
      <c r="ARU28" s="700"/>
      <c r="ARV28" s="700"/>
      <c r="ARW28" s="700"/>
      <c r="ARX28" s="700"/>
      <c r="ARY28" s="700"/>
      <c r="ARZ28" s="700"/>
      <c r="ASA28" s="700"/>
      <c r="ASB28" s="700"/>
      <c r="ASC28" s="700"/>
      <c r="ASD28" s="700"/>
      <c r="ASE28" s="700"/>
      <c r="ASF28" s="700"/>
      <c r="ASG28" s="700"/>
      <c r="ASH28" s="700"/>
      <c r="ASI28" s="700"/>
      <c r="ASJ28" s="700"/>
      <c r="ASK28" s="700"/>
      <c r="ASL28" s="700"/>
      <c r="ASM28" s="700"/>
      <c r="ASN28" s="700"/>
      <c r="ASO28" s="700"/>
      <c r="ASP28" s="700"/>
      <c r="ASQ28" s="700"/>
      <c r="ASR28" s="700"/>
      <c r="ASS28" s="700"/>
      <c r="AST28" s="700"/>
      <c r="ASU28" s="700"/>
      <c r="ASV28" s="700"/>
      <c r="ASW28" s="700"/>
      <c r="ASX28" s="700"/>
      <c r="ASY28" s="700"/>
      <c r="ASZ28" s="700"/>
      <c r="ATA28" s="700"/>
      <c r="ATB28" s="700"/>
      <c r="ATC28" s="700"/>
      <c r="ATD28" s="700"/>
      <c r="ATE28" s="700"/>
      <c r="ATF28" s="700"/>
      <c r="ATG28" s="700"/>
      <c r="ATH28" s="700"/>
      <c r="ATI28" s="700"/>
      <c r="ATJ28" s="700"/>
      <c r="ATK28" s="700"/>
      <c r="ATL28" s="700"/>
      <c r="ATM28" s="700"/>
      <c r="ATN28" s="700"/>
      <c r="ATO28" s="700"/>
      <c r="ATP28" s="700"/>
      <c r="ATQ28" s="700"/>
      <c r="ATR28" s="700"/>
      <c r="ATS28" s="700"/>
      <c r="ATT28" s="700"/>
      <c r="ATU28" s="700"/>
      <c r="ATV28" s="700"/>
      <c r="ATW28" s="700"/>
      <c r="ATX28" s="700"/>
      <c r="ATY28" s="700"/>
      <c r="ATZ28" s="700"/>
      <c r="AUA28" s="700"/>
      <c r="AUB28" s="700"/>
      <c r="AUC28" s="700"/>
      <c r="AUD28" s="700"/>
      <c r="AUE28" s="700"/>
      <c r="AUF28" s="700"/>
      <c r="AUG28" s="700"/>
      <c r="AUH28" s="700"/>
      <c r="AUI28" s="700"/>
      <c r="AUJ28" s="700"/>
      <c r="AUK28" s="700"/>
      <c r="AUL28" s="700"/>
      <c r="AUM28" s="700"/>
      <c r="AUN28" s="700"/>
      <c r="AUO28" s="700"/>
      <c r="AUP28" s="700"/>
      <c r="AUQ28" s="700"/>
      <c r="AUR28" s="700"/>
      <c r="AUS28" s="700"/>
      <c r="AUT28" s="700"/>
      <c r="AUU28" s="700"/>
      <c r="AUV28" s="700"/>
      <c r="AUW28" s="700"/>
      <c r="AUX28" s="700"/>
      <c r="AUY28" s="700"/>
      <c r="AUZ28" s="700"/>
      <c r="AVA28" s="700"/>
      <c r="AVB28" s="700"/>
      <c r="AVC28" s="700"/>
      <c r="AVD28" s="700"/>
      <c r="AVE28" s="700"/>
      <c r="AVF28" s="700"/>
      <c r="AVG28" s="700"/>
      <c r="AVH28" s="700"/>
      <c r="AVI28" s="700"/>
      <c r="AVJ28" s="700"/>
      <c r="AVK28" s="700"/>
      <c r="AVL28" s="700"/>
      <c r="AVM28" s="700"/>
      <c r="AVN28" s="700"/>
      <c r="AVO28" s="700"/>
      <c r="AVP28" s="700"/>
      <c r="AVQ28" s="700"/>
      <c r="AVR28" s="700"/>
      <c r="AVS28" s="700"/>
      <c r="AVT28" s="700"/>
      <c r="AVU28" s="700"/>
      <c r="AVV28" s="700"/>
      <c r="AVW28" s="700"/>
      <c r="AVX28" s="700"/>
      <c r="AVY28" s="700"/>
      <c r="AVZ28" s="700"/>
      <c r="AWA28" s="700"/>
      <c r="AWB28" s="700"/>
      <c r="AWC28" s="700"/>
      <c r="AWD28" s="700"/>
      <c r="AWE28" s="700"/>
      <c r="AWF28" s="700"/>
      <c r="AWG28" s="700"/>
      <c r="AWH28" s="700"/>
      <c r="AWI28" s="700"/>
      <c r="AWJ28" s="700"/>
      <c r="AWK28" s="700"/>
      <c r="AWL28" s="700"/>
      <c r="AWM28" s="700"/>
      <c r="AWN28" s="700"/>
      <c r="AWO28" s="700"/>
      <c r="AWP28" s="700"/>
      <c r="AWQ28" s="700"/>
      <c r="AWR28" s="700"/>
      <c r="AWS28" s="700"/>
      <c r="AWT28" s="700"/>
      <c r="AWU28" s="700"/>
      <c r="AWV28" s="700"/>
      <c r="AWW28" s="700"/>
      <c r="AWX28" s="700"/>
      <c r="AWY28" s="700"/>
      <c r="AWZ28" s="700"/>
      <c r="AXA28" s="700"/>
      <c r="AXB28" s="700"/>
      <c r="AXC28" s="700"/>
      <c r="AXD28" s="700"/>
      <c r="AXE28" s="700"/>
      <c r="AXF28" s="700"/>
      <c r="AXG28" s="700"/>
      <c r="AXH28" s="700"/>
      <c r="AXI28" s="700"/>
      <c r="AXJ28" s="700"/>
      <c r="AXK28" s="700"/>
      <c r="AXL28" s="700"/>
      <c r="AXM28" s="700"/>
      <c r="AXN28" s="700"/>
      <c r="AXO28" s="700"/>
      <c r="AXP28" s="700"/>
      <c r="AXQ28" s="700"/>
      <c r="AXR28" s="700"/>
      <c r="AXS28" s="700"/>
      <c r="AXT28" s="700"/>
      <c r="AXU28" s="700"/>
      <c r="AXV28" s="700"/>
      <c r="AXW28" s="700"/>
      <c r="AXX28" s="700"/>
      <c r="AXY28" s="700"/>
      <c r="AXZ28" s="700"/>
      <c r="AYA28" s="700"/>
      <c r="AYB28" s="700"/>
      <c r="AYC28" s="700"/>
      <c r="AYD28" s="700"/>
      <c r="AYE28" s="700"/>
      <c r="AYF28" s="700"/>
      <c r="AYG28" s="700"/>
      <c r="AYH28" s="700"/>
      <c r="AYI28" s="700"/>
      <c r="AYJ28" s="700"/>
      <c r="AYK28" s="700"/>
      <c r="AYL28" s="700"/>
      <c r="AYM28" s="700"/>
      <c r="AYN28" s="700"/>
      <c r="AYO28" s="700"/>
      <c r="AYP28" s="700"/>
      <c r="AYQ28" s="700"/>
      <c r="AYR28" s="700"/>
      <c r="AYS28" s="700"/>
      <c r="AYT28" s="700"/>
      <c r="AYU28" s="700"/>
      <c r="AYV28" s="700"/>
      <c r="AYW28" s="700"/>
      <c r="AYX28" s="700"/>
      <c r="AYY28" s="700"/>
      <c r="AYZ28" s="700"/>
      <c r="AZA28" s="700"/>
      <c r="AZB28" s="700"/>
      <c r="AZC28" s="700"/>
      <c r="AZD28" s="700"/>
      <c r="AZE28" s="700"/>
      <c r="AZF28" s="700"/>
      <c r="AZG28" s="700"/>
      <c r="AZH28" s="700"/>
      <c r="AZI28" s="700"/>
      <c r="AZJ28" s="700"/>
      <c r="AZK28" s="700"/>
      <c r="AZL28" s="700"/>
      <c r="AZM28" s="700"/>
      <c r="AZN28" s="700"/>
      <c r="AZO28" s="700"/>
      <c r="AZP28" s="700"/>
      <c r="AZQ28" s="700"/>
      <c r="AZR28" s="700"/>
      <c r="AZS28" s="700"/>
      <c r="AZT28" s="700"/>
      <c r="AZU28" s="700"/>
      <c r="AZV28" s="700"/>
      <c r="AZW28" s="700"/>
      <c r="AZX28" s="700"/>
      <c r="AZY28" s="700"/>
      <c r="AZZ28" s="700"/>
      <c r="BAA28" s="700"/>
      <c r="BAB28" s="700"/>
      <c r="BAC28" s="700"/>
      <c r="BAD28" s="700"/>
      <c r="BAE28" s="700"/>
      <c r="BAF28" s="700"/>
      <c r="BAG28" s="700"/>
      <c r="BAH28" s="700"/>
      <c r="BAI28" s="700"/>
      <c r="BAJ28" s="700"/>
      <c r="BAK28" s="700"/>
      <c r="BAL28" s="700"/>
      <c r="BAM28" s="700"/>
      <c r="BAN28" s="700"/>
      <c r="BAO28" s="700"/>
      <c r="BAP28" s="700"/>
      <c r="BAQ28" s="700"/>
      <c r="BAR28" s="700"/>
      <c r="BAS28" s="700"/>
      <c r="BAT28" s="700"/>
      <c r="BAU28" s="700"/>
      <c r="BAV28" s="700"/>
      <c r="BAW28" s="700"/>
      <c r="BAX28" s="700"/>
      <c r="BAY28" s="700"/>
      <c r="BAZ28" s="700"/>
      <c r="BBA28" s="700"/>
      <c r="BBB28" s="700"/>
      <c r="BBC28" s="700"/>
      <c r="BBD28" s="700"/>
      <c r="BBE28" s="700"/>
      <c r="BBF28" s="700"/>
      <c r="BBG28" s="700"/>
      <c r="BBH28" s="700"/>
      <c r="BBI28" s="700"/>
      <c r="BBJ28" s="700"/>
      <c r="BBK28" s="700"/>
      <c r="BBL28" s="700"/>
      <c r="BBM28" s="700"/>
      <c r="BBN28" s="700"/>
      <c r="BBO28" s="700"/>
      <c r="BBP28" s="700"/>
      <c r="BBQ28" s="700"/>
      <c r="BBR28" s="700"/>
      <c r="BBS28" s="700"/>
      <c r="BBT28" s="700"/>
      <c r="BBU28" s="700"/>
      <c r="BBV28" s="700"/>
      <c r="BBW28" s="700"/>
      <c r="BBX28" s="700"/>
      <c r="BBY28" s="700"/>
      <c r="BBZ28" s="700"/>
      <c r="BCA28" s="700"/>
      <c r="BCB28" s="700"/>
      <c r="BCC28" s="700"/>
      <c r="BCD28" s="700"/>
      <c r="BCE28" s="700"/>
      <c r="BCF28" s="700"/>
      <c r="BCG28" s="700"/>
      <c r="BCH28" s="700"/>
      <c r="BCI28" s="700"/>
      <c r="BCJ28" s="700"/>
      <c r="BCK28" s="700"/>
      <c r="BCL28" s="700"/>
      <c r="BCM28" s="700"/>
      <c r="BCN28" s="700"/>
      <c r="BCO28" s="700"/>
      <c r="BCP28" s="700"/>
      <c r="BCQ28" s="700"/>
      <c r="BCR28" s="700"/>
      <c r="BCS28" s="700"/>
      <c r="BCT28" s="700"/>
      <c r="BCU28" s="700"/>
      <c r="BCV28" s="700"/>
      <c r="BCW28" s="700"/>
      <c r="BCX28" s="700"/>
      <c r="BCY28" s="700"/>
      <c r="BCZ28" s="700"/>
      <c r="BDA28" s="700"/>
      <c r="BDB28" s="700"/>
      <c r="BDC28" s="700"/>
      <c r="BDD28" s="700"/>
      <c r="BDE28" s="700"/>
      <c r="BDF28" s="700"/>
      <c r="BDG28" s="700"/>
      <c r="BDH28" s="700"/>
      <c r="BDI28" s="700"/>
      <c r="BDJ28" s="700"/>
      <c r="BDK28" s="700"/>
      <c r="BDL28" s="700"/>
      <c r="BDM28" s="700"/>
      <c r="BDN28" s="700"/>
      <c r="BDO28" s="700"/>
      <c r="BDP28" s="700"/>
      <c r="BDQ28" s="700"/>
      <c r="BDR28" s="700"/>
      <c r="BDS28" s="700"/>
      <c r="BDT28" s="700"/>
      <c r="BDU28" s="700"/>
      <c r="BDV28" s="700"/>
      <c r="BDW28" s="700"/>
      <c r="BDX28" s="700"/>
      <c r="BDY28" s="700"/>
      <c r="BDZ28" s="700"/>
      <c r="BEA28" s="700"/>
      <c r="BEB28" s="700"/>
      <c r="BEC28" s="700"/>
      <c r="BED28" s="700"/>
      <c r="BEE28" s="700"/>
      <c r="BEF28" s="700"/>
      <c r="BEG28" s="700"/>
      <c r="BEH28" s="700"/>
      <c r="BEI28" s="700"/>
      <c r="BEJ28" s="700"/>
      <c r="BEK28" s="700"/>
      <c r="BEL28" s="700"/>
      <c r="BEM28" s="700"/>
      <c r="BEN28" s="700"/>
      <c r="BEO28" s="700"/>
      <c r="BEP28" s="700"/>
      <c r="BEQ28" s="700"/>
      <c r="BER28" s="700"/>
      <c r="BES28" s="700"/>
      <c r="BET28" s="700"/>
      <c r="BEU28" s="700"/>
      <c r="BEV28" s="700"/>
      <c r="BEW28" s="700"/>
      <c r="BEX28" s="700"/>
      <c r="BEY28" s="700"/>
      <c r="BEZ28" s="700"/>
      <c r="BFA28" s="700"/>
      <c r="BFB28" s="700"/>
      <c r="BFC28" s="700"/>
      <c r="BFD28" s="700"/>
      <c r="BFE28" s="700"/>
      <c r="BFF28" s="700"/>
      <c r="BFG28" s="700"/>
      <c r="BFH28" s="700"/>
      <c r="BFI28" s="700"/>
      <c r="BFJ28" s="700"/>
      <c r="BFK28" s="700"/>
      <c r="BFL28" s="700"/>
      <c r="BFM28" s="700"/>
      <c r="BFN28" s="700"/>
      <c r="BFO28" s="700"/>
      <c r="BFP28" s="700"/>
      <c r="BFQ28" s="700"/>
      <c r="BFR28" s="700"/>
      <c r="BFS28" s="700"/>
      <c r="BFT28" s="700"/>
      <c r="BFU28" s="700"/>
      <c r="BFV28" s="700"/>
      <c r="BFW28" s="700"/>
      <c r="BFX28" s="700"/>
      <c r="BFY28" s="700"/>
      <c r="BFZ28" s="700"/>
      <c r="BGA28" s="700"/>
      <c r="BGB28" s="700"/>
      <c r="BGC28" s="700"/>
      <c r="BGD28" s="700"/>
      <c r="BGE28" s="700"/>
      <c r="BGF28" s="700"/>
      <c r="BGG28" s="700"/>
      <c r="BGH28" s="700"/>
      <c r="BGI28" s="700"/>
      <c r="BGJ28" s="700"/>
      <c r="BGK28" s="700"/>
      <c r="BGL28" s="700"/>
      <c r="BGM28" s="700"/>
      <c r="BGN28" s="700"/>
      <c r="BGO28" s="700"/>
      <c r="BGP28" s="700"/>
      <c r="BGQ28" s="700"/>
      <c r="BGR28" s="700"/>
      <c r="BGS28" s="700"/>
      <c r="BGT28" s="700"/>
      <c r="BGU28" s="700"/>
      <c r="BGV28" s="700"/>
      <c r="BGW28" s="700"/>
      <c r="BGX28" s="700"/>
      <c r="BGY28" s="700"/>
      <c r="BGZ28" s="700"/>
      <c r="BHA28" s="700"/>
      <c r="BHB28" s="700"/>
      <c r="BHC28" s="700"/>
      <c r="BHD28" s="700"/>
      <c r="BHE28" s="700"/>
      <c r="BHF28" s="700"/>
      <c r="BHG28" s="700"/>
      <c r="BHH28" s="700"/>
      <c r="BHI28" s="700"/>
      <c r="BHJ28" s="700"/>
      <c r="BHK28" s="700"/>
      <c r="BHL28" s="700"/>
      <c r="BHM28" s="700"/>
      <c r="BHN28" s="700"/>
      <c r="BHO28" s="700"/>
      <c r="BHP28" s="700"/>
      <c r="BHQ28" s="700"/>
      <c r="BHR28" s="700"/>
      <c r="BHS28" s="700"/>
      <c r="BHT28" s="700"/>
      <c r="BHU28" s="700"/>
      <c r="BHV28" s="700"/>
      <c r="BHW28" s="700"/>
      <c r="BHX28" s="700"/>
      <c r="BHY28" s="700"/>
      <c r="BHZ28" s="700"/>
      <c r="BIA28" s="700"/>
      <c r="BIB28" s="700"/>
      <c r="BIC28" s="700"/>
      <c r="BID28" s="700"/>
      <c r="BIE28" s="700"/>
      <c r="BIF28" s="700"/>
      <c r="BIG28" s="700"/>
      <c r="BIH28" s="700"/>
      <c r="BII28" s="700"/>
      <c r="BIJ28" s="700"/>
      <c r="BIK28" s="700"/>
      <c r="BIL28" s="700"/>
      <c r="BIM28" s="700"/>
      <c r="BIN28" s="700"/>
      <c r="BIO28" s="700"/>
      <c r="BIP28" s="700"/>
      <c r="BIQ28" s="700"/>
      <c r="BIR28" s="700"/>
      <c r="BIS28" s="700"/>
      <c r="BIT28" s="700"/>
      <c r="BIU28" s="700"/>
      <c r="BIV28" s="700"/>
      <c r="BIW28" s="700"/>
      <c r="BIX28" s="700"/>
      <c r="BIY28" s="700"/>
      <c r="BIZ28" s="700"/>
      <c r="BJA28" s="700"/>
      <c r="BJB28" s="700"/>
      <c r="BJC28" s="700"/>
      <c r="BJD28" s="700"/>
      <c r="BJE28" s="700"/>
      <c r="BJF28" s="700"/>
      <c r="BJG28" s="700"/>
      <c r="BJH28" s="700"/>
      <c r="BJI28" s="700"/>
      <c r="BJJ28" s="700"/>
      <c r="BJK28" s="700"/>
      <c r="BJL28" s="700"/>
      <c r="BJM28" s="700"/>
      <c r="BJN28" s="700"/>
      <c r="BJO28" s="700"/>
      <c r="BJP28" s="700"/>
      <c r="BJQ28" s="700"/>
      <c r="BJR28" s="700"/>
      <c r="BJS28" s="700"/>
      <c r="BJT28" s="700"/>
      <c r="BJU28" s="700"/>
      <c r="BJV28" s="700"/>
      <c r="BJW28" s="700"/>
      <c r="BJX28" s="700"/>
      <c r="BJY28" s="700"/>
      <c r="BJZ28" s="700"/>
      <c r="BKA28" s="700"/>
      <c r="BKB28" s="700"/>
      <c r="BKC28" s="700"/>
      <c r="BKD28" s="700"/>
      <c r="BKE28" s="700"/>
      <c r="BKF28" s="700"/>
      <c r="BKG28" s="700"/>
      <c r="BKH28" s="700"/>
      <c r="BKI28" s="700"/>
      <c r="BKJ28" s="700"/>
      <c r="BKK28" s="700"/>
      <c r="BKL28" s="700"/>
      <c r="BKM28" s="700"/>
      <c r="BKN28" s="700"/>
      <c r="BKO28" s="700"/>
      <c r="BKP28" s="700"/>
      <c r="BKQ28" s="700"/>
      <c r="BKR28" s="700"/>
      <c r="BKS28" s="700"/>
      <c r="BKT28" s="700"/>
      <c r="BKU28" s="700"/>
      <c r="BKV28" s="700"/>
      <c r="BKW28" s="700"/>
      <c r="BKX28" s="700"/>
      <c r="BKY28" s="700"/>
      <c r="BKZ28" s="700"/>
      <c r="BLA28" s="700"/>
      <c r="BLB28" s="700"/>
      <c r="BLC28" s="700"/>
      <c r="BLD28" s="700"/>
      <c r="BLE28" s="700"/>
      <c r="BLF28" s="700"/>
      <c r="BLG28" s="700"/>
      <c r="BLH28" s="700"/>
      <c r="BLI28" s="700"/>
      <c r="BLJ28" s="700"/>
      <c r="BLK28" s="700"/>
      <c r="BLL28" s="700"/>
      <c r="BLM28" s="700"/>
      <c r="BLN28" s="700"/>
      <c r="BLO28" s="700"/>
      <c r="BLP28" s="700"/>
      <c r="BLQ28" s="700"/>
      <c r="BLR28" s="700"/>
      <c r="BLS28" s="700"/>
      <c r="BLT28" s="700"/>
      <c r="BLU28" s="700"/>
      <c r="BLV28" s="700"/>
      <c r="BLW28" s="700"/>
      <c r="BLX28" s="700"/>
      <c r="BLY28" s="700"/>
      <c r="BLZ28" s="700"/>
      <c r="BMA28" s="700"/>
      <c r="BMB28" s="700"/>
      <c r="BMC28" s="700"/>
      <c r="BMD28" s="700"/>
      <c r="BME28" s="700"/>
      <c r="BMF28" s="700"/>
      <c r="BMG28" s="700"/>
      <c r="BMH28" s="700"/>
      <c r="BMI28" s="700"/>
      <c r="BMJ28" s="700"/>
      <c r="BMK28" s="700"/>
      <c r="BML28" s="700"/>
      <c r="BMM28" s="700"/>
      <c r="BMN28" s="700"/>
      <c r="BMO28" s="700"/>
      <c r="BMP28" s="700"/>
      <c r="BMQ28" s="700"/>
      <c r="BMR28" s="700"/>
      <c r="BMS28" s="700"/>
      <c r="BMT28" s="700"/>
      <c r="BMU28" s="700"/>
      <c r="BMV28" s="700"/>
      <c r="BMW28" s="700"/>
      <c r="BMX28" s="700"/>
      <c r="BMY28" s="700"/>
      <c r="BMZ28" s="700"/>
      <c r="BNA28" s="700"/>
      <c r="BNB28" s="700"/>
      <c r="BNC28" s="700"/>
      <c r="BND28" s="700"/>
      <c r="BNE28" s="700"/>
      <c r="BNF28" s="700"/>
      <c r="BNG28" s="700"/>
      <c r="BNH28" s="700"/>
      <c r="BNI28" s="700"/>
      <c r="BNJ28" s="700"/>
      <c r="BNK28" s="700"/>
      <c r="BNL28" s="700"/>
      <c r="BNM28" s="700"/>
      <c r="BNN28" s="700"/>
      <c r="BNO28" s="700"/>
      <c r="BNP28" s="700"/>
      <c r="BNQ28" s="700"/>
      <c r="BNR28" s="700"/>
      <c r="BNS28" s="700"/>
      <c r="BNT28" s="700"/>
      <c r="BNU28" s="700"/>
      <c r="BNV28" s="700"/>
      <c r="BNW28" s="700"/>
      <c r="BNX28" s="700"/>
      <c r="BNY28" s="700"/>
      <c r="BNZ28" s="700"/>
      <c r="BOA28" s="700"/>
      <c r="BOB28" s="700"/>
      <c r="BOC28" s="700"/>
      <c r="BOD28" s="700"/>
      <c r="BOE28" s="700"/>
      <c r="BOF28" s="700"/>
      <c r="BOG28" s="700"/>
      <c r="BOH28" s="700"/>
      <c r="BOI28" s="700"/>
      <c r="BOJ28" s="700"/>
      <c r="BOK28" s="700"/>
      <c r="BOL28" s="700"/>
      <c r="BOM28" s="700"/>
      <c r="BON28" s="700"/>
      <c r="BOO28" s="700"/>
      <c r="BOP28" s="700"/>
      <c r="BOQ28" s="700"/>
      <c r="BOR28" s="700"/>
      <c r="BOS28" s="700"/>
      <c r="BOT28" s="700"/>
      <c r="BOU28" s="700"/>
      <c r="BOV28" s="700"/>
      <c r="BOW28" s="700"/>
      <c r="BOX28" s="700"/>
      <c r="BOY28" s="700"/>
      <c r="BOZ28" s="700"/>
      <c r="BPA28" s="700"/>
      <c r="BPB28" s="700"/>
      <c r="BPC28" s="700"/>
      <c r="BPD28" s="700"/>
      <c r="BPE28" s="700"/>
      <c r="BPF28" s="700"/>
      <c r="BPG28" s="700"/>
      <c r="BPH28" s="700"/>
      <c r="BPI28" s="700"/>
      <c r="BPJ28" s="700"/>
      <c r="BPK28" s="700"/>
      <c r="BPL28" s="700"/>
      <c r="BPM28" s="700"/>
      <c r="BPN28" s="700"/>
      <c r="BPO28" s="700"/>
      <c r="BPP28" s="700"/>
      <c r="BPQ28" s="700"/>
      <c r="BPR28" s="700"/>
      <c r="BPS28" s="700"/>
      <c r="BPT28" s="700"/>
      <c r="BPU28" s="700"/>
      <c r="BPV28" s="700"/>
      <c r="BPW28" s="700"/>
      <c r="BPX28" s="700"/>
      <c r="BPY28" s="700"/>
      <c r="BPZ28" s="700"/>
      <c r="BQA28" s="700"/>
      <c r="BQB28" s="700"/>
      <c r="BQC28" s="700"/>
      <c r="BQD28" s="700"/>
      <c r="BQE28" s="700"/>
      <c r="BQF28" s="700"/>
      <c r="BQG28" s="700"/>
      <c r="BQH28" s="700"/>
      <c r="BQI28" s="700"/>
      <c r="BQJ28" s="700"/>
      <c r="BQK28" s="700"/>
      <c r="BQL28" s="700"/>
      <c r="BQM28" s="700"/>
      <c r="BQN28" s="700"/>
      <c r="BQO28" s="700"/>
      <c r="BQP28" s="700"/>
      <c r="BQQ28" s="700"/>
      <c r="BQR28" s="700"/>
      <c r="BQS28" s="700"/>
      <c r="BQT28" s="700"/>
      <c r="BQU28" s="700"/>
      <c r="BQV28" s="700"/>
      <c r="BQW28" s="700"/>
      <c r="BQX28" s="700"/>
      <c r="BQY28" s="700"/>
      <c r="BQZ28" s="700"/>
      <c r="BRA28" s="700"/>
      <c r="BRB28" s="700"/>
      <c r="BRC28" s="700"/>
      <c r="BRD28" s="700"/>
      <c r="BRE28" s="700"/>
      <c r="BRF28" s="700"/>
      <c r="BRG28" s="700"/>
      <c r="BRH28" s="700"/>
      <c r="BRI28" s="700"/>
      <c r="BRJ28" s="700"/>
      <c r="BRK28" s="700"/>
      <c r="BRL28" s="700"/>
      <c r="BRM28" s="700"/>
      <c r="BRN28" s="700"/>
      <c r="BRO28" s="700"/>
      <c r="BRP28" s="700"/>
      <c r="BRQ28" s="700"/>
      <c r="BRR28" s="700"/>
      <c r="BRS28" s="700"/>
      <c r="BRT28" s="700"/>
      <c r="BRU28" s="700"/>
      <c r="BRV28" s="700"/>
      <c r="BRW28" s="700"/>
      <c r="BRX28" s="700"/>
      <c r="BRY28" s="700"/>
      <c r="BRZ28" s="700"/>
      <c r="BSA28" s="700"/>
      <c r="BSB28" s="700"/>
      <c r="BSC28" s="700"/>
      <c r="BSD28" s="700"/>
      <c r="BSE28" s="700"/>
      <c r="BSF28" s="700"/>
      <c r="BSG28" s="700"/>
      <c r="BSH28" s="700"/>
      <c r="BSI28" s="700"/>
      <c r="BSJ28" s="700"/>
      <c r="BSK28" s="700"/>
      <c r="BSL28" s="700"/>
      <c r="BSM28" s="700"/>
      <c r="BSN28" s="700"/>
      <c r="BSO28" s="700"/>
      <c r="BSP28" s="700"/>
      <c r="BSQ28" s="700"/>
      <c r="BSR28" s="700"/>
      <c r="BSS28" s="700"/>
      <c r="BST28" s="700"/>
      <c r="BSU28" s="700"/>
      <c r="BSV28" s="700"/>
      <c r="BSW28" s="700"/>
      <c r="BSX28" s="700"/>
      <c r="BSY28" s="700"/>
      <c r="BSZ28" s="700"/>
      <c r="BTA28" s="700"/>
      <c r="BTB28" s="700"/>
      <c r="BTC28" s="700"/>
      <c r="BTD28" s="700"/>
      <c r="BTE28" s="700"/>
      <c r="BTF28" s="700"/>
      <c r="BTG28" s="700"/>
      <c r="BTH28" s="700"/>
      <c r="BTI28" s="700"/>
      <c r="BTJ28" s="700"/>
      <c r="BTK28" s="700"/>
      <c r="BTL28" s="700"/>
      <c r="BTM28" s="700"/>
      <c r="BTN28" s="700"/>
      <c r="BTO28" s="700"/>
      <c r="BTP28" s="700"/>
      <c r="BTQ28" s="700"/>
      <c r="BTR28" s="700"/>
      <c r="BTS28" s="700"/>
      <c r="BTT28" s="700"/>
      <c r="BTU28" s="700"/>
      <c r="BTV28" s="700"/>
      <c r="BTW28" s="700"/>
      <c r="BTX28" s="700"/>
      <c r="BTY28" s="700"/>
      <c r="BTZ28" s="700"/>
      <c r="BUA28" s="700"/>
      <c r="BUB28" s="700"/>
      <c r="BUC28" s="700"/>
      <c r="BUD28" s="700"/>
      <c r="BUE28" s="700"/>
      <c r="BUF28" s="700"/>
      <c r="BUG28" s="700"/>
      <c r="BUH28" s="700"/>
      <c r="BUI28" s="700"/>
      <c r="BUJ28" s="700"/>
      <c r="BUK28" s="700"/>
      <c r="BUL28" s="700"/>
      <c r="BUM28" s="700"/>
      <c r="BUN28" s="700"/>
      <c r="BUO28" s="700"/>
      <c r="BUP28" s="700"/>
      <c r="BUQ28" s="700"/>
      <c r="BUR28" s="700"/>
      <c r="BUS28" s="700"/>
      <c r="BUT28" s="700"/>
      <c r="BUU28" s="700"/>
      <c r="BUV28" s="700"/>
      <c r="BUW28" s="700"/>
      <c r="BUX28" s="700"/>
      <c r="BUY28" s="700"/>
      <c r="BUZ28" s="700"/>
      <c r="BVA28" s="700"/>
      <c r="BVB28" s="700"/>
      <c r="BVC28" s="700"/>
      <c r="BVD28" s="700"/>
      <c r="BVE28" s="700"/>
      <c r="BVF28" s="700"/>
      <c r="BVG28" s="700"/>
      <c r="BVH28" s="700"/>
      <c r="BVI28" s="700"/>
      <c r="BVJ28" s="700"/>
      <c r="BVK28" s="700"/>
      <c r="BVL28" s="700"/>
      <c r="BVM28" s="700"/>
      <c r="BVN28" s="700"/>
      <c r="BVO28" s="700"/>
      <c r="BVP28" s="700"/>
      <c r="BVQ28" s="700"/>
      <c r="BVR28" s="700"/>
      <c r="BVS28" s="700"/>
      <c r="BVT28" s="700"/>
      <c r="BVU28" s="700"/>
      <c r="BVV28" s="700"/>
      <c r="BVW28" s="700"/>
      <c r="BVX28" s="700"/>
      <c r="BVY28" s="700"/>
      <c r="BVZ28" s="700"/>
      <c r="BWA28" s="700"/>
      <c r="BWB28" s="700"/>
      <c r="BWC28" s="700"/>
      <c r="BWD28" s="700"/>
      <c r="BWE28" s="700"/>
      <c r="BWF28" s="700"/>
      <c r="BWG28" s="700"/>
      <c r="BWH28" s="700"/>
      <c r="BWI28" s="700"/>
      <c r="BWJ28" s="700"/>
      <c r="BWK28" s="700"/>
      <c r="BWL28" s="700"/>
      <c r="BWM28" s="700"/>
      <c r="BWN28" s="700"/>
      <c r="BWO28" s="700"/>
      <c r="BWP28" s="700"/>
      <c r="BWQ28" s="700"/>
      <c r="BWR28" s="700"/>
      <c r="BWS28" s="700"/>
      <c r="BWT28" s="700"/>
      <c r="BWU28" s="700"/>
      <c r="BWV28" s="700"/>
      <c r="BWW28" s="700"/>
      <c r="BWX28" s="700"/>
      <c r="BWY28" s="700"/>
      <c r="BWZ28" s="700"/>
      <c r="BXA28" s="700"/>
      <c r="BXB28" s="700"/>
      <c r="BXC28" s="700"/>
      <c r="BXD28" s="700"/>
      <c r="BXE28" s="700"/>
      <c r="BXF28" s="700"/>
      <c r="BXG28" s="700"/>
      <c r="BXH28" s="700"/>
      <c r="BXI28" s="700"/>
      <c r="BXJ28" s="700"/>
      <c r="BXK28" s="700"/>
      <c r="BXL28" s="700"/>
      <c r="BXM28" s="700"/>
      <c r="BXN28" s="700"/>
      <c r="BXO28" s="700"/>
      <c r="BXP28" s="700"/>
      <c r="BXQ28" s="700"/>
      <c r="BXR28" s="700"/>
      <c r="BXS28" s="700"/>
      <c r="BXT28" s="700"/>
      <c r="BXU28" s="700"/>
      <c r="BXV28" s="700"/>
      <c r="BXW28" s="700"/>
      <c r="BXX28" s="700"/>
      <c r="BXY28" s="700"/>
      <c r="BXZ28" s="700"/>
    </row>
    <row r="29" spans="1:2002" ht="15">
      <c r="A29" s="717"/>
      <c r="B29" s="706"/>
      <c r="C29" s="721" t="s">
        <v>50</v>
      </c>
      <c r="D29" s="742">
        <v>838000</v>
      </c>
      <c r="E29" s="742">
        <v>930000</v>
      </c>
      <c r="F29" s="742">
        <v>933000</v>
      </c>
      <c r="G29" s="742">
        <v>1103000</v>
      </c>
      <c r="H29" s="742">
        <v>1293000</v>
      </c>
      <c r="I29" s="738"/>
      <c r="J29" s="742"/>
      <c r="K29" s="742"/>
      <c r="L29" s="742"/>
      <c r="M29" s="742"/>
      <c r="N29" s="742"/>
      <c r="O29" s="742"/>
      <c r="P29" s="742"/>
      <c r="Q29" s="742"/>
      <c r="R29" s="742"/>
      <c r="S29" s="712"/>
      <c r="T29" s="700"/>
      <c r="U29" s="700"/>
      <c r="V29" s="700"/>
      <c r="W29" s="700"/>
      <c r="X29" s="700"/>
      <c r="Y29" s="700"/>
      <c r="Z29" s="700"/>
      <c r="AA29" s="700"/>
      <c r="AB29" s="700"/>
      <c r="AC29" s="700"/>
      <c r="AD29" s="700"/>
      <c r="AE29" s="700"/>
      <c r="AF29" s="700"/>
      <c r="AG29" s="700"/>
      <c r="AH29" s="700"/>
      <c r="AI29" s="700"/>
      <c r="AJ29" s="700"/>
      <c r="AK29" s="700"/>
      <c r="AL29" s="700"/>
      <c r="AM29" s="700"/>
      <c r="AN29" s="700"/>
      <c r="AO29" s="700"/>
      <c r="AP29" s="700"/>
      <c r="AQ29" s="700"/>
      <c r="AR29" s="700"/>
      <c r="AS29" s="700"/>
      <c r="AT29" s="700"/>
      <c r="AU29" s="700"/>
      <c r="AV29" s="700"/>
      <c r="AW29" s="700"/>
      <c r="AX29" s="700"/>
      <c r="AY29" s="700"/>
      <c r="AZ29" s="700"/>
      <c r="BA29" s="700"/>
      <c r="BB29" s="700"/>
      <c r="BC29" s="700"/>
      <c r="BD29" s="700"/>
      <c r="BE29" s="700"/>
      <c r="BF29" s="700"/>
      <c r="BG29" s="700"/>
      <c r="BH29" s="700"/>
      <c r="BI29" s="700"/>
      <c r="BJ29" s="700"/>
      <c r="BK29" s="700"/>
      <c r="BL29" s="700"/>
      <c r="BM29" s="700"/>
      <c r="BN29" s="700"/>
      <c r="BO29" s="700"/>
      <c r="BP29" s="700"/>
      <c r="BQ29" s="700"/>
      <c r="BR29" s="700"/>
      <c r="BS29" s="700"/>
      <c r="BT29" s="700"/>
      <c r="BU29" s="700"/>
      <c r="BV29" s="700"/>
      <c r="BW29" s="700"/>
      <c r="BX29" s="700"/>
      <c r="BY29" s="700"/>
      <c r="BZ29" s="700"/>
      <c r="CA29" s="700"/>
      <c r="CB29" s="700"/>
      <c r="CC29" s="700"/>
      <c r="CD29" s="700"/>
      <c r="CE29" s="700"/>
      <c r="CF29" s="700"/>
      <c r="CG29" s="700"/>
      <c r="CH29" s="700"/>
      <c r="CI29" s="700"/>
      <c r="CJ29" s="700"/>
      <c r="CK29" s="700"/>
      <c r="CL29" s="700"/>
      <c r="CM29" s="700"/>
      <c r="CN29" s="700"/>
      <c r="CO29" s="700"/>
      <c r="CP29" s="700"/>
      <c r="CQ29" s="700"/>
      <c r="CR29" s="700"/>
      <c r="CS29" s="700"/>
      <c r="CT29" s="700"/>
      <c r="CU29" s="700"/>
      <c r="CV29" s="700"/>
      <c r="CW29" s="700"/>
      <c r="CX29" s="700"/>
      <c r="CY29" s="700"/>
      <c r="CZ29" s="700"/>
      <c r="DA29" s="700"/>
      <c r="DB29" s="700"/>
      <c r="DC29" s="700"/>
      <c r="DD29" s="700"/>
      <c r="DE29" s="700"/>
      <c r="DF29" s="700"/>
      <c r="DG29" s="700"/>
      <c r="DH29" s="700"/>
      <c r="DI29" s="700"/>
      <c r="DJ29" s="700"/>
      <c r="DK29" s="700"/>
      <c r="DL29" s="700"/>
      <c r="DM29" s="700"/>
      <c r="DN29" s="700"/>
      <c r="DO29" s="700"/>
      <c r="DP29" s="700"/>
      <c r="DQ29" s="700"/>
      <c r="DR29" s="700"/>
      <c r="DS29" s="700"/>
      <c r="DT29" s="700"/>
      <c r="DU29" s="700"/>
      <c r="DV29" s="700"/>
      <c r="DW29" s="700"/>
      <c r="DX29" s="700"/>
      <c r="DY29" s="700"/>
      <c r="DZ29" s="700"/>
      <c r="EA29" s="700"/>
      <c r="EB29" s="700"/>
      <c r="EC29" s="700"/>
      <c r="ED29" s="700"/>
      <c r="EE29" s="700"/>
      <c r="EF29" s="700"/>
      <c r="EG29" s="700"/>
      <c r="EH29" s="700"/>
      <c r="EI29" s="700"/>
      <c r="EJ29" s="700"/>
      <c r="EK29" s="700"/>
      <c r="EL29" s="700"/>
      <c r="EM29" s="700"/>
      <c r="EN29" s="700"/>
      <c r="EO29" s="700"/>
      <c r="EP29" s="700"/>
      <c r="EQ29" s="700"/>
      <c r="ER29" s="700"/>
      <c r="ES29" s="700"/>
      <c r="ET29" s="700"/>
      <c r="EU29" s="700"/>
      <c r="EV29" s="700"/>
      <c r="EW29" s="700"/>
      <c r="EX29" s="700"/>
      <c r="EY29" s="700"/>
      <c r="EZ29" s="700"/>
      <c r="FA29" s="700"/>
      <c r="FB29" s="700"/>
      <c r="FC29" s="700"/>
      <c r="FD29" s="700"/>
      <c r="FE29" s="700"/>
      <c r="FF29" s="700"/>
      <c r="FG29" s="700"/>
      <c r="FH29" s="700"/>
      <c r="FI29" s="700"/>
      <c r="FJ29" s="700"/>
      <c r="FK29" s="700"/>
      <c r="FL29" s="700"/>
      <c r="FM29" s="700"/>
      <c r="FN29" s="700"/>
      <c r="FO29" s="700"/>
      <c r="FP29" s="700"/>
      <c r="FQ29" s="700"/>
      <c r="FR29" s="700"/>
      <c r="FS29" s="700"/>
      <c r="FT29" s="700"/>
      <c r="FU29" s="700"/>
      <c r="FV29" s="700"/>
      <c r="FW29" s="700"/>
      <c r="FX29" s="700"/>
      <c r="FY29" s="700"/>
      <c r="FZ29" s="700"/>
      <c r="GA29" s="700"/>
      <c r="GB29" s="700"/>
      <c r="GC29" s="700"/>
      <c r="GD29" s="700"/>
      <c r="GE29" s="700"/>
      <c r="GF29" s="700"/>
      <c r="GG29" s="700"/>
      <c r="GH29" s="700"/>
      <c r="GI29" s="700"/>
      <c r="GJ29" s="700"/>
      <c r="GK29" s="700"/>
      <c r="GL29" s="700"/>
      <c r="GM29" s="700"/>
      <c r="GN29" s="700"/>
      <c r="GO29" s="700"/>
      <c r="GP29" s="700"/>
      <c r="GQ29" s="700"/>
      <c r="GR29" s="700"/>
      <c r="GS29" s="700"/>
      <c r="GT29" s="700"/>
      <c r="GU29" s="700"/>
      <c r="GV29" s="700"/>
      <c r="GW29" s="700"/>
      <c r="GX29" s="700"/>
      <c r="GY29" s="700"/>
      <c r="GZ29" s="700"/>
      <c r="HA29" s="700"/>
      <c r="HB29" s="700"/>
      <c r="HC29" s="700"/>
      <c r="HD29" s="700"/>
      <c r="HE29" s="700"/>
      <c r="HF29" s="700"/>
      <c r="HG29" s="700"/>
      <c r="HH29" s="700"/>
      <c r="HI29" s="700"/>
      <c r="HJ29" s="700"/>
      <c r="HK29" s="700"/>
      <c r="HL29" s="700"/>
      <c r="HM29" s="700"/>
      <c r="HN29" s="700"/>
      <c r="HO29" s="700"/>
      <c r="HP29" s="700"/>
      <c r="HQ29" s="700"/>
      <c r="HR29" s="700"/>
      <c r="HS29" s="700"/>
      <c r="HT29" s="700"/>
      <c r="HU29" s="700"/>
      <c r="HV29" s="700"/>
      <c r="HW29" s="700"/>
      <c r="HX29" s="700"/>
      <c r="HY29" s="700"/>
      <c r="HZ29" s="700"/>
      <c r="IA29" s="700"/>
      <c r="IB29" s="700"/>
      <c r="IC29" s="700"/>
      <c r="ID29" s="700"/>
      <c r="IE29" s="700"/>
      <c r="IF29" s="700"/>
      <c r="IG29" s="700"/>
      <c r="IH29" s="700"/>
      <c r="II29" s="700"/>
      <c r="IJ29" s="700"/>
      <c r="IK29" s="700"/>
      <c r="IL29" s="700"/>
      <c r="IM29" s="700"/>
      <c r="IN29" s="700"/>
      <c r="IO29" s="700"/>
      <c r="IP29" s="700"/>
      <c r="IQ29" s="700"/>
      <c r="IR29" s="700"/>
      <c r="IS29" s="700"/>
      <c r="IT29" s="700"/>
      <c r="IU29" s="700"/>
      <c r="IV29" s="700"/>
      <c r="IW29" s="700"/>
      <c r="IX29" s="700"/>
      <c r="IY29" s="700"/>
      <c r="IZ29" s="700"/>
      <c r="JA29" s="700"/>
      <c r="JB29" s="700"/>
      <c r="JC29" s="700"/>
      <c r="JD29" s="700"/>
      <c r="JE29" s="700"/>
      <c r="JF29" s="700"/>
      <c r="JG29" s="700"/>
      <c r="JH29" s="700"/>
      <c r="JI29" s="700"/>
      <c r="JJ29" s="700"/>
      <c r="JK29" s="700"/>
      <c r="JL29" s="700"/>
      <c r="JM29" s="700"/>
      <c r="JN29" s="700"/>
      <c r="JO29" s="700"/>
      <c r="JP29" s="700"/>
      <c r="JQ29" s="700"/>
      <c r="JR29" s="700"/>
      <c r="JS29" s="700"/>
      <c r="JT29" s="700"/>
      <c r="JU29" s="700"/>
      <c r="JV29" s="700"/>
      <c r="JW29" s="700"/>
      <c r="JX29" s="700"/>
      <c r="JY29" s="700"/>
      <c r="JZ29" s="700"/>
      <c r="KA29" s="700"/>
      <c r="KB29" s="700"/>
      <c r="KC29" s="700"/>
      <c r="KD29" s="700"/>
      <c r="KE29" s="700"/>
      <c r="KF29" s="700"/>
      <c r="KG29" s="700"/>
      <c r="KH29" s="700"/>
      <c r="KI29" s="700"/>
      <c r="KJ29" s="700"/>
      <c r="KK29" s="700"/>
      <c r="KL29" s="700"/>
      <c r="KM29" s="700"/>
      <c r="KN29" s="700"/>
      <c r="KO29" s="700"/>
      <c r="KP29" s="700"/>
      <c r="KQ29" s="700"/>
      <c r="KR29" s="700"/>
      <c r="KS29" s="700"/>
      <c r="KT29" s="700"/>
      <c r="KU29" s="700"/>
      <c r="KV29" s="700"/>
      <c r="KW29" s="700"/>
      <c r="KX29" s="700"/>
      <c r="KY29" s="700"/>
      <c r="KZ29" s="700"/>
      <c r="LA29" s="700"/>
      <c r="LB29" s="700"/>
      <c r="LC29" s="700"/>
      <c r="LD29" s="700"/>
      <c r="LE29" s="700"/>
      <c r="LF29" s="700"/>
      <c r="LG29" s="700"/>
      <c r="LH29" s="700"/>
      <c r="LI29" s="700"/>
      <c r="LJ29" s="700"/>
      <c r="LK29" s="700"/>
      <c r="LL29" s="700"/>
      <c r="LM29" s="700"/>
      <c r="LN29" s="700"/>
      <c r="LO29" s="700"/>
      <c r="LP29" s="700"/>
      <c r="LQ29" s="700"/>
      <c r="LR29" s="700"/>
      <c r="LS29" s="700"/>
      <c r="LT29" s="700"/>
      <c r="LU29" s="700"/>
      <c r="LV29" s="700"/>
      <c r="LW29" s="700"/>
      <c r="LX29" s="700"/>
      <c r="LY29" s="700"/>
      <c r="LZ29" s="700"/>
      <c r="MA29" s="700"/>
      <c r="MB29" s="700"/>
      <c r="MC29" s="700"/>
      <c r="MD29" s="700"/>
      <c r="ME29" s="700"/>
      <c r="MF29" s="700"/>
      <c r="MG29" s="700"/>
      <c r="MH29" s="700"/>
      <c r="MI29" s="700"/>
      <c r="MJ29" s="700"/>
      <c r="MK29" s="700"/>
      <c r="ML29" s="700"/>
      <c r="MM29" s="700"/>
      <c r="MN29" s="700"/>
      <c r="MO29" s="700"/>
      <c r="MP29" s="700"/>
      <c r="MQ29" s="700"/>
      <c r="MR29" s="700"/>
      <c r="MS29" s="700"/>
      <c r="MT29" s="700"/>
      <c r="MU29" s="700"/>
      <c r="MV29" s="700"/>
      <c r="MW29" s="700"/>
      <c r="MX29" s="700"/>
      <c r="MY29" s="700"/>
      <c r="MZ29" s="700"/>
      <c r="NA29" s="700"/>
      <c r="NB29" s="700"/>
      <c r="NC29" s="700"/>
      <c r="ND29" s="700"/>
      <c r="NE29" s="700"/>
      <c r="NF29" s="700"/>
      <c r="NG29" s="700"/>
      <c r="NH29" s="700"/>
      <c r="NI29" s="700"/>
      <c r="NJ29" s="700"/>
      <c r="NK29" s="700"/>
      <c r="NL29" s="700"/>
      <c r="NM29" s="700"/>
      <c r="NN29" s="700"/>
      <c r="NO29" s="700"/>
      <c r="NP29" s="700"/>
      <c r="NQ29" s="700"/>
      <c r="NR29" s="700"/>
      <c r="NS29" s="700"/>
      <c r="NT29" s="700"/>
      <c r="NU29" s="700"/>
      <c r="NV29" s="700"/>
      <c r="NW29" s="700"/>
      <c r="NX29" s="700"/>
      <c r="NY29" s="700"/>
      <c r="NZ29" s="700"/>
      <c r="OA29" s="700"/>
      <c r="OB29" s="700"/>
      <c r="OC29" s="700"/>
      <c r="OD29" s="700"/>
      <c r="OE29" s="700"/>
      <c r="OF29" s="700"/>
      <c r="OG29" s="700"/>
      <c r="OH29" s="700"/>
      <c r="OI29" s="700"/>
      <c r="OJ29" s="700"/>
      <c r="OK29" s="700"/>
      <c r="OL29" s="700"/>
      <c r="OM29" s="700"/>
      <c r="ON29" s="700"/>
      <c r="OO29" s="700"/>
      <c r="OP29" s="700"/>
      <c r="OQ29" s="700"/>
      <c r="OR29" s="700"/>
      <c r="OS29" s="700"/>
      <c r="OT29" s="700"/>
      <c r="OU29" s="700"/>
      <c r="OV29" s="700"/>
      <c r="OW29" s="700"/>
      <c r="OX29" s="700"/>
      <c r="OY29" s="700"/>
      <c r="OZ29" s="700"/>
      <c r="PA29" s="700"/>
      <c r="PB29" s="700"/>
      <c r="PC29" s="700"/>
      <c r="PD29" s="700"/>
      <c r="PE29" s="700"/>
      <c r="PF29" s="700"/>
      <c r="PG29" s="700"/>
      <c r="PH29" s="700"/>
      <c r="PI29" s="700"/>
      <c r="PJ29" s="700"/>
      <c r="PK29" s="700"/>
      <c r="PL29" s="700"/>
      <c r="PM29" s="700"/>
      <c r="PN29" s="700"/>
      <c r="PO29" s="700"/>
      <c r="PP29" s="700"/>
      <c r="PQ29" s="700"/>
      <c r="PR29" s="700"/>
      <c r="PS29" s="700"/>
      <c r="PT29" s="700"/>
      <c r="PU29" s="700"/>
      <c r="PV29" s="700"/>
      <c r="PW29" s="700"/>
      <c r="PX29" s="700"/>
      <c r="PY29" s="700"/>
      <c r="PZ29" s="700"/>
      <c r="QA29" s="700"/>
      <c r="QB29" s="700"/>
      <c r="QC29" s="700"/>
      <c r="QD29" s="700"/>
      <c r="QE29" s="700"/>
      <c r="QF29" s="700"/>
      <c r="QG29" s="700"/>
      <c r="QH29" s="700"/>
      <c r="QI29" s="700"/>
      <c r="QJ29" s="700"/>
      <c r="QK29" s="700"/>
      <c r="QL29" s="700"/>
      <c r="QM29" s="700"/>
      <c r="QN29" s="700"/>
      <c r="QO29" s="700"/>
      <c r="QP29" s="700"/>
      <c r="QQ29" s="700"/>
      <c r="QR29" s="700"/>
      <c r="QS29" s="700"/>
      <c r="QT29" s="700"/>
      <c r="QU29" s="700"/>
      <c r="QV29" s="700"/>
      <c r="QW29" s="700"/>
      <c r="QX29" s="700"/>
      <c r="QY29" s="700"/>
      <c r="QZ29" s="700"/>
      <c r="RA29" s="700"/>
      <c r="RB29" s="700"/>
      <c r="RC29" s="700"/>
      <c r="RD29" s="700"/>
      <c r="RE29" s="700"/>
      <c r="RF29" s="700"/>
      <c r="RG29" s="700"/>
      <c r="RH29" s="700"/>
      <c r="RI29" s="700"/>
      <c r="RJ29" s="700"/>
      <c r="RK29" s="700"/>
      <c r="RL29" s="700"/>
      <c r="RM29" s="700"/>
      <c r="RN29" s="700"/>
      <c r="RO29" s="700"/>
      <c r="RP29" s="700"/>
      <c r="RQ29" s="700"/>
      <c r="RR29" s="700"/>
      <c r="RS29" s="700"/>
      <c r="RT29" s="700"/>
      <c r="RU29" s="700"/>
      <c r="RV29" s="700"/>
      <c r="RW29" s="700"/>
      <c r="RX29" s="700"/>
      <c r="RY29" s="700"/>
      <c r="RZ29" s="700"/>
      <c r="SA29" s="700"/>
      <c r="SB29" s="700"/>
      <c r="SC29" s="700"/>
      <c r="SD29" s="700"/>
      <c r="SE29" s="700"/>
      <c r="SF29" s="700"/>
      <c r="SG29" s="700"/>
      <c r="SH29" s="700"/>
      <c r="SI29" s="700"/>
      <c r="SJ29" s="700"/>
      <c r="SK29" s="700"/>
      <c r="SL29" s="700"/>
      <c r="SM29" s="700"/>
      <c r="SN29" s="700"/>
      <c r="SO29" s="700"/>
      <c r="SP29" s="700"/>
      <c r="SQ29" s="700"/>
      <c r="SR29" s="700"/>
      <c r="SS29" s="700"/>
      <c r="ST29" s="700"/>
      <c r="SU29" s="700"/>
      <c r="SV29" s="700"/>
      <c r="SW29" s="700"/>
      <c r="SX29" s="700"/>
      <c r="SY29" s="700"/>
      <c r="SZ29" s="700"/>
      <c r="TA29" s="700"/>
      <c r="TB29" s="700"/>
      <c r="TC29" s="700"/>
      <c r="TD29" s="700"/>
      <c r="TE29" s="700"/>
      <c r="TF29" s="700"/>
      <c r="TG29" s="700"/>
      <c r="TH29" s="700"/>
      <c r="TI29" s="700"/>
      <c r="TJ29" s="700"/>
      <c r="TK29" s="700"/>
      <c r="TL29" s="700"/>
      <c r="TM29" s="700"/>
      <c r="TN29" s="700"/>
      <c r="TO29" s="700"/>
      <c r="TP29" s="700"/>
      <c r="TQ29" s="700"/>
      <c r="TR29" s="700"/>
      <c r="TS29" s="700"/>
      <c r="TT29" s="700"/>
      <c r="TU29" s="700"/>
      <c r="TV29" s="700"/>
      <c r="TW29" s="700"/>
      <c r="TX29" s="700"/>
      <c r="TY29" s="700"/>
      <c r="TZ29" s="700"/>
      <c r="UA29" s="700"/>
      <c r="UB29" s="700"/>
      <c r="UC29" s="700"/>
      <c r="UD29" s="700"/>
      <c r="UE29" s="700"/>
      <c r="UF29" s="700"/>
      <c r="UG29" s="700"/>
      <c r="UH29" s="700"/>
      <c r="UI29" s="700"/>
      <c r="UJ29" s="700"/>
      <c r="UK29" s="700"/>
      <c r="UL29" s="700"/>
      <c r="UM29" s="700"/>
      <c r="UN29" s="700"/>
      <c r="UO29" s="700"/>
      <c r="UP29" s="700"/>
      <c r="UQ29" s="700"/>
      <c r="UR29" s="700"/>
      <c r="US29" s="700"/>
      <c r="UT29" s="700"/>
      <c r="UU29" s="700"/>
      <c r="UV29" s="700"/>
      <c r="UW29" s="700"/>
      <c r="UX29" s="700"/>
      <c r="UY29" s="700"/>
      <c r="UZ29" s="700"/>
      <c r="VA29" s="700"/>
      <c r="VB29" s="700"/>
      <c r="VC29" s="700"/>
      <c r="VD29" s="700"/>
      <c r="VE29" s="700"/>
      <c r="VF29" s="700"/>
      <c r="VG29" s="700"/>
      <c r="VH29" s="700"/>
      <c r="VI29" s="700"/>
      <c r="VJ29" s="700"/>
      <c r="VK29" s="700"/>
      <c r="VL29" s="700"/>
      <c r="VM29" s="700"/>
      <c r="VN29" s="700"/>
      <c r="VO29" s="700"/>
      <c r="VP29" s="700"/>
      <c r="VQ29" s="700"/>
      <c r="VR29" s="700"/>
      <c r="VS29" s="700"/>
      <c r="VT29" s="700"/>
      <c r="VU29" s="700"/>
      <c r="VV29" s="700"/>
      <c r="VW29" s="700"/>
      <c r="VX29" s="700"/>
      <c r="VY29" s="700"/>
      <c r="VZ29" s="700"/>
      <c r="WA29" s="700"/>
      <c r="WB29" s="700"/>
      <c r="WC29" s="700"/>
      <c r="WD29" s="700"/>
      <c r="WE29" s="700"/>
      <c r="WF29" s="700"/>
      <c r="WG29" s="700"/>
      <c r="WH29" s="700"/>
      <c r="WI29" s="700"/>
      <c r="WJ29" s="700"/>
      <c r="WK29" s="700"/>
      <c r="WL29" s="700"/>
      <c r="WM29" s="700"/>
      <c r="WN29" s="700"/>
      <c r="WO29" s="700"/>
      <c r="WP29" s="700"/>
      <c r="WQ29" s="700"/>
      <c r="WR29" s="700"/>
      <c r="WS29" s="700"/>
      <c r="WT29" s="700"/>
      <c r="WU29" s="700"/>
      <c r="WV29" s="700"/>
      <c r="WW29" s="700"/>
      <c r="WX29" s="700"/>
      <c r="WY29" s="700"/>
      <c r="WZ29" s="700"/>
      <c r="XA29" s="700"/>
      <c r="XB29" s="700"/>
      <c r="XC29" s="700"/>
      <c r="XD29" s="700"/>
      <c r="XE29" s="700"/>
      <c r="XF29" s="700"/>
      <c r="XG29" s="700"/>
      <c r="XH29" s="700"/>
      <c r="XI29" s="700"/>
      <c r="XJ29" s="700"/>
      <c r="XK29" s="700"/>
      <c r="XL29" s="700"/>
      <c r="XM29" s="700"/>
      <c r="XN29" s="700"/>
      <c r="XO29" s="700"/>
      <c r="XP29" s="700"/>
      <c r="XQ29" s="700"/>
      <c r="XR29" s="700"/>
      <c r="XS29" s="700"/>
      <c r="XT29" s="700"/>
      <c r="XU29" s="700"/>
      <c r="XV29" s="700"/>
      <c r="XW29" s="700"/>
      <c r="XX29" s="700"/>
      <c r="XY29" s="700"/>
      <c r="XZ29" s="700"/>
      <c r="YA29" s="700"/>
      <c r="YB29" s="700"/>
      <c r="YC29" s="700"/>
      <c r="YD29" s="700"/>
      <c r="YE29" s="700"/>
      <c r="YF29" s="700"/>
      <c r="YG29" s="700"/>
      <c r="YH29" s="700"/>
      <c r="YI29" s="700"/>
      <c r="YJ29" s="700"/>
      <c r="YK29" s="700"/>
      <c r="YL29" s="700"/>
      <c r="YM29" s="700"/>
      <c r="YN29" s="700"/>
      <c r="YO29" s="700"/>
      <c r="YP29" s="700"/>
      <c r="YQ29" s="700"/>
      <c r="YR29" s="700"/>
      <c r="YS29" s="700"/>
      <c r="YT29" s="700"/>
      <c r="YU29" s="700"/>
      <c r="YV29" s="700"/>
      <c r="YW29" s="700"/>
      <c r="YX29" s="700"/>
      <c r="YY29" s="700"/>
      <c r="YZ29" s="700"/>
      <c r="ZA29" s="700"/>
      <c r="ZB29" s="700"/>
      <c r="ZC29" s="700"/>
      <c r="ZD29" s="700"/>
      <c r="ZE29" s="700"/>
      <c r="ZF29" s="700"/>
      <c r="ZG29" s="700"/>
      <c r="ZH29" s="700"/>
      <c r="ZI29" s="700"/>
      <c r="ZJ29" s="700"/>
      <c r="ZK29" s="700"/>
      <c r="ZL29" s="700"/>
      <c r="ZM29" s="700"/>
      <c r="ZN29" s="700"/>
      <c r="ZO29" s="700"/>
      <c r="ZP29" s="700"/>
      <c r="ZQ29" s="700"/>
      <c r="ZR29" s="700"/>
      <c r="ZS29" s="700"/>
      <c r="ZT29" s="700"/>
      <c r="ZU29" s="700"/>
      <c r="ZV29" s="700"/>
      <c r="ZW29" s="700"/>
      <c r="ZX29" s="700"/>
      <c r="ZY29" s="700"/>
      <c r="ZZ29" s="700"/>
      <c r="AAA29" s="700"/>
      <c r="AAB29" s="700"/>
      <c r="AAC29" s="700"/>
      <c r="AAD29" s="700"/>
      <c r="AAE29" s="700"/>
      <c r="AAF29" s="700"/>
      <c r="AAG29" s="700"/>
      <c r="AAH29" s="700"/>
      <c r="AAI29" s="700"/>
      <c r="AAJ29" s="700"/>
      <c r="AAK29" s="700"/>
      <c r="AAL29" s="700"/>
      <c r="AAM29" s="700"/>
      <c r="AAN29" s="700"/>
      <c r="AAO29" s="700"/>
      <c r="AAP29" s="700"/>
      <c r="AAQ29" s="700"/>
      <c r="AAR29" s="700"/>
      <c r="AAS29" s="700"/>
      <c r="AAT29" s="700"/>
      <c r="AAU29" s="700"/>
      <c r="AAV29" s="700"/>
      <c r="AAW29" s="700"/>
      <c r="AAX29" s="700"/>
      <c r="AAY29" s="700"/>
      <c r="AAZ29" s="700"/>
      <c r="ABA29" s="700"/>
      <c r="ABB29" s="700"/>
      <c r="ABC29" s="700"/>
      <c r="ABD29" s="700"/>
      <c r="ABE29" s="700"/>
      <c r="ABF29" s="700"/>
      <c r="ABG29" s="700"/>
      <c r="ABH29" s="700"/>
      <c r="ABI29" s="700"/>
      <c r="ABJ29" s="700"/>
      <c r="ABK29" s="700"/>
      <c r="ABL29" s="700"/>
      <c r="ABM29" s="700"/>
      <c r="ABN29" s="700"/>
      <c r="ABO29" s="700"/>
      <c r="ABP29" s="700"/>
      <c r="ABQ29" s="700"/>
      <c r="ABR29" s="700"/>
      <c r="ABS29" s="700"/>
      <c r="ABT29" s="700"/>
      <c r="ABU29" s="700"/>
      <c r="ABV29" s="700"/>
      <c r="ABW29" s="700"/>
      <c r="ABX29" s="700"/>
      <c r="ABY29" s="700"/>
      <c r="ABZ29" s="700"/>
      <c r="ACA29" s="700"/>
      <c r="ACB29" s="700"/>
      <c r="ACC29" s="700"/>
      <c r="ACD29" s="700"/>
      <c r="ACE29" s="700"/>
      <c r="ACF29" s="700"/>
      <c r="ACG29" s="700"/>
      <c r="ACH29" s="700"/>
      <c r="ACI29" s="700"/>
      <c r="ACJ29" s="700"/>
      <c r="ACK29" s="700"/>
      <c r="ACL29" s="700"/>
      <c r="ACM29" s="700"/>
      <c r="ACN29" s="700"/>
      <c r="ACO29" s="700"/>
      <c r="ACP29" s="700"/>
      <c r="ACQ29" s="700"/>
      <c r="ACR29" s="700"/>
      <c r="ACS29" s="700"/>
      <c r="ACT29" s="700"/>
      <c r="ACU29" s="700"/>
      <c r="ACV29" s="700"/>
      <c r="ACW29" s="700"/>
      <c r="ACX29" s="700"/>
      <c r="ACY29" s="700"/>
      <c r="ACZ29" s="700"/>
      <c r="ADA29" s="700"/>
      <c r="ADB29" s="700"/>
      <c r="ADC29" s="700"/>
      <c r="ADD29" s="700"/>
      <c r="ADE29" s="700"/>
      <c r="ADF29" s="700"/>
      <c r="ADG29" s="700"/>
      <c r="ADH29" s="700"/>
      <c r="ADI29" s="700"/>
      <c r="ADJ29" s="700"/>
      <c r="ADK29" s="700"/>
      <c r="ADL29" s="700"/>
      <c r="ADM29" s="700"/>
      <c r="ADN29" s="700"/>
      <c r="ADO29" s="700"/>
      <c r="ADP29" s="700"/>
      <c r="ADQ29" s="700"/>
      <c r="ADR29" s="700"/>
      <c r="ADS29" s="700"/>
      <c r="ADT29" s="700"/>
      <c r="ADU29" s="700"/>
      <c r="ADV29" s="700"/>
      <c r="ADW29" s="700"/>
      <c r="ADX29" s="700"/>
      <c r="ADY29" s="700"/>
      <c r="ADZ29" s="700"/>
      <c r="AEA29" s="700"/>
      <c r="AEB29" s="700"/>
      <c r="AEC29" s="700"/>
      <c r="AED29" s="700"/>
      <c r="AEE29" s="700"/>
      <c r="AEF29" s="700"/>
      <c r="AEG29" s="700"/>
      <c r="AEH29" s="700"/>
      <c r="AEI29" s="700"/>
      <c r="AEJ29" s="700"/>
      <c r="AEK29" s="700"/>
      <c r="AEL29" s="700"/>
      <c r="AEM29" s="700"/>
      <c r="AEN29" s="700"/>
      <c r="AEO29" s="700"/>
      <c r="AEP29" s="700"/>
      <c r="AEQ29" s="700"/>
      <c r="AER29" s="700"/>
      <c r="AES29" s="700"/>
      <c r="AET29" s="700"/>
      <c r="AEU29" s="700"/>
      <c r="AEV29" s="700"/>
      <c r="AEW29" s="700"/>
      <c r="AEX29" s="700"/>
      <c r="AEY29" s="700"/>
      <c r="AEZ29" s="700"/>
      <c r="AFA29" s="700"/>
      <c r="AFB29" s="700"/>
      <c r="AFC29" s="700"/>
      <c r="AFD29" s="700"/>
      <c r="AFE29" s="700"/>
      <c r="AFF29" s="700"/>
      <c r="AFG29" s="700"/>
      <c r="AFH29" s="700"/>
      <c r="AFI29" s="700"/>
      <c r="AFJ29" s="700"/>
      <c r="AFK29" s="700"/>
      <c r="AFL29" s="700"/>
      <c r="AFM29" s="700"/>
      <c r="AFN29" s="700"/>
      <c r="AFO29" s="700"/>
      <c r="AFP29" s="700"/>
      <c r="AFQ29" s="700"/>
      <c r="AFR29" s="700"/>
      <c r="AFS29" s="700"/>
      <c r="AFT29" s="700"/>
      <c r="AFU29" s="700"/>
      <c r="AFV29" s="700"/>
      <c r="AFW29" s="700"/>
      <c r="AFX29" s="700"/>
      <c r="AFY29" s="700"/>
      <c r="AFZ29" s="700"/>
      <c r="AGA29" s="700"/>
      <c r="AGB29" s="700"/>
      <c r="AGC29" s="700"/>
      <c r="AGD29" s="700"/>
      <c r="AGE29" s="700"/>
      <c r="AGF29" s="700"/>
      <c r="AGG29" s="700"/>
      <c r="AGH29" s="700"/>
      <c r="AGI29" s="700"/>
      <c r="AGJ29" s="700"/>
      <c r="AGK29" s="700"/>
      <c r="AGL29" s="700"/>
      <c r="AGM29" s="700"/>
      <c r="AGN29" s="700"/>
      <c r="AGO29" s="700"/>
      <c r="AGP29" s="700"/>
      <c r="AGQ29" s="700"/>
      <c r="AGR29" s="700"/>
      <c r="AGS29" s="700"/>
      <c r="AGT29" s="700"/>
      <c r="AGU29" s="700"/>
      <c r="AGV29" s="700"/>
      <c r="AGW29" s="700"/>
      <c r="AGX29" s="700"/>
      <c r="AGY29" s="700"/>
      <c r="AGZ29" s="700"/>
      <c r="AHA29" s="700"/>
      <c r="AHB29" s="700"/>
      <c r="AHC29" s="700"/>
      <c r="AHD29" s="700"/>
      <c r="AHE29" s="700"/>
      <c r="AHF29" s="700"/>
      <c r="AHG29" s="700"/>
      <c r="AHH29" s="700"/>
      <c r="AHI29" s="700"/>
      <c r="AHJ29" s="700"/>
      <c r="AHK29" s="700"/>
      <c r="AHL29" s="700"/>
      <c r="AHM29" s="700"/>
      <c r="AHN29" s="700"/>
      <c r="AHO29" s="700"/>
      <c r="AHP29" s="700"/>
      <c r="AHQ29" s="700"/>
      <c r="AHR29" s="700"/>
      <c r="AHS29" s="700"/>
      <c r="AHT29" s="700"/>
      <c r="AHU29" s="700"/>
      <c r="AHV29" s="700"/>
      <c r="AHW29" s="700"/>
      <c r="AHX29" s="700"/>
      <c r="AHY29" s="700"/>
      <c r="AHZ29" s="700"/>
      <c r="AIA29" s="700"/>
      <c r="AIB29" s="700"/>
      <c r="AIC29" s="700"/>
      <c r="AID29" s="700"/>
      <c r="AIE29" s="700"/>
      <c r="AIF29" s="700"/>
      <c r="AIG29" s="700"/>
      <c r="AIH29" s="700"/>
      <c r="AII29" s="700"/>
      <c r="AIJ29" s="700"/>
      <c r="AIK29" s="700"/>
      <c r="AIL29" s="700"/>
      <c r="AIM29" s="700"/>
      <c r="AIN29" s="700"/>
      <c r="AIO29" s="700"/>
      <c r="AIP29" s="700"/>
      <c r="AIQ29" s="700"/>
      <c r="AIR29" s="700"/>
      <c r="AIS29" s="700"/>
      <c r="AIT29" s="700"/>
      <c r="AIU29" s="700"/>
      <c r="AIV29" s="700"/>
      <c r="AIW29" s="700"/>
      <c r="AIX29" s="700"/>
      <c r="AIY29" s="700"/>
      <c r="AIZ29" s="700"/>
      <c r="AJA29" s="700"/>
      <c r="AJB29" s="700"/>
      <c r="AJC29" s="700"/>
      <c r="AJD29" s="700"/>
      <c r="AJE29" s="700"/>
      <c r="AJF29" s="700"/>
      <c r="AJG29" s="700"/>
      <c r="AJH29" s="700"/>
      <c r="AJI29" s="700"/>
      <c r="AJJ29" s="700"/>
      <c r="AJK29" s="700"/>
      <c r="AJL29" s="700"/>
      <c r="AJM29" s="700"/>
      <c r="AJN29" s="700"/>
      <c r="AJO29" s="700"/>
      <c r="AJP29" s="700"/>
      <c r="AJQ29" s="700"/>
      <c r="AJR29" s="700"/>
      <c r="AJS29" s="700"/>
      <c r="AJT29" s="700"/>
      <c r="AJU29" s="700"/>
      <c r="AJV29" s="700"/>
      <c r="AJW29" s="700"/>
      <c r="AJX29" s="700"/>
      <c r="AJY29" s="700"/>
      <c r="AJZ29" s="700"/>
      <c r="AKA29" s="700"/>
      <c r="AKB29" s="700"/>
      <c r="AKC29" s="700"/>
      <c r="AKD29" s="700"/>
      <c r="AKE29" s="700"/>
      <c r="AKF29" s="700"/>
      <c r="AKG29" s="700"/>
      <c r="AKH29" s="700"/>
      <c r="AKI29" s="700"/>
      <c r="AKJ29" s="700"/>
      <c r="AKK29" s="700"/>
      <c r="AKL29" s="700"/>
      <c r="AKM29" s="700"/>
      <c r="AKN29" s="700"/>
      <c r="AKO29" s="700"/>
      <c r="AKP29" s="700"/>
      <c r="AKQ29" s="700"/>
      <c r="AKR29" s="700"/>
      <c r="AKS29" s="700"/>
      <c r="AKT29" s="700"/>
      <c r="AKU29" s="700"/>
      <c r="AKV29" s="700"/>
      <c r="AKW29" s="700"/>
      <c r="AKX29" s="700"/>
      <c r="AKY29" s="700"/>
      <c r="AKZ29" s="700"/>
      <c r="ALA29" s="700"/>
      <c r="ALB29" s="700"/>
      <c r="ALC29" s="700"/>
      <c r="ALD29" s="700"/>
      <c r="ALE29" s="700"/>
      <c r="ALF29" s="700"/>
      <c r="ALG29" s="700"/>
      <c r="ALH29" s="700"/>
      <c r="ALI29" s="700"/>
      <c r="ALJ29" s="700"/>
      <c r="ALK29" s="700"/>
      <c r="ALL29" s="700"/>
      <c r="ALM29" s="700"/>
      <c r="ALN29" s="700"/>
      <c r="ALO29" s="700"/>
      <c r="ALP29" s="700"/>
      <c r="ALQ29" s="700"/>
      <c r="ALR29" s="700"/>
      <c r="ALS29" s="700"/>
      <c r="ALT29" s="700"/>
      <c r="ALU29" s="700"/>
      <c r="ALV29" s="700"/>
      <c r="ALW29" s="700"/>
      <c r="ALX29" s="700"/>
      <c r="ALY29" s="700"/>
      <c r="ALZ29" s="700"/>
      <c r="AMA29" s="700"/>
      <c r="AMB29" s="700"/>
      <c r="AMC29" s="700"/>
      <c r="AMD29" s="700"/>
      <c r="AME29" s="700"/>
      <c r="AMF29" s="700"/>
      <c r="AMG29" s="700"/>
      <c r="AMH29" s="700"/>
      <c r="AMI29" s="700"/>
      <c r="AMJ29" s="700"/>
      <c r="AMK29" s="700"/>
      <c r="AML29" s="700"/>
      <c r="AMM29" s="700"/>
      <c r="AMN29" s="700"/>
      <c r="AMO29" s="700"/>
      <c r="AMP29" s="700"/>
      <c r="AMQ29" s="700"/>
      <c r="AMR29" s="700"/>
      <c r="AMS29" s="700"/>
      <c r="AMT29" s="700"/>
      <c r="AMU29" s="700"/>
      <c r="AMV29" s="700"/>
      <c r="AMW29" s="700"/>
      <c r="AMX29" s="700"/>
      <c r="AMY29" s="700"/>
      <c r="AMZ29" s="700"/>
      <c r="ANA29" s="700"/>
      <c r="ANB29" s="700"/>
      <c r="ANC29" s="700"/>
      <c r="AND29" s="700"/>
      <c r="ANE29" s="700"/>
      <c r="ANF29" s="700"/>
      <c r="ANG29" s="700"/>
      <c r="ANH29" s="700"/>
      <c r="ANI29" s="700"/>
      <c r="ANJ29" s="700"/>
      <c r="ANK29" s="700"/>
      <c r="ANL29" s="700"/>
      <c r="ANM29" s="700"/>
      <c r="ANN29" s="700"/>
      <c r="ANO29" s="700"/>
      <c r="ANP29" s="700"/>
      <c r="ANQ29" s="700"/>
      <c r="ANR29" s="700"/>
      <c r="ANS29" s="700"/>
      <c r="ANT29" s="700"/>
      <c r="ANU29" s="700"/>
      <c r="ANV29" s="700"/>
      <c r="ANW29" s="700"/>
      <c r="ANX29" s="700"/>
      <c r="ANY29" s="700"/>
      <c r="ANZ29" s="700"/>
      <c r="AOA29" s="700"/>
      <c r="AOB29" s="700"/>
      <c r="AOC29" s="700"/>
      <c r="AOD29" s="700"/>
      <c r="AOE29" s="700"/>
      <c r="AOF29" s="700"/>
      <c r="AOG29" s="700"/>
      <c r="AOH29" s="700"/>
      <c r="AOI29" s="700"/>
      <c r="AOJ29" s="700"/>
      <c r="AOK29" s="700"/>
      <c r="AOL29" s="700"/>
      <c r="AOM29" s="700"/>
      <c r="AON29" s="700"/>
      <c r="AOO29" s="700"/>
      <c r="AOP29" s="700"/>
      <c r="AOQ29" s="700"/>
      <c r="AOR29" s="700"/>
      <c r="AOS29" s="700"/>
      <c r="AOT29" s="700"/>
      <c r="AOU29" s="700"/>
      <c r="AOV29" s="700"/>
      <c r="AOW29" s="700"/>
      <c r="AOX29" s="700"/>
      <c r="AOY29" s="700"/>
      <c r="AOZ29" s="700"/>
      <c r="APA29" s="700"/>
      <c r="APB29" s="700"/>
      <c r="APC29" s="700"/>
      <c r="APD29" s="700"/>
      <c r="APE29" s="700"/>
      <c r="APF29" s="700"/>
      <c r="APG29" s="700"/>
      <c r="APH29" s="700"/>
      <c r="API29" s="700"/>
      <c r="APJ29" s="700"/>
      <c r="APK29" s="700"/>
      <c r="APL29" s="700"/>
      <c r="APM29" s="700"/>
      <c r="APN29" s="700"/>
      <c r="APO29" s="700"/>
      <c r="APP29" s="700"/>
      <c r="APQ29" s="700"/>
      <c r="APR29" s="700"/>
      <c r="APS29" s="700"/>
      <c r="APT29" s="700"/>
      <c r="APU29" s="700"/>
      <c r="APV29" s="700"/>
      <c r="APW29" s="700"/>
      <c r="APX29" s="700"/>
      <c r="APY29" s="700"/>
      <c r="APZ29" s="700"/>
      <c r="AQA29" s="700"/>
      <c r="AQB29" s="700"/>
      <c r="AQC29" s="700"/>
      <c r="AQD29" s="700"/>
      <c r="AQE29" s="700"/>
      <c r="AQF29" s="700"/>
      <c r="AQG29" s="700"/>
      <c r="AQH29" s="700"/>
      <c r="AQI29" s="700"/>
      <c r="AQJ29" s="700"/>
      <c r="AQK29" s="700"/>
      <c r="AQL29" s="700"/>
      <c r="AQM29" s="700"/>
      <c r="AQN29" s="700"/>
      <c r="AQO29" s="700"/>
      <c r="AQP29" s="700"/>
      <c r="AQQ29" s="700"/>
      <c r="AQR29" s="700"/>
      <c r="AQS29" s="700"/>
      <c r="AQT29" s="700"/>
      <c r="AQU29" s="700"/>
      <c r="AQV29" s="700"/>
      <c r="AQW29" s="700"/>
      <c r="AQX29" s="700"/>
      <c r="AQY29" s="700"/>
      <c r="AQZ29" s="700"/>
      <c r="ARA29" s="700"/>
      <c r="ARB29" s="700"/>
      <c r="ARC29" s="700"/>
      <c r="ARD29" s="700"/>
      <c r="ARE29" s="700"/>
      <c r="ARF29" s="700"/>
      <c r="ARG29" s="700"/>
      <c r="ARH29" s="700"/>
      <c r="ARI29" s="700"/>
      <c r="ARJ29" s="700"/>
      <c r="ARK29" s="700"/>
      <c r="ARL29" s="700"/>
      <c r="ARM29" s="700"/>
      <c r="ARN29" s="700"/>
      <c r="ARO29" s="700"/>
      <c r="ARP29" s="700"/>
      <c r="ARQ29" s="700"/>
      <c r="ARR29" s="700"/>
      <c r="ARS29" s="700"/>
      <c r="ART29" s="700"/>
      <c r="ARU29" s="700"/>
      <c r="ARV29" s="700"/>
      <c r="ARW29" s="700"/>
      <c r="ARX29" s="700"/>
      <c r="ARY29" s="700"/>
      <c r="ARZ29" s="700"/>
      <c r="ASA29" s="700"/>
      <c r="ASB29" s="700"/>
      <c r="ASC29" s="700"/>
      <c r="ASD29" s="700"/>
      <c r="ASE29" s="700"/>
      <c r="ASF29" s="700"/>
      <c r="ASG29" s="700"/>
      <c r="ASH29" s="700"/>
      <c r="ASI29" s="700"/>
      <c r="ASJ29" s="700"/>
      <c r="ASK29" s="700"/>
      <c r="ASL29" s="700"/>
      <c r="ASM29" s="700"/>
      <c r="ASN29" s="700"/>
      <c r="ASO29" s="700"/>
      <c r="ASP29" s="700"/>
      <c r="ASQ29" s="700"/>
      <c r="ASR29" s="700"/>
      <c r="ASS29" s="700"/>
      <c r="AST29" s="700"/>
      <c r="ASU29" s="700"/>
      <c r="ASV29" s="700"/>
      <c r="ASW29" s="700"/>
      <c r="ASX29" s="700"/>
      <c r="ASY29" s="700"/>
      <c r="ASZ29" s="700"/>
      <c r="ATA29" s="700"/>
      <c r="ATB29" s="700"/>
      <c r="ATC29" s="700"/>
      <c r="ATD29" s="700"/>
      <c r="ATE29" s="700"/>
      <c r="ATF29" s="700"/>
      <c r="ATG29" s="700"/>
      <c r="ATH29" s="700"/>
      <c r="ATI29" s="700"/>
      <c r="ATJ29" s="700"/>
      <c r="ATK29" s="700"/>
      <c r="ATL29" s="700"/>
      <c r="ATM29" s="700"/>
      <c r="ATN29" s="700"/>
      <c r="ATO29" s="700"/>
      <c r="ATP29" s="700"/>
      <c r="ATQ29" s="700"/>
      <c r="ATR29" s="700"/>
      <c r="ATS29" s="700"/>
      <c r="ATT29" s="700"/>
      <c r="ATU29" s="700"/>
      <c r="ATV29" s="700"/>
      <c r="ATW29" s="700"/>
      <c r="ATX29" s="700"/>
      <c r="ATY29" s="700"/>
      <c r="ATZ29" s="700"/>
      <c r="AUA29" s="700"/>
      <c r="AUB29" s="700"/>
      <c r="AUC29" s="700"/>
      <c r="AUD29" s="700"/>
      <c r="AUE29" s="700"/>
      <c r="AUF29" s="700"/>
      <c r="AUG29" s="700"/>
      <c r="AUH29" s="700"/>
      <c r="AUI29" s="700"/>
      <c r="AUJ29" s="700"/>
      <c r="AUK29" s="700"/>
      <c r="AUL29" s="700"/>
      <c r="AUM29" s="700"/>
      <c r="AUN29" s="700"/>
      <c r="AUO29" s="700"/>
      <c r="AUP29" s="700"/>
      <c r="AUQ29" s="700"/>
      <c r="AUR29" s="700"/>
      <c r="AUS29" s="700"/>
      <c r="AUT29" s="700"/>
      <c r="AUU29" s="700"/>
      <c r="AUV29" s="700"/>
      <c r="AUW29" s="700"/>
      <c r="AUX29" s="700"/>
      <c r="AUY29" s="700"/>
      <c r="AUZ29" s="700"/>
      <c r="AVA29" s="700"/>
      <c r="AVB29" s="700"/>
      <c r="AVC29" s="700"/>
      <c r="AVD29" s="700"/>
      <c r="AVE29" s="700"/>
      <c r="AVF29" s="700"/>
      <c r="AVG29" s="700"/>
      <c r="AVH29" s="700"/>
      <c r="AVI29" s="700"/>
      <c r="AVJ29" s="700"/>
      <c r="AVK29" s="700"/>
      <c r="AVL29" s="700"/>
      <c r="AVM29" s="700"/>
      <c r="AVN29" s="700"/>
      <c r="AVO29" s="700"/>
      <c r="AVP29" s="700"/>
      <c r="AVQ29" s="700"/>
      <c r="AVR29" s="700"/>
      <c r="AVS29" s="700"/>
      <c r="AVT29" s="700"/>
      <c r="AVU29" s="700"/>
      <c r="AVV29" s="700"/>
      <c r="AVW29" s="700"/>
      <c r="AVX29" s="700"/>
      <c r="AVY29" s="700"/>
      <c r="AVZ29" s="700"/>
      <c r="AWA29" s="700"/>
      <c r="AWB29" s="700"/>
      <c r="AWC29" s="700"/>
      <c r="AWD29" s="700"/>
      <c r="AWE29" s="700"/>
      <c r="AWF29" s="700"/>
      <c r="AWG29" s="700"/>
      <c r="AWH29" s="700"/>
      <c r="AWI29" s="700"/>
      <c r="AWJ29" s="700"/>
      <c r="AWK29" s="700"/>
      <c r="AWL29" s="700"/>
      <c r="AWM29" s="700"/>
      <c r="AWN29" s="700"/>
      <c r="AWO29" s="700"/>
      <c r="AWP29" s="700"/>
      <c r="AWQ29" s="700"/>
      <c r="AWR29" s="700"/>
      <c r="AWS29" s="700"/>
      <c r="AWT29" s="700"/>
      <c r="AWU29" s="700"/>
      <c r="AWV29" s="700"/>
      <c r="AWW29" s="700"/>
      <c r="AWX29" s="700"/>
      <c r="AWY29" s="700"/>
      <c r="AWZ29" s="700"/>
      <c r="AXA29" s="700"/>
      <c r="AXB29" s="700"/>
      <c r="AXC29" s="700"/>
      <c r="AXD29" s="700"/>
      <c r="AXE29" s="700"/>
      <c r="AXF29" s="700"/>
      <c r="AXG29" s="700"/>
      <c r="AXH29" s="700"/>
      <c r="AXI29" s="700"/>
      <c r="AXJ29" s="700"/>
      <c r="AXK29" s="700"/>
      <c r="AXL29" s="700"/>
      <c r="AXM29" s="700"/>
      <c r="AXN29" s="700"/>
      <c r="AXO29" s="700"/>
      <c r="AXP29" s="700"/>
      <c r="AXQ29" s="700"/>
      <c r="AXR29" s="700"/>
      <c r="AXS29" s="700"/>
      <c r="AXT29" s="700"/>
      <c r="AXU29" s="700"/>
      <c r="AXV29" s="700"/>
      <c r="AXW29" s="700"/>
      <c r="AXX29" s="700"/>
      <c r="AXY29" s="700"/>
      <c r="AXZ29" s="700"/>
      <c r="AYA29" s="700"/>
      <c r="AYB29" s="700"/>
      <c r="AYC29" s="700"/>
      <c r="AYD29" s="700"/>
      <c r="AYE29" s="700"/>
      <c r="AYF29" s="700"/>
      <c r="AYG29" s="700"/>
      <c r="AYH29" s="700"/>
      <c r="AYI29" s="700"/>
      <c r="AYJ29" s="700"/>
      <c r="AYK29" s="700"/>
      <c r="AYL29" s="700"/>
      <c r="AYM29" s="700"/>
      <c r="AYN29" s="700"/>
      <c r="AYO29" s="700"/>
      <c r="AYP29" s="700"/>
      <c r="AYQ29" s="700"/>
      <c r="AYR29" s="700"/>
      <c r="AYS29" s="700"/>
      <c r="AYT29" s="700"/>
      <c r="AYU29" s="700"/>
      <c r="AYV29" s="700"/>
      <c r="AYW29" s="700"/>
      <c r="AYX29" s="700"/>
      <c r="AYY29" s="700"/>
      <c r="AYZ29" s="700"/>
      <c r="AZA29" s="700"/>
      <c r="AZB29" s="700"/>
      <c r="AZC29" s="700"/>
      <c r="AZD29" s="700"/>
      <c r="AZE29" s="700"/>
      <c r="AZF29" s="700"/>
      <c r="AZG29" s="700"/>
      <c r="AZH29" s="700"/>
      <c r="AZI29" s="700"/>
      <c r="AZJ29" s="700"/>
      <c r="AZK29" s="700"/>
      <c r="AZL29" s="700"/>
      <c r="AZM29" s="700"/>
      <c r="AZN29" s="700"/>
      <c r="AZO29" s="700"/>
      <c r="AZP29" s="700"/>
      <c r="AZQ29" s="700"/>
      <c r="AZR29" s="700"/>
      <c r="AZS29" s="700"/>
      <c r="AZT29" s="700"/>
      <c r="AZU29" s="700"/>
      <c r="AZV29" s="700"/>
      <c r="AZW29" s="700"/>
      <c r="AZX29" s="700"/>
      <c r="AZY29" s="700"/>
      <c r="AZZ29" s="700"/>
      <c r="BAA29" s="700"/>
      <c r="BAB29" s="700"/>
      <c r="BAC29" s="700"/>
      <c r="BAD29" s="700"/>
      <c r="BAE29" s="700"/>
      <c r="BAF29" s="700"/>
      <c r="BAG29" s="700"/>
      <c r="BAH29" s="700"/>
      <c r="BAI29" s="700"/>
      <c r="BAJ29" s="700"/>
      <c r="BAK29" s="700"/>
      <c r="BAL29" s="700"/>
      <c r="BAM29" s="700"/>
      <c r="BAN29" s="700"/>
      <c r="BAO29" s="700"/>
      <c r="BAP29" s="700"/>
      <c r="BAQ29" s="700"/>
      <c r="BAR29" s="700"/>
      <c r="BAS29" s="700"/>
      <c r="BAT29" s="700"/>
      <c r="BAU29" s="700"/>
      <c r="BAV29" s="700"/>
      <c r="BAW29" s="700"/>
      <c r="BAX29" s="700"/>
      <c r="BAY29" s="700"/>
      <c r="BAZ29" s="700"/>
      <c r="BBA29" s="700"/>
      <c r="BBB29" s="700"/>
      <c r="BBC29" s="700"/>
      <c r="BBD29" s="700"/>
      <c r="BBE29" s="700"/>
      <c r="BBF29" s="700"/>
      <c r="BBG29" s="700"/>
      <c r="BBH29" s="700"/>
      <c r="BBI29" s="700"/>
      <c r="BBJ29" s="700"/>
      <c r="BBK29" s="700"/>
      <c r="BBL29" s="700"/>
      <c r="BBM29" s="700"/>
      <c r="BBN29" s="700"/>
      <c r="BBO29" s="700"/>
      <c r="BBP29" s="700"/>
      <c r="BBQ29" s="700"/>
      <c r="BBR29" s="700"/>
      <c r="BBS29" s="700"/>
      <c r="BBT29" s="700"/>
      <c r="BBU29" s="700"/>
      <c r="BBV29" s="700"/>
      <c r="BBW29" s="700"/>
      <c r="BBX29" s="700"/>
      <c r="BBY29" s="700"/>
      <c r="BBZ29" s="700"/>
      <c r="BCA29" s="700"/>
      <c r="BCB29" s="700"/>
      <c r="BCC29" s="700"/>
      <c r="BCD29" s="700"/>
      <c r="BCE29" s="700"/>
      <c r="BCF29" s="700"/>
      <c r="BCG29" s="700"/>
      <c r="BCH29" s="700"/>
      <c r="BCI29" s="700"/>
      <c r="BCJ29" s="700"/>
      <c r="BCK29" s="700"/>
      <c r="BCL29" s="700"/>
      <c r="BCM29" s="700"/>
      <c r="BCN29" s="700"/>
      <c r="BCO29" s="700"/>
      <c r="BCP29" s="700"/>
      <c r="BCQ29" s="700"/>
      <c r="BCR29" s="700"/>
      <c r="BCS29" s="700"/>
      <c r="BCT29" s="700"/>
      <c r="BCU29" s="700"/>
      <c r="BCV29" s="700"/>
      <c r="BCW29" s="700"/>
      <c r="BCX29" s="700"/>
      <c r="BCY29" s="700"/>
      <c r="BCZ29" s="700"/>
      <c r="BDA29" s="700"/>
      <c r="BDB29" s="700"/>
      <c r="BDC29" s="700"/>
      <c r="BDD29" s="700"/>
      <c r="BDE29" s="700"/>
      <c r="BDF29" s="700"/>
      <c r="BDG29" s="700"/>
      <c r="BDH29" s="700"/>
      <c r="BDI29" s="700"/>
      <c r="BDJ29" s="700"/>
      <c r="BDK29" s="700"/>
      <c r="BDL29" s="700"/>
      <c r="BDM29" s="700"/>
      <c r="BDN29" s="700"/>
      <c r="BDO29" s="700"/>
      <c r="BDP29" s="700"/>
      <c r="BDQ29" s="700"/>
      <c r="BDR29" s="700"/>
      <c r="BDS29" s="700"/>
      <c r="BDT29" s="700"/>
      <c r="BDU29" s="700"/>
      <c r="BDV29" s="700"/>
      <c r="BDW29" s="700"/>
      <c r="BDX29" s="700"/>
      <c r="BDY29" s="700"/>
      <c r="BDZ29" s="700"/>
      <c r="BEA29" s="700"/>
      <c r="BEB29" s="700"/>
      <c r="BEC29" s="700"/>
      <c r="BED29" s="700"/>
      <c r="BEE29" s="700"/>
      <c r="BEF29" s="700"/>
      <c r="BEG29" s="700"/>
      <c r="BEH29" s="700"/>
      <c r="BEI29" s="700"/>
      <c r="BEJ29" s="700"/>
      <c r="BEK29" s="700"/>
      <c r="BEL29" s="700"/>
      <c r="BEM29" s="700"/>
      <c r="BEN29" s="700"/>
      <c r="BEO29" s="700"/>
      <c r="BEP29" s="700"/>
      <c r="BEQ29" s="700"/>
      <c r="BER29" s="700"/>
      <c r="BES29" s="700"/>
      <c r="BET29" s="700"/>
      <c r="BEU29" s="700"/>
      <c r="BEV29" s="700"/>
      <c r="BEW29" s="700"/>
      <c r="BEX29" s="700"/>
      <c r="BEY29" s="700"/>
      <c r="BEZ29" s="700"/>
      <c r="BFA29" s="700"/>
      <c r="BFB29" s="700"/>
      <c r="BFC29" s="700"/>
      <c r="BFD29" s="700"/>
      <c r="BFE29" s="700"/>
      <c r="BFF29" s="700"/>
      <c r="BFG29" s="700"/>
      <c r="BFH29" s="700"/>
      <c r="BFI29" s="700"/>
      <c r="BFJ29" s="700"/>
      <c r="BFK29" s="700"/>
      <c r="BFL29" s="700"/>
      <c r="BFM29" s="700"/>
      <c r="BFN29" s="700"/>
      <c r="BFO29" s="700"/>
      <c r="BFP29" s="700"/>
      <c r="BFQ29" s="700"/>
      <c r="BFR29" s="700"/>
      <c r="BFS29" s="700"/>
      <c r="BFT29" s="700"/>
      <c r="BFU29" s="700"/>
      <c r="BFV29" s="700"/>
      <c r="BFW29" s="700"/>
      <c r="BFX29" s="700"/>
      <c r="BFY29" s="700"/>
      <c r="BFZ29" s="700"/>
      <c r="BGA29" s="700"/>
      <c r="BGB29" s="700"/>
      <c r="BGC29" s="700"/>
      <c r="BGD29" s="700"/>
      <c r="BGE29" s="700"/>
      <c r="BGF29" s="700"/>
      <c r="BGG29" s="700"/>
      <c r="BGH29" s="700"/>
      <c r="BGI29" s="700"/>
      <c r="BGJ29" s="700"/>
      <c r="BGK29" s="700"/>
      <c r="BGL29" s="700"/>
      <c r="BGM29" s="700"/>
      <c r="BGN29" s="700"/>
      <c r="BGO29" s="700"/>
      <c r="BGP29" s="700"/>
      <c r="BGQ29" s="700"/>
      <c r="BGR29" s="700"/>
      <c r="BGS29" s="700"/>
      <c r="BGT29" s="700"/>
      <c r="BGU29" s="700"/>
      <c r="BGV29" s="700"/>
      <c r="BGW29" s="700"/>
      <c r="BGX29" s="700"/>
      <c r="BGY29" s="700"/>
      <c r="BGZ29" s="700"/>
      <c r="BHA29" s="700"/>
      <c r="BHB29" s="700"/>
      <c r="BHC29" s="700"/>
      <c r="BHD29" s="700"/>
      <c r="BHE29" s="700"/>
      <c r="BHF29" s="700"/>
      <c r="BHG29" s="700"/>
      <c r="BHH29" s="700"/>
      <c r="BHI29" s="700"/>
      <c r="BHJ29" s="700"/>
      <c r="BHK29" s="700"/>
      <c r="BHL29" s="700"/>
      <c r="BHM29" s="700"/>
      <c r="BHN29" s="700"/>
      <c r="BHO29" s="700"/>
      <c r="BHP29" s="700"/>
      <c r="BHQ29" s="700"/>
      <c r="BHR29" s="700"/>
      <c r="BHS29" s="700"/>
      <c r="BHT29" s="700"/>
      <c r="BHU29" s="700"/>
      <c r="BHV29" s="700"/>
      <c r="BHW29" s="700"/>
      <c r="BHX29" s="700"/>
      <c r="BHY29" s="700"/>
      <c r="BHZ29" s="700"/>
      <c r="BIA29" s="700"/>
      <c r="BIB29" s="700"/>
      <c r="BIC29" s="700"/>
      <c r="BID29" s="700"/>
      <c r="BIE29" s="700"/>
      <c r="BIF29" s="700"/>
      <c r="BIG29" s="700"/>
      <c r="BIH29" s="700"/>
      <c r="BII29" s="700"/>
      <c r="BIJ29" s="700"/>
      <c r="BIK29" s="700"/>
      <c r="BIL29" s="700"/>
      <c r="BIM29" s="700"/>
      <c r="BIN29" s="700"/>
      <c r="BIO29" s="700"/>
      <c r="BIP29" s="700"/>
      <c r="BIQ29" s="700"/>
      <c r="BIR29" s="700"/>
      <c r="BIS29" s="700"/>
      <c r="BIT29" s="700"/>
      <c r="BIU29" s="700"/>
      <c r="BIV29" s="700"/>
      <c r="BIW29" s="700"/>
      <c r="BIX29" s="700"/>
      <c r="BIY29" s="700"/>
      <c r="BIZ29" s="700"/>
      <c r="BJA29" s="700"/>
      <c r="BJB29" s="700"/>
      <c r="BJC29" s="700"/>
      <c r="BJD29" s="700"/>
      <c r="BJE29" s="700"/>
      <c r="BJF29" s="700"/>
      <c r="BJG29" s="700"/>
      <c r="BJH29" s="700"/>
      <c r="BJI29" s="700"/>
      <c r="BJJ29" s="700"/>
      <c r="BJK29" s="700"/>
      <c r="BJL29" s="700"/>
      <c r="BJM29" s="700"/>
      <c r="BJN29" s="700"/>
      <c r="BJO29" s="700"/>
      <c r="BJP29" s="700"/>
      <c r="BJQ29" s="700"/>
      <c r="BJR29" s="700"/>
      <c r="BJS29" s="700"/>
      <c r="BJT29" s="700"/>
      <c r="BJU29" s="700"/>
      <c r="BJV29" s="700"/>
      <c r="BJW29" s="700"/>
      <c r="BJX29" s="700"/>
      <c r="BJY29" s="700"/>
      <c r="BJZ29" s="700"/>
      <c r="BKA29" s="700"/>
      <c r="BKB29" s="700"/>
      <c r="BKC29" s="700"/>
      <c r="BKD29" s="700"/>
      <c r="BKE29" s="700"/>
      <c r="BKF29" s="700"/>
      <c r="BKG29" s="700"/>
      <c r="BKH29" s="700"/>
      <c r="BKI29" s="700"/>
      <c r="BKJ29" s="700"/>
      <c r="BKK29" s="700"/>
      <c r="BKL29" s="700"/>
      <c r="BKM29" s="700"/>
      <c r="BKN29" s="700"/>
      <c r="BKO29" s="700"/>
      <c r="BKP29" s="700"/>
      <c r="BKQ29" s="700"/>
      <c r="BKR29" s="700"/>
      <c r="BKS29" s="700"/>
      <c r="BKT29" s="700"/>
      <c r="BKU29" s="700"/>
      <c r="BKV29" s="700"/>
      <c r="BKW29" s="700"/>
      <c r="BKX29" s="700"/>
      <c r="BKY29" s="700"/>
      <c r="BKZ29" s="700"/>
      <c r="BLA29" s="700"/>
      <c r="BLB29" s="700"/>
      <c r="BLC29" s="700"/>
      <c r="BLD29" s="700"/>
      <c r="BLE29" s="700"/>
      <c r="BLF29" s="700"/>
      <c r="BLG29" s="700"/>
      <c r="BLH29" s="700"/>
      <c r="BLI29" s="700"/>
      <c r="BLJ29" s="700"/>
      <c r="BLK29" s="700"/>
      <c r="BLL29" s="700"/>
      <c r="BLM29" s="700"/>
      <c r="BLN29" s="700"/>
      <c r="BLO29" s="700"/>
      <c r="BLP29" s="700"/>
      <c r="BLQ29" s="700"/>
      <c r="BLR29" s="700"/>
      <c r="BLS29" s="700"/>
      <c r="BLT29" s="700"/>
      <c r="BLU29" s="700"/>
      <c r="BLV29" s="700"/>
      <c r="BLW29" s="700"/>
      <c r="BLX29" s="700"/>
      <c r="BLY29" s="700"/>
      <c r="BLZ29" s="700"/>
      <c r="BMA29" s="700"/>
      <c r="BMB29" s="700"/>
      <c r="BMC29" s="700"/>
      <c r="BMD29" s="700"/>
      <c r="BME29" s="700"/>
      <c r="BMF29" s="700"/>
      <c r="BMG29" s="700"/>
      <c r="BMH29" s="700"/>
      <c r="BMI29" s="700"/>
      <c r="BMJ29" s="700"/>
      <c r="BMK29" s="700"/>
      <c r="BML29" s="700"/>
      <c r="BMM29" s="700"/>
      <c r="BMN29" s="700"/>
      <c r="BMO29" s="700"/>
      <c r="BMP29" s="700"/>
      <c r="BMQ29" s="700"/>
      <c r="BMR29" s="700"/>
      <c r="BMS29" s="700"/>
      <c r="BMT29" s="700"/>
      <c r="BMU29" s="700"/>
      <c r="BMV29" s="700"/>
      <c r="BMW29" s="700"/>
      <c r="BMX29" s="700"/>
      <c r="BMY29" s="700"/>
      <c r="BMZ29" s="700"/>
      <c r="BNA29" s="700"/>
      <c r="BNB29" s="700"/>
      <c r="BNC29" s="700"/>
      <c r="BND29" s="700"/>
      <c r="BNE29" s="700"/>
      <c r="BNF29" s="700"/>
      <c r="BNG29" s="700"/>
      <c r="BNH29" s="700"/>
      <c r="BNI29" s="700"/>
      <c r="BNJ29" s="700"/>
      <c r="BNK29" s="700"/>
      <c r="BNL29" s="700"/>
      <c r="BNM29" s="700"/>
      <c r="BNN29" s="700"/>
      <c r="BNO29" s="700"/>
      <c r="BNP29" s="700"/>
      <c r="BNQ29" s="700"/>
      <c r="BNR29" s="700"/>
      <c r="BNS29" s="700"/>
      <c r="BNT29" s="700"/>
      <c r="BNU29" s="700"/>
      <c r="BNV29" s="700"/>
      <c r="BNW29" s="700"/>
      <c r="BNX29" s="700"/>
      <c r="BNY29" s="700"/>
      <c r="BNZ29" s="700"/>
      <c r="BOA29" s="700"/>
      <c r="BOB29" s="700"/>
      <c r="BOC29" s="700"/>
      <c r="BOD29" s="700"/>
      <c r="BOE29" s="700"/>
      <c r="BOF29" s="700"/>
      <c r="BOG29" s="700"/>
      <c r="BOH29" s="700"/>
      <c r="BOI29" s="700"/>
      <c r="BOJ29" s="700"/>
      <c r="BOK29" s="700"/>
      <c r="BOL29" s="700"/>
      <c r="BOM29" s="700"/>
      <c r="BON29" s="700"/>
      <c r="BOO29" s="700"/>
      <c r="BOP29" s="700"/>
      <c r="BOQ29" s="700"/>
      <c r="BOR29" s="700"/>
      <c r="BOS29" s="700"/>
      <c r="BOT29" s="700"/>
      <c r="BOU29" s="700"/>
      <c r="BOV29" s="700"/>
      <c r="BOW29" s="700"/>
      <c r="BOX29" s="700"/>
      <c r="BOY29" s="700"/>
      <c r="BOZ29" s="700"/>
      <c r="BPA29" s="700"/>
      <c r="BPB29" s="700"/>
      <c r="BPC29" s="700"/>
      <c r="BPD29" s="700"/>
      <c r="BPE29" s="700"/>
      <c r="BPF29" s="700"/>
      <c r="BPG29" s="700"/>
      <c r="BPH29" s="700"/>
      <c r="BPI29" s="700"/>
      <c r="BPJ29" s="700"/>
      <c r="BPK29" s="700"/>
      <c r="BPL29" s="700"/>
      <c r="BPM29" s="700"/>
      <c r="BPN29" s="700"/>
      <c r="BPO29" s="700"/>
      <c r="BPP29" s="700"/>
      <c r="BPQ29" s="700"/>
      <c r="BPR29" s="700"/>
      <c r="BPS29" s="700"/>
      <c r="BPT29" s="700"/>
      <c r="BPU29" s="700"/>
      <c r="BPV29" s="700"/>
      <c r="BPW29" s="700"/>
      <c r="BPX29" s="700"/>
      <c r="BPY29" s="700"/>
      <c r="BPZ29" s="700"/>
      <c r="BQA29" s="700"/>
      <c r="BQB29" s="700"/>
      <c r="BQC29" s="700"/>
      <c r="BQD29" s="700"/>
      <c r="BQE29" s="700"/>
      <c r="BQF29" s="700"/>
      <c r="BQG29" s="700"/>
      <c r="BQH29" s="700"/>
      <c r="BQI29" s="700"/>
      <c r="BQJ29" s="700"/>
      <c r="BQK29" s="700"/>
      <c r="BQL29" s="700"/>
      <c r="BQM29" s="700"/>
      <c r="BQN29" s="700"/>
      <c r="BQO29" s="700"/>
      <c r="BQP29" s="700"/>
      <c r="BQQ29" s="700"/>
      <c r="BQR29" s="700"/>
      <c r="BQS29" s="700"/>
      <c r="BQT29" s="700"/>
      <c r="BQU29" s="700"/>
      <c r="BQV29" s="700"/>
      <c r="BQW29" s="700"/>
      <c r="BQX29" s="700"/>
      <c r="BQY29" s="700"/>
      <c r="BQZ29" s="700"/>
      <c r="BRA29" s="700"/>
      <c r="BRB29" s="700"/>
      <c r="BRC29" s="700"/>
      <c r="BRD29" s="700"/>
      <c r="BRE29" s="700"/>
      <c r="BRF29" s="700"/>
      <c r="BRG29" s="700"/>
      <c r="BRH29" s="700"/>
      <c r="BRI29" s="700"/>
      <c r="BRJ29" s="700"/>
      <c r="BRK29" s="700"/>
      <c r="BRL29" s="700"/>
      <c r="BRM29" s="700"/>
      <c r="BRN29" s="700"/>
      <c r="BRO29" s="700"/>
      <c r="BRP29" s="700"/>
      <c r="BRQ29" s="700"/>
      <c r="BRR29" s="700"/>
      <c r="BRS29" s="700"/>
      <c r="BRT29" s="700"/>
      <c r="BRU29" s="700"/>
      <c r="BRV29" s="700"/>
      <c r="BRW29" s="700"/>
      <c r="BRX29" s="700"/>
      <c r="BRY29" s="700"/>
      <c r="BRZ29" s="700"/>
      <c r="BSA29" s="700"/>
      <c r="BSB29" s="700"/>
      <c r="BSC29" s="700"/>
      <c r="BSD29" s="700"/>
      <c r="BSE29" s="700"/>
      <c r="BSF29" s="700"/>
      <c r="BSG29" s="700"/>
      <c r="BSH29" s="700"/>
      <c r="BSI29" s="700"/>
      <c r="BSJ29" s="700"/>
      <c r="BSK29" s="700"/>
      <c r="BSL29" s="700"/>
      <c r="BSM29" s="700"/>
      <c r="BSN29" s="700"/>
      <c r="BSO29" s="700"/>
      <c r="BSP29" s="700"/>
      <c r="BSQ29" s="700"/>
      <c r="BSR29" s="700"/>
      <c r="BSS29" s="700"/>
      <c r="BST29" s="700"/>
      <c r="BSU29" s="700"/>
      <c r="BSV29" s="700"/>
      <c r="BSW29" s="700"/>
      <c r="BSX29" s="700"/>
      <c r="BSY29" s="700"/>
      <c r="BSZ29" s="700"/>
      <c r="BTA29" s="700"/>
      <c r="BTB29" s="700"/>
      <c r="BTC29" s="700"/>
      <c r="BTD29" s="700"/>
      <c r="BTE29" s="700"/>
      <c r="BTF29" s="700"/>
      <c r="BTG29" s="700"/>
      <c r="BTH29" s="700"/>
      <c r="BTI29" s="700"/>
      <c r="BTJ29" s="700"/>
      <c r="BTK29" s="700"/>
      <c r="BTL29" s="700"/>
      <c r="BTM29" s="700"/>
      <c r="BTN29" s="700"/>
      <c r="BTO29" s="700"/>
      <c r="BTP29" s="700"/>
      <c r="BTQ29" s="700"/>
      <c r="BTR29" s="700"/>
      <c r="BTS29" s="700"/>
      <c r="BTT29" s="700"/>
      <c r="BTU29" s="700"/>
      <c r="BTV29" s="700"/>
      <c r="BTW29" s="700"/>
      <c r="BTX29" s="700"/>
      <c r="BTY29" s="700"/>
      <c r="BTZ29" s="700"/>
      <c r="BUA29" s="700"/>
      <c r="BUB29" s="700"/>
      <c r="BUC29" s="700"/>
      <c r="BUD29" s="700"/>
      <c r="BUE29" s="700"/>
      <c r="BUF29" s="700"/>
      <c r="BUG29" s="700"/>
      <c r="BUH29" s="700"/>
      <c r="BUI29" s="700"/>
      <c r="BUJ29" s="700"/>
      <c r="BUK29" s="700"/>
      <c r="BUL29" s="700"/>
      <c r="BUM29" s="700"/>
      <c r="BUN29" s="700"/>
      <c r="BUO29" s="700"/>
      <c r="BUP29" s="700"/>
      <c r="BUQ29" s="700"/>
      <c r="BUR29" s="700"/>
      <c r="BUS29" s="700"/>
      <c r="BUT29" s="700"/>
      <c r="BUU29" s="700"/>
      <c r="BUV29" s="700"/>
      <c r="BUW29" s="700"/>
      <c r="BUX29" s="700"/>
      <c r="BUY29" s="700"/>
      <c r="BUZ29" s="700"/>
      <c r="BVA29" s="700"/>
      <c r="BVB29" s="700"/>
      <c r="BVC29" s="700"/>
      <c r="BVD29" s="700"/>
      <c r="BVE29" s="700"/>
      <c r="BVF29" s="700"/>
      <c r="BVG29" s="700"/>
      <c r="BVH29" s="700"/>
      <c r="BVI29" s="700"/>
      <c r="BVJ29" s="700"/>
      <c r="BVK29" s="700"/>
      <c r="BVL29" s="700"/>
      <c r="BVM29" s="700"/>
      <c r="BVN29" s="700"/>
      <c r="BVO29" s="700"/>
      <c r="BVP29" s="700"/>
      <c r="BVQ29" s="700"/>
      <c r="BVR29" s="700"/>
      <c r="BVS29" s="700"/>
      <c r="BVT29" s="700"/>
      <c r="BVU29" s="700"/>
      <c r="BVV29" s="700"/>
      <c r="BVW29" s="700"/>
      <c r="BVX29" s="700"/>
      <c r="BVY29" s="700"/>
      <c r="BVZ29" s="700"/>
      <c r="BWA29" s="700"/>
      <c r="BWB29" s="700"/>
      <c r="BWC29" s="700"/>
      <c r="BWD29" s="700"/>
      <c r="BWE29" s="700"/>
      <c r="BWF29" s="700"/>
      <c r="BWG29" s="700"/>
      <c r="BWH29" s="700"/>
      <c r="BWI29" s="700"/>
      <c r="BWJ29" s="700"/>
      <c r="BWK29" s="700"/>
      <c r="BWL29" s="700"/>
      <c r="BWM29" s="700"/>
      <c r="BWN29" s="700"/>
      <c r="BWO29" s="700"/>
      <c r="BWP29" s="700"/>
      <c r="BWQ29" s="700"/>
      <c r="BWR29" s="700"/>
      <c r="BWS29" s="700"/>
      <c r="BWT29" s="700"/>
      <c r="BWU29" s="700"/>
      <c r="BWV29" s="700"/>
      <c r="BWW29" s="700"/>
      <c r="BWX29" s="700"/>
      <c r="BWY29" s="700"/>
      <c r="BWZ29" s="700"/>
      <c r="BXA29" s="700"/>
      <c r="BXB29" s="700"/>
      <c r="BXC29" s="700"/>
      <c r="BXD29" s="700"/>
      <c r="BXE29" s="700"/>
      <c r="BXF29" s="700"/>
      <c r="BXG29" s="700"/>
      <c r="BXH29" s="700"/>
      <c r="BXI29" s="700"/>
      <c r="BXJ29" s="700"/>
      <c r="BXK29" s="700"/>
      <c r="BXL29" s="700"/>
      <c r="BXM29" s="700"/>
      <c r="BXN29" s="700"/>
      <c r="BXO29" s="700"/>
      <c r="BXP29" s="700"/>
      <c r="BXQ29" s="700"/>
      <c r="BXR29" s="700"/>
      <c r="BXS29" s="700"/>
      <c r="BXT29" s="700"/>
      <c r="BXU29" s="700"/>
      <c r="BXV29" s="700"/>
      <c r="BXW29" s="700"/>
      <c r="BXX29" s="700"/>
      <c r="BXY29" s="700"/>
      <c r="BXZ29" s="700"/>
    </row>
    <row r="30" spans="1:2002" ht="15">
      <c r="A30" s="717"/>
      <c r="B30" s="706"/>
      <c r="C30" s="721" t="s">
        <v>51</v>
      </c>
      <c r="D30" s="742">
        <v>2074000</v>
      </c>
      <c r="E30" s="742">
        <v>1213000</v>
      </c>
      <c r="F30" s="742">
        <v>669000</v>
      </c>
      <c r="G30" s="742">
        <v>337000</v>
      </c>
      <c r="H30" s="742">
        <v>1868000</v>
      </c>
      <c r="I30" s="742"/>
      <c r="J30" s="742"/>
      <c r="K30" s="742"/>
      <c r="L30" s="742"/>
      <c r="M30" s="742"/>
      <c r="N30" s="742"/>
      <c r="O30" s="742"/>
      <c r="P30" s="742"/>
      <c r="Q30" s="742"/>
      <c r="R30" s="742"/>
      <c r="S30" s="712"/>
      <c r="T30" s="700"/>
      <c r="U30" s="700"/>
      <c r="V30" s="700"/>
      <c r="W30" s="700"/>
      <c r="X30" s="700"/>
      <c r="Y30" s="700"/>
      <c r="Z30" s="700"/>
      <c r="AA30" s="700"/>
      <c r="AB30" s="700"/>
      <c r="AC30" s="700"/>
      <c r="AD30" s="700"/>
      <c r="AE30" s="700"/>
      <c r="AF30" s="700"/>
      <c r="AG30" s="700"/>
      <c r="AH30" s="700"/>
      <c r="AI30" s="700"/>
      <c r="AJ30" s="700"/>
      <c r="AK30" s="700"/>
      <c r="AL30" s="700"/>
      <c r="AM30" s="700"/>
      <c r="AN30" s="700"/>
      <c r="AO30" s="700"/>
      <c r="AP30" s="700"/>
      <c r="AQ30" s="700"/>
      <c r="AR30" s="700"/>
      <c r="AS30" s="700"/>
      <c r="AT30" s="700"/>
      <c r="AU30" s="700"/>
      <c r="AV30" s="700"/>
      <c r="AW30" s="700"/>
      <c r="AX30" s="700"/>
      <c r="AY30" s="700"/>
      <c r="AZ30" s="700"/>
      <c r="BA30" s="700"/>
      <c r="BB30" s="700"/>
      <c r="BC30" s="700"/>
      <c r="BD30" s="700"/>
      <c r="BE30" s="700"/>
      <c r="BF30" s="700"/>
      <c r="BG30" s="700"/>
      <c r="BH30" s="700"/>
      <c r="BI30" s="700"/>
      <c r="BJ30" s="700"/>
      <c r="BK30" s="700"/>
      <c r="BL30" s="700"/>
      <c r="BM30" s="700"/>
      <c r="BN30" s="700"/>
      <c r="BO30" s="700"/>
      <c r="BP30" s="700"/>
      <c r="BQ30" s="700"/>
      <c r="BR30" s="700"/>
      <c r="BS30" s="700"/>
      <c r="BT30" s="700"/>
      <c r="BU30" s="700"/>
      <c r="BV30" s="700"/>
      <c r="BW30" s="700"/>
      <c r="BX30" s="700"/>
      <c r="BY30" s="700"/>
      <c r="BZ30" s="700"/>
      <c r="CA30" s="700"/>
      <c r="CB30" s="700"/>
      <c r="CC30" s="700"/>
      <c r="CD30" s="700"/>
      <c r="CE30" s="700"/>
      <c r="CF30" s="700"/>
      <c r="CG30" s="700"/>
      <c r="CH30" s="700"/>
      <c r="CI30" s="700"/>
      <c r="CJ30" s="700"/>
      <c r="CK30" s="700"/>
      <c r="CL30" s="700"/>
      <c r="CM30" s="700"/>
      <c r="CN30" s="700"/>
      <c r="CO30" s="700"/>
      <c r="CP30" s="700"/>
      <c r="CQ30" s="700"/>
      <c r="CR30" s="700"/>
      <c r="CS30" s="700"/>
      <c r="CT30" s="700"/>
      <c r="CU30" s="700"/>
      <c r="CV30" s="700"/>
      <c r="CW30" s="700"/>
      <c r="CX30" s="700"/>
      <c r="CY30" s="700"/>
      <c r="CZ30" s="700"/>
      <c r="DA30" s="700"/>
      <c r="DB30" s="700"/>
      <c r="DC30" s="700"/>
      <c r="DD30" s="700"/>
      <c r="DE30" s="700"/>
      <c r="DF30" s="700"/>
      <c r="DG30" s="700"/>
      <c r="DH30" s="700"/>
      <c r="DI30" s="700"/>
      <c r="DJ30" s="700"/>
      <c r="DK30" s="700"/>
      <c r="DL30" s="700"/>
      <c r="DM30" s="700"/>
      <c r="DN30" s="700"/>
      <c r="DO30" s="700"/>
      <c r="DP30" s="700"/>
      <c r="DQ30" s="700"/>
      <c r="DR30" s="700"/>
      <c r="DS30" s="700"/>
      <c r="DT30" s="700"/>
      <c r="DU30" s="700"/>
      <c r="DV30" s="700"/>
      <c r="DW30" s="700"/>
      <c r="DX30" s="700"/>
      <c r="DY30" s="700"/>
      <c r="DZ30" s="700"/>
      <c r="EA30" s="700"/>
      <c r="EB30" s="700"/>
      <c r="EC30" s="700"/>
      <c r="ED30" s="700"/>
      <c r="EE30" s="700"/>
      <c r="EF30" s="700"/>
      <c r="EG30" s="700"/>
      <c r="EH30" s="700"/>
      <c r="EI30" s="700"/>
      <c r="EJ30" s="700"/>
      <c r="EK30" s="700"/>
      <c r="EL30" s="700"/>
      <c r="EM30" s="700"/>
      <c r="EN30" s="700"/>
      <c r="EO30" s="700"/>
      <c r="EP30" s="700"/>
      <c r="EQ30" s="700"/>
      <c r="ER30" s="700"/>
      <c r="ES30" s="700"/>
      <c r="ET30" s="700"/>
      <c r="EU30" s="700"/>
      <c r="EV30" s="700"/>
      <c r="EW30" s="700"/>
      <c r="EX30" s="700"/>
      <c r="EY30" s="700"/>
      <c r="EZ30" s="700"/>
      <c r="FA30" s="700"/>
      <c r="FB30" s="700"/>
      <c r="FC30" s="700"/>
      <c r="FD30" s="700"/>
      <c r="FE30" s="700"/>
      <c r="FF30" s="700"/>
      <c r="FG30" s="700"/>
      <c r="FH30" s="700"/>
      <c r="FI30" s="700"/>
      <c r="FJ30" s="700"/>
      <c r="FK30" s="700"/>
      <c r="FL30" s="700"/>
      <c r="FM30" s="700"/>
      <c r="FN30" s="700"/>
      <c r="FO30" s="700"/>
      <c r="FP30" s="700"/>
      <c r="FQ30" s="700"/>
      <c r="FR30" s="700"/>
      <c r="FS30" s="700"/>
      <c r="FT30" s="700"/>
      <c r="FU30" s="700"/>
      <c r="FV30" s="700"/>
      <c r="FW30" s="700"/>
      <c r="FX30" s="700"/>
      <c r="FY30" s="700"/>
      <c r="FZ30" s="700"/>
      <c r="GA30" s="700"/>
      <c r="GB30" s="700"/>
      <c r="GC30" s="700"/>
      <c r="GD30" s="700"/>
      <c r="GE30" s="700"/>
      <c r="GF30" s="700"/>
      <c r="GG30" s="700"/>
      <c r="GH30" s="700"/>
      <c r="GI30" s="700"/>
      <c r="GJ30" s="700"/>
      <c r="GK30" s="700"/>
      <c r="GL30" s="700"/>
      <c r="GM30" s="700"/>
      <c r="GN30" s="700"/>
      <c r="GO30" s="700"/>
      <c r="GP30" s="700"/>
      <c r="GQ30" s="700"/>
      <c r="GR30" s="700"/>
      <c r="GS30" s="700"/>
      <c r="GT30" s="700"/>
      <c r="GU30" s="700"/>
      <c r="GV30" s="700"/>
      <c r="GW30" s="700"/>
      <c r="GX30" s="700"/>
      <c r="GY30" s="700"/>
      <c r="GZ30" s="700"/>
      <c r="HA30" s="700"/>
      <c r="HB30" s="700"/>
      <c r="HC30" s="700"/>
      <c r="HD30" s="700"/>
      <c r="HE30" s="700"/>
      <c r="HF30" s="700"/>
      <c r="HG30" s="700"/>
      <c r="HH30" s="700"/>
      <c r="HI30" s="700"/>
      <c r="HJ30" s="700"/>
      <c r="HK30" s="700"/>
      <c r="HL30" s="700"/>
      <c r="HM30" s="700"/>
      <c r="HN30" s="700"/>
      <c r="HO30" s="700"/>
      <c r="HP30" s="700"/>
      <c r="HQ30" s="700"/>
      <c r="HR30" s="700"/>
      <c r="HS30" s="700"/>
      <c r="HT30" s="700"/>
      <c r="HU30" s="700"/>
      <c r="HV30" s="700"/>
      <c r="HW30" s="700"/>
      <c r="HX30" s="700"/>
      <c r="HY30" s="700"/>
      <c r="HZ30" s="700"/>
      <c r="IA30" s="700"/>
      <c r="IB30" s="700"/>
      <c r="IC30" s="700"/>
      <c r="ID30" s="700"/>
      <c r="IE30" s="700"/>
      <c r="IF30" s="700"/>
      <c r="IG30" s="700"/>
      <c r="IH30" s="700"/>
      <c r="II30" s="700"/>
      <c r="IJ30" s="700"/>
      <c r="IK30" s="700"/>
      <c r="IL30" s="700"/>
      <c r="IM30" s="700"/>
      <c r="IN30" s="700"/>
      <c r="IO30" s="700"/>
      <c r="IP30" s="700"/>
      <c r="IQ30" s="700"/>
      <c r="IR30" s="700"/>
      <c r="IS30" s="700"/>
      <c r="IT30" s="700"/>
      <c r="IU30" s="700"/>
      <c r="IV30" s="700"/>
      <c r="IW30" s="700"/>
      <c r="IX30" s="700"/>
      <c r="IY30" s="700"/>
      <c r="IZ30" s="700"/>
      <c r="JA30" s="700"/>
      <c r="JB30" s="700"/>
      <c r="JC30" s="700"/>
      <c r="JD30" s="700"/>
      <c r="JE30" s="700"/>
      <c r="JF30" s="700"/>
      <c r="JG30" s="700"/>
      <c r="JH30" s="700"/>
      <c r="JI30" s="700"/>
      <c r="JJ30" s="700"/>
      <c r="JK30" s="700"/>
      <c r="JL30" s="700"/>
      <c r="JM30" s="700"/>
      <c r="JN30" s="700"/>
      <c r="JO30" s="700"/>
      <c r="JP30" s="700"/>
      <c r="JQ30" s="700"/>
      <c r="JR30" s="700"/>
      <c r="JS30" s="700"/>
      <c r="JT30" s="700"/>
      <c r="JU30" s="700"/>
      <c r="JV30" s="700"/>
      <c r="JW30" s="700"/>
      <c r="JX30" s="700"/>
      <c r="JY30" s="700"/>
      <c r="JZ30" s="700"/>
      <c r="KA30" s="700"/>
      <c r="KB30" s="700"/>
      <c r="KC30" s="700"/>
      <c r="KD30" s="700"/>
      <c r="KE30" s="700"/>
      <c r="KF30" s="700"/>
      <c r="KG30" s="700"/>
      <c r="KH30" s="700"/>
      <c r="KI30" s="700"/>
      <c r="KJ30" s="700"/>
      <c r="KK30" s="700"/>
      <c r="KL30" s="700"/>
      <c r="KM30" s="700"/>
      <c r="KN30" s="700"/>
      <c r="KO30" s="700"/>
      <c r="KP30" s="700"/>
      <c r="KQ30" s="700"/>
      <c r="KR30" s="700"/>
      <c r="KS30" s="700"/>
      <c r="KT30" s="700"/>
      <c r="KU30" s="700"/>
      <c r="KV30" s="700"/>
      <c r="KW30" s="700"/>
      <c r="KX30" s="700"/>
      <c r="KY30" s="700"/>
      <c r="KZ30" s="700"/>
      <c r="LA30" s="700"/>
      <c r="LB30" s="700"/>
      <c r="LC30" s="700"/>
      <c r="LD30" s="700"/>
      <c r="LE30" s="700"/>
      <c r="LF30" s="700"/>
      <c r="LG30" s="700"/>
      <c r="LH30" s="700"/>
      <c r="LI30" s="700"/>
      <c r="LJ30" s="700"/>
      <c r="LK30" s="700"/>
      <c r="LL30" s="700"/>
      <c r="LM30" s="700"/>
      <c r="LN30" s="700"/>
      <c r="LO30" s="700"/>
      <c r="LP30" s="700"/>
      <c r="LQ30" s="700"/>
      <c r="LR30" s="700"/>
      <c r="LS30" s="700"/>
      <c r="LT30" s="700"/>
      <c r="LU30" s="700"/>
      <c r="LV30" s="700"/>
      <c r="LW30" s="700"/>
      <c r="LX30" s="700"/>
      <c r="LY30" s="700"/>
      <c r="LZ30" s="700"/>
      <c r="MA30" s="700"/>
      <c r="MB30" s="700"/>
      <c r="MC30" s="700"/>
      <c r="MD30" s="700"/>
      <c r="ME30" s="700"/>
      <c r="MF30" s="700"/>
      <c r="MG30" s="700"/>
      <c r="MH30" s="700"/>
      <c r="MI30" s="700"/>
      <c r="MJ30" s="700"/>
      <c r="MK30" s="700"/>
      <c r="ML30" s="700"/>
      <c r="MM30" s="700"/>
      <c r="MN30" s="700"/>
      <c r="MO30" s="700"/>
      <c r="MP30" s="700"/>
      <c r="MQ30" s="700"/>
      <c r="MR30" s="700"/>
      <c r="MS30" s="700"/>
      <c r="MT30" s="700"/>
      <c r="MU30" s="700"/>
      <c r="MV30" s="700"/>
      <c r="MW30" s="700"/>
      <c r="MX30" s="700"/>
      <c r="MY30" s="700"/>
      <c r="MZ30" s="700"/>
      <c r="NA30" s="700"/>
      <c r="NB30" s="700"/>
      <c r="NC30" s="700"/>
      <c r="ND30" s="700"/>
      <c r="NE30" s="700"/>
      <c r="NF30" s="700"/>
      <c r="NG30" s="700"/>
      <c r="NH30" s="700"/>
      <c r="NI30" s="700"/>
      <c r="NJ30" s="700"/>
      <c r="NK30" s="700"/>
      <c r="NL30" s="700"/>
      <c r="NM30" s="700"/>
      <c r="NN30" s="700"/>
      <c r="NO30" s="700"/>
      <c r="NP30" s="700"/>
      <c r="NQ30" s="700"/>
      <c r="NR30" s="700"/>
      <c r="NS30" s="700"/>
      <c r="NT30" s="700"/>
      <c r="NU30" s="700"/>
      <c r="NV30" s="700"/>
      <c r="NW30" s="700"/>
      <c r="NX30" s="700"/>
      <c r="NY30" s="700"/>
      <c r="NZ30" s="700"/>
      <c r="OA30" s="700"/>
      <c r="OB30" s="700"/>
      <c r="OC30" s="700"/>
      <c r="OD30" s="700"/>
      <c r="OE30" s="700"/>
      <c r="OF30" s="700"/>
      <c r="OG30" s="700"/>
      <c r="OH30" s="700"/>
      <c r="OI30" s="700"/>
      <c r="OJ30" s="700"/>
      <c r="OK30" s="700"/>
      <c r="OL30" s="700"/>
      <c r="OM30" s="700"/>
      <c r="ON30" s="700"/>
      <c r="OO30" s="700"/>
      <c r="OP30" s="700"/>
      <c r="OQ30" s="700"/>
      <c r="OR30" s="700"/>
      <c r="OS30" s="700"/>
      <c r="OT30" s="700"/>
      <c r="OU30" s="700"/>
      <c r="OV30" s="700"/>
      <c r="OW30" s="700"/>
      <c r="OX30" s="700"/>
      <c r="OY30" s="700"/>
      <c r="OZ30" s="700"/>
      <c r="PA30" s="700"/>
      <c r="PB30" s="700"/>
      <c r="PC30" s="700"/>
      <c r="PD30" s="700"/>
      <c r="PE30" s="700"/>
      <c r="PF30" s="700"/>
      <c r="PG30" s="700"/>
      <c r="PH30" s="700"/>
      <c r="PI30" s="700"/>
      <c r="PJ30" s="700"/>
      <c r="PK30" s="700"/>
      <c r="PL30" s="700"/>
      <c r="PM30" s="700"/>
      <c r="PN30" s="700"/>
      <c r="PO30" s="700"/>
      <c r="PP30" s="700"/>
      <c r="PQ30" s="700"/>
      <c r="PR30" s="700"/>
      <c r="PS30" s="700"/>
      <c r="PT30" s="700"/>
      <c r="PU30" s="700"/>
      <c r="PV30" s="700"/>
      <c r="PW30" s="700"/>
      <c r="PX30" s="700"/>
      <c r="PY30" s="700"/>
      <c r="PZ30" s="700"/>
      <c r="QA30" s="700"/>
      <c r="QB30" s="700"/>
      <c r="QC30" s="700"/>
      <c r="QD30" s="700"/>
      <c r="QE30" s="700"/>
      <c r="QF30" s="700"/>
      <c r="QG30" s="700"/>
      <c r="QH30" s="700"/>
      <c r="QI30" s="700"/>
      <c r="QJ30" s="700"/>
      <c r="QK30" s="700"/>
      <c r="QL30" s="700"/>
      <c r="QM30" s="700"/>
      <c r="QN30" s="700"/>
      <c r="QO30" s="700"/>
      <c r="QP30" s="700"/>
      <c r="QQ30" s="700"/>
      <c r="QR30" s="700"/>
      <c r="QS30" s="700"/>
      <c r="QT30" s="700"/>
      <c r="QU30" s="700"/>
      <c r="QV30" s="700"/>
      <c r="QW30" s="700"/>
      <c r="QX30" s="700"/>
      <c r="QY30" s="700"/>
      <c r="QZ30" s="700"/>
      <c r="RA30" s="700"/>
      <c r="RB30" s="700"/>
      <c r="RC30" s="700"/>
      <c r="RD30" s="700"/>
      <c r="RE30" s="700"/>
      <c r="RF30" s="700"/>
      <c r="RG30" s="700"/>
      <c r="RH30" s="700"/>
      <c r="RI30" s="700"/>
      <c r="RJ30" s="700"/>
      <c r="RK30" s="700"/>
      <c r="RL30" s="700"/>
      <c r="RM30" s="700"/>
      <c r="RN30" s="700"/>
      <c r="RO30" s="700"/>
      <c r="RP30" s="700"/>
      <c r="RQ30" s="700"/>
      <c r="RR30" s="700"/>
      <c r="RS30" s="700"/>
      <c r="RT30" s="700"/>
      <c r="RU30" s="700"/>
      <c r="RV30" s="700"/>
      <c r="RW30" s="700"/>
      <c r="RX30" s="700"/>
      <c r="RY30" s="700"/>
      <c r="RZ30" s="700"/>
      <c r="SA30" s="700"/>
      <c r="SB30" s="700"/>
      <c r="SC30" s="700"/>
      <c r="SD30" s="700"/>
      <c r="SE30" s="700"/>
      <c r="SF30" s="700"/>
      <c r="SG30" s="700"/>
      <c r="SH30" s="700"/>
      <c r="SI30" s="700"/>
      <c r="SJ30" s="700"/>
      <c r="SK30" s="700"/>
      <c r="SL30" s="700"/>
      <c r="SM30" s="700"/>
      <c r="SN30" s="700"/>
      <c r="SO30" s="700"/>
      <c r="SP30" s="700"/>
      <c r="SQ30" s="700"/>
      <c r="SR30" s="700"/>
      <c r="SS30" s="700"/>
      <c r="ST30" s="700"/>
      <c r="SU30" s="700"/>
      <c r="SV30" s="700"/>
      <c r="SW30" s="700"/>
      <c r="SX30" s="700"/>
      <c r="SY30" s="700"/>
      <c r="SZ30" s="700"/>
      <c r="TA30" s="700"/>
      <c r="TB30" s="700"/>
      <c r="TC30" s="700"/>
      <c r="TD30" s="700"/>
      <c r="TE30" s="700"/>
      <c r="TF30" s="700"/>
      <c r="TG30" s="700"/>
      <c r="TH30" s="700"/>
      <c r="TI30" s="700"/>
      <c r="TJ30" s="700"/>
      <c r="TK30" s="700"/>
      <c r="TL30" s="700"/>
      <c r="TM30" s="700"/>
      <c r="TN30" s="700"/>
      <c r="TO30" s="700"/>
      <c r="TP30" s="700"/>
      <c r="TQ30" s="700"/>
      <c r="TR30" s="700"/>
      <c r="TS30" s="700"/>
      <c r="TT30" s="700"/>
      <c r="TU30" s="700"/>
      <c r="TV30" s="700"/>
      <c r="TW30" s="700"/>
      <c r="TX30" s="700"/>
      <c r="TY30" s="700"/>
      <c r="TZ30" s="700"/>
      <c r="UA30" s="700"/>
      <c r="UB30" s="700"/>
      <c r="UC30" s="700"/>
      <c r="UD30" s="700"/>
      <c r="UE30" s="700"/>
      <c r="UF30" s="700"/>
      <c r="UG30" s="700"/>
      <c r="UH30" s="700"/>
      <c r="UI30" s="700"/>
      <c r="UJ30" s="700"/>
      <c r="UK30" s="700"/>
      <c r="UL30" s="700"/>
      <c r="UM30" s="700"/>
      <c r="UN30" s="700"/>
      <c r="UO30" s="700"/>
      <c r="UP30" s="700"/>
      <c r="UQ30" s="700"/>
      <c r="UR30" s="700"/>
      <c r="US30" s="700"/>
      <c r="UT30" s="700"/>
      <c r="UU30" s="700"/>
      <c r="UV30" s="700"/>
      <c r="UW30" s="700"/>
      <c r="UX30" s="700"/>
      <c r="UY30" s="700"/>
      <c r="UZ30" s="700"/>
      <c r="VA30" s="700"/>
      <c r="VB30" s="700"/>
      <c r="VC30" s="700"/>
      <c r="VD30" s="700"/>
      <c r="VE30" s="700"/>
      <c r="VF30" s="700"/>
      <c r="VG30" s="700"/>
      <c r="VH30" s="700"/>
      <c r="VI30" s="700"/>
      <c r="VJ30" s="700"/>
      <c r="VK30" s="700"/>
      <c r="VL30" s="700"/>
      <c r="VM30" s="700"/>
      <c r="VN30" s="700"/>
      <c r="VO30" s="700"/>
      <c r="VP30" s="700"/>
      <c r="VQ30" s="700"/>
      <c r="VR30" s="700"/>
      <c r="VS30" s="700"/>
      <c r="VT30" s="700"/>
      <c r="VU30" s="700"/>
      <c r="VV30" s="700"/>
      <c r="VW30" s="700"/>
      <c r="VX30" s="700"/>
      <c r="VY30" s="700"/>
      <c r="VZ30" s="700"/>
      <c r="WA30" s="700"/>
      <c r="WB30" s="700"/>
      <c r="WC30" s="700"/>
      <c r="WD30" s="700"/>
      <c r="WE30" s="700"/>
      <c r="WF30" s="700"/>
      <c r="WG30" s="700"/>
      <c r="WH30" s="700"/>
      <c r="WI30" s="700"/>
      <c r="WJ30" s="700"/>
      <c r="WK30" s="700"/>
      <c r="WL30" s="700"/>
      <c r="WM30" s="700"/>
      <c r="WN30" s="700"/>
      <c r="WO30" s="700"/>
      <c r="WP30" s="700"/>
      <c r="WQ30" s="700"/>
      <c r="WR30" s="700"/>
      <c r="WS30" s="700"/>
      <c r="WT30" s="700"/>
      <c r="WU30" s="700"/>
      <c r="WV30" s="700"/>
      <c r="WW30" s="700"/>
      <c r="WX30" s="700"/>
      <c r="WY30" s="700"/>
      <c r="WZ30" s="700"/>
      <c r="XA30" s="700"/>
      <c r="XB30" s="700"/>
      <c r="XC30" s="700"/>
      <c r="XD30" s="700"/>
      <c r="XE30" s="700"/>
      <c r="XF30" s="700"/>
      <c r="XG30" s="700"/>
      <c r="XH30" s="700"/>
      <c r="XI30" s="700"/>
      <c r="XJ30" s="700"/>
      <c r="XK30" s="700"/>
      <c r="XL30" s="700"/>
      <c r="XM30" s="700"/>
      <c r="XN30" s="700"/>
      <c r="XO30" s="700"/>
      <c r="XP30" s="700"/>
      <c r="XQ30" s="700"/>
      <c r="XR30" s="700"/>
      <c r="XS30" s="700"/>
      <c r="XT30" s="700"/>
      <c r="XU30" s="700"/>
      <c r="XV30" s="700"/>
      <c r="XW30" s="700"/>
      <c r="XX30" s="700"/>
      <c r="XY30" s="700"/>
      <c r="XZ30" s="700"/>
      <c r="YA30" s="700"/>
      <c r="YB30" s="700"/>
      <c r="YC30" s="700"/>
      <c r="YD30" s="700"/>
      <c r="YE30" s="700"/>
      <c r="YF30" s="700"/>
      <c r="YG30" s="700"/>
      <c r="YH30" s="700"/>
      <c r="YI30" s="700"/>
      <c r="YJ30" s="700"/>
      <c r="YK30" s="700"/>
      <c r="YL30" s="700"/>
      <c r="YM30" s="700"/>
      <c r="YN30" s="700"/>
      <c r="YO30" s="700"/>
      <c r="YP30" s="700"/>
      <c r="YQ30" s="700"/>
      <c r="YR30" s="700"/>
      <c r="YS30" s="700"/>
      <c r="YT30" s="700"/>
      <c r="YU30" s="700"/>
      <c r="YV30" s="700"/>
      <c r="YW30" s="700"/>
      <c r="YX30" s="700"/>
      <c r="YY30" s="700"/>
      <c r="YZ30" s="700"/>
      <c r="ZA30" s="700"/>
      <c r="ZB30" s="700"/>
      <c r="ZC30" s="700"/>
      <c r="ZD30" s="700"/>
      <c r="ZE30" s="700"/>
      <c r="ZF30" s="700"/>
      <c r="ZG30" s="700"/>
      <c r="ZH30" s="700"/>
      <c r="ZI30" s="700"/>
      <c r="ZJ30" s="700"/>
      <c r="ZK30" s="700"/>
      <c r="ZL30" s="700"/>
      <c r="ZM30" s="700"/>
      <c r="ZN30" s="700"/>
      <c r="ZO30" s="700"/>
      <c r="ZP30" s="700"/>
      <c r="ZQ30" s="700"/>
      <c r="ZR30" s="700"/>
      <c r="ZS30" s="700"/>
      <c r="ZT30" s="700"/>
      <c r="ZU30" s="700"/>
      <c r="ZV30" s="700"/>
      <c r="ZW30" s="700"/>
      <c r="ZX30" s="700"/>
      <c r="ZY30" s="700"/>
      <c r="ZZ30" s="700"/>
      <c r="AAA30" s="700"/>
      <c r="AAB30" s="700"/>
      <c r="AAC30" s="700"/>
      <c r="AAD30" s="700"/>
      <c r="AAE30" s="700"/>
      <c r="AAF30" s="700"/>
      <c r="AAG30" s="700"/>
      <c r="AAH30" s="700"/>
      <c r="AAI30" s="700"/>
      <c r="AAJ30" s="700"/>
      <c r="AAK30" s="700"/>
      <c r="AAL30" s="700"/>
      <c r="AAM30" s="700"/>
      <c r="AAN30" s="700"/>
      <c r="AAO30" s="700"/>
      <c r="AAP30" s="700"/>
      <c r="AAQ30" s="700"/>
      <c r="AAR30" s="700"/>
      <c r="AAS30" s="700"/>
      <c r="AAT30" s="700"/>
      <c r="AAU30" s="700"/>
      <c r="AAV30" s="700"/>
      <c r="AAW30" s="700"/>
      <c r="AAX30" s="700"/>
      <c r="AAY30" s="700"/>
      <c r="AAZ30" s="700"/>
      <c r="ABA30" s="700"/>
      <c r="ABB30" s="700"/>
      <c r="ABC30" s="700"/>
      <c r="ABD30" s="700"/>
      <c r="ABE30" s="700"/>
      <c r="ABF30" s="700"/>
      <c r="ABG30" s="700"/>
      <c r="ABH30" s="700"/>
      <c r="ABI30" s="700"/>
      <c r="ABJ30" s="700"/>
      <c r="ABK30" s="700"/>
      <c r="ABL30" s="700"/>
      <c r="ABM30" s="700"/>
      <c r="ABN30" s="700"/>
      <c r="ABO30" s="700"/>
      <c r="ABP30" s="700"/>
      <c r="ABQ30" s="700"/>
      <c r="ABR30" s="700"/>
      <c r="ABS30" s="700"/>
      <c r="ABT30" s="700"/>
      <c r="ABU30" s="700"/>
      <c r="ABV30" s="700"/>
      <c r="ABW30" s="700"/>
      <c r="ABX30" s="700"/>
      <c r="ABY30" s="700"/>
      <c r="ABZ30" s="700"/>
      <c r="ACA30" s="700"/>
      <c r="ACB30" s="700"/>
      <c r="ACC30" s="700"/>
      <c r="ACD30" s="700"/>
      <c r="ACE30" s="700"/>
      <c r="ACF30" s="700"/>
      <c r="ACG30" s="700"/>
      <c r="ACH30" s="700"/>
      <c r="ACI30" s="700"/>
      <c r="ACJ30" s="700"/>
      <c r="ACK30" s="700"/>
      <c r="ACL30" s="700"/>
      <c r="ACM30" s="700"/>
      <c r="ACN30" s="700"/>
      <c r="ACO30" s="700"/>
      <c r="ACP30" s="700"/>
      <c r="ACQ30" s="700"/>
      <c r="ACR30" s="700"/>
      <c r="ACS30" s="700"/>
      <c r="ACT30" s="700"/>
      <c r="ACU30" s="700"/>
      <c r="ACV30" s="700"/>
      <c r="ACW30" s="700"/>
      <c r="ACX30" s="700"/>
      <c r="ACY30" s="700"/>
      <c r="ACZ30" s="700"/>
      <c r="ADA30" s="700"/>
      <c r="ADB30" s="700"/>
      <c r="ADC30" s="700"/>
      <c r="ADD30" s="700"/>
      <c r="ADE30" s="700"/>
      <c r="ADF30" s="700"/>
      <c r="ADG30" s="700"/>
      <c r="ADH30" s="700"/>
      <c r="ADI30" s="700"/>
      <c r="ADJ30" s="700"/>
      <c r="ADK30" s="700"/>
      <c r="ADL30" s="700"/>
      <c r="ADM30" s="700"/>
      <c r="ADN30" s="700"/>
      <c r="ADO30" s="700"/>
      <c r="ADP30" s="700"/>
      <c r="ADQ30" s="700"/>
      <c r="ADR30" s="700"/>
      <c r="ADS30" s="700"/>
      <c r="ADT30" s="700"/>
      <c r="ADU30" s="700"/>
      <c r="ADV30" s="700"/>
      <c r="ADW30" s="700"/>
      <c r="ADX30" s="700"/>
      <c r="ADY30" s="700"/>
      <c r="ADZ30" s="700"/>
      <c r="AEA30" s="700"/>
      <c r="AEB30" s="700"/>
      <c r="AEC30" s="700"/>
      <c r="AED30" s="700"/>
      <c r="AEE30" s="700"/>
      <c r="AEF30" s="700"/>
      <c r="AEG30" s="700"/>
      <c r="AEH30" s="700"/>
      <c r="AEI30" s="700"/>
      <c r="AEJ30" s="700"/>
      <c r="AEK30" s="700"/>
      <c r="AEL30" s="700"/>
      <c r="AEM30" s="700"/>
      <c r="AEN30" s="700"/>
      <c r="AEO30" s="700"/>
      <c r="AEP30" s="700"/>
      <c r="AEQ30" s="700"/>
      <c r="AER30" s="700"/>
      <c r="AES30" s="700"/>
      <c r="AET30" s="700"/>
      <c r="AEU30" s="700"/>
      <c r="AEV30" s="700"/>
      <c r="AEW30" s="700"/>
      <c r="AEX30" s="700"/>
      <c r="AEY30" s="700"/>
      <c r="AEZ30" s="700"/>
      <c r="AFA30" s="700"/>
      <c r="AFB30" s="700"/>
      <c r="AFC30" s="700"/>
      <c r="AFD30" s="700"/>
      <c r="AFE30" s="700"/>
      <c r="AFF30" s="700"/>
      <c r="AFG30" s="700"/>
      <c r="AFH30" s="700"/>
      <c r="AFI30" s="700"/>
      <c r="AFJ30" s="700"/>
      <c r="AFK30" s="700"/>
      <c r="AFL30" s="700"/>
      <c r="AFM30" s="700"/>
      <c r="AFN30" s="700"/>
      <c r="AFO30" s="700"/>
      <c r="AFP30" s="700"/>
      <c r="AFQ30" s="700"/>
      <c r="AFR30" s="700"/>
      <c r="AFS30" s="700"/>
      <c r="AFT30" s="700"/>
      <c r="AFU30" s="700"/>
      <c r="AFV30" s="700"/>
      <c r="AFW30" s="700"/>
      <c r="AFX30" s="700"/>
      <c r="AFY30" s="700"/>
      <c r="AFZ30" s="700"/>
      <c r="AGA30" s="700"/>
      <c r="AGB30" s="700"/>
      <c r="AGC30" s="700"/>
      <c r="AGD30" s="700"/>
      <c r="AGE30" s="700"/>
      <c r="AGF30" s="700"/>
      <c r="AGG30" s="700"/>
      <c r="AGH30" s="700"/>
      <c r="AGI30" s="700"/>
      <c r="AGJ30" s="700"/>
      <c r="AGK30" s="700"/>
      <c r="AGL30" s="700"/>
      <c r="AGM30" s="700"/>
      <c r="AGN30" s="700"/>
      <c r="AGO30" s="700"/>
      <c r="AGP30" s="700"/>
      <c r="AGQ30" s="700"/>
      <c r="AGR30" s="700"/>
      <c r="AGS30" s="700"/>
      <c r="AGT30" s="700"/>
      <c r="AGU30" s="700"/>
      <c r="AGV30" s="700"/>
      <c r="AGW30" s="700"/>
      <c r="AGX30" s="700"/>
      <c r="AGY30" s="700"/>
      <c r="AGZ30" s="700"/>
      <c r="AHA30" s="700"/>
      <c r="AHB30" s="700"/>
      <c r="AHC30" s="700"/>
      <c r="AHD30" s="700"/>
      <c r="AHE30" s="700"/>
      <c r="AHF30" s="700"/>
      <c r="AHG30" s="700"/>
      <c r="AHH30" s="700"/>
      <c r="AHI30" s="700"/>
      <c r="AHJ30" s="700"/>
      <c r="AHK30" s="700"/>
      <c r="AHL30" s="700"/>
      <c r="AHM30" s="700"/>
      <c r="AHN30" s="700"/>
      <c r="AHO30" s="700"/>
      <c r="AHP30" s="700"/>
      <c r="AHQ30" s="700"/>
      <c r="AHR30" s="700"/>
      <c r="AHS30" s="700"/>
      <c r="AHT30" s="700"/>
      <c r="AHU30" s="700"/>
      <c r="AHV30" s="700"/>
      <c r="AHW30" s="700"/>
      <c r="AHX30" s="700"/>
      <c r="AHY30" s="700"/>
      <c r="AHZ30" s="700"/>
      <c r="AIA30" s="700"/>
      <c r="AIB30" s="700"/>
      <c r="AIC30" s="700"/>
      <c r="AID30" s="700"/>
      <c r="AIE30" s="700"/>
      <c r="AIF30" s="700"/>
      <c r="AIG30" s="700"/>
      <c r="AIH30" s="700"/>
      <c r="AII30" s="700"/>
      <c r="AIJ30" s="700"/>
      <c r="AIK30" s="700"/>
      <c r="AIL30" s="700"/>
      <c r="AIM30" s="700"/>
      <c r="AIN30" s="700"/>
      <c r="AIO30" s="700"/>
      <c r="AIP30" s="700"/>
      <c r="AIQ30" s="700"/>
      <c r="AIR30" s="700"/>
      <c r="AIS30" s="700"/>
      <c r="AIT30" s="700"/>
      <c r="AIU30" s="700"/>
      <c r="AIV30" s="700"/>
      <c r="AIW30" s="700"/>
      <c r="AIX30" s="700"/>
      <c r="AIY30" s="700"/>
      <c r="AIZ30" s="700"/>
      <c r="AJA30" s="700"/>
      <c r="AJB30" s="700"/>
      <c r="AJC30" s="700"/>
      <c r="AJD30" s="700"/>
      <c r="AJE30" s="700"/>
      <c r="AJF30" s="700"/>
      <c r="AJG30" s="700"/>
      <c r="AJH30" s="700"/>
      <c r="AJI30" s="700"/>
      <c r="AJJ30" s="700"/>
      <c r="AJK30" s="700"/>
      <c r="AJL30" s="700"/>
      <c r="AJM30" s="700"/>
      <c r="AJN30" s="700"/>
      <c r="AJO30" s="700"/>
      <c r="AJP30" s="700"/>
      <c r="AJQ30" s="700"/>
      <c r="AJR30" s="700"/>
      <c r="AJS30" s="700"/>
      <c r="AJT30" s="700"/>
      <c r="AJU30" s="700"/>
      <c r="AJV30" s="700"/>
      <c r="AJW30" s="700"/>
      <c r="AJX30" s="700"/>
      <c r="AJY30" s="700"/>
      <c r="AJZ30" s="700"/>
      <c r="AKA30" s="700"/>
      <c r="AKB30" s="700"/>
      <c r="AKC30" s="700"/>
      <c r="AKD30" s="700"/>
      <c r="AKE30" s="700"/>
      <c r="AKF30" s="700"/>
      <c r="AKG30" s="700"/>
      <c r="AKH30" s="700"/>
      <c r="AKI30" s="700"/>
      <c r="AKJ30" s="700"/>
      <c r="AKK30" s="700"/>
      <c r="AKL30" s="700"/>
      <c r="AKM30" s="700"/>
      <c r="AKN30" s="700"/>
      <c r="AKO30" s="700"/>
      <c r="AKP30" s="700"/>
      <c r="AKQ30" s="700"/>
      <c r="AKR30" s="700"/>
      <c r="AKS30" s="700"/>
      <c r="AKT30" s="700"/>
      <c r="AKU30" s="700"/>
      <c r="AKV30" s="700"/>
      <c r="AKW30" s="700"/>
      <c r="AKX30" s="700"/>
      <c r="AKY30" s="700"/>
      <c r="AKZ30" s="700"/>
      <c r="ALA30" s="700"/>
      <c r="ALB30" s="700"/>
      <c r="ALC30" s="700"/>
      <c r="ALD30" s="700"/>
      <c r="ALE30" s="700"/>
      <c r="ALF30" s="700"/>
      <c r="ALG30" s="700"/>
      <c r="ALH30" s="700"/>
      <c r="ALI30" s="700"/>
      <c r="ALJ30" s="700"/>
      <c r="ALK30" s="700"/>
      <c r="ALL30" s="700"/>
      <c r="ALM30" s="700"/>
      <c r="ALN30" s="700"/>
      <c r="ALO30" s="700"/>
      <c r="ALP30" s="700"/>
      <c r="ALQ30" s="700"/>
      <c r="ALR30" s="700"/>
      <c r="ALS30" s="700"/>
      <c r="ALT30" s="700"/>
      <c r="ALU30" s="700"/>
      <c r="ALV30" s="700"/>
      <c r="ALW30" s="700"/>
      <c r="ALX30" s="700"/>
      <c r="ALY30" s="700"/>
      <c r="ALZ30" s="700"/>
      <c r="AMA30" s="700"/>
      <c r="AMB30" s="700"/>
      <c r="AMC30" s="700"/>
      <c r="AMD30" s="700"/>
      <c r="AME30" s="700"/>
      <c r="AMF30" s="700"/>
      <c r="AMG30" s="700"/>
      <c r="AMH30" s="700"/>
      <c r="AMI30" s="700"/>
      <c r="AMJ30" s="700"/>
      <c r="AMK30" s="700"/>
      <c r="AML30" s="700"/>
      <c r="AMM30" s="700"/>
      <c r="AMN30" s="700"/>
      <c r="AMO30" s="700"/>
      <c r="AMP30" s="700"/>
      <c r="AMQ30" s="700"/>
      <c r="AMR30" s="700"/>
      <c r="AMS30" s="700"/>
      <c r="AMT30" s="700"/>
      <c r="AMU30" s="700"/>
      <c r="AMV30" s="700"/>
      <c r="AMW30" s="700"/>
      <c r="AMX30" s="700"/>
      <c r="AMY30" s="700"/>
      <c r="AMZ30" s="700"/>
      <c r="ANA30" s="700"/>
      <c r="ANB30" s="700"/>
      <c r="ANC30" s="700"/>
      <c r="AND30" s="700"/>
      <c r="ANE30" s="700"/>
      <c r="ANF30" s="700"/>
      <c r="ANG30" s="700"/>
      <c r="ANH30" s="700"/>
      <c r="ANI30" s="700"/>
      <c r="ANJ30" s="700"/>
      <c r="ANK30" s="700"/>
      <c r="ANL30" s="700"/>
      <c r="ANM30" s="700"/>
      <c r="ANN30" s="700"/>
      <c r="ANO30" s="700"/>
      <c r="ANP30" s="700"/>
      <c r="ANQ30" s="700"/>
      <c r="ANR30" s="700"/>
      <c r="ANS30" s="700"/>
      <c r="ANT30" s="700"/>
      <c r="ANU30" s="700"/>
      <c r="ANV30" s="700"/>
      <c r="ANW30" s="700"/>
      <c r="ANX30" s="700"/>
      <c r="ANY30" s="700"/>
      <c r="ANZ30" s="700"/>
      <c r="AOA30" s="700"/>
      <c r="AOB30" s="700"/>
      <c r="AOC30" s="700"/>
      <c r="AOD30" s="700"/>
      <c r="AOE30" s="700"/>
      <c r="AOF30" s="700"/>
      <c r="AOG30" s="700"/>
      <c r="AOH30" s="700"/>
      <c r="AOI30" s="700"/>
      <c r="AOJ30" s="700"/>
      <c r="AOK30" s="700"/>
      <c r="AOL30" s="700"/>
      <c r="AOM30" s="700"/>
      <c r="AON30" s="700"/>
      <c r="AOO30" s="700"/>
      <c r="AOP30" s="700"/>
      <c r="AOQ30" s="700"/>
      <c r="AOR30" s="700"/>
      <c r="AOS30" s="700"/>
      <c r="AOT30" s="700"/>
      <c r="AOU30" s="700"/>
      <c r="AOV30" s="700"/>
      <c r="AOW30" s="700"/>
      <c r="AOX30" s="700"/>
      <c r="AOY30" s="700"/>
      <c r="AOZ30" s="700"/>
      <c r="APA30" s="700"/>
      <c r="APB30" s="700"/>
      <c r="APC30" s="700"/>
      <c r="APD30" s="700"/>
      <c r="APE30" s="700"/>
      <c r="APF30" s="700"/>
      <c r="APG30" s="700"/>
      <c r="APH30" s="700"/>
      <c r="API30" s="700"/>
      <c r="APJ30" s="700"/>
      <c r="APK30" s="700"/>
      <c r="APL30" s="700"/>
      <c r="APM30" s="700"/>
      <c r="APN30" s="700"/>
      <c r="APO30" s="700"/>
      <c r="APP30" s="700"/>
      <c r="APQ30" s="700"/>
      <c r="APR30" s="700"/>
      <c r="APS30" s="700"/>
      <c r="APT30" s="700"/>
      <c r="APU30" s="700"/>
      <c r="APV30" s="700"/>
      <c r="APW30" s="700"/>
      <c r="APX30" s="700"/>
      <c r="APY30" s="700"/>
      <c r="APZ30" s="700"/>
      <c r="AQA30" s="700"/>
      <c r="AQB30" s="700"/>
      <c r="AQC30" s="700"/>
      <c r="AQD30" s="700"/>
      <c r="AQE30" s="700"/>
      <c r="AQF30" s="700"/>
      <c r="AQG30" s="700"/>
      <c r="AQH30" s="700"/>
      <c r="AQI30" s="700"/>
      <c r="AQJ30" s="700"/>
      <c r="AQK30" s="700"/>
      <c r="AQL30" s="700"/>
      <c r="AQM30" s="700"/>
      <c r="AQN30" s="700"/>
      <c r="AQO30" s="700"/>
      <c r="AQP30" s="700"/>
      <c r="AQQ30" s="700"/>
      <c r="AQR30" s="700"/>
      <c r="AQS30" s="700"/>
      <c r="AQT30" s="700"/>
      <c r="AQU30" s="700"/>
      <c r="AQV30" s="700"/>
      <c r="AQW30" s="700"/>
      <c r="AQX30" s="700"/>
      <c r="AQY30" s="700"/>
      <c r="AQZ30" s="700"/>
      <c r="ARA30" s="700"/>
      <c r="ARB30" s="700"/>
      <c r="ARC30" s="700"/>
      <c r="ARD30" s="700"/>
      <c r="ARE30" s="700"/>
      <c r="ARF30" s="700"/>
      <c r="ARG30" s="700"/>
      <c r="ARH30" s="700"/>
      <c r="ARI30" s="700"/>
      <c r="ARJ30" s="700"/>
      <c r="ARK30" s="700"/>
      <c r="ARL30" s="700"/>
      <c r="ARM30" s="700"/>
      <c r="ARN30" s="700"/>
      <c r="ARO30" s="700"/>
      <c r="ARP30" s="700"/>
      <c r="ARQ30" s="700"/>
      <c r="ARR30" s="700"/>
      <c r="ARS30" s="700"/>
      <c r="ART30" s="700"/>
      <c r="ARU30" s="700"/>
      <c r="ARV30" s="700"/>
      <c r="ARW30" s="700"/>
      <c r="ARX30" s="700"/>
      <c r="ARY30" s="700"/>
      <c r="ARZ30" s="700"/>
      <c r="ASA30" s="700"/>
      <c r="ASB30" s="700"/>
      <c r="ASC30" s="700"/>
      <c r="ASD30" s="700"/>
      <c r="ASE30" s="700"/>
      <c r="ASF30" s="700"/>
      <c r="ASG30" s="700"/>
      <c r="ASH30" s="700"/>
      <c r="ASI30" s="700"/>
      <c r="ASJ30" s="700"/>
      <c r="ASK30" s="700"/>
      <c r="ASL30" s="700"/>
      <c r="ASM30" s="700"/>
      <c r="ASN30" s="700"/>
      <c r="ASO30" s="700"/>
      <c r="ASP30" s="700"/>
      <c r="ASQ30" s="700"/>
      <c r="ASR30" s="700"/>
      <c r="ASS30" s="700"/>
      <c r="AST30" s="700"/>
      <c r="ASU30" s="700"/>
      <c r="ASV30" s="700"/>
      <c r="ASW30" s="700"/>
      <c r="ASX30" s="700"/>
      <c r="ASY30" s="700"/>
      <c r="ASZ30" s="700"/>
      <c r="ATA30" s="700"/>
      <c r="ATB30" s="700"/>
      <c r="ATC30" s="700"/>
      <c r="ATD30" s="700"/>
      <c r="ATE30" s="700"/>
      <c r="ATF30" s="700"/>
      <c r="ATG30" s="700"/>
      <c r="ATH30" s="700"/>
      <c r="ATI30" s="700"/>
      <c r="ATJ30" s="700"/>
      <c r="ATK30" s="700"/>
      <c r="ATL30" s="700"/>
      <c r="ATM30" s="700"/>
      <c r="ATN30" s="700"/>
      <c r="ATO30" s="700"/>
      <c r="ATP30" s="700"/>
      <c r="ATQ30" s="700"/>
      <c r="ATR30" s="700"/>
      <c r="ATS30" s="700"/>
      <c r="ATT30" s="700"/>
      <c r="ATU30" s="700"/>
      <c r="ATV30" s="700"/>
      <c r="ATW30" s="700"/>
      <c r="ATX30" s="700"/>
      <c r="ATY30" s="700"/>
      <c r="ATZ30" s="700"/>
      <c r="AUA30" s="700"/>
      <c r="AUB30" s="700"/>
      <c r="AUC30" s="700"/>
      <c r="AUD30" s="700"/>
      <c r="AUE30" s="700"/>
      <c r="AUF30" s="700"/>
      <c r="AUG30" s="700"/>
      <c r="AUH30" s="700"/>
      <c r="AUI30" s="700"/>
      <c r="AUJ30" s="700"/>
      <c r="AUK30" s="700"/>
      <c r="AUL30" s="700"/>
      <c r="AUM30" s="700"/>
      <c r="AUN30" s="700"/>
      <c r="AUO30" s="700"/>
      <c r="AUP30" s="700"/>
      <c r="AUQ30" s="700"/>
      <c r="AUR30" s="700"/>
      <c r="AUS30" s="700"/>
      <c r="AUT30" s="700"/>
      <c r="AUU30" s="700"/>
      <c r="AUV30" s="700"/>
      <c r="AUW30" s="700"/>
      <c r="AUX30" s="700"/>
      <c r="AUY30" s="700"/>
      <c r="AUZ30" s="700"/>
      <c r="AVA30" s="700"/>
      <c r="AVB30" s="700"/>
      <c r="AVC30" s="700"/>
      <c r="AVD30" s="700"/>
      <c r="AVE30" s="700"/>
      <c r="AVF30" s="700"/>
      <c r="AVG30" s="700"/>
      <c r="AVH30" s="700"/>
      <c r="AVI30" s="700"/>
      <c r="AVJ30" s="700"/>
      <c r="AVK30" s="700"/>
      <c r="AVL30" s="700"/>
      <c r="AVM30" s="700"/>
      <c r="AVN30" s="700"/>
      <c r="AVO30" s="700"/>
      <c r="AVP30" s="700"/>
      <c r="AVQ30" s="700"/>
      <c r="AVR30" s="700"/>
      <c r="AVS30" s="700"/>
      <c r="AVT30" s="700"/>
      <c r="AVU30" s="700"/>
      <c r="AVV30" s="700"/>
      <c r="AVW30" s="700"/>
      <c r="AVX30" s="700"/>
      <c r="AVY30" s="700"/>
      <c r="AVZ30" s="700"/>
      <c r="AWA30" s="700"/>
      <c r="AWB30" s="700"/>
      <c r="AWC30" s="700"/>
      <c r="AWD30" s="700"/>
      <c r="AWE30" s="700"/>
      <c r="AWF30" s="700"/>
      <c r="AWG30" s="700"/>
      <c r="AWH30" s="700"/>
      <c r="AWI30" s="700"/>
      <c r="AWJ30" s="700"/>
      <c r="AWK30" s="700"/>
      <c r="AWL30" s="700"/>
      <c r="AWM30" s="700"/>
      <c r="AWN30" s="700"/>
      <c r="AWO30" s="700"/>
      <c r="AWP30" s="700"/>
      <c r="AWQ30" s="700"/>
      <c r="AWR30" s="700"/>
      <c r="AWS30" s="700"/>
      <c r="AWT30" s="700"/>
      <c r="AWU30" s="700"/>
      <c r="AWV30" s="700"/>
      <c r="AWW30" s="700"/>
      <c r="AWX30" s="700"/>
      <c r="AWY30" s="700"/>
      <c r="AWZ30" s="700"/>
      <c r="AXA30" s="700"/>
      <c r="AXB30" s="700"/>
      <c r="AXC30" s="700"/>
      <c r="AXD30" s="700"/>
      <c r="AXE30" s="700"/>
      <c r="AXF30" s="700"/>
      <c r="AXG30" s="700"/>
      <c r="AXH30" s="700"/>
      <c r="AXI30" s="700"/>
      <c r="AXJ30" s="700"/>
      <c r="AXK30" s="700"/>
      <c r="AXL30" s="700"/>
      <c r="AXM30" s="700"/>
      <c r="AXN30" s="700"/>
      <c r="AXO30" s="700"/>
      <c r="AXP30" s="700"/>
      <c r="AXQ30" s="700"/>
      <c r="AXR30" s="700"/>
      <c r="AXS30" s="700"/>
      <c r="AXT30" s="700"/>
      <c r="AXU30" s="700"/>
      <c r="AXV30" s="700"/>
      <c r="AXW30" s="700"/>
      <c r="AXX30" s="700"/>
      <c r="AXY30" s="700"/>
      <c r="AXZ30" s="700"/>
      <c r="AYA30" s="700"/>
      <c r="AYB30" s="700"/>
      <c r="AYC30" s="700"/>
      <c r="AYD30" s="700"/>
      <c r="AYE30" s="700"/>
      <c r="AYF30" s="700"/>
      <c r="AYG30" s="700"/>
      <c r="AYH30" s="700"/>
      <c r="AYI30" s="700"/>
      <c r="AYJ30" s="700"/>
      <c r="AYK30" s="700"/>
      <c r="AYL30" s="700"/>
      <c r="AYM30" s="700"/>
      <c r="AYN30" s="700"/>
      <c r="AYO30" s="700"/>
      <c r="AYP30" s="700"/>
      <c r="AYQ30" s="700"/>
      <c r="AYR30" s="700"/>
      <c r="AYS30" s="700"/>
      <c r="AYT30" s="700"/>
      <c r="AYU30" s="700"/>
      <c r="AYV30" s="700"/>
      <c r="AYW30" s="700"/>
      <c r="AYX30" s="700"/>
      <c r="AYY30" s="700"/>
      <c r="AYZ30" s="700"/>
      <c r="AZA30" s="700"/>
      <c r="AZB30" s="700"/>
      <c r="AZC30" s="700"/>
      <c r="AZD30" s="700"/>
      <c r="AZE30" s="700"/>
      <c r="AZF30" s="700"/>
      <c r="AZG30" s="700"/>
      <c r="AZH30" s="700"/>
      <c r="AZI30" s="700"/>
      <c r="AZJ30" s="700"/>
      <c r="AZK30" s="700"/>
      <c r="AZL30" s="700"/>
      <c r="AZM30" s="700"/>
      <c r="AZN30" s="700"/>
      <c r="AZO30" s="700"/>
      <c r="AZP30" s="700"/>
      <c r="AZQ30" s="700"/>
      <c r="AZR30" s="700"/>
      <c r="AZS30" s="700"/>
      <c r="AZT30" s="700"/>
      <c r="AZU30" s="700"/>
      <c r="AZV30" s="700"/>
      <c r="AZW30" s="700"/>
      <c r="AZX30" s="700"/>
      <c r="AZY30" s="700"/>
      <c r="AZZ30" s="700"/>
      <c r="BAA30" s="700"/>
      <c r="BAB30" s="700"/>
      <c r="BAC30" s="700"/>
      <c r="BAD30" s="700"/>
      <c r="BAE30" s="700"/>
      <c r="BAF30" s="700"/>
      <c r="BAG30" s="700"/>
      <c r="BAH30" s="700"/>
      <c r="BAI30" s="700"/>
      <c r="BAJ30" s="700"/>
      <c r="BAK30" s="700"/>
      <c r="BAL30" s="700"/>
      <c r="BAM30" s="700"/>
      <c r="BAN30" s="700"/>
      <c r="BAO30" s="700"/>
      <c r="BAP30" s="700"/>
      <c r="BAQ30" s="700"/>
      <c r="BAR30" s="700"/>
      <c r="BAS30" s="700"/>
      <c r="BAT30" s="700"/>
      <c r="BAU30" s="700"/>
      <c r="BAV30" s="700"/>
      <c r="BAW30" s="700"/>
      <c r="BAX30" s="700"/>
      <c r="BAY30" s="700"/>
      <c r="BAZ30" s="700"/>
      <c r="BBA30" s="700"/>
      <c r="BBB30" s="700"/>
      <c r="BBC30" s="700"/>
      <c r="BBD30" s="700"/>
      <c r="BBE30" s="700"/>
      <c r="BBF30" s="700"/>
      <c r="BBG30" s="700"/>
      <c r="BBH30" s="700"/>
      <c r="BBI30" s="700"/>
      <c r="BBJ30" s="700"/>
      <c r="BBK30" s="700"/>
      <c r="BBL30" s="700"/>
      <c r="BBM30" s="700"/>
      <c r="BBN30" s="700"/>
      <c r="BBO30" s="700"/>
      <c r="BBP30" s="700"/>
      <c r="BBQ30" s="700"/>
      <c r="BBR30" s="700"/>
      <c r="BBS30" s="700"/>
      <c r="BBT30" s="700"/>
      <c r="BBU30" s="700"/>
      <c r="BBV30" s="700"/>
      <c r="BBW30" s="700"/>
      <c r="BBX30" s="700"/>
      <c r="BBY30" s="700"/>
      <c r="BBZ30" s="700"/>
      <c r="BCA30" s="700"/>
      <c r="BCB30" s="700"/>
      <c r="BCC30" s="700"/>
      <c r="BCD30" s="700"/>
      <c r="BCE30" s="700"/>
      <c r="BCF30" s="700"/>
      <c r="BCG30" s="700"/>
      <c r="BCH30" s="700"/>
      <c r="BCI30" s="700"/>
      <c r="BCJ30" s="700"/>
      <c r="BCK30" s="700"/>
      <c r="BCL30" s="700"/>
      <c r="BCM30" s="700"/>
      <c r="BCN30" s="700"/>
      <c r="BCO30" s="700"/>
      <c r="BCP30" s="700"/>
      <c r="BCQ30" s="700"/>
      <c r="BCR30" s="700"/>
      <c r="BCS30" s="700"/>
      <c r="BCT30" s="700"/>
      <c r="BCU30" s="700"/>
      <c r="BCV30" s="700"/>
      <c r="BCW30" s="700"/>
      <c r="BCX30" s="700"/>
      <c r="BCY30" s="700"/>
      <c r="BCZ30" s="700"/>
      <c r="BDA30" s="700"/>
      <c r="BDB30" s="700"/>
      <c r="BDC30" s="700"/>
      <c r="BDD30" s="700"/>
      <c r="BDE30" s="700"/>
      <c r="BDF30" s="700"/>
      <c r="BDG30" s="700"/>
      <c r="BDH30" s="700"/>
      <c r="BDI30" s="700"/>
      <c r="BDJ30" s="700"/>
      <c r="BDK30" s="700"/>
      <c r="BDL30" s="700"/>
      <c r="BDM30" s="700"/>
      <c r="BDN30" s="700"/>
      <c r="BDO30" s="700"/>
      <c r="BDP30" s="700"/>
      <c r="BDQ30" s="700"/>
      <c r="BDR30" s="700"/>
      <c r="BDS30" s="700"/>
      <c r="BDT30" s="700"/>
      <c r="BDU30" s="700"/>
      <c r="BDV30" s="700"/>
      <c r="BDW30" s="700"/>
      <c r="BDX30" s="700"/>
      <c r="BDY30" s="700"/>
      <c r="BDZ30" s="700"/>
      <c r="BEA30" s="700"/>
      <c r="BEB30" s="700"/>
      <c r="BEC30" s="700"/>
      <c r="BED30" s="700"/>
      <c r="BEE30" s="700"/>
      <c r="BEF30" s="700"/>
      <c r="BEG30" s="700"/>
      <c r="BEH30" s="700"/>
      <c r="BEI30" s="700"/>
      <c r="BEJ30" s="700"/>
      <c r="BEK30" s="700"/>
      <c r="BEL30" s="700"/>
      <c r="BEM30" s="700"/>
      <c r="BEN30" s="700"/>
      <c r="BEO30" s="700"/>
      <c r="BEP30" s="700"/>
      <c r="BEQ30" s="700"/>
      <c r="BER30" s="700"/>
      <c r="BES30" s="700"/>
      <c r="BET30" s="700"/>
      <c r="BEU30" s="700"/>
      <c r="BEV30" s="700"/>
      <c r="BEW30" s="700"/>
      <c r="BEX30" s="700"/>
      <c r="BEY30" s="700"/>
      <c r="BEZ30" s="700"/>
      <c r="BFA30" s="700"/>
      <c r="BFB30" s="700"/>
      <c r="BFC30" s="700"/>
      <c r="BFD30" s="700"/>
      <c r="BFE30" s="700"/>
      <c r="BFF30" s="700"/>
      <c r="BFG30" s="700"/>
      <c r="BFH30" s="700"/>
      <c r="BFI30" s="700"/>
      <c r="BFJ30" s="700"/>
      <c r="BFK30" s="700"/>
      <c r="BFL30" s="700"/>
      <c r="BFM30" s="700"/>
      <c r="BFN30" s="700"/>
      <c r="BFO30" s="700"/>
      <c r="BFP30" s="700"/>
      <c r="BFQ30" s="700"/>
      <c r="BFR30" s="700"/>
      <c r="BFS30" s="700"/>
      <c r="BFT30" s="700"/>
      <c r="BFU30" s="700"/>
      <c r="BFV30" s="700"/>
      <c r="BFW30" s="700"/>
      <c r="BFX30" s="700"/>
      <c r="BFY30" s="700"/>
      <c r="BFZ30" s="700"/>
      <c r="BGA30" s="700"/>
      <c r="BGB30" s="700"/>
      <c r="BGC30" s="700"/>
      <c r="BGD30" s="700"/>
      <c r="BGE30" s="700"/>
      <c r="BGF30" s="700"/>
      <c r="BGG30" s="700"/>
      <c r="BGH30" s="700"/>
      <c r="BGI30" s="700"/>
      <c r="BGJ30" s="700"/>
      <c r="BGK30" s="700"/>
      <c r="BGL30" s="700"/>
      <c r="BGM30" s="700"/>
      <c r="BGN30" s="700"/>
      <c r="BGO30" s="700"/>
      <c r="BGP30" s="700"/>
      <c r="BGQ30" s="700"/>
      <c r="BGR30" s="700"/>
      <c r="BGS30" s="700"/>
      <c r="BGT30" s="700"/>
      <c r="BGU30" s="700"/>
      <c r="BGV30" s="700"/>
      <c r="BGW30" s="700"/>
      <c r="BGX30" s="700"/>
      <c r="BGY30" s="700"/>
      <c r="BGZ30" s="700"/>
      <c r="BHA30" s="700"/>
      <c r="BHB30" s="700"/>
      <c r="BHC30" s="700"/>
      <c r="BHD30" s="700"/>
      <c r="BHE30" s="700"/>
      <c r="BHF30" s="700"/>
      <c r="BHG30" s="700"/>
      <c r="BHH30" s="700"/>
      <c r="BHI30" s="700"/>
      <c r="BHJ30" s="700"/>
      <c r="BHK30" s="700"/>
      <c r="BHL30" s="700"/>
      <c r="BHM30" s="700"/>
      <c r="BHN30" s="700"/>
      <c r="BHO30" s="700"/>
      <c r="BHP30" s="700"/>
      <c r="BHQ30" s="700"/>
      <c r="BHR30" s="700"/>
      <c r="BHS30" s="700"/>
      <c r="BHT30" s="700"/>
      <c r="BHU30" s="700"/>
      <c r="BHV30" s="700"/>
      <c r="BHW30" s="700"/>
      <c r="BHX30" s="700"/>
      <c r="BHY30" s="700"/>
      <c r="BHZ30" s="700"/>
      <c r="BIA30" s="700"/>
      <c r="BIB30" s="700"/>
      <c r="BIC30" s="700"/>
      <c r="BID30" s="700"/>
      <c r="BIE30" s="700"/>
      <c r="BIF30" s="700"/>
      <c r="BIG30" s="700"/>
      <c r="BIH30" s="700"/>
      <c r="BII30" s="700"/>
      <c r="BIJ30" s="700"/>
      <c r="BIK30" s="700"/>
      <c r="BIL30" s="700"/>
      <c r="BIM30" s="700"/>
      <c r="BIN30" s="700"/>
      <c r="BIO30" s="700"/>
      <c r="BIP30" s="700"/>
      <c r="BIQ30" s="700"/>
      <c r="BIR30" s="700"/>
      <c r="BIS30" s="700"/>
      <c r="BIT30" s="700"/>
      <c r="BIU30" s="700"/>
      <c r="BIV30" s="700"/>
      <c r="BIW30" s="700"/>
      <c r="BIX30" s="700"/>
      <c r="BIY30" s="700"/>
      <c r="BIZ30" s="700"/>
      <c r="BJA30" s="700"/>
      <c r="BJB30" s="700"/>
      <c r="BJC30" s="700"/>
      <c r="BJD30" s="700"/>
      <c r="BJE30" s="700"/>
      <c r="BJF30" s="700"/>
      <c r="BJG30" s="700"/>
      <c r="BJH30" s="700"/>
      <c r="BJI30" s="700"/>
      <c r="BJJ30" s="700"/>
      <c r="BJK30" s="700"/>
      <c r="BJL30" s="700"/>
      <c r="BJM30" s="700"/>
      <c r="BJN30" s="700"/>
      <c r="BJO30" s="700"/>
      <c r="BJP30" s="700"/>
      <c r="BJQ30" s="700"/>
      <c r="BJR30" s="700"/>
      <c r="BJS30" s="700"/>
      <c r="BJT30" s="700"/>
      <c r="BJU30" s="700"/>
      <c r="BJV30" s="700"/>
      <c r="BJW30" s="700"/>
      <c r="BJX30" s="700"/>
      <c r="BJY30" s="700"/>
      <c r="BJZ30" s="700"/>
      <c r="BKA30" s="700"/>
      <c r="BKB30" s="700"/>
      <c r="BKC30" s="700"/>
      <c r="BKD30" s="700"/>
      <c r="BKE30" s="700"/>
      <c r="BKF30" s="700"/>
      <c r="BKG30" s="700"/>
      <c r="BKH30" s="700"/>
      <c r="BKI30" s="700"/>
      <c r="BKJ30" s="700"/>
      <c r="BKK30" s="700"/>
      <c r="BKL30" s="700"/>
      <c r="BKM30" s="700"/>
      <c r="BKN30" s="700"/>
      <c r="BKO30" s="700"/>
      <c r="BKP30" s="700"/>
      <c r="BKQ30" s="700"/>
      <c r="BKR30" s="700"/>
      <c r="BKS30" s="700"/>
      <c r="BKT30" s="700"/>
      <c r="BKU30" s="700"/>
      <c r="BKV30" s="700"/>
      <c r="BKW30" s="700"/>
      <c r="BKX30" s="700"/>
      <c r="BKY30" s="700"/>
      <c r="BKZ30" s="700"/>
      <c r="BLA30" s="700"/>
      <c r="BLB30" s="700"/>
      <c r="BLC30" s="700"/>
      <c r="BLD30" s="700"/>
      <c r="BLE30" s="700"/>
      <c r="BLF30" s="700"/>
      <c r="BLG30" s="700"/>
      <c r="BLH30" s="700"/>
      <c r="BLI30" s="700"/>
      <c r="BLJ30" s="700"/>
      <c r="BLK30" s="700"/>
      <c r="BLL30" s="700"/>
      <c r="BLM30" s="700"/>
      <c r="BLN30" s="700"/>
      <c r="BLO30" s="700"/>
      <c r="BLP30" s="700"/>
      <c r="BLQ30" s="700"/>
      <c r="BLR30" s="700"/>
      <c r="BLS30" s="700"/>
      <c r="BLT30" s="700"/>
      <c r="BLU30" s="700"/>
      <c r="BLV30" s="700"/>
      <c r="BLW30" s="700"/>
      <c r="BLX30" s="700"/>
      <c r="BLY30" s="700"/>
      <c r="BLZ30" s="700"/>
      <c r="BMA30" s="700"/>
      <c r="BMB30" s="700"/>
      <c r="BMC30" s="700"/>
      <c r="BMD30" s="700"/>
      <c r="BME30" s="700"/>
      <c r="BMF30" s="700"/>
      <c r="BMG30" s="700"/>
      <c r="BMH30" s="700"/>
      <c r="BMI30" s="700"/>
      <c r="BMJ30" s="700"/>
      <c r="BMK30" s="700"/>
      <c r="BML30" s="700"/>
      <c r="BMM30" s="700"/>
      <c r="BMN30" s="700"/>
      <c r="BMO30" s="700"/>
      <c r="BMP30" s="700"/>
      <c r="BMQ30" s="700"/>
      <c r="BMR30" s="700"/>
      <c r="BMS30" s="700"/>
      <c r="BMT30" s="700"/>
      <c r="BMU30" s="700"/>
      <c r="BMV30" s="700"/>
      <c r="BMW30" s="700"/>
      <c r="BMX30" s="700"/>
      <c r="BMY30" s="700"/>
      <c r="BMZ30" s="700"/>
      <c r="BNA30" s="700"/>
      <c r="BNB30" s="700"/>
      <c r="BNC30" s="700"/>
      <c r="BND30" s="700"/>
      <c r="BNE30" s="700"/>
      <c r="BNF30" s="700"/>
      <c r="BNG30" s="700"/>
      <c r="BNH30" s="700"/>
      <c r="BNI30" s="700"/>
      <c r="BNJ30" s="700"/>
      <c r="BNK30" s="700"/>
      <c r="BNL30" s="700"/>
      <c r="BNM30" s="700"/>
      <c r="BNN30" s="700"/>
      <c r="BNO30" s="700"/>
      <c r="BNP30" s="700"/>
      <c r="BNQ30" s="700"/>
      <c r="BNR30" s="700"/>
      <c r="BNS30" s="700"/>
      <c r="BNT30" s="700"/>
      <c r="BNU30" s="700"/>
      <c r="BNV30" s="700"/>
      <c r="BNW30" s="700"/>
      <c r="BNX30" s="700"/>
      <c r="BNY30" s="700"/>
      <c r="BNZ30" s="700"/>
      <c r="BOA30" s="700"/>
      <c r="BOB30" s="700"/>
      <c r="BOC30" s="700"/>
      <c r="BOD30" s="700"/>
      <c r="BOE30" s="700"/>
      <c r="BOF30" s="700"/>
      <c r="BOG30" s="700"/>
      <c r="BOH30" s="700"/>
      <c r="BOI30" s="700"/>
      <c r="BOJ30" s="700"/>
      <c r="BOK30" s="700"/>
      <c r="BOL30" s="700"/>
      <c r="BOM30" s="700"/>
      <c r="BON30" s="700"/>
      <c r="BOO30" s="700"/>
      <c r="BOP30" s="700"/>
      <c r="BOQ30" s="700"/>
      <c r="BOR30" s="700"/>
      <c r="BOS30" s="700"/>
      <c r="BOT30" s="700"/>
      <c r="BOU30" s="700"/>
      <c r="BOV30" s="700"/>
      <c r="BOW30" s="700"/>
      <c r="BOX30" s="700"/>
      <c r="BOY30" s="700"/>
      <c r="BOZ30" s="700"/>
      <c r="BPA30" s="700"/>
      <c r="BPB30" s="700"/>
      <c r="BPC30" s="700"/>
      <c r="BPD30" s="700"/>
      <c r="BPE30" s="700"/>
      <c r="BPF30" s="700"/>
      <c r="BPG30" s="700"/>
      <c r="BPH30" s="700"/>
      <c r="BPI30" s="700"/>
      <c r="BPJ30" s="700"/>
      <c r="BPK30" s="700"/>
      <c r="BPL30" s="700"/>
      <c r="BPM30" s="700"/>
      <c r="BPN30" s="700"/>
      <c r="BPO30" s="700"/>
      <c r="BPP30" s="700"/>
      <c r="BPQ30" s="700"/>
      <c r="BPR30" s="700"/>
      <c r="BPS30" s="700"/>
      <c r="BPT30" s="700"/>
      <c r="BPU30" s="700"/>
      <c r="BPV30" s="700"/>
      <c r="BPW30" s="700"/>
      <c r="BPX30" s="700"/>
      <c r="BPY30" s="700"/>
      <c r="BPZ30" s="700"/>
      <c r="BQA30" s="700"/>
      <c r="BQB30" s="700"/>
      <c r="BQC30" s="700"/>
      <c r="BQD30" s="700"/>
      <c r="BQE30" s="700"/>
      <c r="BQF30" s="700"/>
      <c r="BQG30" s="700"/>
      <c r="BQH30" s="700"/>
      <c r="BQI30" s="700"/>
      <c r="BQJ30" s="700"/>
      <c r="BQK30" s="700"/>
      <c r="BQL30" s="700"/>
      <c r="BQM30" s="700"/>
      <c r="BQN30" s="700"/>
      <c r="BQO30" s="700"/>
      <c r="BQP30" s="700"/>
      <c r="BQQ30" s="700"/>
      <c r="BQR30" s="700"/>
      <c r="BQS30" s="700"/>
      <c r="BQT30" s="700"/>
      <c r="BQU30" s="700"/>
      <c r="BQV30" s="700"/>
      <c r="BQW30" s="700"/>
      <c r="BQX30" s="700"/>
      <c r="BQY30" s="700"/>
      <c r="BQZ30" s="700"/>
      <c r="BRA30" s="700"/>
      <c r="BRB30" s="700"/>
      <c r="BRC30" s="700"/>
      <c r="BRD30" s="700"/>
      <c r="BRE30" s="700"/>
      <c r="BRF30" s="700"/>
      <c r="BRG30" s="700"/>
      <c r="BRH30" s="700"/>
      <c r="BRI30" s="700"/>
      <c r="BRJ30" s="700"/>
      <c r="BRK30" s="700"/>
      <c r="BRL30" s="700"/>
      <c r="BRM30" s="700"/>
      <c r="BRN30" s="700"/>
      <c r="BRO30" s="700"/>
      <c r="BRP30" s="700"/>
      <c r="BRQ30" s="700"/>
      <c r="BRR30" s="700"/>
      <c r="BRS30" s="700"/>
      <c r="BRT30" s="700"/>
      <c r="BRU30" s="700"/>
      <c r="BRV30" s="700"/>
      <c r="BRW30" s="700"/>
      <c r="BRX30" s="700"/>
      <c r="BRY30" s="700"/>
      <c r="BRZ30" s="700"/>
      <c r="BSA30" s="700"/>
      <c r="BSB30" s="700"/>
      <c r="BSC30" s="700"/>
      <c r="BSD30" s="700"/>
      <c r="BSE30" s="700"/>
      <c r="BSF30" s="700"/>
      <c r="BSG30" s="700"/>
      <c r="BSH30" s="700"/>
      <c r="BSI30" s="700"/>
      <c r="BSJ30" s="700"/>
      <c r="BSK30" s="700"/>
      <c r="BSL30" s="700"/>
      <c r="BSM30" s="700"/>
      <c r="BSN30" s="700"/>
      <c r="BSO30" s="700"/>
      <c r="BSP30" s="700"/>
      <c r="BSQ30" s="700"/>
      <c r="BSR30" s="700"/>
      <c r="BSS30" s="700"/>
      <c r="BST30" s="700"/>
      <c r="BSU30" s="700"/>
      <c r="BSV30" s="700"/>
      <c r="BSW30" s="700"/>
      <c r="BSX30" s="700"/>
      <c r="BSY30" s="700"/>
      <c r="BSZ30" s="700"/>
      <c r="BTA30" s="700"/>
      <c r="BTB30" s="700"/>
      <c r="BTC30" s="700"/>
      <c r="BTD30" s="700"/>
      <c r="BTE30" s="700"/>
      <c r="BTF30" s="700"/>
      <c r="BTG30" s="700"/>
      <c r="BTH30" s="700"/>
      <c r="BTI30" s="700"/>
      <c r="BTJ30" s="700"/>
      <c r="BTK30" s="700"/>
      <c r="BTL30" s="700"/>
      <c r="BTM30" s="700"/>
      <c r="BTN30" s="700"/>
      <c r="BTO30" s="700"/>
      <c r="BTP30" s="700"/>
      <c r="BTQ30" s="700"/>
      <c r="BTR30" s="700"/>
      <c r="BTS30" s="700"/>
      <c r="BTT30" s="700"/>
      <c r="BTU30" s="700"/>
      <c r="BTV30" s="700"/>
      <c r="BTW30" s="700"/>
      <c r="BTX30" s="700"/>
      <c r="BTY30" s="700"/>
      <c r="BTZ30" s="700"/>
      <c r="BUA30" s="700"/>
      <c r="BUB30" s="700"/>
      <c r="BUC30" s="700"/>
      <c r="BUD30" s="700"/>
      <c r="BUE30" s="700"/>
      <c r="BUF30" s="700"/>
      <c r="BUG30" s="700"/>
      <c r="BUH30" s="700"/>
      <c r="BUI30" s="700"/>
      <c r="BUJ30" s="700"/>
      <c r="BUK30" s="700"/>
      <c r="BUL30" s="700"/>
      <c r="BUM30" s="700"/>
      <c r="BUN30" s="700"/>
      <c r="BUO30" s="700"/>
      <c r="BUP30" s="700"/>
      <c r="BUQ30" s="700"/>
      <c r="BUR30" s="700"/>
      <c r="BUS30" s="700"/>
      <c r="BUT30" s="700"/>
      <c r="BUU30" s="700"/>
      <c r="BUV30" s="700"/>
      <c r="BUW30" s="700"/>
      <c r="BUX30" s="700"/>
      <c r="BUY30" s="700"/>
      <c r="BUZ30" s="700"/>
      <c r="BVA30" s="700"/>
      <c r="BVB30" s="700"/>
      <c r="BVC30" s="700"/>
      <c r="BVD30" s="700"/>
      <c r="BVE30" s="700"/>
      <c r="BVF30" s="700"/>
      <c r="BVG30" s="700"/>
      <c r="BVH30" s="700"/>
      <c r="BVI30" s="700"/>
      <c r="BVJ30" s="700"/>
      <c r="BVK30" s="700"/>
      <c r="BVL30" s="700"/>
      <c r="BVM30" s="700"/>
      <c r="BVN30" s="700"/>
      <c r="BVO30" s="700"/>
      <c r="BVP30" s="700"/>
      <c r="BVQ30" s="700"/>
      <c r="BVR30" s="700"/>
      <c r="BVS30" s="700"/>
      <c r="BVT30" s="700"/>
      <c r="BVU30" s="700"/>
      <c r="BVV30" s="700"/>
      <c r="BVW30" s="700"/>
      <c r="BVX30" s="700"/>
      <c r="BVY30" s="700"/>
      <c r="BVZ30" s="700"/>
      <c r="BWA30" s="700"/>
      <c r="BWB30" s="700"/>
      <c r="BWC30" s="700"/>
      <c r="BWD30" s="700"/>
      <c r="BWE30" s="700"/>
      <c r="BWF30" s="700"/>
      <c r="BWG30" s="700"/>
      <c r="BWH30" s="700"/>
      <c r="BWI30" s="700"/>
      <c r="BWJ30" s="700"/>
      <c r="BWK30" s="700"/>
      <c r="BWL30" s="700"/>
      <c r="BWM30" s="700"/>
      <c r="BWN30" s="700"/>
      <c r="BWO30" s="700"/>
      <c r="BWP30" s="700"/>
      <c r="BWQ30" s="700"/>
      <c r="BWR30" s="700"/>
      <c r="BWS30" s="700"/>
      <c r="BWT30" s="700"/>
      <c r="BWU30" s="700"/>
      <c r="BWV30" s="700"/>
      <c r="BWW30" s="700"/>
      <c r="BWX30" s="700"/>
      <c r="BWY30" s="700"/>
      <c r="BWZ30" s="700"/>
      <c r="BXA30" s="700"/>
      <c r="BXB30" s="700"/>
      <c r="BXC30" s="700"/>
      <c r="BXD30" s="700"/>
      <c r="BXE30" s="700"/>
      <c r="BXF30" s="700"/>
      <c r="BXG30" s="700"/>
      <c r="BXH30" s="700"/>
      <c r="BXI30" s="700"/>
      <c r="BXJ30" s="700"/>
      <c r="BXK30" s="700"/>
      <c r="BXL30" s="700"/>
      <c r="BXM30" s="700"/>
      <c r="BXN30" s="700"/>
      <c r="BXO30" s="700"/>
      <c r="BXP30" s="700"/>
      <c r="BXQ30" s="700"/>
      <c r="BXR30" s="700"/>
      <c r="BXS30" s="700"/>
      <c r="BXT30" s="700"/>
      <c r="BXU30" s="700"/>
      <c r="BXV30" s="700"/>
      <c r="BXW30" s="700"/>
      <c r="BXX30" s="700"/>
      <c r="BXY30" s="700"/>
      <c r="BXZ30" s="700"/>
    </row>
    <row r="31" spans="1:2002" ht="15">
      <c r="A31" s="717"/>
      <c r="B31" s="706"/>
      <c r="C31" s="721" t="s">
        <v>52</v>
      </c>
      <c r="D31" s="742">
        <v>247000</v>
      </c>
      <c r="E31" s="743">
        <v>370000</v>
      </c>
      <c r="F31" s="742">
        <v>722000</v>
      </c>
      <c r="G31" s="742">
        <v>1504000</v>
      </c>
      <c r="H31" s="742">
        <v>2065000</v>
      </c>
      <c r="I31" s="742"/>
      <c r="J31" s="742"/>
      <c r="K31" s="742"/>
      <c r="L31" s="742"/>
      <c r="M31" s="742"/>
      <c r="N31" s="742"/>
      <c r="O31" s="742"/>
      <c r="P31" s="742"/>
      <c r="Q31" s="742"/>
      <c r="R31" s="742"/>
      <c r="S31" s="712"/>
      <c r="T31" s="700"/>
      <c r="U31" s="700"/>
      <c r="V31" s="700"/>
      <c r="W31" s="700"/>
      <c r="X31" s="700"/>
      <c r="Y31" s="700"/>
      <c r="Z31" s="700"/>
      <c r="AA31" s="700"/>
      <c r="AB31" s="700"/>
      <c r="AC31" s="700"/>
      <c r="AD31" s="700"/>
      <c r="AE31" s="700"/>
      <c r="AF31" s="700"/>
      <c r="AG31" s="700"/>
      <c r="AH31" s="700"/>
      <c r="AI31" s="700"/>
      <c r="AJ31" s="700"/>
      <c r="AK31" s="700"/>
      <c r="AL31" s="700"/>
      <c r="AM31" s="700"/>
      <c r="AN31" s="700"/>
      <c r="AO31" s="700"/>
      <c r="AP31" s="700"/>
      <c r="AQ31" s="700"/>
      <c r="AR31" s="700"/>
      <c r="AS31" s="700"/>
      <c r="AT31" s="700"/>
      <c r="AU31" s="700"/>
      <c r="AV31" s="700"/>
      <c r="AW31" s="700"/>
      <c r="AX31" s="700"/>
      <c r="AY31" s="700"/>
      <c r="AZ31" s="700"/>
      <c r="BA31" s="700"/>
      <c r="BB31" s="700"/>
      <c r="BC31" s="700"/>
      <c r="BD31" s="700"/>
      <c r="BE31" s="700"/>
      <c r="BF31" s="700"/>
      <c r="BG31" s="700"/>
      <c r="BH31" s="700"/>
      <c r="BI31" s="700"/>
      <c r="BJ31" s="700"/>
      <c r="BK31" s="700"/>
      <c r="BL31" s="700"/>
      <c r="BM31" s="700"/>
      <c r="BN31" s="700"/>
      <c r="BO31" s="700"/>
      <c r="BP31" s="700"/>
      <c r="BQ31" s="700"/>
      <c r="BR31" s="700"/>
      <c r="BS31" s="700"/>
      <c r="BT31" s="700"/>
      <c r="BU31" s="700"/>
      <c r="BV31" s="700"/>
      <c r="BW31" s="700"/>
      <c r="BX31" s="700"/>
      <c r="BY31" s="700"/>
      <c r="BZ31" s="700"/>
      <c r="CA31" s="700"/>
      <c r="CB31" s="700"/>
      <c r="CC31" s="700"/>
      <c r="CD31" s="700"/>
      <c r="CE31" s="700"/>
      <c r="CF31" s="700"/>
      <c r="CG31" s="700"/>
      <c r="CH31" s="700"/>
      <c r="CI31" s="700"/>
      <c r="CJ31" s="700"/>
      <c r="CK31" s="700"/>
      <c r="CL31" s="700"/>
      <c r="CM31" s="700"/>
      <c r="CN31" s="700"/>
      <c r="CO31" s="700"/>
      <c r="CP31" s="700"/>
      <c r="CQ31" s="700"/>
      <c r="CR31" s="700"/>
      <c r="CS31" s="700"/>
      <c r="CT31" s="700"/>
      <c r="CU31" s="700"/>
      <c r="CV31" s="700"/>
      <c r="CW31" s="700"/>
      <c r="CX31" s="700"/>
      <c r="CY31" s="700"/>
      <c r="CZ31" s="700"/>
      <c r="DA31" s="700"/>
      <c r="DB31" s="700"/>
      <c r="DC31" s="700"/>
      <c r="DD31" s="700"/>
      <c r="DE31" s="700"/>
      <c r="DF31" s="700"/>
      <c r="DG31" s="700"/>
      <c r="DH31" s="700"/>
      <c r="DI31" s="700"/>
      <c r="DJ31" s="700"/>
      <c r="DK31" s="700"/>
      <c r="DL31" s="700"/>
      <c r="DM31" s="700"/>
      <c r="DN31" s="700"/>
      <c r="DO31" s="700"/>
      <c r="DP31" s="700"/>
      <c r="DQ31" s="700"/>
      <c r="DR31" s="700"/>
      <c r="DS31" s="700"/>
      <c r="DT31" s="700"/>
      <c r="DU31" s="700"/>
      <c r="DV31" s="700"/>
      <c r="DW31" s="700"/>
      <c r="DX31" s="700"/>
      <c r="DY31" s="700"/>
      <c r="DZ31" s="700"/>
      <c r="EA31" s="700"/>
      <c r="EB31" s="700"/>
      <c r="EC31" s="700"/>
      <c r="ED31" s="700"/>
      <c r="EE31" s="700"/>
      <c r="EF31" s="700"/>
      <c r="EG31" s="700"/>
      <c r="EH31" s="700"/>
      <c r="EI31" s="700"/>
      <c r="EJ31" s="700"/>
      <c r="EK31" s="700"/>
      <c r="EL31" s="700"/>
      <c r="EM31" s="700"/>
      <c r="EN31" s="700"/>
      <c r="EO31" s="700"/>
      <c r="EP31" s="700"/>
      <c r="EQ31" s="700"/>
      <c r="ER31" s="700"/>
      <c r="ES31" s="700"/>
      <c r="ET31" s="700"/>
      <c r="EU31" s="700"/>
      <c r="EV31" s="700"/>
      <c r="EW31" s="700"/>
      <c r="EX31" s="700"/>
      <c r="EY31" s="700"/>
      <c r="EZ31" s="700"/>
      <c r="FA31" s="700"/>
      <c r="FB31" s="700"/>
      <c r="FC31" s="700"/>
      <c r="FD31" s="700"/>
      <c r="FE31" s="700"/>
      <c r="FF31" s="700"/>
      <c r="FG31" s="700"/>
      <c r="FH31" s="700"/>
      <c r="FI31" s="700"/>
      <c r="FJ31" s="700"/>
      <c r="FK31" s="700"/>
      <c r="FL31" s="700"/>
      <c r="FM31" s="700"/>
      <c r="FN31" s="700"/>
      <c r="FO31" s="700"/>
      <c r="FP31" s="700"/>
      <c r="FQ31" s="700"/>
      <c r="FR31" s="700"/>
      <c r="FS31" s="700"/>
      <c r="FT31" s="700"/>
      <c r="FU31" s="700"/>
      <c r="FV31" s="700"/>
      <c r="FW31" s="700"/>
      <c r="FX31" s="700"/>
      <c r="FY31" s="700"/>
      <c r="FZ31" s="700"/>
      <c r="GA31" s="700"/>
      <c r="GB31" s="700"/>
      <c r="GC31" s="700"/>
      <c r="GD31" s="700"/>
      <c r="GE31" s="700"/>
      <c r="GF31" s="700"/>
      <c r="GG31" s="700"/>
      <c r="GH31" s="700"/>
      <c r="GI31" s="700"/>
      <c r="GJ31" s="700"/>
      <c r="GK31" s="700"/>
      <c r="GL31" s="700"/>
      <c r="GM31" s="700"/>
      <c r="GN31" s="700"/>
      <c r="GO31" s="700"/>
      <c r="GP31" s="700"/>
      <c r="GQ31" s="700"/>
      <c r="GR31" s="700"/>
      <c r="GS31" s="700"/>
      <c r="GT31" s="700"/>
      <c r="GU31" s="700"/>
      <c r="GV31" s="700"/>
      <c r="GW31" s="700"/>
      <c r="GX31" s="700"/>
      <c r="GY31" s="700"/>
      <c r="GZ31" s="700"/>
      <c r="HA31" s="700"/>
      <c r="HB31" s="700"/>
      <c r="HC31" s="700"/>
      <c r="HD31" s="700"/>
      <c r="HE31" s="700"/>
      <c r="HF31" s="700"/>
      <c r="HG31" s="700"/>
      <c r="HH31" s="700"/>
      <c r="HI31" s="700"/>
      <c r="HJ31" s="700"/>
      <c r="HK31" s="700"/>
      <c r="HL31" s="700"/>
      <c r="HM31" s="700"/>
      <c r="HN31" s="700"/>
      <c r="HO31" s="700"/>
      <c r="HP31" s="700"/>
      <c r="HQ31" s="700"/>
      <c r="HR31" s="700"/>
      <c r="HS31" s="700"/>
      <c r="HT31" s="700"/>
      <c r="HU31" s="700"/>
      <c r="HV31" s="700"/>
      <c r="HW31" s="700"/>
      <c r="HX31" s="700"/>
      <c r="HY31" s="700"/>
      <c r="HZ31" s="700"/>
      <c r="IA31" s="700"/>
      <c r="IB31" s="700"/>
      <c r="IC31" s="700"/>
      <c r="ID31" s="700"/>
      <c r="IE31" s="700"/>
      <c r="IF31" s="700"/>
      <c r="IG31" s="700"/>
      <c r="IH31" s="700"/>
      <c r="II31" s="700"/>
      <c r="IJ31" s="700"/>
      <c r="IK31" s="700"/>
      <c r="IL31" s="700"/>
      <c r="IM31" s="700"/>
      <c r="IN31" s="700"/>
      <c r="IO31" s="700"/>
      <c r="IP31" s="700"/>
      <c r="IQ31" s="700"/>
      <c r="IR31" s="700"/>
      <c r="IS31" s="700"/>
      <c r="IT31" s="700"/>
      <c r="IU31" s="700"/>
      <c r="IV31" s="700"/>
      <c r="IW31" s="700"/>
      <c r="IX31" s="700"/>
      <c r="IY31" s="700"/>
      <c r="IZ31" s="700"/>
      <c r="JA31" s="700"/>
      <c r="JB31" s="700"/>
      <c r="JC31" s="700"/>
      <c r="JD31" s="700"/>
      <c r="JE31" s="700"/>
      <c r="JF31" s="700"/>
      <c r="JG31" s="700"/>
      <c r="JH31" s="700"/>
      <c r="JI31" s="700"/>
      <c r="JJ31" s="700"/>
      <c r="JK31" s="700"/>
      <c r="JL31" s="700"/>
      <c r="JM31" s="700"/>
      <c r="JN31" s="700"/>
      <c r="JO31" s="700"/>
      <c r="JP31" s="700"/>
      <c r="JQ31" s="700"/>
      <c r="JR31" s="700"/>
      <c r="JS31" s="700"/>
      <c r="JT31" s="700"/>
      <c r="JU31" s="700"/>
      <c r="JV31" s="700"/>
      <c r="JW31" s="700"/>
      <c r="JX31" s="700"/>
      <c r="JY31" s="700"/>
      <c r="JZ31" s="700"/>
      <c r="KA31" s="700"/>
      <c r="KB31" s="700"/>
      <c r="KC31" s="700"/>
      <c r="KD31" s="700"/>
      <c r="KE31" s="700"/>
      <c r="KF31" s="700"/>
      <c r="KG31" s="700"/>
      <c r="KH31" s="700"/>
      <c r="KI31" s="700"/>
      <c r="KJ31" s="700"/>
      <c r="KK31" s="700"/>
      <c r="KL31" s="700"/>
      <c r="KM31" s="700"/>
      <c r="KN31" s="700"/>
      <c r="KO31" s="700"/>
      <c r="KP31" s="700"/>
      <c r="KQ31" s="700"/>
      <c r="KR31" s="700"/>
      <c r="KS31" s="700"/>
      <c r="KT31" s="700"/>
      <c r="KU31" s="700"/>
      <c r="KV31" s="700"/>
      <c r="KW31" s="700"/>
      <c r="KX31" s="700"/>
      <c r="KY31" s="700"/>
      <c r="KZ31" s="700"/>
      <c r="LA31" s="700"/>
      <c r="LB31" s="700"/>
      <c r="LC31" s="700"/>
      <c r="LD31" s="700"/>
      <c r="LE31" s="700"/>
      <c r="LF31" s="700"/>
      <c r="LG31" s="700"/>
      <c r="LH31" s="700"/>
      <c r="LI31" s="700"/>
      <c r="LJ31" s="700"/>
      <c r="LK31" s="700"/>
      <c r="LL31" s="700"/>
      <c r="LM31" s="700"/>
      <c r="LN31" s="700"/>
      <c r="LO31" s="700"/>
      <c r="LP31" s="700"/>
      <c r="LQ31" s="700"/>
      <c r="LR31" s="700"/>
      <c r="LS31" s="700"/>
      <c r="LT31" s="700"/>
      <c r="LU31" s="700"/>
      <c r="LV31" s="700"/>
      <c r="LW31" s="700"/>
      <c r="LX31" s="700"/>
      <c r="LY31" s="700"/>
      <c r="LZ31" s="700"/>
      <c r="MA31" s="700"/>
      <c r="MB31" s="700"/>
      <c r="MC31" s="700"/>
      <c r="MD31" s="700"/>
      <c r="ME31" s="700"/>
      <c r="MF31" s="700"/>
      <c r="MG31" s="700"/>
      <c r="MH31" s="700"/>
      <c r="MI31" s="700"/>
      <c r="MJ31" s="700"/>
      <c r="MK31" s="700"/>
      <c r="ML31" s="700"/>
      <c r="MM31" s="700"/>
      <c r="MN31" s="700"/>
      <c r="MO31" s="700"/>
      <c r="MP31" s="700"/>
      <c r="MQ31" s="700"/>
      <c r="MR31" s="700"/>
      <c r="MS31" s="700"/>
      <c r="MT31" s="700"/>
      <c r="MU31" s="700"/>
      <c r="MV31" s="700"/>
      <c r="MW31" s="700"/>
      <c r="MX31" s="700"/>
      <c r="MY31" s="700"/>
      <c r="MZ31" s="700"/>
      <c r="NA31" s="700"/>
      <c r="NB31" s="700"/>
      <c r="NC31" s="700"/>
      <c r="ND31" s="700"/>
      <c r="NE31" s="700"/>
      <c r="NF31" s="700"/>
      <c r="NG31" s="700"/>
      <c r="NH31" s="700"/>
      <c r="NI31" s="700"/>
      <c r="NJ31" s="700"/>
      <c r="NK31" s="700"/>
      <c r="NL31" s="700"/>
      <c r="NM31" s="700"/>
      <c r="NN31" s="700"/>
      <c r="NO31" s="700"/>
      <c r="NP31" s="700"/>
      <c r="NQ31" s="700"/>
      <c r="NR31" s="700"/>
      <c r="NS31" s="700"/>
      <c r="NT31" s="700"/>
      <c r="NU31" s="700"/>
      <c r="NV31" s="700"/>
      <c r="NW31" s="700"/>
      <c r="NX31" s="700"/>
      <c r="NY31" s="700"/>
      <c r="NZ31" s="700"/>
      <c r="OA31" s="700"/>
      <c r="OB31" s="700"/>
      <c r="OC31" s="700"/>
      <c r="OD31" s="700"/>
      <c r="OE31" s="700"/>
      <c r="OF31" s="700"/>
      <c r="OG31" s="700"/>
      <c r="OH31" s="700"/>
      <c r="OI31" s="700"/>
      <c r="OJ31" s="700"/>
      <c r="OK31" s="700"/>
      <c r="OL31" s="700"/>
      <c r="OM31" s="700"/>
      <c r="ON31" s="700"/>
      <c r="OO31" s="700"/>
      <c r="OP31" s="700"/>
      <c r="OQ31" s="700"/>
      <c r="OR31" s="700"/>
      <c r="OS31" s="700"/>
      <c r="OT31" s="700"/>
      <c r="OU31" s="700"/>
      <c r="OV31" s="700"/>
      <c r="OW31" s="700"/>
      <c r="OX31" s="700"/>
      <c r="OY31" s="700"/>
      <c r="OZ31" s="700"/>
      <c r="PA31" s="700"/>
      <c r="PB31" s="700"/>
      <c r="PC31" s="700"/>
      <c r="PD31" s="700"/>
      <c r="PE31" s="700"/>
      <c r="PF31" s="700"/>
      <c r="PG31" s="700"/>
      <c r="PH31" s="700"/>
      <c r="PI31" s="700"/>
      <c r="PJ31" s="700"/>
      <c r="PK31" s="700"/>
      <c r="PL31" s="700"/>
      <c r="PM31" s="700"/>
      <c r="PN31" s="700"/>
      <c r="PO31" s="700"/>
      <c r="PP31" s="700"/>
      <c r="PQ31" s="700"/>
      <c r="PR31" s="700"/>
      <c r="PS31" s="700"/>
      <c r="PT31" s="700"/>
      <c r="PU31" s="700"/>
      <c r="PV31" s="700"/>
      <c r="PW31" s="700"/>
      <c r="PX31" s="700"/>
      <c r="PY31" s="700"/>
      <c r="PZ31" s="700"/>
      <c r="QA31" s="700"/>
      <c r="QB31" s="700"/>
      <c r="QC31" s="700"/>
      <c r="QD31" s="700"/>
      <c r="QE31" s="700"/>
      <c r="QF31" s="700"/>
      <c r="QG31" s="700"/>
      <c r="QH31" s="700"/>
      <c r="QI31" s="700"/>
      <c r="QJ31" s="700"/>
      <c r="QK31" s="700"/>
      <c r="QL31" s="700"/>
      <c r="QM31" s="700"/>
      <c r="QN31" s="700"/>
      <c r="QO31" s="700"/>
      <c r="QP31" s="700"/>
      <c r="QQ31" s="700"/>
      <c r="QR31" s="700"/>
      <c r="QS31" s="700"/>
      <c r="QT31" s="700"/>
      <c r="QU31" s="700"/>
      <c r="QV31" s="700"/>
      <c r="QW31" s="700"/>
      <c r="QX31" s="700"/>
      <c r="QY31" s="700"/>
      <c r="QZ31" s="700"/>
      <c r="RA31" s="700"/>
      <c r="RB31" s="700"/>
      <c r="RC31" s="700"/>
      <c r="RD31" s="700"/>
      <c r="RE31" s="700"/>
      <c r="RF31" s="700"/>
      <c r="RG31" s="700"/>
      <c r="RH31" s="700"/>
      <c r="RI31" s="700"/>
      <c r="RJ31" s="700"/>
      <c r="RK31" s="700"/>
      <c r="RL31" s="700"/>
      <c r="RM31" s="700"/>
      <c r="RN31" s="700"/>
      <c r="RO31" s="700"/>
      <c r="RP31" s="700"/>
      <c r="RQ31" s="700"/>
      <c r="RR31" s="700"/>
      <c r="RS31" s="700"/>
      <c r="RT31" s="700"/>
      <c r="RU31" s="700"/>
      <c r="RV31" s="700"/>
      <c r="RW31" s="700"/>
      <c r="RX31" s="700"/>
      <c r="RY31" s="700"/>
      <c r="RZ31" s="700"/>
      <c r="SA31" s="700"/>
      <c r="SB31" s="700"/>
      <c r="SC31" s="700"/>
      <c r="SD31" s="700"/>
      <c r="SE31" s="700"/>
      <c r="SF31" s="700"/>
      <c r="SG31" s="700"/>
      <c r="SH31" s="700"/>
      <c r="SI31" s="700"/>
      <c r="SJ31" s="700"/>
      <c r="SK31" s="700"/>
      <c r="SL31" s="700"/>
      <c r="SM31" s="700"/>
      <c r="SN31" s="700"/>
      <c r="SO31" s="700"/>
      <c r="SP31" s="700"/>
      <c r="SQ31" s="700"/>
      <c r="SR31" s="700"/>
      <c r="SS31" s="700"/>
      <c r="ST31" s="700"/>
      <c r="SU31" s="700"/>
      <c r="SV31" s="700"/>
      <c r="SW31" s="700"/>
      <c r="SX31" s="700"/>
      <c r="SY31" s="700"/>
      <c r="SZ31" s="700"/>
      <c r="TA31" s="700"/>
      <c r="TB31" s="700"/>
      <c r="TC31" s="700"/>
      <c r="TD31" s="700"/>
      <c r="TE31" s="700"/>
      <c r="TF31" s="700"/>
      <c r="TG31" s="700"/>
      <c r="TH31" s="700"/>
      <c r="TI31" s="700"/>
      <c r="TJ31" s="700"/>
      <c r="TK31" s="700"/>
      <c r="TL31" s="700"/>
      <c r="TM31" s="700"/>
      <c r="TN31" s="700"/>
      <c r="TO31" s="700"/>
      <c r="TP31" s="700"/>
      <c r="TQ31" s="700"/>
      <c r="TR31" s="700"/>
      <c r="TS31" s="700"/>
      <c r="TT31" s="700"/>
      <c r="TU31" s="700"/>
      <c r="TV31" s="700"/>
      <c r="TW31" s="700"/>
      <c r="TX31" s="700"/>
      <c r="TY31" s="700"/>
      <c r="TZ31" s="700"/>
      <c r="UA31" s="700"/>
      <c r="UB31" s="700"/>
      <c r="UC31" s="700"/>
      <c r="UD31" s="700"/>
      <c r="UE31" s="700"/>
      <c r="UF31" s="700"/>
      <c r="UG31" s="700"/>
      <c r="UH31" s="700"/>
      <c r="UI31" s="700"/>
      <c r="UJ31" s="700"/>
      <c r="UK31" s="700"/>
      <c r="UL31" s="700"/>
      <c r="UM31" s="700"/>
      <c r="UN31" s="700"/>
      <c r="UO31" s="700"/>
      <c r="UP31" s="700"/>
      <c r="UQ31" s="700"/>
      <c r="UR31" s="700"/>
      <c r="US31" s="700"/>
      <c r="UT31" s="700"/>
      <c r="UU31" s="700"/>
      <c r="UV31" s="700"/>
      <c r="UW31" s="700"/>
      <c r="UX31" s="700"/>
      <c r="UY31" s="700"/>
      <c r="UZ31" s="700"/>
      <c r="VA31" s="700"/>
      <c r="VB31" s="700"/>
      <c r="VC31" s="700"/>
      <c r="VD31" s="700"/>
      <c r="VE31" s="700"/>
      <c r="VF31" s="700"/>
      <c r="VG31" s="700"/>
      <c r="VH31" s="700"/>
      <c r="VI31" s="700"/>
      <c r="VJ31" s="700"/>
      <c r="VK31" s="700"/>
      <c r="VL31" s="700"/>
      <c r="VM31" s="700"/>
      <c r="VN31" s="700"/>
      <c r="VO31" s="700"/>
      <c r="VP31" s="700"/>
      <c r="VQ31" s="700"/>
      <c r="VR31" s="700"/>
      <c r="VS31" s="700"/>
      <c r="VT31" s="700"/>
      <c r="VU31" s="700"/>
      <c r="VV31" s="700"/>
      <c r="VW31" s="700"/>
      <c r="VX31" s="700"/>
      <c r="VY31" s="700"/>
      <c r="VZ31" s="700"/>
      <c r="WA31" s="700"/>
      <c r="WB31" s="700"/>
      <c r="WC31" s="700"/>
      <c r="WD31" s="700"/>
      <c r="WE31" s="700"/>
      <c r="WF31" s="700"/>
      <c r="WG31" s="700"/>
      <c r="WH31" s="700"/>
      <c r="WI31" s="700"/>
      <c r="WJ31" s="700"/>
      <c r="WK31" s="700"/>
      <c r="WL31" s="700"/>
      <c r="WM31" s="700"/>
      <c r="WN31" s="700"/>
      <c r="WO31" s="700"/>
      <c r="WP31" s="700"/>
      <c r="WQ31" s="700"/>
      <c r="WR31" s="700"/>
      <c r="WS31" s="700"/>
      <c r="WT31" s="700"/>
      <c r="WU31" s="700"/>
      <c r="WV31" s="700"/>
      <c r="WW31" s="700"/>
      <c r="WX31" s="700"/>
      <c r="WY31" s="700"/>
      <c r="WZ31" s="700"/>
      <c r="XA31" s="700"/>
      <c r="XB31" s="700"/>
      <c r="XC31" s="700"/>
      <c r="XD31" s="700"/>
      <c r="XE31" s="700"/>
      <c r="XF31" s="700"/>
      <c r="XG31" s="700"/>
      <c r="XH31" s="700"/>
      <c r="XI31" s="700"/>
      <c r="XJ31" s="700"/>
      <c r="XK31" s="700"/>
      <c r="XL31" s="700"/>
      <c r="XM31" s="700"/>
      <c r="XN31" s="700"/>
      <c r="XO31" s="700"/>
      <c r="XP31" s="700"/>
      <c r="XQ31" s="700"/>
      <c r="XR31" s="700"/>
      <c r="XS31" s="700"/>
      <c r="XT31" s="700"/>
      <c r="XU31" s="700"/>
      <c r="XV31" s="700"/>
      <c r="XW31" s="700"/>
      <c r="XX31" s="700"/>
      <c r="XY31" s="700"/>
      <c r="XZ31" s="700"/>
      <c r="YA31" s="700"/>
      <c r="YB31" s="700"/>
      <c r="YC31" s="700"/>
      <c r="YD31" s="700"/>
      <c r="YE31" s="700"/>
      <c r="YF31" s="700"/>
      <c r="YG31" s="700"/>
      <c r="YH31" s="700"/>
      <c r="YI31" s="700"/>
      <c r="YJ31" s="700"/>
      <c r="YK31" s="700"/>
      <c r="YL31" s="700"/>
      <c r="YM31" s="700"/>
      <c r="YN31" s="700"/>
      <c r="YO31" s="700"/>
      <c r="YP31" s="700"/>
      <c r="YQ31" s="700"/>
      <c r="YR31" s="700"/>
      <c r="YS31" s="700"/>
      <c r="YT31" s="700"/>
      <c r="YU31" s="700"/>
      <c r="YV31" s="700"/>
      <c r="YW31" s="700"/>
      <c r="YX31" s="700"/>
      <c r="YY31" s="700"/>
      <c r="YZ31" s="700"/>
      <c r="ZA31" s="700"/>
      <c r="ZB31" s="700"/>
      <c r="ZC31" s="700"/>
      <c r="ZD31" s="700"/>
      <c r="ZE31" s="700"/>
      <c r="ZF31" s="700"/>
      <c r="ZG31" s="700"/>
      <c r="ZH31" s="700"/>
      <c r="ZI31" s="700"/>
      <c r="ZJ31" s="700"/>
      <c r="ZK31" s="700"/>
      <c r="ZL31" s="700"/>
      <c r="ZM31" s="700"/>
      <c r="ZN31" s="700"/>
      <c r="ZO31" s="700"/>
      <c r="ZP31" s="700"/>
      <c r="ZQ31" s="700"/>
      <c r="ZR31" s="700"/>
      <c r="ZS31" s="700"/>
      <c r="ZT31" s="700"/>
      <c r="ZU31" s="700"/>
      <c r="ZV31" s="700"/>
      <c r="ZW31" s="700"/>
      <c r="ZX31" s="700"/>
      <c r="ZY31" s="700"/>
      <c r="ZZ31" s="700"/>
      <c r="AAA31" s="700"/>
      <c r="AAB31" s="700"/>
      <c r="AAC31" s="700"/>
      <c r="AAD31" s="700"/>
      <c r="AAE31" s="700"/>
      <c r="AAF31" s="700"/>
      <c r="AAG31" s="700"/>
      <c r="AAH31" s="700"/>
      <c r="AAI31" s="700"/>
      <c r="AAJ31" s="700"/>
      <c r="AAK31" s="700"/>
      <c r="AAL31" s="700"/>
      <c r="AAM31" s="700"/>
      <c r="AAN31" s="700"/>
      <c r="AAO31" s="700"/>
      <c r="AAP31" s="700"/>
      <c r="AAQ31" s="700"/>
      <c r="AAR31" s="700"/>
      <c r="AAS31" s="700"/>
      <c r="AAT31" s="700"/>
      <c r="AAU31" s="700"/>
      <c r="AAV31" s="700"/>
      <c r="AAW31" s="700"/>
      <c r="AAX31" s="700"/>
      <c r="AAY31" s="700"/>
      <c r="AAZ31" s="700"/>
      <c r="ABA31" s="700"/>
      <c r="ABB31" s="700"/>
      <c r="ABC31" s="700"/>
      <c r="ABD31" s="700"/>
      <c r="ABE31" s="700"/>
      <c r="ABF31" s="700"/>
      <c r="ABG31" s="700"/>
      <c r="ABH31" s="700"/>
      <c r="ABI31" s="700"/>
      <c r="ABJ31" s="700"/>
      <c r="ABK31" s="700"/>
      <c r="ABL31" s="700"/>
      <c r="ABM31" s="700"/>
      <c r="ABN31" s="700"/>
      <c r="ABO31" s="700"/>
      <c r="ABP31" s="700"/>
      <c r="ABQ31" s="700"/>
      <c r="ABR31" s="700"/>
      <c r="ABS31" s="700"/>
      <c r="ABT31" s="700"/>
      <c r="ABU31" s="700"/>
      <c r="ABV31" s="700"/>
      <c r="ABW31" s="700"/>
      <c r="ABX31" s="700"/>
      <c r="ABY31" s="700"/>
      <c r="ABZ31" s="700"/>
      <c r="ACA31" s="700"/>
      <c r="ACB31" s="700"/>
      <c r="ACC31" s="700"/>
      <c r="ACD31" s="700"/>
      <c r="ACE31" s="700"/>
      <c r="ACF31" s="700"/>
      <c r="ACG31" s="700"/>
      <c r="ACH31" s="700"/>
      <c r="ACI31" s="700"/>
      <c r="ACJ31" s="700"/>
      <c r="ACK31" s="700"/>
      <c r="ACL31" s="700"/>
      <c r="ACM31" s="700"/>
      <c r="ACN31" s="700"/>
      <c r="ACO31" s="700"/>
      <c r="ACP31" s="700"/>
      <c r="ACQ31" s="700"/>
      <c r="ACR31" s="700"/>
      <c r="ACS31" s="700"/>
      <c r="ACT31" s="700"/>
      <c r="ACU31" s="700"/>
      <c r="ACV31" s="700"/>
      <c r="ACW31" s="700"/>
      <c r="ACX31" s="700"/>
      <c r="ACY31" s="700"/>
      <c r="ACZ31" s="700"/>
      <c r="ADA31" s="700"/>
      <c r="ADB31" s="700"/>
      <c r="ADC31" s="700"/>
      <c r="ADD31" s="700"/>
      <c r="ADE31" s="700"/>
      <c r="ADF31" s="700"/>
      <c r="ADG31" s="700"/>
      <c r="ADH31" s="700"/>
      <c r="ADI31" s="700"/>
      <c r="ADJ31" s="700"/>
      <c r="ADK31" s="700"/>
      <c r="ADL31" s="700"/>
      <c r="ADM31" s="700"/>
      <c r="ADN31" s="700"/>
      <c r="ADO31" s="700"/>
      <c r="ADP31" s="700"/>
      <c r="ADQ31" s="700"/>
      <c r="ADR31" s="700"/>
      <c r="ADS31" s="700"/>
      <c r="ADT31" s="700"/>
      <c r="ADU31" s="700"/>
      <c r="ADV31" s="700"/>
      <c r="ADW31" s="700"/>
      <c r="ADX31" s="700"/>
      <c r="ADY31" s="700"/>
      <c r="ADZ31" s="700"/>
      <c r="AEA31" s="700"/>
      <c r="AEB31" s="700"/>
      <c r="AEC31" s="700"/>
      <c r="AED31" s="700"/>
      <c r="AEE31" s="700"/>
      <c r="AEF31" s="700"/>
      <c r="AEG31" s="700"/>
      <c r="AEH31" s="700"/>
      <c r="AEI31" s="700"/>
      <c r="AEJ31" s="700"/>
      <c r="AEK31" s="700"/>
      <c r="AEL31" s="700"/>
      <c r="AEM31" s="700"/>
      <c r="AEN31" s="700"/>
      <c r="AEO31" s="700"/>
      <c r="AEP31" s="700"/>
      <c r="AEQ31" s="700"/>
      <c r="AER31" s="700"/>
      <c r="AES31" s="700"/>
      <c r="AET31" s="700"/>
      <c r="AEU31" s="700"/>
      <c r="AEV31" s="700"/>
      <c r="AEW31" s="700"/>
      <c r="AEX31" s="700"/>
      <c r="AEY31" s="700"/>
      <c r="AEZ31" s="700"/>
      <c r="AFA31" s="700"/>
      <c r="AFB31" s="700"/>
      <c r="AFC31" s="700"/>
      <c r="AFD31" s="700"/>
      <c r="AFE31" s="700"/>
      <c r="AFF31" s="700"/>
      <c r="AFG31" s="700"/>
      <c r="AFH31" s="700"/>
      <c r="AFI31" s="700"/>
      <c r="AFJ31" s="700"/>
      <c r="AFK31" s="700"/>
      <c r="AFL31" s="700"/>
      <c r="AFM31" s="700"/>
      <c r="AFN31" s="700"/>
      <c r="AFO31" s="700"/>
      <c r="AFP31" s="700"/>
      <c r="AFQ31" s="700"/>
      <c r="AFR31" s="700"/>
      <c r="AFS31" s="700"/>
      <c r="AFT31" s="700"/>
      <c r="AFU31" s="700"/>
      <c r="AFV31" s="700"/>
      <c r="AFW31" s="700"/>
      <c r="AFX31" s="700"/>
      <c r="AFY31" s="700"/>
      <c r="AFZ31" s="700"/>
      <c r="AGA31" s="700"/>
      <c r="AGB31" s="700"/>
      <c r="AGC31" s="700"/>
      <c r="AGD31" s="700"/>
      <c r="AGE31" s="700"/>
      <c r="AGF31" s="700"/>
      <c r="AGG31" s="700"/>
      <c r="AGH31" s="700"/>
      <c r="AGI31" s="700"/>
      <c r="AGJ31" s="700"/>
      <c r="AGK31" s="700"/>
      <c r="AGL31" s="700"/>
      <c r="AGM31" s="700"/>
      <c r="AGN31" s="700"/>
      <c r="AGO31" s="700"/>
      <c r="AGP31" s="700"/>
      <c r="AGQ31" s="700"/>
      <c r="AGR31" s="700"/>
      <c r="AGS31" s="700"/>
      <c r="AGT31" s="700"/>
      <c r="AGU31" s="700"/>
      <c r="AGV31" s="700"/>
      <c r="AGW31" s="700"/>
      <c r="AGX31" s="700"/>
      <c r="AGY31" s="700"/>
      <c r="AGZ31" s="700"/>
      <c r="AHA31" s="700"/>
      <c r="AHB31" s="700"/>
      <c r="AHC31" s="700"/>
      <c r="AHD31" s="700"/>
      <c r="AHE31" s="700"/>
      <c r="AHF31" s="700"/>
      <c r="AHG31" s="700"/>
      <c r="AHH31" s="700"/>
      <c r="AHI31" s="700"/>
      <c r="AHJ31" s="700"/>
      <c r="AHK31" s="700"/>
      <c r="AHL31" s="700"/>
      <c r="AHM31" s="700"/>
      <c r="AHN31" s="700"/>
      <c r="AHO31" s="700"/>
      <c r="AHP31" s="700"/>
      <c r="AHQ31" s="700"/>
      <c r="AHR31" s="700"/>
      <c r="AHS31" s="700"/>
      <c r="AHT31" s="700"/>
      <c r="AHU31" s="700"/>
      <c r="AHV31" s="700"/>
      <c r="AHW31" s="700"/>
      <c r="AHX31" s="700"/>
      <c r="AHY31" s="700"/>
      <c r="AHZ31" s="700"/>
      <c r="AIA31" s="700"/>
      <c r="AIB31" s="700"/>
      <c r="AIC31" s="700"/>
      <c r="AID31" s="700"/>
      <c r="AIE31" s="700"/>
      <c r="AIF31" s="700"/>
      <c r="AIG31" s="700"/>
      <c r="AIH31" s="700"/>
      <c r="AII31" s="700"/>
      <c r="AIJ31" s="700"/>
      <c r="AIK31" s="700"/>
      <c r="AIL31" s="700"/>
      <c r="AIM31" s="700"/>
      <c r="AIN31" s="700"/>
      <c r="AIO31" s="700"/>
      <c r="AIP31" s="700"/>
      <c r="AIQ31" s="700"/>
      <c r="AIR31" s="700"/>
      <c r="AIS31" s="700"/>
      <c r="AIT31" s="700"/>
      <c r="AIU31" s="700"/>
      <c r="AIV31" s="700"/>
      <c r="AIW31" s="700"/>
      <c r="AIX31" s="700"/>
      <c r="AIY31" s="700"/>
      <c r="AIZ31" s="700"/>
      <c r="AJA31" s="700"/>
      <c r="AJB31" s="700"/>
      <c r="AJC31" s="700"/>
      <c r="AJD31" s="700"/>
      <c r="AJE31" s="700"/>
      <c r="AJF31" s="700"/>
      <c r="AJG31" s="700"/>
      <c r="AJH31" s="700"/>
      <c r="AJI31" s="700"/>
      <c r="AJJ31" s="700"/>
      <c r="AJK31" s="700"/>
      <c r="AJL31" s="700"/>
      <c r="AJM31" s="700"/>
      <c r="AJN31" s="700"/>
      <c r="AJO31" s="700"/>
      <c r="AJP31" s="700"/>
      <c r="AJQ31" s="700"/>
      <c r="AJR31" s="700"/>
      <c r="AJS31" s="700"/>
      <c r="AJT31" s="700"/>
      <c r="AJU31" s="700"/>
      <c r="AJV31" s="700"/>
      <c r="AJW31" s="700"/>
      <c r="AJX31" s="700"/>
      <c r="AJY31" s="700"/>
      <c r="AJZ31" s="700"/>
      <c r="AKA31" s="700"/>
      <c r="AKB31" s="700"/>
      <c r="AKC31" s="700"/>
      <c r="AKD31" s="700"/>
      <c r="AKE31" s="700"/>
      <c r="AKF31" s="700"/>
      <c r="AKG31" s="700"/>
      <c r="AKH31" s="700"/>
      <c r="AKI31" s="700"/>
      <c r="AKJ31" s="700"/>
      <c r="AKK31" s="700"/>
      <c r="AKL31" s="700"/>
      <c r="AKM31" s="700"/>
      <c r="AKN31" s="700"/>
      <c r="AKO31" s="700"/>
      <c r="AKP31" s="700"/>
      <c r="AKQ31" s="700"/>
      <c r="AKR31" s="700"/>
      <c r="AKS31" s="700"/>
      <c r="AKT31" s="700"/>
      <c r="AKU31" s="700"/>
      <c r="AKV31" s="700"/>
      <c r="AKW31" s="700"/>
      <c r="AKX31" s="700"/>
      <c r="AKY31" s="700"/>
      <c r="AKZ31" s="700"/>
      <c r="ALA31" s="700"/>
      <c r="ALB31" s="700"/>
      <c r="ALC31" s="700"/>
      <c r="ALD31" s="700"/>
      <c r="ALE31" s="700"/>
      <c r="ALF31" s="700"/>
      <c r="ALG31" s="700"/>
      <c r="ALH31" s="700"/>
      <c r="ALI31" s="700"/>
      <c r="ALJ31" s="700"/>
      <c r="ALK31" s="700"/>
      <c r="ALL31" s="700"/>
      <c r="ALM31" s="700"/>
      <c r="ALN31" s="700"/>
      <c r="ALO31" s="700"/>
      <c r="ALP31" s="700"/>
      <c r="ALQ31" s="700"/>
      <c r="ALR31" s="700"/>
      <c r="ALS31" s="700"/>
      <c r="ALT31" s="700"/>
      <c r="ALU31" s="700"/>
      <c r="ALV31" s="700"/>
      <c r="ALW31" s="700"/>
      <c r="ALX31" s="700"/>
      <c r="ALY31" s="700"/>
      <c r="ALZ31" s="700"/>
      <c r="AMA31" s="700"/>
      <c r="AMB31" s="700"/>
      <c r="AMC31" s="700"/>
      <c r="AMD31" s="700"/>
      <c r="AME31" s="700"/>
      <c r="AMF31" s="700"/>
      <c r="AMG31" s="700"/>
      <c r="AMH31" s="700"/>
      <c r="AMI31" s="700"/>
      <c r="AMJ31" s="700"/>
      <c r="AMK31" s="700"/>
      <c r="AML31" s="700"/>
      <c r="AMM31" s="700"/>
      <c r="AMN31" s="700"/>
      <c r="AMO31" s="700"/>
      <c r="AMP31" s="700"/>
      <c r="AMQ31" s="700"/>
      <c r="AMR31" s="700"/>
      <c r="AMS31" s="700"/>
      <c r="AMT31" s="700"/>
      <c r="AMU31" s="700"/>
      <c r="AMV31" s="700"/>
      <c r="AMW31" s="700"/>
      <c r="AMX31" s="700"/>
      <c r="AMY31" s="700"/>
      <c r="AMZ31" s="700"/>
      <c r="ANA31" s="700"/>
      <c r="ANB31" s="700"/>
      <c r="ANC31" s="700"/>
      <c r="AND31" s="700"/>
      <c r="ANE31" s="700"/>
      <c r="ANF31" s="700"/>
      <c r="ANG31" s="700"/>
      <c r="ANH31" s="700"/>
      <c r="ANI31" s="700"/>
      <c r="ANJ31" s="700"/>
      <c r="ANK31" s="700"/>
      <c r="ANL31" s="700"/>
      <c r="ANM31" s="700"/>
      <c r="ANN31" s="700"/>
      <c r="ANO31" s="700"/>
      <c r="ANP31" s="700"/>
      <c r="ANQ31" s="700"/>
      <c r="ANR31" s="700"/>
      <c r="ANS31" s="700"/>
      <c r="ANT31" s="700"/>
      <c r="ANU31" s="700"/>
      <c r="ANV31" s="700"/>
      <c r="ANW31" s="700"/>
      <c r="ANX31" s="700"/>
      <c r="ANY31" s="700"/>
      <c r="ANZ31" s="700"/>
      <c r="AOA31" s="700"/>
      <c r="AOB31" s="700"/>
      <c r="AOC31" s="700"/>
      <c r="AOD31" s="700"/>
      <c r="AOE31" s="700"/>
      <c r="AOF31" s="700"/>
      <c r="AOG31" s="700"/>
      <c r="AOH31" s="700"/>
      <c r="AOI31" s="700"/>
      <c r="AOJ31" s="700"/>
      <c r="AOK31" s="700"/>
      <c r="AOL31" s="700"/>
      <c r="AOM31" s="700"/>
      <c r="AON31" s="700"/>
      <c r="AOO31" s="700"/>
      <c r="AOP31" s="700"/>
      <c r="AOQ31" s="700"/>
      <c r="AOR31" s="700"/>
      <c r="AOS31" s="700"/>
      <c r="AOT31" s="700"/>
      <c r="AOU31" s="700"/>
      <c r="AOV31" s="700"/>
      <c r="AOW31" s="700"/>
      <c r="AOX31" s="700"/>
      <c r="AOY31" s="700"/>
      <c r="AOZ31" s="700"/>
      <c r="APA31" s="700"/>
      <c r="APB31" s="700"/>
      <c r="APC31" s="700"/>
      <c r="APD31" s="700"/>
      <c r="APE31" s="700"/>
      <c r="APF31" s="700"/>
      <c r="APG31" s="700"/>
      <c r="APH31" s="700"/>
      <c r="API31" s="700"/>
      <c r="APJ31" s="700"/>
      <c r="APK31" s="700"/>
      <c r="APL31" s="700"/>
      <c r="APM31" s="700"/>
      <c r="APN31" s="700"/>
      <c r="APO31" s="700"/>
      <c r="APP31" s="700"/>
      <c r="APQ31" s="700"/>
      <c r="APR31" s="700"/>
      <c r="APS31" s="700"/>
      <c r="APT31" s="700"/>
      <c r="APU31" s="700"/>
      <c r="APV31" s="700"/>
      <c r="APW31" s="700"/>
      <c r="APX31" s="700"/>
      <c r="APY31" s="700"/>
      <c r="APZ31" s="700"/>
      <c r="AQA31" s="700"/>
      <c r="AQB31" s="700"/>
      <c r="AQC31" s="700"/>
      <c r="AQD31" s="700"/>
      <c r="AQE31" s="700"/>
      <c r="AQF31" s="700"/>
      <c r="AQG31" s="700"/>
      <c r="AQH31" s="700"/>
      <c r="AQI31" s="700"/>
      <c r="AQJ31" s="700"/>
      <c r="AQK31" s="700"/>
      <c r="AQL31" s="700"/>
      <c r="AQM31" s="700"/>
      <c r="AQN31" s="700"/>
      <c r="AQO31" s="700"/>
      <c r="AQP31" s="700"/>
      <c r="AQQ31" s="700"/>
      <c r="AQR31" s="700"/>
      <c r="AQS31" s="700"/>
      <c r="AQT31" s="700"/>
      <c r="AQU31" s="700"/>
      <c r="AQV31" s="700"/>
      <c r="AQW31" s="700"/>
      <c r="AQX31" s="700"/>
      <c r="AQY31" s="700"/>
      <c r="AQZ31" s="700"/>
      <c r="ARA31" s="700"/>
      <c r="ARB31" s="700"/>
      <c r="ARC31" s="700"/>
      <c r="ARD31" s="700"/>
      <c r="ARE31" s="700"/>
      <c r="ARF31" s="700"/>
      <c r="ARG31" s="700"/>
      <c r="ARH31" s="700"/>
      <c r="ARI31" s="700"/>
      <c r="ARJ31" s="700"/>
      <c r="ARK31" s="700"/>
      <c r="ARL31" s="700"/>
      <c r="ARM31" s="700"/>
      <c r="ARN31" s="700"/>
      <c r="ARO31" s="700"/>
      <c r="ARP31" s="700"/>
      <c r="ARQ31" s="700"/>
      <c r="ARR31" s="700"/>
      <c r="ARS31" s="700"/>
      <c r="ART31" s="700"/>
      <c r="ARU31" s="700"/>
      <c r="ARV31" s="700"/>
      <c r="ARW31" s="700"/>
      <c r="ARX31" s="700"/>
      <c r="ARY31" s="700"/>
      <c r="ARZ31" s="700"/>
      <c r="ASA31" s="700"/>
      <c r="ASB31" s="700"/>
      <c r="ASC31" s="700"/>
      <c r="ASD31" s="700"/>
      <c r="ASE31" s="700"/>
      <c r="ASF31" s="700"/>
      <c r="ASG31" s="700"/>
      <c r="ASH31" s="700"/>
      <c r="ASI31" s="700"/>
      <c r="ASJ31" s="700"/>
      <c r="ASK31" s="700"/>
      <c r="ASL31" s="700"/>
      <c r="ASM31" s="700"/>
      <c r="ASN31" s="700"/>
      <c r="ASO31" s="700"/>
      <c r="ASP31" s="700"/>
      <c r="ASQ31" s="700"/>
      <c r="ASR31" s="700"/>
      <c r="ASS31" s="700"/>
      <c r="AST31" s="700"/>
      <c r="ASU31" s="700"/>
      <c r="ASV31" s="700"/>
      <c r="ASW31" s="700"/>
      <c r="ASX31" s="700"/>
      <c r="ASY31" s="700"/>
      <c r="ASZ31" s="700"/>
      <c r="ATA31" s="700"/>
      <c r="ATB31" s="700"/>
      <c r="ATC31" s="700"/>
      <c r="ATD31" s="700"/>
      <c r="ATE31" s="700"/>
      <c r="ATF31" s="700"/>
      <c r="ATG31" s="700"/>
      <c r="ATH31" s="700"/>
      <c r="ATI31" s="700"/>
      <c r="ATJ31" s="700"/>
      <c r="ATK31" s="700"/>
      <c r="ATL31" s="700"/>
      <c r="ATM31" s="700"/>
      <c r="ATN31" s="700"/>
      <c r="ATO31" s="700"/>
      <c r="ATP31" s="700"/>
      <c r="ATQ31" s="700"/>
      <c r="ATR31" s="700"/>
      <c r="ATS31" s="700"/>
      <c r="ATT31" s="700"/>
      <c r="ATU31" s="700"/>
      <c r="ATV31" s="700"/>
      <c r="ATW31" s="700"/>
      <c r="ATX31" s="700"/>
      <c r="ATY31" s="700"/>
      <c r="ATZ31" s="700"/>
      <c r="AUA31" s="700"/>
      <c r="AUB31" s="700"/>
      <c r="AUC31" s="700"/>
      <c r="AUD31" s="700"/>
      <c r="AUE31" s="700"/>
      <c r="AUF31" s="700"/>
      <c r="AUG31" s="700"/>
      <c r="AUH31" s="700"/>
      <c r="AUI31" s="700"/>
      <c r="AUJ31" s="700"/>
      <c r="AUK31" s="700"/>
      <c r="AUL31" s="700"/>
      <c r="AUM31" s="700"/>
      <c r="AUN31" s="700"/>
      <c r="AUO31" s="700"/>
      <c r="AUP31" s="700"/>
      <c r="AUQ31" s="700"/>
      <c r="AUR31" s="700"/>
      <c r="AUS31" s="700"/>
      <c r="AUT31" s="700"/>
      <c r="AUU31" s="700"/>
      <c r="AUV31" s="700"/>
      <c r="AUW31" s="700"/>
      <c r="AUX31" s="700"/>
      <c r="AUY31" s="700"/>
      <c r="AUZ31" s="700"/>
      <c r="AVA31" s="700"/>
      <c r="AVB31" s="700"/>
      <c r="AVC31" s="700"/>
      <c r="AVD31" s="700"/>
      <c r="AVE31" s="700"/>
      <c r="AVF31" s="700"/>
      <c r="AVG31" s="700"/>
      <c r="AVH31" s="700"/>
      <c r="AVI31" s="700"/>
      <c r="AVJ31" s="700"/>
      <c r="AVK31" s="700"/>
      <c r="AVL31" s="700"/>
      <c r="AVM31" s="700"/>
      <c r="AVN31" s="700"/>
      <c r="AVO31" s="700"/>
      <c r="AVP31" s="700"/>
      <c r="AVQ31" s="700"/>
      <c r="AVR31" s="700"/>
      <c r="AVS31" s="700"/>
      <c r="AVT31" s="700"/>
      <c r="AVU31" s="700"/>
      <c r="AVV31" s="700"/>
      <c r="AVW31" s="700"/>
      <c r="AVX31" s="700"/>
      <c r="AVY31" s="700"/>
      <c r="AVZ31" s="700"/>
      <c r="AWA31" s="700"/>
      <c r="AWB31" s="700"/>
      <c r="AWC31" s="700"/>
      <c r="AWD31" s="700"/>
      <c r="AWE31" s="700"/>
      <c r="AWF31" s="700"/>
      <c r="AWG31" s="700"/>
      <c r="AWH31" s="700"/>
      <c r="AWI31" s="700"/>
      <c r="AWJ31" s="700"/>
      <c r="AWK31" s="700"/>
      <c r="AWL31" s="700"/>
      <c r="AWM31" s="700"/>
      <c r="AWN31" s="700"/>
      <c r="AWO31" s="700"/>
      <c r="AWP31" s="700"/>
      <c r="AWQ31" s="700"/>
      <c r="AWR31" s="700"/>
      <c r="AWS31" s="700"/>
      <c r="AWT31" s="700"/>
      <c r="AWU31" s="700"/>
      <c r="AWV31" s="700"/>
      <c r="AWW31" s="700"/>
      <c r="AWX31" s="700"/>
      <c r="AWY31" s="700"/>
      <c r="AWZ31" s="700"/>
      <c r="AXA31" s="700"/>
      <c r="AXB31" s="700"/>
      <c r="AXC31" s="700"/>
      <c r="AXD31" s="700"/>
      <c r="AXE31" s="700"/>
      <c r="AXF31" s="700"/>
      <c r="AXG31" s="700"/>
      <c r="AXH31" s="700"/>
      <c r="AXI31" s="700"/>
      <c r="AXJ31" s="700"/>
      <c r="AXK31" s="700"/>
      <c r="AXL31" s="700"/>
      <c r="AXM31" s="700"/>
      <c r="AXN31" s="700"/>
      <c r="AXO31" s="700"/>
      <c r="AXP31" s="700"/>
      <c r="AXQ31" s="700"/>
      <c r="AXR31" s="700"/>
      <c r="AXS31" s="700"/>
      <c r="AXT31" s="700"/>
      <c r="AXU31" s="700"/>
      <c r="AXV31" s="700"/>
      <c r="AXW31" s="700"/>
      <c r="AXX31" s="700"/>
      <c r="AXY31" s="700"/>
      <c r="AXZ31" s="700"/>
      <c r="AYA31" s="700"/>
      <c r="AYB31" s="700"/>
      <c r="AYC31" s="700"/>
      <c r="AYD31" s="700"/>
      <c r="AYE31" s="700"/>
      <c r="AYF31" s="700"/>
      <c r="AYG31" s="700"/>
      <c r="AYH31" s="700"/>
      <c r="AYI31" s="700"/>
      <c r="AYJ31" s="700"/>
      <c r="AYK31" s="700"/>
      <c r="AYL31" s="700"/>
      <c r="AYM31" s="700"/>
      <c r="AYN31" s="700"/>
      <c r="AYO31" s="700"/>
      <c r="AYP31" s="700"/>
      <c r="AYQ31" s="700"/>
      <c r="AYR31" s="700"/>
      <c r="AYS31" s="700"/>
      <c r="AYT31" s="700"/>
      <c r="AYU31" s="700"/>
      <c r="AYV31" s="700"/>
      <c r="AYW31" s="700"/>
      <c r="AYX31" s="700"/>
      <c r="AYY31" s="700"/>
      <c r="AYZ31" s="700"/>
      <c r="AZA31" s="700"/>
      <c r="AZB31" s="700"/>
      <c r="AZC31" s="700"/>
      <c r="AZD31" s="700"/>
      <c r="AZE31" s="700"/>
      <c r="AZF31" s="700"/>
      <c r="AZG31" s="700"/>
      <c r="AZH31" s="700"/>
      <c r="AZI31" s="700"/>
      <c r="AZJ31" s="700"/>
      <c r="AZK31" s="700"/>
      <c r="AZL31" s="700"/>
      <c r="AZM31" s="700"/>
      <c r="AZN31" s="700"/>
      <c r="AZO31" s="700"/>
      <c r="AZP31" s="700"/>
      <c r="AZQ31" s="700"/>
      <c r="AZR31" s="700"/>
      <c r="AZS31" s="700"/>
      <c r="AZT31" s="700"/>
      <c r="AZU31" s="700"/>
      <c r="AZV31" s="700"/>
      <c r="AZW31" s="700"/>
      <c r="AZX31" s="700"/>
      <c r="AZY31" s="700"/>
      <c r="AZZ31" s="700"/>
      <c r="BAA31" s="700"/>
      <c r="BAB31" s="700"/>
      <c r="BAC31" s="700"/>
      <c r="BAD31" s="700"/>
      <c r="BAE31" s="700"/>
      <c r="BAF31" s="700"/>
      <c r="BAG31" s="700"/>
      <c r="BAH31" s="700"/>
      <c r="BAI31" s="700"/>
      <c r="BAJ31" s="700"/>
      <c r="BAK31" s="700"/>
      <c r="BAL31" s="700"/>
      <c r="BAM31" s="700"/>
      <c r="BAN31" s="700"/>
      <c r="BAO31" s="700"/>
      <c r="BAP31" s="700"/>
      <c r="BAQ31" s="700"/>
      <c r="BAR31" s="700"/>
      <c r="BAS31" s="700"/>
      <c r="BAT31" s="700"/>
      <c r="BAU31" s="700"/>
      <c r="BAV31" s="700"/>
      <c r="BAW31" s="700"/>
      <c r="BAX31" s="700"/>
      <c r="BAY31" s="700"/>
      <c r="BAZ31" s="700"/>
      <c r="BBA31" s="700"/>
      <c r="BBB31" s="700"/>
      <c r="BBC31" s="700"/>
      <c r="BBD31" s="700"/>
      <c r="BBE31" s="700"/>
      <c r="BBF31" s="700"/>
      <c r="BBG31" s="700"/>
      <c r="BBH31" s="700"/>
      <c r="BBI31" s="700"/>
      <c r="BBJ31" s="700"/>
      <c r="BBK31" s="700"/>
      <c r="BBL31" s="700"/>
      <c r="BBM31" s="700"/>
      <c r="BBN31" s="700"/>
      <c r="BBO31" s="700"/>
      <c r="BBP31" s="700"/>
      <c r="BBQ31" s="700"/>
      <c r="BBR31" s="700"/>
      <c r="BBS31" s="700"/>
      <c r="BBT31" s="700"/>
      <c r="BBU31" s="700"/>
      <c r="BBV31" s="700"/>
      <c r="BBW31" s="700"/>
      <c r="BBX31" s="700"/>
      <c r="BBY31" s="700"/>
      <c r="BBZ31" s="700"/>
      <c r="BCA31" s="700"/>
      <c r="BCB31" s="700"/>
      <c r="BCC31" s="700"/>
      <c r="BCD31" s="700"/>
      <c r="BCE31" s="700"/>
      <c r="BCF31" s="700"/>
      <c r="BCG31" s="700"/>
      <c r="BCH31" s="700"/>
      <c r="BCI31" s="700"/>
      <c r="BCJ31" s="700"/>
      <c r="BCK31" s="700"/>
      <c r="BCL31" s="700"/>
      <c r="BCM31" s="700"/>
      <c r="BCN31" s="700"/>
      <c r="BCO31" s="700"/>
      <c r="BCP31" s="700"/>
      <c r="BCQ31" s="700"/>
      <c r="BCR31" s="700"/>
      <c r="BCS31" s="700"/>
      <c r="BCT31" s="700"/>
      <c r="BCU31" s="700"/>
      <c r="BCV31" s="700"/>
      <c r="BCW31" s="700"/>
      <c r="BCX31" s="700"/>
      <c r="BCY31" s="700"/>
      <c r="BCZ31" s="700"/>
      <c r="BDA31" s="700"/>
      <c r="BDB31" s="700"/>
      <c r="BDC31" s="700"/>
      <c r="BDD31" s="700"/>
      <c r="BDE31" s="700"/>
      <c r="BDF31" s="700"/>
      <c r="BDG31" s="700"/>
      <c r="BDH31" s="700"/>
      <c r="BDI31" s="700"/>
      <c r="BDJ31" s="700"/>
      <c r="BDK31" s="700"/>
      <c r="BDL31" s="700"/>
      <c r="BDM31" s="700"/>
      <c r="BDN31" s="700"/>
      <c r="BDO31" s="700"/>
      <c r="BDP31" s="700"/>
      <c r="BDQ31" s="700"/>
      <c r="BDR31" s="700"/>
      <c r="BDS31" s="700"/>
      <c r="BDT31" s="700"/>
      <c r="BDU31" s="700"/>
      <c r="BDV31" s="700"/>
      <c r="BDW31" s="700"/>
      <c r="BDX31" s="700"/>
      <c r="BDY31" s="700"/>
      <c r="BDZ31" s="700"/>
      <c r="BEA31" s="700"/>
      <c r="BEB31" s="700"/>
      <c r="BEC31" s="700"/>
      <c r="BED31" s="700"/>
      <c r="BEE31" s="700"/>
      <c r="BEF31" s="700"/>
      <c r="BEG31" s="700"/>
      <c r="BEH31" s="700"/>
      <c r="BEI31" s="700"/>
      <c r="BEJ31" s="700"/>
      <c r="BEK31" s="700"/>
      <c r="BEL31" s="700"/>
      <c r="BEM31" s="700"/>
      <c r="BEN31" s="700"/>
      <c r="BEO31" s="700"/>
      <c r="BEP31" s="700"/>
      <c r="BEQ31" s="700"/>
      <c r="BER31" s="700"/>
      <c r="BES31" s="700"/>
      <c r="BET31" s="700"/>
      <c r="BEU31" s="700"/>
      <c r="BEV31" s="700"/>
      <c r="BEW31" s="700"/>
      <c r="BEX31" s="700"/>
      <c r="BEY31" s="700"/>
      <c r="BEZ31" s="700"/>
      <c r="BFA31" s="700"/>
      <c r="BFB31" s="700"/>
      <c r="BFC31" s="700"/>
      <c r="BFD31" s="700"/>
      <c r="BFE31" s="700"/>
      <c r="BFF31" s="700"/>
      <c r="BFG31" s="700"/>
      <c r="BFH31" s="700"/>
      <c r="BFI31" s="700"/>
      <c r="BFJ31" s="700"/>
      <c r="BFK31" s="700"/>
      <c r="BFL31" s="700"/>
      <c r="BFM31" s="700"/>
      <c r="BFN31" s="700"/>
      <c r="BFO31" s="700"/>
      <c r="BFP31" s="700"/>
      <c r="BFQ31" s="700"/>
      <c r="BFR31" s="700"/>
      <c r="BFS31" s="700"/>
      <c r="BFT31" s="700"/>
      <c r="BFU31" s="700"/>
      <c r="BFV31" s="700"/>
      <c r="BFW31" s="700"/>
      <c r="BFX31" s="700"/>
      <c r="BFY31" s="700"/>
      <c r="BFZ31" s="700"/>
      <c r="BGA31" s="700"/>
      <c r="BGB31" s="700"/>
      <c r="BGC31" s="700"/>
      <c r="BGD31" s="700"/>
      <c r="BGE31" s="700"/>
      <c r="BGF31" s="700"/>
      <c r="BGG31" s="700"/>
      <c r="BGH31" s="700"/>
      <c r="BGI31" s="700"/>
      <c r="BGJ31" s="700"/>
      <c r="BGK31" s="700"/>
      <c r="BGL31" s="700"/>
      <c r="BGM31" s="700"/>
      <c r="BGN31" s="700"/>
      <c r="BGO31" s="700"/>
      <c r="BGP31" s="700"/>
      <c r="BGQ31" s="700"/>
      <c r="BGR31" s="700"/>
      <c r="BGS31" s="700"/>
      <c r="BGT31" s="700"/>
      <c r="BGU31" s="700"/>
      <c r="BGV31" s="700"/>
      <c r="BGW31" s="700"/>
      <c r="BGX31" s="700"/>
      <c r="BGY31" s="700"/>
      <c r="BGZ31" s="700"/>
      <c r="BHA31" s="700"/>
      <c r="BHB31" s="700"/>
      <c r="BHC31" s="700"/>
      <c r="BHD31" s="700"/>
      <c r="BHE31" s="700"/>
      <c r="BHF31" s="700"/>
      <c r="BHG31" s="700"/>
      <c r="BHH31" s="700"/>
      <c r="BHI31" s="700"/>
      <c r="BHJ31" s="700"/>
      <c r="BHK31" s="700"/>
      <c r="BHL31" s="700"/>
      <c r="BHM31" s="700"/>
      <c r="BHN31" s="700"/>
      <c r="BHO31" s="700"/>
      <c r="BHP31" s="700"/>
      <c r="BHQ31" s="700"/>
      <c r="BHR31" s="700"/>
      <c r="BHS31" s="700"/>
      <c r="BHT31" s="700"/>
      <c r="BHU31" s="700"/>
      <c r="BHV31" s="700"/>
      <c r="BHW31" s="700"/>
      <c r="BHX31" s="700"/>
      <c r="BHY31" s="700"/>
      <c r="BHZ31" s="700"/>
      <c r="BIA31" s="700"/>
      <c r="BIB31" s="700"/>
      <c r="BIC31" s="700"/>
      <c r="BID31" s="700"/>
      <c r="BIE31" s="700"/>
      <c r="BIF31" s="700"/>
      <c r="BIG31" s="700"/>
      <c r="BIH31" s="700"/>
      <c r="BII31" s="700"/>
      <c r="BIJ31" s="700"/>
      <c r="BIK31" s="700"/>
      <c r="BIL31" s="700"/>
      <c r="BIM31" s="700"/>
      <c r="BIN31" s="700"/>
      <c r="BIO31" s="700"/>
      <c r="BIP31" s="700"/>
      <c r="BIQ31" s="700"/>
      <c r="BIR31" s="700"/>
      <c r="BIS31" s="700"/>
      <c r="BIT31" s="700"/>
      <c r="BIU31" s="700"/>
      <c r="BIV31" s="700"/>
      <c r="BIW31" s="700"/>
      <c r="BIX31" s="700"/>
      <c r="BIY31" s="700"/>
      <c r="BIZ31" s="700"/>
      <c r="BJA31" s="700"/>
      <c r="BJB31" s="700"/>
      <c r="BJC31" s="700"/>
      <c r="BJD31" s="700"/>
      <c r="BJE31" s="700"/>
      <c r="BJF31" s="700"/>
      <c r="BJG31" s="700"/>
      <c r="BJH31" s="700"/>
      <c r="BJI31" s="700"/>
      <c r="BJJ31" s="700"/>
      <c r="BJK31" s="700"/>
      <c r="BJL31" s="700"/>
      <c r="BJM31" s="700"/>
      <c r="BJN31" s="700"/>
      <c r="BJO31" s="700"/>
      <c r="BJP31" s="700"/>
      <c r="BJQ31" s="700"/>
      <c r="BJR31" s="700"/>
      <c r="BJS31" s="700"/>
      <c r="BJT31" s="700"/>
      <c r="BJU31" s="700"/>
      <c r="BJV31" s="700"/>
      <c r="BJW31" s="700"/>
      <c r="BJX31" s="700"/>
      <c r="BJY31" s="700"/>
      <c r="BJZ31" s="700"/>
      <c r="BKA31" s="700"/>
      <c r="BKB31" s="700"/>
      <c r="BKC31" s="700"/>
      <c r="BKD31" s="700"/>
      <c r="BKE31" s="700"/>
      <c r="BKF31" s="700"/>
      <c r="BKG31" s="700"/>
      <c r="BKH31" s="700"/>
      <c r="BKI31" s="700"/>
      <c r="BKJ31" s="700"/>
      <c r="BKK31" s="700"/>
      <c r="BKL31" s="700"/>
      <c r="BKM31" s="700"/>
      <c r="BKN31" s="700"/>
      <c r="BKO31" s="700"/>
      <c r="BKP31" s="700"/>
      <c r="BKQ31" s="700"/>
      <c r="BKR31" s="700"/>
      <c r="BKS31" s="700"/>
      <c r="BKT31" s="700"/>
      <c r="BKU31" s="700"/>
      <c r="BKV31" s="700"/>
      <c r="BKW31" s="700"/>
      <c r="BKX31" s="700"/>
      <c r="BKY31" s="700"/>
      <c r="BKZ31" s="700"/>
      <c r="BLA31" s="700"/>
      <c r="BLB31" s="700"/>
      <c r="BLC31" s="700"/>
      <c r="BLD31" s="700"/>
      <c r="BLE31" s="700"/>
      <c r="BLF31" s="700"/>
      <c r="BLG31" s="700"/>
      <c r="BLH31" s="700"/>
      <c r="BLI31" s="700"/>
      <c r="BLJ31" s="700"/>
      <c r="BLK31" s="700"/>
      <c r="BLL31" s="700"/>
      <c r="BLM31" s="700"/>
      <c r="BLN31" s="700"/>
      <c r="BLO31" s="700"/>
      <c r="BLP31" s="700"/>
      <c r="BLQ31" s="700"/>
      <c r="BLR31" s="700"/>
      <c r="BLS31" s="700"/>
      <c r="BLT31" s="700"/>
      <c r="BLU31" s="700"/>
      <c r="BLV31" s="700"/>
      <c r="BLW31" s="700"/>
      <c r="BLX31" s="700"/>
      <c r="BLY31" s="700"/>
      <c r="BLZ31" s="700"/>
      <c r="BMA31" s="700"/>
      <c r="BMB31" s="700"/>
      <c r="BMC31" s="700"/>
      <c r="BMD31" s="700"/>
      <c r="BME31" s="700"/>
      <c r="BMF31" s="700"/>
      <c r="BMG31" s="700"/>
      <c r="BMH31" s="700"/>
      <c r="BMI31" s="700"/>
      <c r="BMJ31" s="700"/>
      <c r="BMK31" s="700"/>
      <c r="BML31" s="700"/>
      <c r="BMM31" s="700"/>
      <c r="BMN31" s="700"/>
      <c r="BMO31" s="700"/>
      <c r="BMP31" s="700"/>
      <c r="BMQ31" s="700"/>
      <c r="BMR31" s="700"/>
      <c r="BMS31" s="700"/>
      <c r="BMT31" s="700"/>
      <c r="BMU31" s="700"/>
      <c r="BMV31" s="700"/>
      <c r="BMW31" s="700"/>
      <c r="BMX31" s="700"/>
      <c r="BMY31" s="700"/>
      <c r="BMZ31" s="700"/>
      <c r="BNA31" s="700"/>
      <c r="BNB31" s="700"/>
      <c r="BNC31" s="700"/>
      <c r="BND31" s="700"/>
      <c r="BNE31" s="700"/>
      <c r="BNF31" s="700"/>
      <c r="BNG31" s="700"/>
      <c r="BNH31" s="700"/>
      <c r="BNI31" s="700"/>
      <c r="BNJ31" s="700"/>
      <c r="BNK31" s="700"/>
      <c r="BNL31" s="700"/>
      <c r="BNM31" s="700"/>
      <c r="BNN31" s="700"/>
      <c r="BNO31" s="700"/>
      <c r="BNP31" s="700"/>
      <c r="BNQ31" s="700"/>
      <c r="BNR31" s="700"/>
      <c r="BNS31" s="700"/>
      <c r="BNT31" s="700"/>
      <c r="BNU31" s="700"/>
      <c r="BNV31" s="700"/>
      <c r="BNW31" s="700"/>
      <c r="BNX31" s="700"/>
      <c r="BNY31" s="700"/>
      <c r="BNZ31" s="700"/>
      <c r="BOA31" s="700"/>
      <c r="BOB31" s="700"/>
      <c r="BOC31" s="700"/>
      <c r="BOD31" s="700"/>
      <c r="BOE31" s="700"/>
      <c r="BOF31" s="700"/>
      <c r="BOG31" s="700"/>
      <c r="BOH31" s="700"/>
      <c r="BOI31" s="700"/>
      <c r="BOJ31" s="700"/>
      <c r="BOK31" s="700"/>
      <c r="BOL31" s="700"/>
      <c r="BOM31" s="700"/>
      <c r="BON31" s="700"/>
      <c r="BOO31" s="700"/>
      <c r="BOP31" s="700"/>
      <c r="BOQ31" s="700"/>
      <c r="BOR31" s="700"/>
      <c r="BOS31" s="700"/>
      <c r="BOT31" s="700"/>
      <c r="BOU31" s="700"/>
      <c r="BOV31" s="700"/>
      <c r="BOW31" s="700"/>
      <c r="BOX31" s="700"/>
      <c r="BOY31" s="700"/>
      <c r="BOZ31" s="700"/>
      <c r="BPA31" s="700"/>
      <c r="BPB31" s="700"/>
      <c r="BPC31" s="700"/>
      <c r="BPD31" s="700"/>
      <c r="BPE31" s="700"/>
      <c r="BPF31" s="700"/>
      <c r="BPG31" s="700"/>
      <c r="BPH31" s="700"/>
      <c r="BPI31" s="700"/>
      <c r="BPJ31" s="700"/>
      <c r="BPK31" s="700"/>
      <c r="BPL31" s="700"/>
      <c r="BPM31" s="700"/>
      <c r="BPN31" s="700"/>
      <c r="BPO31" s="700"/>
      <c r="BPP31" s="700"/>
      <c r="BPQ31" s="700"/>
      <c r="BPR31" s="700"/>
      <c r="BPS31" s="700"/>
      <c r="BPT31" s="700"/>
      <c r="BPU31" s="700"/>
      <c r="BPV31" s="700"/>
      <c r="BPW31" s="700"/>
      <c r="BPX31" s="700"/>
      <c r="BPY31" s="700"/>
      <c r="BPZ31" s="700"/>
      <c r="BQA31" s="700"/>
      <c r="BQB31" s="700"/>
      <c r="BQC31" s="700"/>
      <c r="BQD31" s="700"/>
      <c r="BQE31" s="700"/>
      <c r="BQF31" s="700"/>
      <c r="BQG31" s="700"/>
      <c r="BQH31" s="700"/>
      <c r="BQI31" s="700"/>
      <c r="BQJ31" s="700"/>
      <c r="BQK31" s="700"/>
      <c r="BQL31" s="700"/>
      <c r="BQM31" s="700"/>
      <c r="BQN31" s="700"/>
      <c r="BQO31" s="700"/>
      <c r="BQP31" s="700"/>
      <c r="BQQ31" s="700"/>
      <c r="BQR31" s="700"/>
      <c r="BQS31" s="700"/>
      <c r="BQT31" s="700"/>
      <c r="BQU31" s="700"/>
      <c r="BQV31" s="700"/>
      <c r="BQW31" s="700"/>
      <c r="BQX31" s="700"/>
      <c r="BQY31" s="700"/>
      <c r="BQZ31" s="700"/>
      <c r="BRA31" s="700"/>
      <c r="BRB31" s="700"/>
      <c r="BRC31" s="700"/>
      <c r="BRD31" s="700"/>
      <c r="BRE31" s="700"/>
      <c r="BRF31" s="700"/>
      <c r="BRG31" s="700"/>
      <c r="BRH31" s="700"/>
      <c r="BRI31" s="700"/>
      <c r="BRJ31" s="700"/>
      <c r="BRK31" s="700"/>
      <c r="BRL31" s="700"/>
      <c r="BRM31" s="700"/>
      <c r="BRN31" s="700"/>
      <c r="BRO31" s="700"/>
      <c r="BRP31" s="700"/>
      <c r="BRQ31" s="700"/>
      <c r="BRR31" s="700"/>
      <c r="BRS31" s="700"/>
      <c r="BRT31" s="700"/>
      <c r="BRU31" s="700"/>
      <c r="BRV31" s="700"/>
      <c r="BRW31" s="700"/>
      <c r="BRX31" s="700"/>
      <c r="BRY31" s="700"/>
      <c r="BRZ31" s="700"/>
      <c r="BSA31" s="700"/>
      <c r="BSB31" s="700"/>
      <c r="BSC31" s="700"/>
      <c r="BSD31" s="700"/>
      <c r="BSE31" s="700"/>
      <c r="BSF31" s="700"/>
      <c r="BSG31" s="700"/>
      <c r="BSH31" s="700"/>
      <c r="BSI31" s="700"/>
      <c r="BSJ31" s="700"/>
      <c r="BSK31" s="700"/>
      <c r="BSL31" s="700"/>
      <c r="BSM31" s="700"/>
      <c r="BSN31" s="700"/>
      <c r="BSO31" s="700"/>
      <c r="BSP31" s="700"/>
      <c r="BSQ31" s="700"/>
      <c r="BSR31" s="700"/>
      <c r="BSS31" s="700"/>
      <c r="BST31" s="700"/>
      <c r="BSU31" s="700"/>
      <c r="BSV31" s="700"/>
      <c r="BSW31" s="700"/>
      <c r="BSX31" s="700"/>
      <c r="BSY31" s="700"/>
      <c r="BSZ31" s="700"/>
      <c r="BTA31" s="700"/>
      <c r="BTB31" s="700"/>
      <c r="BTC31" s="700"/>
      <c r="BTD31" s="700"/>
      <c r="BTE31" s="700"/>
      <c r="BTF31" s="700"/>
      <c r="BTG31" s="700"/>
      <c r="BTH31" s="700"/>
      <c r="BTI31" s="700"/>
      <c r="BTJ31" s="700"/>
      <c r="BTK31" s="700"/>
      <c r="BTL31" s="700"/>
      <c r="BTM31" s="700"/>
      <c r="BTN31" s="700"/>
      <c r="BTO31" s="700"/>
      <c r="BTP31" s="700"/>
      <c r="BTQ31" s="700"/>
      <c r="BTR31" s="700"/>
      <c r="BTS31" s="700"/>
      <c r="BTT31" s="700"/>
      <c r="BTU31" s="700"/>
      <c r="BTV31" s="700"/>
      <c r="BTW31" s="700"/>
      <c r="BTX31" s="700"/>
      <c r="BTY31" s="700"/>
      <c r="BTZ31" s="700"/>
      <c r="BUA31" s="700"/>
      <c r="BUB31" s="700"/>
      <c r="BUC31" s="700"/>
      <c r="BUD31" s="700"/>
      <c r="BUE31" s="700"/>
      <c r="BUF31" s="700"/>
      <c r="BUG31" s="700"/>
      <c r="BUH31" s="700"/>
      <c r="BUI31" s="700"/>
      <c r="BUJ31" s="700"/>
      <c r="BUK31" s="700"/>
      <c r="BUL31" s="700"/>
      <c r="BUM31" s="700"/>
      <c r="BUN31" s="700"/>
      <c r="BUO31" s="700"/>
      <c r="BUP31" s="700"/>
      <c r="BUQ31" s="700"/>
      <c r="BUR31" s="700"/>
      <c r="BUS31" s="700"/>
      <c r="BUT31" s="700"/>
      <c r="BUU31" s="700"/>
      <c r="BUV31" s="700"/>
      <c r="BUW31" s="700"/>
      <c r="BUX31" s="700"/>
      <c r="BUY31" s="700"/>
      <c r="BUZ31" s="700"/>
      <c r="BVA31" s="700"/>
      <c r="BVB31" s="700"/>
      <c r="BVC31" s="700"/>
      <c r="BVD31" s="700"/>
      <c r="BVE31" s="700"/>
      <c r="BVF31" s="700"/>
      <c r="BVG31" s="700"/>
      <c r="BVH31" s="700"/>
      <c r="BVI31" s="700"/>
      <c r="BVJ31" s="700"/>
      <c r="BVK31" s="700"/>
      <c r="BVL31" s="700"/>
      <c r="BVM31" s="700"/>
      <c r="BVN31" s="700"/>
      <c r="BVO31" s="700"/>
      <c r="BVP31" s="700"/>
      <c r="BVQ31" s="700"/>
      <c r="BVR31" s="700"/>
      <c r="BVS31" s="700"/>
      <c r="BVT31" s="700"/>
      <c r="BVU31" s="700"/>
      <c r="BVV31" s="700"/>
      <c r="BVW31" s="700"/>
      <c r="BVX31" s="700"/>
      <c r="BVY31" s="700"/>
      <c r="BVZ31" s="700"/>
      <c r="BWA31" s="700"/>
      <c r="BWB31" s="700"/>
      <c r="BWC31" s="700"/>
      <c r="BWD31" s="700"/>
      <c r="BWE31" s="700"/>
      <c r="BWF31" s="700"/>
      <c r="BWG31" s="700"/>
      <c r="BWH31" s="700"/>
      <c r="BWI31" s="700"/>
      <c r="BWJ31" s="700"/>
      <c r="BWK31" s="700"/>
      <c r="BWL31" s="700"/>
      <c r="BWM31" s="700"/>
      <c r="BWN31" s="700"/>
      <c r="BWO31" s="700"/>
      <c r="BWP31" s="700"/>
      <c r="BWQ31" s="700"/>
      <c r="BWR31" s="700"/>
      <c r="BWS31" s="700"/>
      <c r="BWT31" s="700"/>
      <c r="BWU31" s="700"/>
      <c r="BWV31" s="700"/>
      <c r="BWW31" s="700"/>
      <c r="BWX31" s="700"/>
      <c r="BWY31" s="700"/>
      <c r="BWZ31" s="700"/>
      <c r="BXA31" s="700"/>
      <c r="BXB31" s="700"/>
      <c r="BXC31" s="700"/>
      <c r="BXD31" s="700"/>
      <c r="BXE31" s="700"/>
      <c r="BXF31" s="700"/>
      <c r="BXG31" s="700"/>
      <c r="BXH31" s="700"/>
      <c r="BXI31" s="700"/>
      <c r="BXJ31" s="700"/>
      <c r="BXK31" s="700"/>
      <c r="BXL31" s="700"/>
      <c r="BXM31" s="700"/>
      <c r="BXN31" s="700"/>
      <c r="BXO31" s="700"/>
      <c r="BXP31" s="700"/>
      <c r="BXQ31" s="700"/>
      <c r="BXR31" s="700"/>
      <c r="BXS31" s="700"/>
      <c r="BXT31" s="700"/>
      <c r="BXU31" s="700"/>
      <c r="BXV31" s="700"/>
      <c r="BXW31" s="700"/>
      <c r="BXX31" s="700"/>
      <c r="BXY31" s="700"/>
      <c r="BXZ31" s="700"/>
    </row>
    <row r="32" spans="1:2002" ht="15">
      <c r="A32" s="717"/>
      <c r="B32" s="706"/>
      <c r="C32" s="721" t="s">
        <v>53</v>
      </c>
      <c r="D32" s="742">
        <v>0</v>
      </c>
      <c r="E32" s="742">
        <v>0</v>
      </c>
      <c r="F32" s="742">
        <v>0</v>
      </c>
      <c r="G32" s="742">
        <v>0</v>
      </c>
      <c r="H32" s="742">
        <v>0</v>
      </c>
      <c r="I32" s="742">
        <v>0</v>
      </c>
      <c r="J32" s="742">
        <v>0</v>
      </c>
      <c r="K32" s="742">
        <v>0</v>
      </c>
      <c r="L32" s="742">
        <v>0</v>
      </c>
      <c r="M32" s="742">
        <v>0</v>
      </c>
      <c r="N32" s="742">
        <v>0</v>
      </c>
      <c r="O32" s="742">
        <v>0</v>
      </c>
      <c r="P32" s="742">
        <v>0</v>
      </c>
      <c r="Q32" s="742">
        <v>0</v>
      </c>
      <c r="R32" s="742">
        <v>0</v>
      </c>
      <c r="S32" s="712"/>
      <c r="T32" s="700"/>
      <c r="U32" s="700"/>
      <c r="V32" s="700"/>
      <c r="W32" s="700"/>
      <c r="X32" s="700"/>
      <c r="Y32" s="700"/>
      <c r="Z32" s="700"/>
      <c r="AA32" s="700"/>
      <c r="AB32" s="700"/>
      <c r="AC32" s="700"/>
      <c r="AD32" s="700"/>
      <c r="AE32" s="700"/>
      <c r="AF32" s="700"/>
      <c r="AG32" s="700"/>
      <c r="AH32" s="700"/>
      <c r="AI32" s="700"/>
      <c r="AJ32" s="700"/>
      <c r="AK32" s="700"/>
      <c r="AL32" s="700"/>
      <c r="AM32" s="700"/>
      <c r="AN32" s="700"/>
      <c r="AO32" s="700"/>
      <c r="AP32" s="700"/>
      <c r="AQ32" s="700"/>
      <c r="AR32" s="700"/>
      <c r="AS32" s="700"/>
      <c r="AT32" s="700"/>
      <c r="AU32" s="700"/>
      <c r="AV32" s="700"/>
      <c r="AW32" s="700"/>
      <c r="AX32" s="700"/>
      <c r="AY32" s="700"/>
      <c r="AZ32" s="700"/>
      <c r="BA32" s="700"/>
      <c r="BB32" s="700"/>
      <c r="BC32" s="700"/>
      <c r="BD32" s="700"/>
      <c r="BE32" s="700"/>
      <c r="BF32" s="700"/>
      <c r="BG32" s="700"/>
      <c r="BH32" s="700"/>
      <c r="BI32" s="700"/>
      <c r="BJ32" s="700"/>
      <c r="BK32" s="700"/>
      <c r="BL32" s="700"/>
      <c r="BM32" s="700"/>
      <c r="BN32" s="700"/>
      <c r="BO32" s="700"/>
      <c r="BP32" s="700"/>
      <c r="BQ32" s="700"/>
      <c r="BR32" s="700"/>
      <c r="BS32" s="700"/>
      <c r="BT32" s="700"/>
      <c r="BU32" s="700"/>
      <c r="BV32" s="700"/>
      <c r="BW32" s="700"/>
      <c r="BX32" s="700"/>
      <c r="BY32" s="700"/>
      <c r="BZ32" s="700"/>
      <c r="CA32" s="700"/>
      <c r="CB32" s="700"/>
      <c r="CC32" s="700"/>
      <c r="CD32" s="700"/>
      <c r="CE32" s="700"/>
      <c r="CF32" s="700"/>
      <c r="CG32" s="700"/>
      <c r="CH32" s="700"/>
      <c r="CI32" s="700"/>
      <c r="CJ32" s="700"/>
      <c r="CK32" s="700"/>
      <c r="CL32" s="700"/>
      <c r="CM32" s="700"/>
      <c r="CN32" s="700"/>
      <c r="CO32" s="700"/>
      <c r="CP32" s="700"/>
      <c r="CQ32" s="700"/>
      <c r="CR32" s="700"/>
      <c r="CS32" s="700"/>
      <c r="CT32" s="700"/>
      <c r="CU32" s="700"/>
      <c r="CV32" s="700"/>
      <c r="CW32" s="700"/>
      <c r="CX32" s="700"/>
      <c r="CY32" s="700"/>
      <c r="CZ32" s="700"/>
      <c r="DA32" s="700"/>
      <c r="DB32" s="700"/>
      <c r="DC32" s="700"/>
      <c r="DD32" s="700"/>
      <c r="DE32" s="700"/>
      <c r="DF32" s="700"/>
      <c r="DG32" s="700"/>
      <c r="DH32" s="700"/>
      <c r="DI32" s="700"/>
      <c r="DJ32" s="700"/>
      <c r="DK32" s="700"/>
      <c r="DL32" s="700"/>
      <c r="DM32" s="700"/>
      <c r="DN32" s="700"/>
      <c r="DO32" s="700"/>
      <c r="DP32" s="700"/>
      <c r="DQ32" s="700"/>
      <c r="DR32" s="700"/>
      <c r="DS32" s="700"/>
      <c r="DT32" s="700"/>
      <c r="DU32" s="700"/>
      <c r="DV32" s="700"/>
      <c r="DW32" s="700"/>
      <c r="DX32" s="700"/>
      <c r="DY32" s="700"/>
      <c r="DZ32" s="700"/>
      <c r="EA32" s="700"/>
      <c r="EB32" s="700"/>
      <c r="EC32" s="700"/>
      <c r="ED32" s="700"/>
      <c r="EE32" s="700"/>
      <c r="EF32" s="700"/>
      <c r="EG32" s="700"/>
      <c r="EH32" s="700"/>
      <c r="EI32" s="700"/>
      <c r="EJ32" s="700"/>
      <c r="EK32" s="700"/>
      <c r="EL32" s="700"/>
      <c r="EM32" s="700"/>
      <c r="EN32" s="700"/>
      <c r="EO32" s="700"/>
      <c r="EP32" s="700"/>
      <c r="EQ32" s="700"/>
      <c r="ER32" s="700"/>
      <c r="ES32" s="700"/>
      <c r="ET32" s="700"/>
      <c r="EU32" s="700"/>
      <c r="EV32" s="700"/>
      <c r="EW32" s="700"/>
      <c r="EX32" s="700"/>
      <c r="EY32" s="700"/>
      <c r="EZ32" s="700"/>
      <c r="FA32" s="700"/>
      <c r="FB32" s="700"/>
      <c r="FC32" s="700"/>
      <c r="FD32" s="700"/>
      <c r="FE32" s="700"/>
      <c r="FF32" s="700"/>
      <c r="FG32" s="700"/>
      <c r="FH32" s="700"/>
      <c r="FI32" s="700"/>
      <c r="FJ32" s="700"/>
      <c r="FK32" s="700"/>
      <c r="FL32" s="700"/>
      <c r="FM32" s="700"/>
      <c r="FN32" s="700"/>
      <c r="FO32" s="700"/>
      <c r="FP32" s="700"/>
      <c r="FQ32" s="700"/>
      <c r="FR32" s="700"/>
      <c r="FS32" s="700"/>
      <c r="FT32" s="700"/>
      <c r="FU32" s="700"/>
      <c r="FV32" s="700"/>
      <c r="FW32" s="700"/>
      <c r="FX32" s="700"/>
      <c r="FY32" s="700"/>
      <c r="FZ32" s="700"/>
      <c r="GA32" s="700"/>
      <c r="GB32" s="700"/>
      <c r="GC32" s="700"/>
      <c r="GD32" s="700"/>
      <c r="GE32" s="700"/>
      <c r="GF32" s="700"/>
      <c r="GG32" s="700"/>
      <c r="GH32" s="700"/>
      <c r="GI32" s="700"/>
      <c r="GJ32" s="700"/>
      <c r="GK32" s="700"/>
      <c r="GL32" s="700"/>
      <c r="GM32" s="700"/>
      <c r="GN32" s="700"/>
      <c r="GO32" s="700"/>
      <c r="GP32" s="700"/>
      <c r="GQ32" s="700"/>
      <c r="GR32" s="700"/>
      <c r="GS32" s="700"/>
      <c r="GT32" s="700"/>
      <c r="GU32" s="700"/>
      <c r="GV32" s="700"/>
      <c r="GW32" s="700"/>
      <c r="GX32" s="700"/>
      <c r="GY32" s="700"/>
      <c r="GZ32" s="700"/>
      <c r="HA32" s="700"/>
      <c r="HB32" s="700"/>
      <c r="HC32" s="700"/>
      <c r="HD32" s="700"/>
      <c r="HE32" s="700"/>
      <c r="HF32" s="700"/>
      <c r="HG32" s="700"/>
      <c r="HH32" s="700"/>
      <c r="HI32" s="700"/>
      <c r="HJ32" s="700"/>
      <c r="HK32" s="700"/>
      <c r="HL32" s="700"/>
      <c r="HM32" s="700"/>
      <c r="HN32" s="700"/>
      <c r="HO32" s="700"/>
      <c r="HP32" s="700"/>
      <c r="HQ32" s="700"/>
      <c r="HR32" s="700"/>
      <c r="HS32" s="700"/>
      <c r="HT32" s="700"/>
      <c r="HU32" s="700"/>
      <c r="HV32" s="700"/>
      <c r="HW32" s="700"/>
      <c r="HX32" s="700"/>
      <c r="HY32" s="700"/>
      <c r="HZ32" s="700"/>
      <c r="IA32" s="700"/>
      <c r="IB32" s="700"/>
      <c r="IC32" s="700"/>
      <c r="ID32" s="700"/>
      <c r="IE32" s="700"/>
      <c r="IF32" s="700"/>
      <c r="IG32" s="700"/>
      <c r="IH32" s="700"/>
      <c r="II32" s="700"/>
      <c r="IJ32" s="700"/>
      <c r="IK32" s="700"/>
      <c r="IL32" s="700"/>
      <c r="IM32" s="700"/>
      <c r="IN32" s="700"/>
      <c r="IO32" s="700"/>
      <c r="IP32" s="700"/>
      <c r="IQ32" s="700"/>
      <c r="IR32" s="700"/>
      <c r="IS32" s="700"/>
      <c r="IT32" s="700"/>
      <c r="IU32" s="700"/>
      <c r="IV32" s="700"/>
      <c r="IW32" s="700"/>
      <c r="IX32" s="700"/>
      <c r="IY32" s="700"/>
      <c r="IZ32" s="700"/>
      <c r="JA32" s="700"/>
      <c r="JB32" s="700"/>
      <c r="JC32" s="700"/>
      <c r="JD32" s="700"/>
      <c r="JE32" s="700"/>
      <c r="JF32" s="700"/>
      <c r="JG32" s="700"/>
      <c r="JH32" s="700"/>
      <c r="JI32" s="700"/>
      <c r="JJ32" s="700"/>
      <c r="JK32" s="700"/>
      <c r="JL32" s="700"/>
      <c r="JM32" s="700"/>
      <c r="JN32" s="700"/>
      <c r="JO32" s="700"/>
      <c r="JP32" s="700"/>
      <c r="JQ32" s="700"/>
      <c r="JR32" s="700"/>
      <c r="JS32" s="700"/>
      <c r="JT32" s="700"/>
      <c r="JU32" s="700"/>
      <c r="JV32" s="700"/>
      <c r="JW32" s="700"/>
      <c r="JX32" s="700"/>
      <c r="JY32" s="700"/>
      <c r="JZ32" s="700"/>
      <c r="KA32" s="700"/>
      <c r="KB32" s="700"/>
      <c r="KC32" s="700"/>
      <c r="KD32" s="700"/>
      <c r="KE32" s="700"/>
      <c r="KF32" s="700"/>
      <c r="KG32" s="700"/>
      <c r="KH32" s="700"/>
      <c r="KI32" s="700"/>
      <c r="KJ32" s="700"/>
      <c r="KK32" s="700"/>
      <c r="KL32" s="700"/>
      <c r="KM32" s="700"/>
      <c r="KN32" s="700"/>
      <c r="KO32" s="700"/>
      <c r="KP32" s="700"/>
      <c r="KQ32" s="700"/>
      <c r="KR32" s="700"/>
      <c r="KS32" s="700"/>
      <c r="KT32" s="700"/>
      <c r="KU32" s="700"/>
      <c r="KV32" s="700"/>
      <c r="KW32" s="700"/>
      <c r="KX32" s="700"/>
      <c r="KY32" s="700"/>
      <c r="KZ32" s="700"/>
      <c r="LA32" s="700"/>
      <c r="LB32" s="700"/>
      <c r="LC32" s="700"/>
      <c r="LD32" s="700"/>
      <c r="LE32" s="700"/>
      <c r="LF32" s="700"/>
      <c r="LG32" s="700"/>
      <c r="LH32" s="700"/>
      <c r="LI32" s="700"/>
      <c r="LJ32" s="700"/>
      <c r="LK32" s="700"/>
      <c r="LL32" s="700"/>
      <c r="LM32" s="700"/>
      <c r="LN32" s="700"/>
      <c r="LO32" s="700"/>
      <c r="LP32" s="700"/>
      <c r="LQ32" s="700"/>
      <c r="LR32" s="700"/>
      <c r="LS32" s="700"/>
      <c r="LT32" s="700"/>
      <c r="LU32" s="700"/>
      <c r="LV32" s="700"/>
      <c r="LW32" s="700"/>
      <c r="LX32" s="700"/>
      <c r="LY32" s="700"/>
      <c r="LZ32" s="700"/>
      <c r="MA32" s="700"/>
      <c r="MB32" s="700"/>
      <c r="MC32" s="700"/>
      <c r="MD32" s="700"/>
      <c r="ME32" s="700"/>
      <c r="MF32" s="700"/>
      <c r="MG32" s="700"/>
      <c r="MH32" s="700"/>
      <c r="MI32" s="700"/>
      <c r="MJ32" s="700"/>
      <c r="MK32" s="700"/>
      <c r="ML32" s="700"/>
      <c r="MM32" s="700"/>
      <c r="MN32" s="700"/>
      <c r="MO32" s="700"/>
      <c r="MP32" s="700"/>
      <c r="MQ32" s="700"/>
      <c r="MR32" s="700"/>
      <c r="MS32" s="700"/>
      <c r="MT32" s="700"/>
      <c r="MU32" s="700"/>
      <c r="MV32" s="700"/>
      <c r="MW32" s="700"/>
      <c r="MX32" s="700"/>
      <c r="MY32" s="700"/>
      <c r="MZ32" s="700"/>
      <c r="NA32" s="700"/>
      <c r="NB32" s="700"/>
      <c r="NC32" s="700"/>
      <c r="ND32" s="700"/>
      <c r="NE32" s="700"/>
      <c r="NF32" s="700"/>
      <c r="NG32" s="700"/>
      <c r="NH32" s="700"/>
      <c r="NI32" s="700"/>
      <c r="NJ32" s="700"/>
      <c r="NK32" s="700"/>
      <c r="NL32" s="700"/>
      <c r="NM32" s="700"/>
      <c r="NN32" s="700"/>
      <c r="NO32" s="700"/>
      <c r="NP32" s="700"/>
      <c r="NQ32" s="700"/>
      <c r="NR32" s="700"/>
      <c r="NS32" s="700"/>
      <c r="NT32" s="700"/>
      <c r="NU32" s="700"/>
      <c r="NV32" s="700"/>
      <c r="NW32" s="700"/>
      <c r="NX32" s="700"/>
      <c r="NY32" s="700"/>
      <c r="NZ32" s="700"/>
      <c r="OA32" s="700"/>
      <c r="OB32" s="700"/>
      <c r="OC32" s="700"/>
      <c r="OD32" s="700"/>
      <c r="OE32" s="700"/>
      <c r="OF32" s="700"/>
      <c r="OG32" s="700"/>
      <c r="OH32" s="700"/>
      <c r="OI32" s="700"/>
      <c r="OJ32" s="700"/>
      <c r="OK32" s="700"/>
      <c r="OL32" s="700"/>
      <c r="OM32" s="700"/>
      <c r="ON32" s="700"/>
      <c r="OO32" s="700"/>
      <c r="OP32" s="700"/>
      <c r="OQ32" s="700"/>
      <c r="OR32" s="700"/>
      <c r="OS32" s="700"/>
      <c r="OT32" s="700"/>
      <c r="OU32" s="700"/>
      <c r="OV32" s="700"/>
      <c r="OW32" s="700"/>
      <c r="OX32" s="700"/>
      <c r="OY32" s="700"/>
      <c r="OZ32" s="700"/>
      <c r="PA32" s="700"/>
      <c r="PB32" s="700"/>
      <c r="PC32" s="700"/>
      <c r="PD32" s="700"/>
      <c r="PE32" s="700"/>
      <c r="PF32" s="700"/>
      <c r="PG32" s="700"/>
      <c r="PH32" s="700"/>
      <c r="PI32" s="700"/>
      <c r="PJ32" s="700"/>
      <c r="PK32" s="700"/>
      <c r="PL32" s="700"/>
      <c r="PM32" s="700"/>
      <c r="PN32" s="700"/>
      <c r="PO32" s="700"/>
      <c r="PP32" s="700"/>
      <c r="PQ32" s="700"/>
      <c r="PR32" s="700"/>
      <c r="PS32" s="700"/>
      <c r="PT32" s="700"/>
      <c r="PU32" s="700"/>
      <c r="PV32" s="700"/>
      <c r="PW32" s="700"/>
      <c r="PX32" s="700"/>
      <c r="PY32" s="700"/>
      <c r="PZ32" s="700"/>
      <c r="QA32" s="700"/>
      <c r="QB32" s="700"/>
      <c r="QC32" s="700"/>
      <c r="QD32" s="700"/>
      <c r="QE32" s="700"/>
      <c r="QF32" s="700"/>
      <c r="QG32" s="700"/>
      <c r="QH32" s="700"/>
      <c r="QI32" s="700"/>
      <c r="QJ32" s="700"/>
      <c r="QK32" s="700"/>
      <c r="QL32" s="700"/>
      <c r="QM32" s="700"/>
      <c r="QN32" s="700"/>
      <c r="QO32" s="700"/>
      <c r="QP32" s="700"/>
      <c r="QQ32" s="700"/>
      <c r="QR32" s="700"/>
      <c r="QS32" s="700"/>
      <c r="QT32" s="700"/>
      <c r="QU32" s="700"/>
      <c r="QV32" s="700"/>
      <c r="QW32" s="700"/>
      <c r="QX32" s="700"/>
      <c r="QY32" s="700"/>
      <c r="QZ32" s="700"/>
      <c r="RA32" s="700"/>
      <c r="RB32" s="700"/>
      <c r="RC32" s="700"/>
      <c r="RD32" s="700"/>
      <c r="RE32" s="700"/>
      <c r="RF32" s="700"/>
      <c r="RG32" s="700"/>
      <c r="RH32" s="700"/>
      <c r="RI32" s="700"/>
      <c r="RJ32" s="700"/>
      <c r="RK32" s="700"/>
      <c r="RL32" s="700"/>
      <c r="RM32" s="700"/>
      <c r="RN32" s="700"/>
      <c r="RO32" s="700"/>
      <c r="RP32" s="700"/>
      <c r="RQ32" s="700"/>
      <c r="RR32" s="700"/>
      <c r="RS32" s="700"/>
      <c r="RT32" s="700"/>
      <c r="RU32" s="700"/>
      <c r="RV32" s="700"/>
      <c r="RW32" s="700"/>
      <c r="RX32" s="700"/>
      <c r="RY32" s="700"/>
      <c r="RZ32" s="700"/>
      <c r="SA32" s="700"/>
      <c r="SB32" s="700"/>
      <c r="SC32" s="700"/>
      <c r="SD32" s="700"/>
      <c r="SE32" s="700"/>
      <c r="SF32" s="700"/>
      <c r="SG32" s="700"/>
      <c r="SH32" s="700"/>
      <c r="SI32" s="700"/>
      <c r="SJ32" s="700"/>
      <c r="SK32" s="700"/>
      <c r="SL32" s="700"/>
      <c r="SM32" s="700"/>
      <c r="SN32" s="700"/>
      <c r="SO32" s="700"/>
      <c r="SP32" s="700"/>
      <c r="SQ32" s="700"/>
      <c r="SR32" s="700"/>
      <c r="SS32" s="700"/>
      <c r="ST32" s="700"/>
      <c r="SU32" s="700"/>
      <c r="SV32" s="700"/>
      <c r="SW32" s="700"/>
      <c r="SX32" s="700"/>
      <c r="SY32" s="700"/>
      <c r="SZ32" s="700"/>
      <c r="TA32" s="700"/>
      <c r="TB32" s="700"/>
      <c r="TC32" s="700"/>
      <c r="TD32" s="700"/>
      <c r="TE32" s="700"/>
      <c r="TF32" s="700"/>
      <c r="TG32" s="700"/>
      <c r="TH32" s="700"/>
      <c r="TI32" s="700"/>
      <c r="TJ32" s="700"/>
      <c r="TK32" s="700"/>
      <c r="TL32" s="700"/>
      <c r="TM32" s="700"/>
      <c r="TN32" s="700"/>
      <c r="TO32" s="700"/>
      <c r="TP32" s="700"/>
      <c r="TQ32" s="700"/>
      <c r="TR32" s="700"/>
      <c r="TS32" s="700"/>
      <c r="TT32" s="700"/>
      <c r="TU32" s="700"/>
      <c r="TV32" s="700"/>
      <c r="TW32" s="700"/>
      <c r="TX32" s="700"/>
      <c r="TY32" s="700"/>
      <c r="TZ32" s="700"/>
      <c r="UA32" s="700"/>
      <c r="UB32" s="700"/>
      <c r="UC32" s="700"/>
      <c r="UD32" s="700"/>
      <c r="UE32" s="700"/>
      <c r="UF32" s="700"/>
      <c r="UG32" s="700"/>
      <c r="UH32" s="700"/>
      <c r="UI32" s="700"/>
      <c r="UJ32" s="700"/>
      <c r="UK32" s="700"/>
      <c r="UL32" s="700"/>
      <c r="UM32" s="700"/>
      <c r="UN32" s="700"/>
      <c r="UO32" s="700"/>
      <c r="UP32" s="700"/>
      <c r="UQ32" s="700"/>
      <c r="UR32" s="700"/>
      <c r="US32" s="700"/>
      <c r="UT32" s="700"/>
      <c r="UU32" s="700"/>
      <c r="UV32" s="700"/>
      <c r="UW32" s="700"/>
      <c r="UX32" s="700"/>
      <c r="UY32" s="700"/>
      <c r="UZ32" s="700"/>
      <c r="VA32" s="700"/>
      <c r="VB32" s="700"/>
      <c r="VC32" s="700"/>
      <c r="VD32" s="700"/>
      <c r="VE32" s="700"/>
      <c r="VF32" s="700"/>
      <c r="VG32" s="700"/>
      <c r="VH32" s="700"/>
      <c r="VI32" s="700"/>
      <c r="VJ32" s="700"/>
      <c r="VK32" s="700"/>
      <c r="VL32" s="700"/>
      <c r="VM32" s="700"/>
      <c r="VN32" s="700"/>
      <c r="VO32" s="700"/>
      <c r="VP32" s="700"/>
      <c r="VQ32" s="700"/>
      <c r="VR32" s="700"/>
      <c r="VS32" s="700"/>
      <c r="VT32" s="700"/>
      <c r="VU32" s="700"/>
      <c r="VV32" s="700"/>
      <c r="VW32" s="700"/>
      <c r="VX32" s="700"/>
      <c r="VY32" s="700"/>
      <c r="VZ32" s="700"/>
      <c r="WA32" s="700"/>
      <c r="WB32" s="700"/>
      <c r="WC32" s="700"/>
      <c r="WD32" s="700"/>
      <c r="WE32" s="700"/>
      <c r="WF32" s="700"/>
      <c r="WG32" s="700"/>
      <c r="WH32" s="700"/>
      <c r="WI32" s="700"/>
      <c r="WJ32" s="700"/>
      <c r="WK32" s="700"/>
      <c r="WL32" s="700"/>
      <c r="WM32" s="700"/>
      <c r="WN32" s="700"/>
      <c r="WO32" s="700"/>
      <c r="WP32" s="700"/>
      <c r="WQ32" s="700"/>
      <c r="WR32" s="700"/>
      <c r="WS32" s="700"/>
      <c r="WT32" s="700"/>
      <c r="WU32" s="700"/>
      <c r="WV32" s="700"/>
      <c r="WW32" s="700"/>
      <c r="WX32" s="700"/>
      <c r="WY32" s="700"/>
      <c r="WZ32" s="700"/>
      <c r="XA32" s="700"/>
      <c r="XB32" s="700"/>
      <c r="XC32" s="700"/>
      <c r="XD32" s="700"/>
      <c r="XE32" s="700"/>
      <c r="XF32" s="700"/>
      <c r="XG32" s="700"/>
      <c r="XH32" s="700"/>
      <c r="XI32" s="700"/>
      <c r="XJ32" s="700"/>
      <c r="XK32" s="700"/>
      <c r="XL32" s="700"/>
      <c r="XM32" s="700"/>
      <c r="XN32" s="700"/>
      <c r="XO32" s="700"/>
      <c r="XP32" s="700"/>
      <c r="XQ32" s="700"/>
      <c r="XR32" s="700"/>
      <c r="XS32" s="700"/>
      <c r="XT32" s="700"/>
      <c r="XU32" s="700"/>
      <c r="XV32" s="700"/>
      <c r="XW32" s="700"/>
      <c r="XX32" s="700"/>
      <c r="XY32" s="700"/>
      <c r="XZ32" s="700"/>
      <c r="YA32" s="700"/>
      <c r="YB32" s="700"/>
      <c r="YC32" s="700"/>
      <c r="YD32" s="700"/>
      <c r="YE32" s="700"/>
      <c r="YF32" s="700"/>
      <c r="YG32" s="700"/>
      <c r="YH32" s="700"/>
      <c r="YI32" s="700"/>
      <c r="YJ32" s="700"/>
      <c r="YK32" s="700"/>
      <c r="YL32" s="700"/>
      <c r="YM32" s="700"/>
      <c r="YN32" s="700"/>
      <c r="YO32" s="700"/>
      <c r="YP32" s="700"/>
      <c r="YQ32" s="700"/>
      <c r="YR32" s="700"/>
      <c r="YS32" s="700"/>
      <c r="YT32" s="700"/>
      <c r="YU32" s="700"/>
      <c r="YV32" s="700"/>
      <c r="YW32" s="700"/>
      <c r="YX32" s="700"/>
      <c r="YY32" s="700"/>
      <c r="YZ32" s="700"/>
      <c r="ZA32" s="700"/>
      <c r="ZB32" s="700"/>
      <c r="ZC32" s="700"/>
      <c r="ZD32" s="700"/>
      <c r="ZE32" s="700"/>
      <c r="ZF32" s="700"/>
      <c r="ZG32" s="700"/>
      <c r="ZH32" s="700"/>
      <c r="ZI32" s="700"/>
      <c r="ZJ32" s="700"/>
      <c r="ZK32" s="700"/>
      <c r="ZL32" s="700"/>
      <c r="ZM32" s="700"/>
      <c r="ZN32" s="700"/>
      <c r="ZO32" s="700"/>
      <c r="ZP32" s="700"/>
      <c r="ZQ32" s="700"/>
      <c r="ZR32" s="700"/>
      <c r="ZS32" s="700"/>
      <c r="ZT32" s="700"/>
      <c r="ZU32" s="700"/>
      <c r="ZV32" s="700"/>
      <c r="ZW32" s="700"/>
      <c r="ZX32" s="700"/>
      <c r="ZY32" s="700"/>
      <c r="ZZ32" s="700"/>
      <c r="AAA32" s="700"/>
      <c r="AAB32" s="700"/>
      <c r="AAC32" s="700"/>
      <c r="AAD32" s="700"/>
      <c r="AAE32" s="700"/>
      <c r="AAF32" s="700"/>
      <c r="AAG32" s="700"/>
      <c r="AAH32" s="700"/>
      <c r="AAI32" s="700"/>
      <c r="AAJ32" s="700"/>
      <c r="AAK32" s="700"/>
      <c r="AAL32" s="700"/>
      <c r="AAM32" s="700"/>
      <c r="AAN32" s="700"/>
      <c r="AAO32" s="700"/>
      <c r="AAP32" s="700"/>
      <c r="AAQ32" s="700"/>
      <c r="AAR32" s="700"/>
      <c r="AAS32" s="700"/>
      <c r="AAT32" s="700"/>
      <c r="AAU32" s="700"/>
      <c r="AAV32" s="700"/>
      <c r="AAW32" s="700"/>
      <c r="AAX32" s="700"/>
      <c r="AAY32" s="700"/>
      <c r="AAZ32" s="700"/>
      <c r="ABA32" s="700"/>
      <c r="ABB32" s="700"/>
      <c r="ABC32" s="700"/>
      <c r="ABD32" s="700"/>
      <c r="ABE32" s="700"/>
      <c r="ABF32" s="700"/>
      <c r="ABG32" s="700"/>
      <c r="ABH32" s="700"/>
      <c r="ABI32" s="700"/>
      <c r="ABJ32" s="700"/>
      <c r="ABK32" s="700"/>
      <c r="ABL32" s="700"/>
      <c r="ABM32" s="700"/>
      <c r="ABN32" s="700"/>
      <c r="ABO32" s="700"/>
      <c r="ABP32" s="700"/>
      <c r="ABQ32" s="700"/>
      <c r="ABR32" s="700"/>
      <c r="ABS32" s="700"/>
      <c r="ABT32" s="700"/>
      <c r="ABU32" s="700"/>
      <c r="ABV32" s="700"/>
      <c r="ABW32" s="700"/>
      <c r="ABX32" s="700"/>
      <c r="ABY32" s="700"/>
      <c r="ABZ32" s="700"/>
      <c r="ACA32" s="700"/>
      <c r="ACB32" s="700"/>
      <c r="ACC32" s="700"/>
      <c r="ACD32" s="700"/>
      <c r="ACE32" s="700"/>
      <c r="ACF32" s="700"/>
      <c r="ACG32" s="700"/>
      <c r="ACH32" s="700"/>
      <c r="ACI32" s="700"/>
      <c r="ACJ32" s="700"/>
      <c r="ACK32" s="700"/>
      <c r="ACL32" s="700"/>
      <c r="ACM32" s="700"/>
      <c r="ACN32" s="700"/>
      <c r="ACO32" s="700"/>
      <c r="ACP32" s="700"/>
      <c r="ACQ32" s="700"/>
      <c r="ACR32" s="700"/>
      <c r="ACS32" s="700"/>
      <c r="ACT32" s="700"/>
      <c r="ACU32" s="700"/>
      <c r="ACV32" s="700"/>
      <c r="ACW32" s="700"/>
      <c r="ACX32" s="700"/>
      <c r="ACY32" s="700"/>
      <c r="ACZ32" s="700"/>
      <c r="ADA32" s="700"/>
      <c r="ADB32" s="700"/>
      <c r="ADC32" s="700"/>
      <c r="ADD32" s="700"/>
      <c r="ADE32" s="700"/>
      <c r="ADF32" s="700"/>
      <c r="ADG32" s="700"/>
      <c r="ADH32" s="700"/>
      <c r="ADI32" s="700"/>
      <c r="ADJ32" s="700"/>
      <c r="ADK32" s="700"/>
      <c r="ADL32" s="700"/>
      <c r="ADM32" s="700"/>
      <c r="ADN32" s="700"/>
      <c r="ADO32" s="700"/>
      <c r="ADP32" s="700"/>
      <c r="ADQ32" s="700"/>
      <c r="ADR32" s="700"/>
      <c r="ADS32" s="700"/>
      <c r="ADT32" s="700"/>
      <c r="ADU32" s="700"/>
      <c r="ADV32" s="700"/>
      <c r="ADW32" s="700"/>
      <c r="ADX32" s="700"/>
      <c r="ADY32" s="700"/>
      <c r="ADZ32" s="700"/>
      <c r="AEA32" s="700"/>
      <c r="AEB32" s="700"/>
      <c r="AEC32" s="700"/>
      <c r="AED32" s="700"/>
      <c r="AEE32" s="700"/>
      <c r="AEF32" s="700"/>
      <c r="AEG32" s="700"/>
      <c r="AEH32" s="700"/>
      <c r="AEI32" s="700"/>
      <c r="AEJ32" s="700"/>
      <c r="AEK32" s="700"/>
      <c r="AEL32" s="700"/>
      <c r="AEM32" s="700"/>
      <c r="AEN32" s="700"/>
      <c r="AEO32" s="700"/>
      <c r="AEP32" s="700"/>
      <c r="AEQ32" s="700"/>
      <c r="AER32" s="700"/>
      <c r="AES32" s="700"/>
      <c r="AET32" s="700"/>
      <c r="AEU32" s="700"/>
      <c r="AEV32" s="700"/>
      <c r="AEW32" s="700"/>
      <c r="AEX32" s="700"/>
      <c r="AEY32" s="700"/>
      <c r="AEZ32" s="700"/>
      <c r="AFA32" s="700"/>
      <c r="AFB32" s="700"/>
      <c r="AFC32" s="700"/>
      <c r="AFD32" s="700"/>
      <c r="AFE32" s="700"/>
      <c r="AFF32" s="700"/>
      <c r="AFG32" s="700"/>
      <c r="AFH32" s="700"/>
      <c r="AFI32" s="700"/>
      <c r="AFJ32" s="700"/>
      <c r="AFK32" s="700"/>
      <c r="AFL32" s="700"/>
      <c r="AFM32" s="700"/>
      <c r="AFN32" s="700"/>
      <c r="AFO32" s="700"/>
      <c r="AFP32" s="700"/>
      <c r="AFQ32" s="700"/>
      <c r="AFR32" s="700"/>
      <c r="AFS32" s="700"/>
      <c r="AFT32" s="700"/>
      <c r="AFU32" s="700"/>
      <c r="AFV32" s="700"/>
      <c r="AFW32" s="700"/>
      <c r="AFX32" s="700"/>
      <c r="AFY32" s="700"/>
      <c r="AFZ32" s="700"/>
      <c r="AGA32" s="700"/>
      <c r="AGB32" s="700"/>
      <c r="AGC32" s="700"/>
      <c r="AGD32" s="700"/>
      <c r="AGE32" s="700"/>
      <c r="AGF32" s="700"/>
      <c r="AGG32" s="700"/>
      <c r="AGH32" s="700"/>
      <c r="AGI32" s="700"/>
      <c r="AGJ32" s="700"/>
      <c r="AGK32" s="700"/>
      <c r="AGL32" s="700"/>
      <c r="AGM32" s="700"/>
      <c r="AGN32" s="700"/>
      <c r="AGO32" s="700"/>
      <c r="AGP32" s="700"/>
      <c r="AGQ32" s="700"/>
      <c r="AGR32" s="700"/>
      <c r="AGS32" s="700"/>
      <c r="AGT32" s="700"/>
      <c r="AGU32" s="700"/>
      <c r="AGV32" s="700"/>
      <c r="AGW32" s="700"/>
      <c r="AGX32" s="700"/>
      <c r="AGY32" s="700"/>
      <c r="AGZ32" s="700"/>
      <c r="AHA32" s="700"/>
      <c r="AHB32" s="700"/>
      <c r="AHC32" s="700"/>
      <c r="AHD32" s="700"/>
      <c r="AHE32" s="700"/>
      <c r="AHF32" s="700"/>
      <c r="AHG32" s="700"/>
      <c r="AHH32" s="700"/>
      <c r="AHI32" s="700"/>
      <c r="AHJ32" s="700"/>
      <c r="AHK32" s="700"/>
      <c r="AHL32" s="700"/>
      <c r="AHM32" s="700"/>
      <c r="AHN32" s="700"/>
      <c r="AHO32" s="700"/>
      <c r="AHP32" s="700"/>
      <c r="AHQ32" s="700"/>
      <c r="AHR32" s="700"/>
      <c r="AHS32" s="700"/>
      <c r="AHT32" s="700"/>
      <c r="AHU32" s="700"/>
      <c r="AHV32" s="700"/>
      <c r="AHW32" s="700"/>
      <c r="AHX32" s="700"/>
      <c r="AHY32" s="700"/>
      <c r="AHZ32" s="700"/>
      <c r="AIA32" s="700"/>
      <c r="AIB32" s="700"/>
      <c r="AIC32" s="700"/>
      <c r="AID32" s="700"/>
      <c r="AIE32" s="700"/>
      <c r="AIF32" s="700"/>
      <c r="AIG32" s="700"/>
      <c r="AIH32" s="700"/>
      <c r="AII32" s="700"/>
      <c r="AIJ32" s="700"/>
      <c r="AIK32" s="700"/>
      <c r="AIL32" s="700"/>
      <c r="AIM32" s="700"/>
      <c r="AIN32" s="700"/>
      <c r="AIO32" s="700"/>
      <c r="AIP32" s="700"/>
      <c r="AIQ32" s="700"/>
      <c r="AIR32" s="700"/>
      <c r="AIS32" s="700"/>
      <c r="AIT32" s="700"/>
      <c r="AIU32" s="700"/>
      <c r="AIV32" s="700"/>
      <c r="AIW32" s="700"/>
      <c r="AIX32" s="700"/>
      <c r="AIY32" s="700"/>
      <c r="AIZ32" s="700"/>
      <c r="AJA32" s="700"/>
      <c r="AJB32" s="700"/>
      <c r="AJC32" s="700"/>
      <c r="AJD32" s="700"/>
      <c r="AJE32" s="700"/>
      <c r="AJF32" s="700"/>
      <c r="AJG32" s="700"/>
      <c r="AJH32" s="700"/>
      <c r="AJI32" s="700"/>
      <c r="AJJ32" s="700"/>
      <c r="AJK32" s="700"/>
      <c r="AJL32" s="700"/>
      <c r="AJM32" s="700"/>
      <c r="AJN32" s="700"/>
      <c r="AJO32" s="700"/>
      <c r="AJP32" s="700"/>
      <c r="AJQ32" s="700"/>
      <c r="AJR32" s="700"/>
      <c r="AJS32" s="700"/>
      <c r="AJT32" s="700"/>
      <c r="AJU32" s="700"/>
      <c r="AJV32" s="700"/>
      <c r="AJW32" s="700"/>
      <c r="AJX32" s="700"/>
      <c r="AJY32" s="700"/>
      <c r="AJZ32" s="700"/>
      <c r="AKA32" s="700"/>
      <c r="AKB32" s="700"/>
      <c r="AKC32" s="700"/>
      <c r="AKD32" s="700"/>
      <c r="AKE32" s="700"/>
      <c r="AKF32" s="700"/>
      <c r="AKG32" s="700"/>
      <c r="AKH32" s="700"/>
      <c r="AKI32" s="700"/>
      <c r="AKJ32" s="700"/>
      <c r="AKK32" s="700"/>
      <c r="AKL32" s="700"/>
      <c r="AKM32" s="700"/>
      <c r="AKN32" s="700"/>
      <c r="AKO32" s="700"/>
      <c r="AKP32" s="700"/>
      <c r="AKQ32" s="700"/>
      <c r="AKR32" s="700"/>
      <c r="AKS32" s="700"/>
      <c r="AKT32" s="700"/>
      <c r="AKU32" s="700"/>
      <c r="AKV32" s="700"/>
      <c r="AKW32" s="700"/>
      <c r="AKX32" s="700"/>
      <c r="AKY32" s="700"/>
      <c r="AKZ32" s="700"/>
      <c r="ALA32" s="700"/>
      <c r="ALB32" s="700"/>
      <c r="ALC32" s="700"/>
      <c r="ALD32" s="700"/>
      <c r="ALE32" s="700"/>
      <c r="ALF32" s="700"/>
      <c r="ALG32" s="700"/>
      <c r="ALH32" s="700"/>
      <c r="ALI32" s="700"/>
      <c r="ALJ32" s="700"/>
      <c r="ALK32" s="700"/>
      <c r="ALL32" s="700"/>
      <c r="ALM32" s="700"/>
      <c r="ALN32" s="700"/>
      <c r="ALO32" s="700"/>
      <c r="ALP32" s="700"/>
      <c r="ALQ32" s="700"/>
      <c r="ALR32" s="700"/>
      <c r="ALS32" s="700"/>
      <c r="ALT32" s="700"/>
      <c r="ALU32" s="700"/>
      <c r="ALV32" s="700"/>
      <c r="ALW32" s="700"/>
      <c r="ALX32" s="700"/>
      <c r="ALY32" s="700"/>
      <c r="ALZ32" s="700"/>
      <c r="AMA32" s="700"/>
      <c r="AMB32" s="700"/>
      <c r="AMC32" s="700"/>
      <c r="AMD32" s="700"/>
      <c r="AME32" s="700"/>
      <c r="AMF32" s="700"/>
      <c r="AMG32" s="700"/>
      <c r="AMH32" s="700"/>
      <c r="AMI32" s="700"/>
      <c r="AMJ32" s="700"/>
      <c r="AMK32" s="700"/>
      <c r="AML32" s="700"/>
      <c r="AMM32" s="700"/>
      <c r="AMN32" s="700"/>
      <c r="AMO32" s="700"/>
      <c r="AMP32" s="700"/>
      <c r="AMQ32" s="700"/>
      <c r="AMR32" s="700"/>
      <c r="AMS32" s="700"/>
      <c r="AMT32" s="700"/>
      <c r="AMU32" s="700"/>
      <c r="AMV32" s="700"/>
      <c r="AMW32" s="700"/>
      <c r="AMX32" s="700"/>
      <c r="AMY32" s="700"/>
      <c r="AMZ32" s="700"/>
      <c r="ANA32" s="700"/>
      <c r="ANB32" s="700"/>
      <c r="ANC32" s="700"/>
      <c r="AND32" s="700"/>
      <c r="ANE32" s="700"/>
      <c r="ANF32" s="700"/>
      <c r="ANG32" s="700"/>
      <c r="ANH32" s="700"/>
      <c r="ANI32" s="700"/>
      <c r="ANJ32" s="700"/>
      <c r="ANK32" s="700"/>
      <c r="ANL32" s="700"/>
      <c r="ANM32" s="700"/>
      <c r="ANN32" s="700"/>
      <c r="ANO32" s="700"/>
      <c r="ANP32" s="700"/>
      <c r="ANQ32" s="700"/>
      <c r="ANR32" s="700"/>
      <c r="ANS32" s="700"/>
      <c r="ANT32" s="700"/>
      <c r="ANU32" s="700"/>
      <c r="ANV32" s="700"/>
      <c r="ANW32" s="700"/>
      <c r="ANX32" s="700"/>
      <c r="ANY32" s="700"/>
      <c r="ANZ32" s="700"/>
      <c r="AOA32" s="700"/>
      <c r="AOB32" s="700"/>
      <c r="AOC32" s="700"/>
      <c r="AOD32" s="700"/>
      <c r="AOE32" s="700"/>
      <c r="AOF32" s="700"/>
      <c r="AOG32" s="700"/>
      <c r="AOH32" s="700"/>
      <c r="AOI32" s="700"/>
      <c r="AOJ32" s="700"/>
      <c r="AOK32" s="700"/>
      <c r="AOL32" s="700"/>
      <c r="AOM32" s="700"/>
      <c r="AON32" s="700"/>
      <c r="AOO32" s="700"/>
      <c r="AOP32" s="700"/>
      <c r="AOQ32" s="700"/>
      <c r="AOR32" s="700"/>
      <c r="AOS32" s="700"/>
      <c r="AOT32" s="700"/>
      <c r="AOU32" s="700"/>
      <c r="AOV32" s="700"/>
      <c r="AOW32" s="700"/>
      <c r="AOX32" s="700"/>
      <c r="AOY32" s="700"/>
      <c r="AOZ32" s="700"/>
      <c r="APA32" s="700"/>
      <c r="APB32" s="700"/>
      <c r="APC32" s="700"/>
      <c r="APD32" s="700"/>
      <c r="APE32" s="700"/>
      <c r="APF32" s="700"/>
      <c r="APG32" s="700"/>
      <c r="APH32" s="700"/>
      <c r="API32" s="700"/>
      <c r="APJ32" s="700"/>
      <c r="APK32" s="700"/>
      <c r="APL32" s="700"/>
      <c r="APM32" s="700"/>
      <c r="APN32" s="700"/>
      <c r="APO32" s="700"/>
      <c r="APP32" s="700"/>
      <c r="APQ32" s="700"/>
      <c r="APR32" s="700"/>
      <c r="APS32" s="700"/>
      <c r="APT32" s="700"/>
      <c r="APU32" s="700"/>
      <c r="APV32" s="700"/>
      <c r="APW32" s="700"/>
      <c r="APX32" s="700"/>
      <c r="APY32" s="700"/>
      <c r="APZ32" s="700"/>
      <c r="AQA32" s="700"/>
      <c r="AQB32" s="700"/>
      <c r="AQC32" s="700"/>
      <c r="AQD32" s="700"/>
      <c r="AQE32" s="700"/>
      <c r="AQF32" s="700"/>
      <c r="AQG32" s="700"/>
      <c r="AQH32" s="700"/>
      <c r="AQI32" s="700"/>
      <c r="AQJ32" s="700"/>
      <c r="AQK32" s="700"/>
      <c r="AQL32" s="700"/>
      <c r="AQM32" s="700"/>
      <c r="AQN32" s="700"/>
      <c r="AQO32" s="700"/>
      <c r="AQP32" s="700"/>
      <c r="AQQ32" s="700"/>
      <c r="AQR32" s="700"/>
      <c r="AQS32" s="700"/>
      <c r="AQT32" s="700"/>
      <c r="AQU32" s="700"/>
      <c r="AQV32" s="700"/>
      <c r="AQW32" s="700"/>
      <c r="AQX32" s="700"/>
      <c r="AQY32" s="700"/>
      <c r="AQZ32" s="700"/>
      <c r="ARA32" s="700"/>
      <c r="ARB32" s="700"/>
      <c r="ARC32" s="700"/>
      <c r="ARD32" s="700"/>
      <c r="ARE32" s="700"/>
      <c r="ARF32" s="700"/>
      <c r="ARG32" s="700"/>
      <c r="ARH32" s="700"/>
      <c r="ARI32" s="700"/>
      <c r="ARJ32" s="700"/>
      <c r="ARK32" s="700"/>
      <c r="ARL32" s="700"/>
      <c r="ARM32" s="700"/>
      <c r="ARN32" s="700"/>
      <c r="ARO32" s="700"/>
      <c r="ARP32" s="700"/>
      <c r="ARQ32" s="700"/>
      <c r="ARR32" s="700"/>
      <c r="ARS32" s="700"/>
      <c r="ART32" s="700"/>
      <c r="ARU32" s="700"/>
      <c r="ARV32" s="700"/>
      <c r="ARW32" s="700"/>
      <c r="ARX32" s="700"/>
      <c r="ARY32" s="700"/>
      <c r="ARZ32" s="700"/>
      <c r="ASA32" s="700"/>
      <c r="ASB32" s="700"/>
      <c r="ASC32" s="700"/>
      <c r="ASD32" s="700"/>
      <c r="ASE32" s="700"/>
      <c r="ASF32" s="700"/>
      <c r="ASG32" s="700"/>
      <c r="ASH32" s="700"/>
      <c r="ASI32" s="700"/>
      <c r="ASJ32" s="700"/>
      <c r="ASK32" s="700"/>
      <c r="ASL32" s="700"/>
      <c r="ASM32" s="700"/>
      <c r="ASN32" s="700"/>
      <c r="ASO32" s="700"/>
      <c r="ASP32" s="700"/>
      <c r="ASQ32" s="700"/>
      <c r="ASR32" s="700"/>
      <c r="ASS32" s="700"/>
      <c r="AST32" s="700"/>
      <c r="ASU32" s="700"/>
      <c r="ASV32" s="700"/>
      <c r="ASW32" s="700"/>
      <c r="ASX32" s="700"/>
      <c r="ASY32" s="700"/>
      <c r="ASZ32" s="700"/>
      <c r="ATA32" s="700"/>
      <c r="ATB32" s="700"/>
      <c r="ATC32" s="700"/>
      <c r="ATD32" s="700"/>
      <c r="ATE32" s="700"/>
      <c r="ATF32" s="700"/>
      <c r="ATG32" s="700"/>
      <c r="ATH32" s="700"/>
      <c r="ATI32" s="700"/>
      <c r="ATJ32" s="700"/>
      <c r="ATK32" s="700"/>
      <c r="ATL32" s="700"/>
      <c r="ATM32" s="700"/>
      <c r="ATN32" s="700"/>
      <c r="ATO32" s="700"/>
      <c r="ATP32" s="700"/>
      <c r="ATQ32" s="700"/>
      <c r="ATR32" s="700"/>
      <c r="ATS32" s="700"/>
      <c r="ATT32" s="700"/>
      <c r="ATU32" s="700"/>
      <c r="ATV32" s="700"/>
      <c r="ATW32" s="700"/>
      <c r="ATX32" s="700"/>
      <c r="ATY32" s="700"/>
      <c r="ATZ32" s="700"/>
      <c r="AUA32" s="700"/>
      <c r="AUB32" s="700"/>
      <c r="AUC32" s="700"/>
      <c r="AUD32" s="700"/>
      <c r="AUE32" s="700"/>
      <c r="AUF32" s="700"/>
      <c r="AUG32" s="700"/>
      <c r="AUH32" s="700"/>
      <c r="AUI32" s="700"/>
      <c r="AUJ32" s="700"/>
      <c r="AUK32" s="700"/>
      <c r="AUL32" s="700"/>
      <c r="AUM32" s="700"/>
      <c r="AUN32" s="700"/>
      <c r="AUO32" s="700"/>
      <c r="AUP32" s="700"/>
      <c r="AUQ32" s="700"/>
      <c r="AUR32" s="700"/>
      <c r="AUS32" s="700"/>
      <c r="AUT32" s="700"/>
      <c r="AUU32" s="700"/>
      <c r="AUV32" s="700"/>
      <c r="AUW32" s="700"/>
      <c r="AUX32" s="700"/>
      <c r="AUY32" s="700"/>
      <c r="AUZ32" s="700"/>
      <c r="AVA32" s="700"/>
      <c r="AVB32" s="700"/>
      <c r="AVC32" s="700"/>
      <c r="AVD32" s="700"/>
      <c r="AVE32" s="700"/>
      <c r="AVF32" s="700"/>
      <c r="AVG32" s="700"/>
      <c r="AVH32" s="700"/>
      <c r="AVI32" s="700"/>
      <c r="AVJ32" s="700"/>
      <c r="AVK32" s="700"/>
      <c r="AVL32" s="700"/>
      <c r="AVM32" s="700"/>
      <c r="AVN32" s="700"/>
      <c r="AVO32" s="700"/>
      <c r="AVP32" s="700"/>
      <c r="AVQ32" s="700"/>
      <c r="AVR32" s="700"/>
      <c r="AVS32" s="700"/>
      <c r="AVT32" s="700"/>
      <c r="AVU32" s="700"/>
      <c r="AVV32" s="700"/>
      <c r="AVW32" s="700"/>
      <c r="AVX32" s="700"/>
      <c r="AVY32" s="700"/>
      <c r="AVZ32" s="700"/>
      <c r="AWA32" s="700"/>
      <c r="AWB32" s="700"/>
      <c r="AWC32" s="700"/>
      <c r="AWD32" s="700"/>
      <c r="AWE32" s="700"/>
      <c r="AWF32" s="700"/>
      <c r="AWG32" s="700"/>
      <c r="AWH32" s="700"/>
      <c r="AWI32" s="700"/>
      <c r="AWJ32" s="700"/>
      <c r="AWK32" s="700"/>
      <c r="AWL32" s="700"/>
      <c r="AWM32" s="700"/>
      <c r="AWN32" s="700"/>
      <c r="AWO32" s="700"/>
      <c r="AWP32" s="700"/>
      <c r="AWQ32" s="700"/>
      <c r="AWR32" s="700"/>
      <c r="AWS32" s="700"/>
      <c r="AWT32" s="700"/>
      <c r="AWU32" s="700"/>
      <c r="AWV32" s="700"/>
      <c r="AWW32" s="700"/>
      <c r="AWX32" s="700"/>
      <c r="AWY32" s="700"/>
      <c r="AWZ32" s="700"/>
      <c r="AXA32" s="700"/>
      <c r="AXB32" s="700"/>
      <c r="AXC32" s="700"/>
      <c r="AXD32" s="700"/>
      <c r="AXE32" s="700"/>
      <c r="AXF32" s="700"/>
      <c r="AXG32" s="700"/>
      <c r="AXH32" s="700"/>
      <c r="AXI32" s="700"/>
      <c r="AXJ32" s="700"/>
      <c r="AXK32" s="700"/>
      <c r="AXL32" s="700"/>
      <c r="AXM32" s="700"/>
      <c r="AXN32" s="700"/>
      <c r="AXO32" s="700"/>
      <c r="AXP32" s="700"/>
      <c r="AXQ32" s="700"/>
      <c r="AXR32" s="700"/>
      <c r="AXS32" s="700"/>
      <c r="AXT32" s="700"/>
      <c r="AXU32" s="700"/>
      <c r="AXV32" s="700"/>
      <c r="AXW32" s="700"/>
      <c r="AXX32" s="700"/>
      <c r="AXY32" s="700"/>
      <c r="AXZ32" s="700"/>
      <c r="AYA32" s="700"/>
      <c r="AYB32" s="700"/>
      <c r="AYC32" s="700"/>
      <c r="AYD32" s="700"/>
      <c r="AYE32" s="700"/>
      <c r="AYF32" s="700"/>
      <c r="AYG32" s="700"/>
      <c r="AYH32" s="700"/>
      <c r="AYI32" s="700"/>
      <c r="AYJ32" s="700"/>
      <c r="AYK32" s="700"/>
      <c r="AYL32" s="700"/>
      <c r="AYM32" s="700"/>
      <c r="AYN32" s="700"/>
      <c r="AYO32" s="700"/>
      <c r="AYP32" s="700"/>
      <c r="AYQ32" s="700"/>
      <c r="AYR32" s="700"/>
      <c r="AYS32" s="700"/>
      <c r="AYT32" s="700"/>
      <c r="AYU32" s="700"/>
      <c r="AYV32" s="700"/>
      <c r="AYW32" s="700"/>
      <c r="AYX32" s="700"/>
      <c r="AYY32" s="700"/>
      <c r="AYZ32" s="700"/>
      <c r="AZA32" s="700"/>
      <c r="AZB32" s="700"/>
      <c r="AZC32" s="700"/>
      <c r="AZD32" s="700"/>
      <c r="AZE32" s="700"/>
      <c r="AZF32" s="700"/>
      <c r="AZG32" s="700"/>
      <c r="AZH32" s="700"/>
      <c r="AZI32" s="700"/>
      <c r="AZJ32" s="700"/>
      <c r="AZK32" s="700"/>
      <c r="AZL32" s="700"/>
      <c r="AZM32" s="700"/>
      <c r="AZN32" s="700"/>
      <c r="AZO32" s="700"/>
      <c r="AZP32" s="700"/>
      <c r="AZQ32" s="700"/>
      <c r="AZR32" s="700"/>
      <c r="AZS32" s="700"/>
      <c r="AZT32" s="700"/>
      <c r="AZU32" s="700"/>
      <c r="AZV32" s="700"/>
      <c r="AZW32" s="700"/>
      <c r="AZX32" s="700"/>
      <c r="AZY32" s="700"/>
      <c r="AZZ32" s="700"/>
      <c r="BAA32" s="700"/>
      <c r="BAB32" s="700"/>
      <c r="BAC32" s="700"/>
      <c r="BAD32" s="700"/>
      <c r="BAE32" s="700"/>
      <c r="BAF32" s="700"/>
      <c r="BAG32" s="700"/>
      <c r="BAH32" s="700"/>
      <c r="BAI32" s="700"/>
      <c r="BAJ32" s="700"/>
      <c r="BAK32" s="700"/>
      <c r="BAL32" s="700"/>
      <c r="BAM32" s="700"/>
      <c r="BAN32" s="700"/>
      <c r="BAO32" s="700"/>
      <c r="BAP32" s="700"/>
      <c r="BAQ32" s="700"/>
      <c r="BAR32" s="700"/>
      <c r="BAS32" s="700"/>
      <c r="BAT32" s="700"/>
      <c r="BAU32" s="700"/>
      <c r="BAV32" s="700"/>
      <c r="BAW32" s="700"/>
      <c r="BAX32" s="700"/>
      <c r="BAY32" s="700"/>
      <c r="BAZ32" s="700"/>
      <c r="BBA32" s="700"/>
      <c r="BBB32" s="700"/>
      <c r="BBC32" s="700"/>
      <c r="BBD32" s="700"/>
      <c r="BBE32" s="700"/>
      <c r="BBF32" s="700"/>
      <c r="BBG32" s="700"/>
      <c r="BBH32" s="700"/>
      <c r="BBI32" s="700"/>
      <c r="BBJ32" s="700"/>
      <c r="BBK32" s="700"/>
      <c r="BBL32" s="700"/>
      <c r="BBM32" s="700"/>
      <c r="BBN32" s="700"/>
      <c r="BBO32" s="700"/>
      <c r="BBP32" s="700"/>
      <c r="BBQ32" s="700"/>
      <c r="BBR32" s="700"/>
      <c r="BBS32" s="700"/>
      <c r="BBT32" s="700"/>
      <c r="BBU32" s="700"/>
      <c r="BBV32" s="700"/>
      <c r="BBW32" s="700"/>
      <c r="BBX32" s="700"/>
      <c r="BBY32" s="700"/>
      <c r="BBZ32" s="700"/>
      <c r="BCA32" s="700"/>
      <c r="BCB32" s="700"/>
      <c r="BCC32" s="700"/>
      <c r="BCD32" s="700"/>
      <c r="BCE32" s="700"/>
      <c r="BCF32" s="700"/>
      <c r="BCG32" s="700"/>
      <c r="BCH32" s="700"/>
      <c r="BCI32" s="700"/>
      <c r="BCJ32" s="700"/>
      <c r="BCK32" s="700"/>
      <c r="BCL32" s="700"/>
      <c r="BCM32" s="700"/>
      <c r="BCN32" s="700"/>
      <c r="BCO32" s="700"/>
      <c r="BCP32" s="700"/>
      <c r="BCQ32" s="700"/>
      <c r="BCR32" s="700"/>
      <c r="BCS32" s="700"/>
      <c r="BCT32" s="700"/>
      <c r="BCU32" s="700"/>
      <c r="BCV32" s="700"/>
      <c r="BCW32" s="700"/>
      <c r="BCX32" s="700"/>
      <c r="BCY32" s="700"/>
      <c r="BCZ32" s="700"/>
      <c r="BDA32" s="700"/>
      <c r="BDB32" s="700"/>
      <c r="BDC32" s="700"/>
      <c r="BDD32" s="700"/>
      <c r="BDE32" s="700"/>
      <c r="BDF32" s="700"/>
      <c r="BDG32" s="700"/>
      <c r="BDH32" s="700"/>
      <c r="BDI32" s="700"/>
      <c r="BDJ32" s="700"/>
      <c r="BDK32" s="700"/>
      <c r="BDL32" s="700"/>
      <c r="BDM32" s="700"/>
      <c r="BDN32" s="700"/>
      <c r="BDO32" s="700"/>
      <c r="BDP32" s="700"/>
      <c r="BDQ32" s="700"/>
      <c r="BDR32" s="700"/>
      <c r="BDS32" s="700"/>
      <c r="BDT32" s="700"/>
      <c r="BDU32" s="700"/>
      <c r="BDV32" s="700"/>
      <c r="BDW32" s="700"/>
      <c r="BDX32" s="700"/>
      <c r="BDY32" s="700"/>
      <c r="BDZ32" s="700"/>
      <c r="BEA32" s="700"/>
      <c r="BEB32" s="700"/>
      <c r="BEC32" s="700"/>
      <c r="BED32" s="700"/>
      <c r="BEE32" s="700"/>
      <c r="BEF32" s="700"/>
      <c r="BEG32" s="700"/>
      <c r="BEH32" s="700"/>
      <c r="BEI32" s="700"/>
      <c r="BEJ32" s="700"/>
      <c r="BEK32" s="700"/>
      <c r="BEL32" s="700"/>
      <c r="BEM32" s="700"/>
      <c r="BEN32" s="700"/>
      <c r="BEO32" s="700"/>
      <c r="BEP32" s="700"/>
      <c r="BEQ32" s="700"/>
      <c r="BER32" s="700"/>
      <c r="BES32" s="700"/>
      <c r="BET32" s="700"/>
      <c r="BEU32" s="700"/>
      <c r="BEV32" s="700"/>
      <c r="BEW32" s="700"/>
      <c r="BEX32" s="700"/>
      <c r="BEY32" s="700"/>
      <c r="BEZ32" s="700"/>
      <c r="BFA32" s="700"/>
      <c r="BFB32" s="700"/>
      <c r="BFC32" s="700"/>
      <c r="BFD32" s="700"/>
      <c r="BFE32" s="700"/>
      <c r="BFF32" s="700"/>
      <c r="BFG32" s="700"/>
      <c r="BFH32" s="700"/>
      <c r="BFI32" s="700"/>
      <c r="BFJ32" s="700"/>
      <c r="BFK32" s="700"/>
      <c r="BFL32" s="700"/>
      <c r="BFM32" s="700"/>
      <c r="BFN32" s="700"/>
      <c r="BFO32" s="700"/>
      <c r="BFP32" s="700"/>
      <c r="BFQ32" s="700"/>
      <c r="BFR32" s="700"/>
      <c r="BFS32" s="700"/>
      <c r="BFT32" s="700"/>
      <c r="BFU32" s="700"/>
      <c r="BFV32" s="700"/>
      <c r="BFW32" s="700"/>
      <c r="BFX32" s="700"/>
      <c r="BFY32" s="700"/>
      <c r="BFZ32" s="700"/>
      <c r="BGA32" s="700"/>
      <c r="BGB32" s="700"/>
      <c r="BGC32" s="700"/>
      <c r="BGD32" s="700"/>
      <c r="BGE32" s="700"/>
      <c r="BGF32" s="700"/>
      <c r="BGG32" s="700"/>
      <c r="BGH32" s="700"/>
      <c r="BGI32" s="700"/>
      <c r="BGJ32" s="700"/>
      <c r="BGK32" s="700"/>
      <c r="BGL32" s="700"/>
      <c r="BGM32" s="700"/>
      <c r="BGN32" s="700"/>
      <c r="BGO32" s="700"/>
      <c r="BGP32" s="700"/>
      <c r="BGQ32" s="700"/>
      <c r="BGR32" s="700"/>
      <c r="BGS32" s="700"/>
      <c r="BGT32" s="700"/>
      <c r="BGU32" s="700"/>
      <c r="BGV32" s="700"/>
      <c r="BGW32" s="700"/>
      <c r="BGX32" s="700"/>
      <c r="BGY32" s="700"/>
      <c r="BGZ32" s="700"/>
      <c r="BHA32" s="700"/>
      <c r="BHB32" s="700"/>
      <c r="BHC32" s="700"/>
      <c r="BHD32" s="700"/>
      <c r="BHE32" s="700"/>
      <c r="BHF32" s="700"/>
      <c r="BHG32" s="700"/>
      <c r="BHH32" s="700"/>
      <c r="BHI32" s="700"/>
      <c r="BHJ32" s="700"/>
      <c r="BHK32" s="700"/>
      <c r="BHL32" s="700"/>
      <c r="BHM32" s="700"/>
      <c r="BHN32" s="700"/>
      <c r="BHO32" s="700"/>
      <c r="BHP32" s="700"/>
      <c r="BHQ32" s="700"/>
      <c r="BHR32" s="700"/>
      <c r="BHS32" s="700"/>
      <c r="BHT32" s="700"/>
      <c r="BHU32" s="700"/>
      <c r="BHV32" s="700"/>
      <c r="BHW32" s="700"/>
      <c r="BHX32" s="700"/>
      <c r="BHY32" s="700"/>
      <c r="BHZ32" s="700"/>
      <c r="BIA32" s="700"/>
      <c r="BIB32" s="700"/>
      <c r="BIC32" s="700"/>
      <c r="BID32" s="700"/>
      <c r="BIE32" s="700"/>
      <c r="BIF32" s="700"/>
      <c r="BIG32" s="700"/>
      <c r="BIH32" s="700"/>
      <c r="BII32" s="700"/>
      <c r="BIJ32" s="700"/>
      <c r="BIK32" s="700"/>
      <c r="BIL32" s="700"/>
      <c r="BIM32" s="700"/>
      <c r="BIN32" s="700"/>
      <c r="BIO32" s="700"/>
      <c r="BIP32" s="700"/>
      <c r="BIQ32" s="700"/>
      <c r="BIR32" s="700"/>
      <c r="BIS32" s="700"/>
      <c r="BIT32" s="700"/>
      <c r="BIU32" s="700"/>
      <c r="BIV32" s="700"/>
      <c r="BIW32" s="700"/>
      <c r="BIX32" s="700"/>
      <c r="BIY32" s="700"/>
      <c r="BIZ32" s="700"/>
      <c r="BJA32" s="700"/>
      <c r="BJB32" s="700"/>
      <c r="BJC32" s="700"/>
      <c r="BJD32" s="700"/>
      <c r="BJE32" s="700"/>
      <c r="BJF32" s="700"/>
      <c r="BJG32" s="700"/>
      <c r="BJH32" s="700"/>
      <c r="BJI32" s="700"/>
      <c r="BJJ32" s="700"/>
      <c r="BJK32" s="700"/>
      <c r="BJL32" s="700"/>
      <c r="BJM32" s="700"/>
      <c r="BJN32" s="700"/>
      <c r="BJO32" s="700"/>
      <c r="BJP32" s="700"/>
      <c r="BJQ32" s="700"/>
      <c r="BJR32" s="700"/>
      <c r="BJS32" s="700"/>
      <c r="BJT32" s="700"/>
      <c r="BJU32" s="700"/>
      <c r="BJV32" s="700"/>
      <c r="BJW32" s="700"/>
      <c r="BJX32" s="700"/>
      <c r="BJY32" s="700"/>
      <c r="BJZ32" s="700"/>
      <c r="BKA32" s="700"/>
      <c r="BKB32" s="700"/>
      <c r="BKC32" s="700"/>
      <c r="BKD32" s="700"/>
      <c r="BKE32" s="700"/>
      <c r="BKF32" s="700"/>
      <c r="BKG32" s="700"/>
      <c r="BKH32" s="700"/>
      <c r="BKI32" s="700"/>
      <c r="BKJ32" s="700"/>
      <c r="BKK32" s="700"/>
      <c r="BKL32" s="700"/>
      <c r="BKM32" s="700"/>
      <c r="BKN32" s="700"/>
      <c r="BKO32" s="700"/>
      <c r="BKP32" s="700"/>
      <c r="BKQ32" s="700"/>
      <c r="BKR32" s="700"/>
      <c r="BKS32" s="700"/>
      <c r="BKT32" s="700"/>
      <c r="BKU32" s="700"/>
      <c r="BKV32" s="700"/>
      <c r="BKW32" s="700"/>
      <c r="BKX32" s="700"/>
      <c r="BKY32" s="700"/>
      <c r="BKZ32" s="700"/>
      <c r="BLA32" s="700"/>
      <c r="BLB32" s="700"/>
      <c r="BLC32" s="700"/>
      <c r="BLD32" s="700"/>
      <c r="BLE32" s="700"/>
      <c r="BLF32" s="700"/>
      <c r="BLG32" s="700"/>
      <c r="BLH32" s="700"/>
      <c r="BLI32" s="700"/>
      <c r="BLJ32" s="700"/>
      <c r="BLK32" s="700"/>
      <c r="BLL32" s="700"/>
      <c r="BLM32" s="700"/>
      <c r="BLN32" s="700"/>
      <c r="BLO32" s="700"/>
      <c r="BLP32" s="700"/>
      <c r="BLQ32" s="700"/>
      <c r="BLR32" s="700"/>
      <c r="BLS32" s="700"/>
      <c r="BLT32" s="700"/>
      <c r="BLU32" s="700"/>
      <c r="BLV32" s="700"/>
      <c r="BLW32" s="700"/>
      <c r="BLX32" s="700"/>
      <c r="BLY32" s="700"/>
      <c r="BLZ32" s="700"/>
      <c r="BMA32" s="700"/>
      <c r="BMB32" s="700"/>
      <c r="BMC32" s="700"/>
      <c r="BMD32" s="700"/>
      <c r="BME32" s="700"/>
      <c r="BMF32" s="700"/>
      <c r="BMG32" s="700"/>
      <c r="BMH32" s="700"/>
      <c r="BMI32" s="700"/>
      <c r="BMJ32" s="700"/>
      <c r="BMK32" s="700"/>
      <c r="BML32" s="700"/>
      <c r="BMM32" s="700"/>
      <c r="BMN32" s="700"/>
      <c r="BMO32" s="700"/>
      <c r="BMP32" s="700"/>
      <c r="BMQ32" s="700"/>
      <c r="BMR32" s="700"/>
      <c r="BMS32" s="700"/>
      <c r="BMT32" s="700"/>
      <c r="BMU32" s="700"/>
      <c r="BMV32" s="700"/>
      <c r="BMW32" s="700"/>
      <c r="BMX32" s="700"/>
      <c r="BMY32" s="700"/>
      <c r="BMZ32" s="700"/>
      <c r="BNA32" s="700"/>
      <c r="BNB32" s="700"/>
      <c r="BNC32" s="700"/>
      <c r="BND32" s="700"/>
      <c r="BNE32" s="700"/>
      <c r="BNF32" s="700"/>
      <c r="BNG32" s="700"/>
      <c r="BNH32" s="700"/>
      <c r="BNI32" s="700"/>
      <c r="BNJ32" s="700"/>
      <c r="BNK32" s="700"/>
      <c r="BNL32" s="700"/>
      <c r="BNM32" s="700"/>
      <c r="BNN32" s="700"/>
      <c r="BNO32" s="700"/>
      <c r="BNP32" s="700"/>
      <c r="BNQ32" s="700"/>
      <c r="BNR32" s="700"/>
      <c r="BNS32" s="700"/>
      <c r="BNT32" s="700"/>
      <c r="BNU32" s="700"/>
      <c r="BNV32" s="700"/>
      <c r="BNW32" s="700"/>
      <c r="BNX32" s="700"/>
      <c r="BNY32" s="700"/>
      <c r="BNZ32" s="700"/>
      <c r="BOA32" s="700"/>
      <c r="BOB32" s="700"/>
      <c r="BOC32" s="700"/>
      <c r="BOD32" s="700"/>
      <c r="BOE32" s="700"/>
      <c r="BOF32" s="700"/>
      <c r="BOG32" s="700"/>
      <c r="BOH32" s="700"/>
      <c r="BOI32" s="700"/>
      <c r="BOJ32" s="700"/>
      <c r="BOK32" s="700"/>
      <c r="BOL32" s="700"/>
      <c r="BOM32" s="700"/>
      <c r="BON32" s="700"/>
      <c r="BOO32" s="700"/>
      <c r="BOP32" s="700"/>
      <c r="BOQ32" s="700"/>
      <c r="BOR32" s="700"/>
      <c r="BOS32" s="700"/>
      <c r="BOT32" s="700"/>
      <c r="BOU32" s="700"/>
      <c r="BOV32" s="700"/>
      <c r="BOW32" s="700"/>
      <c r="BOX32" s="700"/>
      <c r="BOY32" s="700"/>
      <c r="BOZ32" s="700"/>
      <c r="BPA32" s="700"/>
      <c r="BPB32" s="700"/>
      <c r="BPC32" s="700"/>
      <c r="BPD32" s="700"/>
      <c r="BPE32" s="700"/>
      <c r="BPF32" s="700"/>
      <c r="BPG32" s="700"/>
      <c r="BPH32" s="700"/>
      <c r="BPI32" s="700"/>
      <c r="BPJ32" s="700"/>
      <c r="BPK32" s="700"/>
      <c r="BPL32" s="700"/>
      <c r="BPM32" s="700"/>
      <c r="BPN32" s="700"/>
      <c r="BPO32" s="700"/>
      <c r="BPP32" s="700"/>
      <c r="BPQ32" s="700"/>
      <c r="BPR32" s="700"/>
      <c r="BPS32" s="700"/>
      <c r="BPT32" s="700"/>
      <c r="BPU32" s="700"/>
      <c r="BPV32" s="700"/>
      <c r="BPW32" s="700"/>
      <c r="BPX32" s="700"/>
      <c r="BPY32" s="700"/>
      <c r="BPZ32" s="700"/>
      <c r="BQA32" s="700"/>
      <c r="BQB32" s="700"/>
      <c r="BQC32" s="700"/>
      <c r="BQD32" s="700"/>
      <c r="BQE32" s="700"/>
      <c r="BQF32" s="700"/>
      <c r="BQG32" s="700"/>
      <c r="BQH32" s="700"/>
      <c r="BQI32" s="700"/>
      <c r="BQJ32" s="700"/>
      <c r="BQK32" s="700"/>
      <c r="BQL32" s="700"/>
      <c r="BQM32" s="700"/>
      <c r="BQN32" s="700"/>
      <c r="BQO32" s="700"/>
      <c r="BQP32" s="700"/>
      <c r="BQQ32" s="700"/>
      <c r="BQR32" s="700"/>
      <c r="BQS32" s="700"/>
      <c r="BQT32" s="700"/>
      <c r="BQU32" s="700"/>
      <c r="BQV32" s="700"/>
      <c r="BQW32" s="700"/>
      <c r="BQX32" s="700"/>
      <c r="BQY32" s="700"/>
      <c r="BQZ32" s="700"/>
      <c r="BRA32" s="700"/>
      <c r="BRB32" s="700"/>
      <c r="BRC32" s="700"/>
      <c r="BRD32" s="700"/>
      <c r="BRE32" s="700"/>
      <c r="BRF32" s="700"/>
      <c r="BRG32" s="700"/>
      <c r="BRH32" s="700"/>
      <c r="BRI32" s="700"/>
      <c r="BRJ32" s="700"/>
      <c r="BRK32" s="700"/>
      <c r="BRL32" s="700"/>
      <c r="BRM32" s="700"/>
      <c r="BRN32" s="700"/>
      <c r="BRO32" s="700"/>
      <c r="BRP32" s="700"/>
      <c r="BRQ32" s="700"/>
      <c r="BRR32" s="700"/>
      <c r="BRS32" s="700"/>
      <c r="BRT32" s="700"/>
      <c r="BRU32" s="700"/>
      <c r="BRV32" s="700"/>
      <c r="BRW32" s="700"/>
      <c r="BRX32" s="700"/>
      <c r="BRY32" s="700"/>
      <c r="BRZ32" s="700"/>
      <c r="BSA32" s="700"/>
      <c r="BSB32" s="700"/>
      <c r="BSC32" s="700"/>
      <c r="BSD32" s="700"/>
      <c r="BSE32" s="700"/>
      <c r="BSF32" s="700"/>
      <c r="BSG32" s="700"/>
      <c r="BSH32" s="700"/>
      <c r="BSI32" s="700"/>
      <c r="BSJ32" s="700"/>
      <c r="BSK32" s="700"/>
      <c r="BSL32" s="700"/>
      <c r="BSM32" s="700"/>
      <c r="BSN32" s="700"/>
      <c r="BSO32" s="700"/>
      <c r="BSP32" s="700"/>
      <c r="BSQ32" s="700"/>
      <c r="BSR32" s="700"/>
      <c r="BSS32" s="700"/>
      <c r="BST32" s="700"/>
      <c r="BSU32" s="700"/>
      <c r="BSV32" s="700"/>
      <c r="BSW32" s="700"/>
      <c r="BSX32" s="700"/>
      <c r="BSY32" s="700"/>
      <c r="BSZ32" s="700"/>
      <c r="BTA32" s="700"/>
      <c r="BTB32" s="700"/>
      <c r="BTC32" s="700"/>
      <c r="BTD32" s="700"/>
      <c r="BTE32" s="700"/>
      <c r="BTF32" s="700"/>
      <c r="BTG32" s="700"/>
      <c r="BTH32" s="700"/>
      <c r="BTI32" s="700"/>
      <c r="BTJ32" s="700"/>
      <c r="BTK32" s="700"/>
      <c r="BTL32" s="700"/>
      <c r="BTM32" s="700"/>
      <c r="BTN32" s="700"/>
      <c r="BTO32" s="700"/>
      <c r="BTP32" s="700"/>
      <c r="BTQ32" s="700"/>
      <c r="BTR32" s="700"/>
      <c r="BTS32" s="700"/>
      <c r="BTT32" s="700"/>
      <c r="BTU32" s="700"/>
      <c r="BTV32" s="700"/>
      <c r="BTW32" s="700"/>
      <c r="BTX32" s="700"/>
      <c r="BTY32" s="700"/>
      <c r="BTZ32" s="700"/>
      <c r="BUA32" s="700"/>
      <c r="BUB32" s="700"/>
      <c r="BUC32" s="700"/>
      <c r="BUD32" s="700"/>
      <c r="BUE32" s="700"/>
      <c r="BUF32" s="700"/>
      <c r="BUG32" s="700"/>
      <c r="BUH32" s="700"/>
      <c r="BUI32" s="700"/>
      <c r="BUJ32" s="700"/>
      <c r="BUK32" s="700"/>
      <c r="BUL32" s="700"/>
      <c r="BUM32" s="700"/>
      <c r="BUN32" s="700"/>
      <c r="BUO32" s="700"/>
      <c r="BUP32" s="700"/>
      <c r="BUQ32" s="700"/>
      <c r="BUR32" s="700"/>
      <c r="BUS32" s="700"/>
      <c r="BUT32" s="700"/>
      <c r="BUU32" s="700"/>
      <c r="BUV32" s="700"/>
      <c r="BUW32" s="700"/>
      <c r="BUX32" s="700"/>
      <c r="BUY32" s="700"/>
      <c r="BUZ32" s="700"/>
      <c r="BVA32" s="700"/>
      <c r="BVB32" s="700"/>
      <c r="BVC32" s="700"/>
      <c r="BVD32" s="700"/>
      <c r="BVE32" s="700"/>
      <c r="BVF32" s="700"/>
      <c r="BVG32" s="700"/>
      <c r="BVH32" s="700"/>
      <c r="BVI32" s="700"/>
      <c r="BVJ32" s="700"/>
      <c r="BVK32" s="700"/>
      <c r="BVL32" s="700"/>
      <c r="BVM32" s="700"/>
      <c r="BVN32" s="700"/>
      <c r="BVO32" s="700"/>
      <c r="BVP32" s="700"/>
      <c r="BVQ32" s="700"/>
      <c r="BVR32" s="700"/>
      <c r="BVS32" s="700"/>
      <c r="BVT32" s="700"/>
      <c r="BVU32" s="700"/>
      <c r="BVV32" s="700"/>
      <c r="BVW32" s="700"/>
      <c r="BVX32" s="700"/>
      <c r="BVY32" s="700"/>
      <c r="BVZ32" s="700"/>
      <c r="BWA32" s="700"/>
      <c r="BWB32" s="700"/>
      <c r="BWC32" s="700"/>
      <c r="BWD32" s="700"/>
      <c r="BWE32" s="700"/>
      <c r="BWF32" s="700"/>
      <c r="BWG32" s="700"/>
      <c r="BWH32" s="700"/>
      <c r="BWI32" s="700"/>
      <c r="BWJ32" s="700"/>
      <c r="BWK32" s="700"/>
      <c r="BWL32" s="700"/>
      <c r="BWM32" s="700"/>
      <c r="BWN32" s="700"/>
      <c r="BWO32" s="700"/>
      <c r="BWP32" s="700"/>
      <c r="BWQ32" s="700"/>
      <c r="BWR32" s="700"/>
      <c r="BWS32" s="700"/>
      <c r="BWT32" s="700"/>
      <c r="BWU32" s="700"/>
      <c r="BWV32" s="700"/>
      <c r="BWW32" s="700"/>
      <c r="BWX32" s="700"/>
      <c r="BWY32" s="700"/>
      <c r="BWZ32" s="700"/>
      <c r="BXA32" s="700"/>
      <c r="BXB32" s="700"/>
      <c r="BXC32" s="700"/>
      <c r="BXD32" s="700"/>
      <c r="BXE32" s="700"/>
      <c r="BXF32" s="700"/>
      <c r="BXG32" s="700"/>
      <c r="BXH32" s="700"/>
      <c r="BXI32" s="700"/>
      <c r="BXJ32" s="700"/>
      <c r="BXK32" s="700"/>
      <c r="BXL32" s="700"/>
      <c r="BXM32" s="700"/>
      <c r="BXN32" s="700"/>
      <c r="BXO32" s="700"/>
      <c r="BXP32" s="700"/>
      <c r="BXQ32" s="700"/>
      <c r="BXR32" s="700"/>
      <c r="BXS32" s="700"/>
      <c r="BXT32" s="700"/>
      <c r="BXU32" s="700"/>
      <c r="BXV32" s="700"/>
      <c r="BXW32" s="700"/>
      <c r="BXX32" s="700"/>
      <c r="BXY32" s="700"/>
      <c r="BXZ32" s="700"/>
    </row>
    <row r="33" spans="1:2002" ht="15">
      <c r="A33" s="717"/>
      <c r="B33" s="706"/>
      <c r="C33" s="739" t="s">
        <v>54</v>
      </c>
      <c r="D33" s="740">
        <f>SUM(D29:D32)</f>
        <v>3159000</v>
      </c>
      <c r="E33" s="740">
        <f t="shared" ref="E33:H33" si="13">SUM(E29:E32)</f>
        <v>2513000</v>
      </c>
      <c r="F33" s="740">
        <f t="shared" si="13"/>
        <v>2324000</v>
      </c>
      <c r="G33" s="740">
        <f t="shared" si="13"/>
        <v>2944000</v>
      </c>
      <c r="H33" s="740">
        <f t="shared" si="13"/>
        <v>5226000</v>
      </c>
      <c r="I33" s="740"/>
      <c r="J33" s="740"/>
      <c r="K33" s="740"/>
      <c r="L33" s="740"/>
      <c r="M33" s="740"/>
      <c r="N33" s="726"/>
      <c r="O33" s="726"/>
      <c r="P33" s="726"/>
      <c r="Q33" s="726"/>
      <c r="R33" s="726"/>
      <c r="S33" s="712"/>
      <c r="T33" s="700"/>
      <c r="U33" s="700"/>
      <c r="V33" s="700"/>
      <c r="W33" s="700"/>
      <c r="X33" s="700"/>
      <c r="Y33" s="700"/>
      <c r="Z33" s="700"/>
      <c r="AA33" s="700"/>
      <c r="AB33" s="700"/>
      <c r="AC33" s="700"/>
      <c r="AD33" s="700"/>
      <c r="AE33" s="700"/>
      <c r="AF33" s="700"/>
      <c r="AG33" s="700"/>
      <c r="AH33" s="700"/>
      <c r="AI33" s="700"/>
      <c r="AJ33" s="700"/>
      <c r="AK33" s="700"/>
      <c r="AL33" s="700"/>
      <c r="AM33" s="700"/>
      <c r="AN33" s="700"/>
      <c r="AO33" s="700"/>
      <c r="AP33" s="700"/>
      <c r="AQ33" s="700"/>
      <c r="AR33" s="700"/>
      <c r="AS33" s="700"/>
      <c r="AT33" s="700"/>
      <c r="AU33" s="700"/>
      <c r="AV33" s="700"/>
      <c r="AW33" s="700"/>
      <c r="AX33" s="700"/>
      <c r="AY33" s="700"/>
      <c r="AZ33" s="700"/>
      <c r="BA33" s="700"/>
      <c r="BB33" s="700"/>
      <c r="BC33" s="700"/>
      <c r="BD33" s="700"/>
      <c r="BE33" s="700"/>
      <c r="BF33" s="700"/>
      <c r="BG33" s="700"/>
      <c r="BH33" s="700"/>
      <c r="BI33" s="700"/>
      <c r="BJ33" s="700"/>
      <c r="BK33" s="700"/>
      <c r="BL33" s="700"/>
      <c r="BM33" s="700"/>
      <c r="BN33" s="700"/>
      <c r="BO33" s="700"/>
      <c r="BP33" s="700"/>
      <c r="BQ33" s="700"/>
      <c r="BR33" s="700"/>
      <c r="BS33" s="700"/>
      <c r="BT33" s="700"/>
      <c r="BU33" s="700"/>
      <c r="BV33" s="700"/>
      <c r="BW33" s="700"/>
      <c r="BX33" s="700"/>
      <c r="BY33" s="700"/>
      <c r="BZ33" s="700"/>
      <c r="CA33" s="700"/>
      <c r="CB33" s="700"/>
      <c r="CC33" s="700"/>
      <c r="CD33" s="700"/>
      <c r="CE33" s="700"/>
      <c r="CF33" s="700"/>
      <c r="CG33" s="700"/>
      <c r="CH33" s="700"/>
      <c r="CI33" s="700"/>
      <c r="CJ33" s="700"/>
      <c r="CK33" s="700"/>
      <c r="CL33" s="700"/>
      <c r="CM33" s="700"/>
      <c r="CN33" s="700"/>
      <c r="CO33" s="700"/>
      <c r="CP33" s="700"/>
      <c r="CQ33" s="700"/>
      <c r="CR33" s="700"/>
      <c r="CS33" s="700"/>
      <c r="CT33" s="700"/>
      <c r="CU33" s="700"/>
      <c r="CV33" s="700"/>
      <c r="CW33" s="700"/>
      <c r="CX33" s="700"/>
      <c r="CY33" s="700"/>
      <c r="CZ33" s="700"/>
      <c r="DA33" s="700"/>
      <c r="DB33" s="700"/>
      <c r="DC33" s="700"/>
      <c r="DD33" s="700"/>
      <c r="DE33" s="700"/>
      <c r="DF33" s="700"/>
      <c r="DG33" s="700"/>
      <c r="DH33" s="700"/>
      <c r="DI33" s="700"/>
      <c r="DJ33" s="700"/>
      <c r="DK33" s="700"/>
      <c r="DL33" s="700"/>
      <c r="DM33" s="700"/>
      <c r="DN33" s="700"/>
      <c r="DO33" s="700"/>
      <c r="DP33" s="700"/>
      <c r="DQ33" s="700"/>
      <c r="DR33" s="700"/>
      <c r="DS33" s="700"/>
      <c r="DT33" s="700"/>
      <c r="DU33" s="700"/>
      <c r="DV33" s="700"/>
      <c r="DW33" s="700"/>
      <c r="DX33" s="700"/>
      <c r="DY33" s="700"/>
      <c r="DZ33" s="700"/>
      <c r="EA33" s="700"/>
      <c r="EB33" s="700"/>
      <c r="EC33" s="700"/>
      <c r="ED33" s="700"/>
      <c r="EE33" s="700"/>
      <c r="EF33" s="700"/>
      <c r="EG33" s="700"/>
      <c r="EH33" s="700"/>
      <c r="EI33" s="700"/>
      <c r="EJ33" s="700"/>
      <c r="EK33" s="700"/>
      <c r="EL33" s="700"/>
      <c r="EM33" s="700"/>
      <c r="EN33" s="700"/>
      <c r="EO33" s="700"/>
      <c r="EP33" s="700"/>
      <c r="EQ33" s="700"/>
      <c r="ER33" s="700"/>
      <c r="ES33" s="700"/>
      <c r="ET33" s="700"/>
      <c r="EU33" s="700"/>
      <c r="EV33" s="700"/>
      <c r="EW33" s="700"/>
      <c r="EX33" s="700"/>
      <c r="EY33" s="700"/>
      <c r="EZ33" s="700"/>
      <c r="FA33" s="700"/>
      <c r="FB33" s="700"/>
      <c r="FC33" s="700"/>
      <c r="FD33" s="700"/>
      <c r="FE33" s="700"/>
      <c r="FF33" s="700"/>
      <c r="FG33" s="700"/>
      <c r="FH33" s="700"/>
      <c r="FI33" s="700"/>
      <c r="FJ33" s="700"/>
      <c r="FK33" s="700"/>
      <c r="FL33" s="700"/>
      <c r="FM33" s="700"/>
      <c r="FN33" s="700"/>
      <c r="FO33" s="700"/>
      <c r="FP33" s="700"/>
      <c r="FQ33" s="700"/>
      <c r="FR33" s="700"/>
      <c r="FS33" s="700"/>
      <c r="FT33" s="700"/>
      <c r="FU33" s="700"/>
      <c r="FV33" s="700"/>
      <c r="FW33" s="700"/>
      <c r="FX33" s="700"/>
      <c r="FY33" s="700"/>
      <c r="FZ33" s="700"/>
      <c r="GA33" s="700"/>
      <c r="GB33" s="700"/>
      <c r="GC33" s="700"/>
      <c r="GD33" s="700"/>
      <c r="GE33" s="700"/>
      <c r="GF33" s="700"/>
      <c r="GG33" s="700"/>
      <c r="GH33" s="700"/>
      <c r="GI33" s="700"/>
      <c r="GJ33" s="700"/>
      <c r="GK33" s="700"/>
      <c r="GL33" s="700"/>
      <c r="GM33" s="700"/>
      <c r="GN33" s="700"/>
      <c r="GO33" s="700"/>
      <c r="GP33" s="700"/>
      <c r="GQ33" s="700"/>
      <c r="GR33" s="700"/>
      <c r="GS33" s="700"/>
      <c r="GT33" s="700"/>
      <c r="GU33" s="700"/>
      <c r="GV33" s="700"/>
      <c r="GW33" s="700"/>
      <c r="GX33" s="700"/>
      <c r="GY33" s="700"/>
      <c r="GZ33" s="700"/>
      <c r="HA33" s="700"/>
      <c r="HB33" s="700"/>
      <c r="HC33" s="700"/>
      <c r="HD33" s="700"/>
      <c r="HE33" s="700"/>
      <c r="HF33" s="700"/>
      <c r="HG33" s="700"/>
      <c r="HH33" s="700"/>
      <c r="HI33" s="700"/>
      <c r="HJ33" s="700"/>
      <c r="HK33" s="700"/>
      <c r="HL33" s="700"/>
      <c r="HM33" s="700"/>
      <c r="HN33" s="700"/>
      <c r="HO33" s="700"/>
      <c r="HP33" s="700"/>
      <c r="HQ33" s="700"/>
      <c r="HR33" s="700"/>
      <c r="HS33" s="700"/>
      <c r="HT33" s="700"/>
      <c r="HU33" s="700"/>
      <c r="HV33" s="700"/>
      <c r="HW33" s="700"/>
      <c r="HX33" s="700"/>
      <c r="HY33" s="700"/>
      <c r="HZ33" s="700"/>
      <c r="IA33" s="700"/>
      <c r="IB33" s="700"/>
      <c r="IC33" s="700"/>
      <c r="ID33" s="700"/>
      <c r="IE33" s="700"/>
      <c r="IF33" s="700"/>
      <c r="IG33" s="700"/>
      <c r="IH33" s="700"/>
      <c r="II33" s="700"/>
      <c r="IJ33" s="700"/>
      <c r="IK33" s="700"/>
      <c r="IL33" s="700"/>
      <c r="IM33" s="700"/>
      <c r="IN33" s="700"/>
      <c r="IO33" s="700"/>
      <c r="IP33" s="700"/>
      <c r="IQ33" s="700"/>
      <c r="IR33" s="700"/>
      <c r="IS33" s="700"/>
      <c r="IT33" s="700"/>
      <c r="IU33" s="700"/>
      <c r="IV33" s="700"/>
      <c r="IW33" s="700"/>
      <c r="IX33" s="700"/>
      <c r="IY33" s="700"/>
      <c r="IZ33" s="700"/>
      <c r="JA33" s="700"/>
      <c r="JB33" s="700"/>
      <c r="JC33" s="700"/>
      <c r="JD33" s="700"/>
      <c r="JE33" s="700"/>
      <c r="JF33" s="700"/>
      <c r="JG33" s="700"/>
      <c r="JH33" s="700"/>
      <c r="JI33" s="700"/>
      <c r="JJ33" s="700"/>
      <c r="JK33" s="700"/>
      <c r="JL33" s="700"/>
      <c r="JM33" s="700"/>
      <c r="JN33" s="700"/>
      <c r="JO33" s="700"/>
      <c r="JP33" s="700"/>
      <c r="JQ33" s="700"/>
      <c r="JR33" s="700"/>
      <c r="JS33" s="700"/>
      <c r="JT33" s="700"/>
      <c r="JU33" s="700"/>
      <c r="JV33" s="700"/>
      <c r="JW33" s="700"/>
      <c r="JX33" s="700"/>
      <c r="JY33" s="700"/>
      <c r="JZ33" s="700"/>
      <c r="KA33" s="700"/>
      <c r="KB33" s="700"/>
      <c r="KC33" s="700"/>
      <c r="KD33" s="700"/>
      <c r="KE33" s="700"/>
      <c r="KF33" s="700"/>
      <c r="KG33" s="700"/>
      <c r="KH33" s="700"/>
      <c r="KI33" s="700"/>
      <c r="KJ33" s="700"/>
      <c r="KK33" s="700"/>
      <c r="KL33" s="700"/>
      <c r="KM33" s="700"/>
      <c r="KN33" s="700"/>
      <c r="KO33" s="700"/>
      <c r="KP33" s="700"/>
      <c r="KQ33" s="700"/>
      <c r="KR33" s="700"/>
      <c r="KS33" s="700"/>
      <c r="KT33" s="700"/>
      <c r="KU33" s="700"/>
      <c r="KV33" s="700"/>
      <c r="KW33" s="700"/>
      <c r="KX33" s="700"/>
      <c r="KY33" s="700"/>
      <c r="KZ33" s="700"/>
      <c r="LA33" s="700"/>
      <c r="LB33" s="700"/>
      <c r="LC33" s="700"/>
      <c r="LD33" s="700"/>
      <c r="LE33" s="700"/>
      <c r="LF33" s="700"/>
      <c r="LG33" s="700"/>
      <c r="LH33" s="700"/>
      <c r="LI33" s="700"/>
      <c r="LJ33" s="700"/>
      <c r="LK33" s="700"/>
      <c r="LL33" s="700"/>
      <c r="LM33" s="700"/>
      <c r="LN33" s="700"/>
      <c r="LO33" s="700"/>
      <c r="LP33" s="700"/>
      <c r="LQ33" s="700"/>
      <c r="LR33" s="700"/>
      <c r="LS33" s="700"/>
      <c r="LT33" s="700"/>
      <c r="LU33" s="700"/>
      <c r="LV33" s="700"/>
      <c r="LW33" s="700"/>
      <c r="LX33" s="700"/>
      <c r="LY33" s="700"/>
      <c r="LZ33" s="700"/>
      <c r="MA33" s="700"/>
      <c r="MB33" s="700"/>
      <c r="MC33" s="700"/>
      <c r="MD33" s="700"/>
      <c r="ME33" s="700"/>
      <c r="MF33" s="700"/>
      <c r="MG33" s="700"/>
      <c r="MH33" s="700"/>
      <c r="MI33" s="700"/>
      <c r="MJ33" s="700"/>
      <c r="MK33" s="700"/>
      <c r="ML33" s="700"/>
      <c r="MM33" s="700"/>
      <c r="MN33" s="700"/>
      <c r="MO33" s="700"/>
      <c r="MP33" s="700"/>
      <c r="MQ33" s="700"/>
      <c r="MR33" s="700"/>
      <c r="MS33" s="700"/>
      <c r="MT33" s="700"/>
      <c r="MU33" s="700"/>
      <c r="MV33" s="700"/>
      <c r="MW33" s="700"/>
      <c r="MX33" s="700"/>
      <c r="MY33" s="700"/>
      <c r="MZ33" s="700"/>
      <c r="NA33" s="700"/>
      <c r="NB33" s="700"/>
      <c r="NC33" s="700"/>
      <c r="ND33" s="700"/>
      <c r="NE33" s="700"/>
      <c r="NF33" s="700"/>
      <c r="NG33" s="700"/>
      <c r="NH33" s="700"/>
      <c r="NI33" s="700"/>
      <c r="NJ33" s="700"/>
      <c r="NK33" s="700"/>
      <c r="NL33" s="700"/>
      <c r="NM33" s="700"/>
      <c r="NN33" s="700"/>
      <c r="NO33" s="700"/>
      <c r="NP33" s="700"/>
      <c r="NQ33" s="700"/>
      <c r="NR33" s="700"/>
      <c r="NS33" s="700"/>
      <c r="NT33" s="700"/>
      <c r="NU33" s="700"/>
      <c r="NV33" s="700"/>
      <c r="NW33" s="700"/>
      <c r="NX33" s="700"/>
      <c r="NY33" s="700"/>
      <c r="NZ33" s="700"/>
      <c r="OA33" s="700"/>
      <c r="OB33" s="700"/>
      <c r="OC33" s="700"/>
      <c r="OD33" s="700"/>
      <c r="OE33" s="700"/>
      <c r="OF33" s="700"/>
      <c r="OG33" s="700"/>
      <c r="OH33" s="700"/>
      <c r="OI33" s="700"/>
      <c r="OJ33" s="700"/>
      <c r="OK33" s="700"/>
      <c r="OL33" s="700"/>
      <c r="OM33" s="700"/>
      <c r="ON33" s="700"/>
      <c r="OO33" s="700"/>
      <c r="OP33" s="700"/>
      <c r="OQ33" s="700"/>
      <c r="OR33" s="700"/>
      <c r="OS33" s="700"/>
      <c r="OT33" s="700"/>
      <c r="OU33" s="700"/>
      <c r="OV33" s="700"/>
      <c r="OW33" s="700"/>
      <c r="OX33" s="700"/>
      <c r="OY33" s="700"/>
      <c r="OZ33" s="700"/>
      <c r="PA33" s="700"/>
      <c r="PB33" s="700"/>
      <c r="PC33" s="700"/>
      <c r="PD33" s="700"/>
      <c r="PE33" s="700"/>
      <c r="PF33" s="700"/>
      <c r="PG33" s="700"/>
      <c r="PH33" s="700"/>
      <c r="PI33" s="700"/>
      <c r="PJ33" s="700"/>
      <c r="PK33" s="700"/>
      <c r="PL33" s="700"/>
      <c r="PM33" s="700"/>
      <c r="PN33" s="700"/>
      <c r="PO33" s="700"/>
      <c r="PP33" s="700"/>
      <c r="PQ33" s="700"/>
      <c r="PR33" s="700"/>
      <c r="PS33" s="700"/>
      <c r="PT33" s="700"/>
      <c r="PU33" s="700"/>
      <c r="PV33" s="700"/>
      <c r="PW33" s="700"/>
      <c r="PX33" s="700"/>
      <c r="PY33" s="700"/>
      <c r="PZ33" s="700"/>
      <c r="QA33" s="700"/>
      <c r="QB33" s="700"/>
      <c r="QC33" s="700"/>
      <c r="QD33" s="700"/>
      <c r="QE33" s="700"/>
      <c r="QF33" s="700"/>
      <c r="QG33" s="700"/>
      <c r="QH33" s="700"/>
      <c r="QI33" s="700"/>
      <c r="QJ33" s="700"/>
      <c r="QK33" s="700"/>
      <c r="QL33" s="700"/>
      <c r="QM33" s="700"/>
      <c r="QN33" s="700"/>
      <c r="QO33" s="700"/>
      <c r="QP33" s="700"/>
      <c r="QQ33" s="700"/>
      <c r="QR33" s="700"/>
      <c r="QS33" s="700"/>
      <c r="QT33" s="700"/>
      <c r="QU33" s="700"/>
      <c r="QV33" s="700"/>
      <c r="QW33" s="700"/>
      <c r="QX33" s="700"/>
      <c r="QY33" s="700"/>
      <c r="QZ33" s="700"/>
      <c r="RA33" s="700"/>
      <c r="RB33" s="700"/>
      <c r="RC33" s="700"/>
      <c r="RD33" s="700"/>
      <c r="RE33" s="700"/>
      <c r="RF33" s="700"/>
      <c r="RG33" s="700"/>
      <c r="RH33" s="700"/>
      <c r="RI33" s="700"/>
      <c r="RJ33" s="700"/>
      <c r="RK33" s="700"/>
      <c r="RL33" s="700"/>
      <c r="RM33" s="700"/>
      <c r="RN33" s="700"/>
      <c r="RO33" s="700"/>
      <c r="RP33" s="700"/>
      <c r="RQ33" s="700"/>
      <c r="RR33" s="700"/>
      <c r="RS33" s="700"/>
      <c r="RT33" s="700"/>
      <c r="RU33" s="700"/>
      <c r="RV33" s="700"/>
      <c r="RW33" s="700"/>
      <c r="RX33" s="700"/>
      <c r="RY33" s="700"/>
      <c r="RZ33" s="700"/>
      <c r="SA33" s="700"/>
      <c r="SB33" s="700"/>
      <c r="SC33" s="700"/>
      <c r="SD33" s="700"/>
      <c r="SE33" s="700"/>
      <c r="SF33" s="700"/>
      <c r="SG33" s="700"/>
      <c r="SH33" s="700"/>
      <c r="SI33" s="700"/>
      <c r="SJ33" s="700"/>
      <c r="SK33" s="700"/>
      <c r="SL33" s="700"/>
      <c r="SM33" s="700"/>
      <c r="SN33" s="700"/>
      <c r="SO33" s="700"/>
      <c r="SP33" s="700"/>
      <c r="SQ33" s="700"/>
      <c r="SR33" s="700"/>
      <c r="SS33" s="700"/>
      <c r="ST33" s="700"/>
      <c r="SU33" s="700"/>
      <c r="SV33" s="700"/>
      <c r="SW33" s="700"/>
      <c r="SX33" s="700"/>
      <c r="SY33" s="700"/>
      <c r="SZ33" s="700"/>
      <c r="TA33" s="700"/>
      <c r="TB33" s="700"/>
      <c r="TC33" s="700"/>
      <c r="TD33" s="700"/>
      <c r="TE33" s="700"/>
      <c r="TF33" s="700"/>
      <c r="TG33" s="700"/>
      <c r="TH33" s="700"/>
      <c r="TI33" s="700"/>
      <c r="TJ33" s="700"/>
      <c r="TK33" s="700"/>
      <c r="TL33" s="700"/>
      <c r="TM33" s="700"/>
      <c r="TN33" s="700"/>
      <c r="TO33" s="700"/>
      <c r="TP33" s="700"/>
      <c r="TQ33" s="700"/>
      <c r="TR33" s="700"/>
      <c r="TS33" s="700"/>
      <c r="TT33" s="700"/>
      <c r="TU33" s="700"/>
      <c r="TV33" s="700"/>
      <c r="TW33" s="700"/>
      <c r="TX33" s="700"/>
      <c r="TY33" s="700"/>
      <c r="TZ33" s="700"/>
      <c r="UA33" s="700"/>
      <c r="UB33" s="700"/>
      <c r="UC33" s="700"/>
      <c r="UD33" s="700"/>
      <c r="UE33" s="700"/>
      <c r="UF33" s="700"/>
      <c r="UG33" s="700"/>
      <c r="UH33" s="700"/>
      <c r="UI33" s="700"/>
      <c r="UJ33" s="700"/>
      <c r="UK33" s="700"/>
      <c r="UL33" s="700"/>
      <c r="UM33" s="700"/>
      <c r="UN33" s="700"/>
      <c r="UO33" s="700"/>
      <c r="UP33" s="700"/>
      <c r="UQ33" s="700"/>
      <c r="UR33" s="700"/>
      <c r="US33" s="700"/>
      <c r="UT33" s="700"/>
      <c r="UU33" s="700"/>
      <c r="UV33" s="700"/>
      <c r="UW33" s="700"/>
      <c r="UX33" s="700"/>
      <c r="UY33" s="700"/>
      <c r="UZ33" s="700"/>
      <c r="VA33" s="700"/>
      <c r="VB33" s="700"/>
      <c r="VC33" s="700"/>
      <c r="VD33" s="700"/>
      <c r="VE33" s="700"/>
      <c r="VF33" s="700"/>
      <c r="VG33" s="700"/>
      <c r="VH33" s="700"/>
      <c r="VI33" s="700"/>
      <c r="VJ33" s="700"/>
      <c r="VK33" s="700"/>
      <c r="VL33" s="700"/>
      <c r="VM33" s="700"/>
      <c r="VN33" s="700"/>
      <c r="VO33" s="700"/>
      <c r="VP33" s="700"/>
      <c r="VQ33" s="700"/>
      <c r="VR33" s="700"/>
      <c r="VS33" s="700"/>
      <c r="VT33" s="700"/>
      <c r="VU33" s="700"/>
      <c r="VV33" s="700"/>
      <c r="VW33" s="700"/>
      <c r="VX33" s="700"/>
      <c r="VY33" s="700"/>
      <c r="VZ33" s="700"/>
      <c r="WA33" s="700"/>
      <c r="WB33" s="700"/>
      <c r="WC33" s="700"/>
      <c r="WD33" s="700"/>
      <c r="WE33" s="700"/>
      <c r="WF33" s="700"/>
      <c r="WG33" s="700"/>
      <c r="WH33" s="700"/>
      <c r="WI33" s="700"/>
      <c r="WJ33" s="700"/>
      <c r="WK33" s="700"/>
      <c r="WL33" s="700"/>
      <c r="WM33" s="700"/>
      <c r="WN33" s="700"/>
      <c r="WO33" s="700"/>
      <c r="WP33" s="700"/>
      <c r="WQ33" s="700"/>
      <c r="WR33" s="700"/>
      <c r="WS33" s="700"/>
      <c r="WT33" s="700"/>
      <c r="WU33" s="700"/>
      <c r="WV33" s="700"/>
      <c r="WW33" s="700"/>
      <c r="WX33" s="700"/>
      <c r="WY33" s="700"/>
      <c r="WZ33" s="700"/>
      <c r="XA33" s="700"/>
      <c r="XB33" s="700"/>
      <c r="XC33" s="700"/>
      <c r="XD33" s="700"/>
      <c r="XE33" s="700"/>
      <c r="XF33" s="700"/>
      <c r="XG33" s="700"/>
      <c r="XH33" s="700"/>
      <c r="XI33" s="700"/>
      <c r="XJ33" s="700"/>
      <c r="XK33" s="700"/>
      <c r="XL33" s="700"/>
      <c r="XM33" s="700"/>
      <c r="XN33" s="700"/>
      <c r="XO33" s="700"/>
      <c r="XP33" s="700"/>
      <c r="XQ33" s="700"/>
      <c r="XR33" s="700"/>
      <c r="XS33" s="700"/>
      <c r="XT33" s="700"/>
      <c r="XU33" s="700"/>
      <c r="XV33" s="700"/>
      <c r="XW33" s="700"/>
      <c r="XX33" s="700"/>
      <c r="XY33" s="700"/>
      <c r="XZ33" s="700"/>
      <c r="YA33" s="700"/>
      <c r="YB33" s="700"/>
      <c r="YC33" s="700"/>
      <c r="YD33" s="700"/>
      <c r="YE33" s="700"/>
      <c r="YF33" s="700"/>
      <c r="YG33" s="700"/>
      <c r="YH33" s="700"/>
      <c r="YI33" s="700"/>
      <c r="YJ33" s="700"/>
      <c r="YK33" s="700"/>
      <c r="YL33" s="700"/>
      <c r="YM33" s="700"/>
      <c r="YN33" s="700"/>
      <c r="YO33" s="700"/>
      <c r="YP33" s="700"/>
      <c r="YQ33" s="700"/>
      <c r="YR33" s="700"/>
      <c r="YS33" s="700"/>
      <c r="YT33" s="700"/>
      <c r="YU33" s="700"/>
      <c r="YV33" s="700"/>
      <c r="YW33" s="700"/>
      <c r="YX33" s="700"/>
      <c r="YY33" s="700"/>
      <c r="YZ33" s="700"/>
      <c r="ZA33" s="700"/>
      <c r="ZB33" s="700"/>
      <c r="ZC33" s="700"/>
      <c r="ZD33" s="700"/>
      <c r="ZE33" s="700"/>
      <c r="ZF33" s="700"/>
      <c r="ZG33" s="700"/>
      <c r="ZH33" s="700"/>
      <c r="ZI33" s="700"/>
      <c r="ZJ33" s="700"/>
      <c r="ZK33" s="700"/>
      <c r="ZL33" s="700"/>
      <c r="ZM33" s="700"/>
      <c r="ZN33" s="700"/>
      <c r="ZO33" s="700"/>
      <c r="ZP33" s="700"/>
      <c r="ZQ33" s="700"/>
      <c r="ZR33" s="700"/>
      <c r="ZS33" s="700"/>
      <c r="ZT33" s="700"/>
      <c r="ZU33" s="700"/>
      <c r="ZV33" s="700"/>
      <c r="ZW33" s="700"/>
      <c r="ZX33" s="700"/>
      <c r="ZY33" s="700"/>
      <c r="ZZ33" s="700"/>
      <c r="AAA33" s="700"/>
      <c r="AAB33" s="700"/>
      <c r="AAC33" s="700"/>
      <c r="AAD33" s="700"/>
      <c r="AAE33" s="700"/>
      <c r="AAF33" s="700"/>
      <c r="AAG33" s="700"/>
      <c r="AAH33" s="700"/>
      <c r="AAI33" s="700"/>
      <c r="AAJ33" s="700"/>
      <c r="AAK33" s="700"/>
      <c r="AAL33" s="700"/>
      <c r="AAM33" s="700"/>
      <c r="AAN33" s="700"/>
      <c r="AAO33" s="700"/>
      <c r="AAP33" s="700"/>
      <c r="AAQ33" s="700"/>
      <c r="AAR33" s="700"/>
      <c r="AAS33" s="700"/>
      <c r="AAT33" s="700"/>
      <c r="AAU33" s="700"/>
      <c r="AAV33" s="700"/>
      <c r="AAW33" s="700"/>
      <c r="AAX33" s="700"/>
      <c r="AAY33" s="700"/>
      <c r="AAZ33" s="700"/>
      <c r="ABA33" s="700"/>
      <c r="ABB33" s="700"/>
      <c r="ABC33" s="700"/>
      <c r="ABD33" s="700"/>
      <c r="ABE33" s="700"/>
      <c r="ABF33" s="700"/>
      <c r="ABG33" s="700"/>
      <c r="ABH33" s="700"/>
      <c r="ABI33" s="700"/>
      <c r="ABJ33" s="700"/>
      <c r="ABK33" s="700"/>
      <c r="ABL33" s="700"/>
      <c r="ABM33" s="700"/>
      <c r="ABN33" s="700"/>
      <c r="ABO33" s="700"/>
      <c r="ABP33" s="700"/>
      <c r="ABQ33" s="700"/>
      <c r="ABR33" s="700"/>
      <c r="ABS33" s="700"/>
      <c r="ABT33" s="700"/>
      <c r="ABU33" s="700"/>
      <c r="ABV33" s="700"/>
      <c r="ABW33" s="700"/>
      <c r="ABX33" s="700"/>
      <c r="ABY33" s="700"/>
      <c r="ABZ33" s="700"/>
      <c r="ACA33" s="700"/>
      <c r="ACB33" s="700"/>
      <c r="ACC33" s="700"/>
      <c r="ACD33" s="700"/>
      <c r="ACE33" s="700"/>
      <c r="ACF33" s="700"/>
      <c r="ACG33" s="700"/>
      <c r="ACH33" s="700"/>
      <c r="ACI33" s="700"/>
      <c r="ACJ33" s="700"/>
      <c r="ACK33" s="700"/>
      <c r="ACL33" s="700"/>
      <c r="ACM33" s="700"/>
      <c r="ACN33" s="700"/>
      <c r="ACO33" s="700"/>
      <c r="ACP33" s="700"/>
      <c r="ACQ33" s="700"/>
      <c r="ACR33" s="700"/>
      <c r="ACS33" s="700"/>
      <c r="ACT33" s="700"/>
      <c r="ACU33" s="700"/>
      <c r="ACV33" s="700"/>
      <c r="ACW33" s="700"/>
      <c r="ACX33" s="700"/>
      <c r="ACY33" s="700"/>
      <c r="ACZ33" s="700"/>
      <c r="ADA33" s="700"/>
      <c r="ADB33" s="700"/>
      <c r="ADC33" s="700"/>
      <c r="ADD33" s="700"/>
      <c r="ADE33" s="700"/>
      <c r="ADF33" s="700"/>
      <c r="ADG33" s="700"/>
      <c r="ADH33" s="700"/>
      <c r="ADI33" s="700"/>
      <c r="ADJ33" s="700"/>
      <c r="ADK33" s="700"/>
      <c r="ADL33" s="700"/>
      <c r="ADM33" s="700"/>
      <c r="ADN33" s="700"/>
      <c r="ADO33" s="700"/>
      <c r="ADP33" s="700"/>
      <c r="ADQ33" s="700"/>
      <c r="ADR33" s="700"/>
      <c r="ADS33" s="700"/>
      <c r="ADT33" s="700"/>
      <c r="ADU33" s="700"/>
      <c r="ADV33" s="700"/>
      <c r="ADW33" s="700"/>
      <c r="ADX33" s="700"/>
      <c r="ADY33" s="700"/>
      <c r="ADZ33" s="700"/>
      <c r="AEA33" s="700"/>
      <c r="AEB33" s="700"/>
      <c r="AEC33" s="700"/>
      <c r="AED33" s="700"/>
      <c r="AEE33" s="700"/>
      <c r="AEF33" s="700"/>
      <c r="AEG33" s="700"/>
      <c r="AEH33" s="700"/>
      <c r="AEI33" s="700"/>
      <c r="AEJ33" s="700"/>
      <c r="AEK33" s="700"/>
      <c r="AEL33" s="700"/>
      <c r="AEM33" s="700"/>
      <c r="AEN33" s="700"/>
      <c r="AEO33" s="700"/>
      <c r="AEP33" s="700"/>
      <c r="AEQ33" s="700"/>
      <c r="AER33" s="700"/>
      <c r="AES33" s="700"/>
      <c r="AET33" s="700"/>
      <c r="AEU33" s="700"/>
      <c r="AEV33" s="700"/>
      <c r="AEW33" s="700"/>
      <c r="AEX33" s="700"/>
      <c r="AEY33" s="700"/>
      <c r="AEZ33" s="700"/>
      <c r="AFA33" s="700"/>
      <c r="AFB33" s="700"/>
      <c r="AFC33" s="700"/>
      <c r="AFD33" s="700"/>
      <c r="AFE33" s="700"/>
      <c r="AFF33" s="700"/>
      <c r="AFG33" s="700"/>
      <c r="AFH33" s="700"/>
      <c r="AFI33" s="700"/>
      <c r="AFJ33" s="700"/>
      <c r="AFK33" s="700"/>
      <c r="AFL33" s="700"/>
      <c r="AFM33" s="700"/>
      <c r="AFN33" s="700"/>
      <c r="AFO33" s="700"/>
      <c r="AFP33" s="700"/>
      <c r="AFQ33" s="700"/>
      <c r="AFR33" s="700"/>
      <c r="AFS33" s="700"/>
      <c r="AFT33" s="700"/>
      <c r="AFU33" s="700"/>
      <c r="AFV33" s="700"/>
      <c r="AFW33" s="700"/>
      <c r="AFX33" s="700"/>
      <c r="AFY33" s="700"/>
      <c r="AFZ33" s="700"/>
      <c r="AGA33" s="700"/>
      <c r="AGB33" s="700"/>
      <c r="AGC33" s="700"/>
      <c r="AGD33" s="700"/>
      <c r="AGE33" s="700"/>
      <c r="AGF33" s="700"/>
      <c r="AGG33" s="700"/>
      <c r="AGH33" s="700"/>
      <c r="AGI33" s="700"/>
      <c r="AGJ33" s="700"/>
      <c r="AGK33" s="700"/>
      <c r="AGL33" s="700"/>
      <c r="AGM33" s="700"/>
      <c r="AGN33" s="700"/>
      <c r="AGO33" s="700"/>
      <c r="AGP33" s="700"/>
      <c r="AGQ33" s="700"/>
      <c r="AGR33" s="700"/>
      <c r="AGS33" s="700"/>
      <c r="AGT33" s="700"/>
      <c r="AGU33" s="700"/>
      <c r="AGV33" s="700"/>
      <c r="AGW33" s="700"/>
      <c r="AGX33" s="700"/>
      <c r="AGY33" s="700"/>
      <c r="AGZ33" s="700"/>
      <c r="AHA33" s="700"/>
      <c r="AHB33" s="700"/>
      <c r="AHC33" s="700"/>
      <c r="AHD33" s="700"/>
      <c r="AHE33" s="700"/>
      <c r="AHF33" s="700"/>
      <c r="AHG33" s="700"/>
      <c r="AHH33" s="700"/>
      <c r="AHI33" s="700"/>
      <c r="AHJ33" s="700"/>
      <c r="AHK33" s="700"/>
      <c r="AHL33" s="700"/>
      <c r="AHM33" s="700"/>
      <c r="AHN33" s="700"/>
      <c r="AHO33" s="700"/>
      <c r="AHP33" s="700"/>
      <c r="AHQ33" s="700"/>
      <c r="AHR33" s="700"/>
      <c r="AHS33" s="700"/>
      <c r="AHT33" s="700"/>
      <c r="AHU33" s="700"/>
      <c r="AHV33" s="700"/>
      <c r="AHW33" s="700"/>
      <c r="AHX33" s="700"/>
      <c r="AHY33" s="700"/>
      <c r="AHZ33" s="700"/>
      <c r="AIA33" s="700"/>
      <c r="AIB33" s="700"/>
      <c r="AIC33" s="700"/>
      <c r="AID33" s="700"/>
      <c r="AIE33" s="700"/>
      <c r="AIF33" s="700"/>
      <c r="AIG33" s="700"/>
      <c r="AIH33" s="700"/>
      <c r="AII33" s="700"/>
      <c r="AIJ33" s="700"/>
      <c r="AIK33" s="700"/>
      <c r="AIL33" s="700"/>
      <c r="AIM33" s="700"/>
      <c r="AIN33" s="700"/>
      <c r="AIO33" s="700"/>
      <c r="AIP33" s="700"/>
      <c r="AIQ33" s="700"/>
      <c r="AIR33" s="700"/>
      <c r="AIS33" s="700"/>
      <c r="AIT33" s="700"/>
      <c r="AIU33" s="700"/>
      <c r="AIV33" s="700"/>
      <c r="AIW33" s="700"/>
      <c r="AIX33" s="700"/>
      <c r="AIY33" s="700"/>
      <c r="AIZ33" s="700"/>
      <c r="AJA33" s="700"/>
      <c r="AJB33" s="700"/>
      <c r="AJC33" s="700"/>
      <c r="AJD33" s="700"/>
      <c r="AJE33" s="700"/>
      <c r="AJF33" s="700"/>
      <c r="AJG33" s="700"/>
      <c r="AJH33" s="700"/>
      <c r="AJI33" s="700"/>
      <c r="AJJ33" s="700"/>
      <c r="AJK33" s="700"/>
      <c r="AJL33" s="700"/>
      <c r="AJM33" s="700"/>
      <c r="AJN33" s="700"/>
      <c r="AJO33" s="700"/>
      <c r="AJP33" s="700"/>
      <c r="AJQ33" s="700"/>
      <c r="AJR33" s="700"/>
      <c r="AJS33" s="700"/>
      <c r="AJT33" s="700"/>
      <c r="AJU33" s="700"/>
      <c r="AJV33" s="700"/>
      <c r="AJW33" s="700"/>
      <c r="AJX33" s="700"/>
      <c r="AJY33" s="700"/>
      <c r="AJZ33" s="700"/>
      <c r="AKA33" s="700"/>
      <c r="AKB33" s="700"/>
      <c r="AKC33" s="700"/>
      <c r="AKD33" s="700"/>
      <c r="AKE33" s="700"/>
      <c r="AKF33" s="700"/>
      <c r="AKG33" s="700"/>
      <c r="AKH33" s="700"/>
      <c r="AKI33" s="700"/>
      <c r="AKJ33" s="700"/>
      <c r="AKK33" s="700"/>
      <c r="AKL33" s="700"/>
      <c r="AKM33" s="700"/>
      <c r="AKN33" s="700"/>
      <c r="AKO33" s="700"/>
      <c r="AKP33" s="700"/>
      <c r="AKQ33" s="700"/>
      <c r="AKR33" s="700"/>
      <c r="AKS33" s="700"/>
      <c r="AKT33" s="700"/>
      <c r="AKU33" s="700"/>
      <c r="AKV33" s="700"/>
      <c r="AKW33" s="700"/>
      <c r="AKX33" s="700"/>
      <c r="AKY33" s="700"/>
      <c r="AKZ33" s="700"/>
      <c r="ALA33" s="700"/>
      <c r="ALB33" s="700"/>
      <c r="ALC33" s="700"/>
      <c r="ALD33" s="700"/>
      <c r="ALE33" s="700"/>
      <c r="ALF33" s="700"/>
      <c r="ALG33" s="700"/>
      <c r="ALH33" s="700"/>
      <c r="ALI33" s="700"/>
      <c r="ALJ33" s="700"/>
      <c r="ALK33" s="700"/>
      <c r="ALL33" s="700"/>
      <c r="ALM33" s="700"/>
      <c r="ALN33" s="700"/>
      <c r="ALO33" s="700"/>
      <c r="ALP33" s="700"/>
      <c r="ALQ33" s="700"/>
      <c r="ALR33" s="700"/>
      <c r="ALS33" s="700"/>
      <c r="ALT33" s="700"/>
      <c r="ALU33" s="700"/>
      <c r="ALV33" s="700"/>
      <c r="ALW33" s="700"/>
      <c r="ALX33" s="700"/>
      <c r="ALY33" s="700"/>
      <c r="ALZ33" s="700"/>
      <c r="AMA33" s="700"/>
      <c r="AMB33" s="700"/>
      <c r="AMC33" s="700"/>
      <c r="AMD33" s="700"/>
      <c r="AME33" s="700"/>
      <c r="AMF33" s="700"/>
      <c r="AMG33" s="700"/>
      <c r="AMH33" s="700"/>
      <c r="AMI33" s="700"/>
      <c r="AMJ33" s="700"/>
      <c r="AMK33" s="700"/>
      <c r="AML33" s="700"/>
      <c r="AMM33" s="700"/>
      <c r="AMN33" s="700"/>
      <c r="AMO33" s="700"/>
      <c r="AMP33" s="700"/>
      <c r="AMQ33" s="700"/>
      <c r="AMR33" s="700"/>
      <c r="AMS33" s="700"/>
      <c r="AMT33" s="700"/>
      <c r="AMU33" s="700"/>
      <c r="AMV33" s="700"/>
      <c r="AMW33" s="700"/>
      <c r="AMX33" s="700"/>
      <c r="AMY33" s="700"/>
      <c r="AMZ33" s="700"/>
      <c r="ANA33" s="700"/>
      <c r="ANB33" s="700"/>
      <c r="ANC33" s="700"/>
      <c r="AND33" s="700"/>
      <c r="ANE33" s="700"/>
      <c r="ANF33" s="700"/>
      <c r="ANG33" s="700"/>
      <c r="ANH33" s="700"/>
      <c r="ANI33" s="700"/>
      <c r="ANJ33" s="700"/>
      <c r="ANK33" s="700"/>
      <c r="ANL33" s="700"/>
      <c r="ANM33" s="700"/>
      <c r="ANN33" s="700"/>
      <c r="ANO33" s="700"/>
      <c r="ANP33" s="700"/>
      <c r="ANQ33" s="700"/>
      <c r="ANR33" s="700"/>
      <c r="ANS33" s="700"/>
      <c r="ANT33" s="700"/>
      <c r="ANU33" s="700"/>
      <c r="ANV33" s="700"/>
      <c r="ANW33" s="700"/>
      <c r="ANX33" s="700"/>
      <c r="ANY33" s="700"/>
      <c r="ANZ33" s="700"/>
      <c r="AOA33" s="700"/>
      <c r="AOB33" s="700"/>
      <c r="AOC33" s="700"/>
      <c r="AOD33" s="700"/>
      <c r="AOE33" s="700"/>
      <c r="AOF33" s="700"/>
      <c r="AOG33" s="700"/>
      <c r="AOH33" s="700"/>
      <c r="AOI33" s="700"/>
      <c r="AOJ33" s="700"/>
      <c r="AOK33" s="700"/>
      <c r="AOL33" s="700"/>
      <c r="AOM33" s="700"/>
      <c r="AON33" s="700"/>
      <c r="AOO33" s="700"/>
      <c r="AOP33" s="700"/>
      <c r="AOQ33" s="700"/>
      <c r="AOR33" s="700"/>
      <c r="AOS33" s="700"/>
      <c r="AOT33" s="700"/>
      <c r="AOU33" s="700"/>
      <c r="AOV33" s="700"/>
      <c r="AOW33" s="700"/>
      <c r="AOX33" s="700"/>
      <c r="AOY33" s="700"/>
      <c r="AOZ33" s="700"/>
      <c r="APA33" s="700"/>
      <c r="APB33" s="700"/>
      <c r="APC33" s="700"/>
      <c r="APD33" s="700"/>
      <c r="APE33" s="700"/>
      <c r="APF33" s="700"/>
      <c r="APG33" s="700"/>
      <c r="APH33" s="700"/>
      <c r="API33" s="700"/>
      <c r="APJ33" s="700"/>
      <c r="APK33" s="700"/>
      <c r="APL33" s="700"/>
      <c r="APM33" s="700"/>
      <c r="APN33" s="700"/>
      <c r="APO33" s="700"/>
      <c r="APP33" s="700"/>
      <c r="APQ33" s="700"/>
      <c r="APR33" s="700"/>
      <c r="APS33" s="700"/>
      <c r="APT33" s="700"/>
      <c r="APU33" s="700"/>
      <c r="APV33" s="700"/>
      <c r="APW33" s="700"/>
      <c r="APX33" s="700"/>
      <c r="APY33" s="700"/>
      <c r="APZ33" s="700"/>
      <c r="AQA33" s="700"/>
      <c r="AQB33" s="700"/>
      <c r="AQC33" s="700"/>
      <c r="AQD33" s="700"/>
      <c r="AQE33" s="700"/>
      <c r="AQF33" s="700"/>
      <c r="AQG33" s="700"/>
      <c r="AQH33" s="700"/>
      <c r="AQI33" s="700"/>
      <c r="AQJ33" s="700"/>
      <c r="AQK33" s="700"/>
      <c r="AQL33" s="700"/>
      <c r="AQM33" s="700"/>
      <c r="AQN33" s="700"/>
      <c r="AQO33" s="700"/>
      <c r="AQP33" s="700"/>
      <c r="AQQ33" s="700"/>
      <c r="AQR33" s="700"/>
      <c r="AQS33" s="700"/>
      <c r="AQT33" s="700"/>
      <c r="AQU33" s="700"/>
      <c r="AQV33" s="700"/>
      <c r="AQW33" s="700"/>
      <c r="AQX33" s="700"/>
      <c r="AQY33" s="700"/>
      <c r="AQZ33" s="700"/>
      <c r="ARA33" s="700"/>
      <c r="ARB33" s="700"/>
      <c r="ARC33" s="700"/>
      <c r="ARD33" s="700"/>
      <c r="ARE33" s="700"/>
      <c r="ARF33" s="700"/>
      <c r="ARG33" s="700"/>
      <c r="ARH33" s="700"/>
      <c r="ARI33" s="700"/>
      <c r="ARJ33" s="700"/>
      <c r="ARK33" s="700"/>
      <c r="ARL33" s="700"/>
      <c r="ARM33" s="700"/>
      <c r="ARN33" s="700"/>
      <c r="ARO33" s="700"/>
      <c r="ARP33" s="700"/>
      <c r="ARQ33" s="700"/>
      <c r="ARR33" s="700"/>
      <c r="ARS33" s="700"/>
      <c r="ART33" s="700"/>
      <c r="ARU33" s="700"/>
      <c r="ARV33" s="700"/>
      <c r="ARW33" s="700"/>
      <c r="ARX33" s="700"/>
      <c r="ARY33" s="700"/>
      <c r="ARZ33" s="700"/>
      <c r="ASA33" s="700"/>
      <c r="ASB33" s="700"/>
      <c r="ASC33" s="700"/>
      <c r="ASD33" s="700"/>
      <c r="ASE33" s="700"/>
      <c r="ASF33" s="700"/>
      <c r="ASG33" s="700"/>
      <c r="ASH33" s="700"/>
      <c r="ASI33" s="700"/>
      <c r="ASJ33" s="700"/>
      <c r="ASK33" s="700"/>
      <c r="ASL33" s="700"/>
      <c r="ASM33" s="700"/>
      <c r="ASN33" s="700"/>
      <c r="ASO33" s="700"/>
      <c r="ASP33" s="700"/>
      <c r="ASQ33" s="700"/>
      <c r="ASR33" s="700"/>
      <c r="ASS33" s="700"/>
      <c r="AST33" s="700"/>
      <c r="ASU33" s="700"/>
      <c r="ASV33" s="700"/>
      <c r="ASW33" s="700"/>
      <c r="ASX33" s="700"/>
      <c r="ASY33" s="700"/>
      <c r="ASZ33" s="700"/>
      <c r="ATA33" s="700"/>
      <c r="ATB33" s="700"/>
      <c r="ATC33" s="700"/>
      <c r="ATD33" s="700"/>
      <c r="ATE33" s="700"/>
      <c r="ATF33" s="700"/>
      <c r="ATG33" s="700"/>
      <c r="ATH33" s="700"/>
      <c r="ATI33" s="700"/>
      <c r="ATJ33" s="700"/>
      <c r="ATK33" s="700"/>
      <c r="ATL33" s="700"/>
      <c r="ATM33" s="700"/>
      <c r="ATN33" s="700"/>
      <c r="ATO33" s="700"/>
      <c r="ATP33" s="700"/>
      <c r="ATQ33" s="700"/>
      <c r="ATR33" s="700"/>
      <c r="ATS33" s="700"/>
      <c r="ATT33" s="700"/>
      <c r="ATU33" s="700"/>
      <c r="ATV33" s="700"/>
      <c r="ATW33" s="700"/>
      <c r="ATX33" s="700"/>
      <c r="ATY33" s="700"/>
      <c r="ATZ33" s="700"/>
      <c r="AUA33" s="700"/>
      <c r="AUB33" s="700"/>
      <c r="AUC33" s="700"/>
      <c r="AUD33" s="700"/>
      <c r="AUE33" s="700"/>
      <c r="AUF33" s="700"/>
      <c r="AUG33" s="700"/>
      <c r="AUH33" s="700"/>
      <c r="AUI33" s="700"/>
      <c r="AUJ33" s="700"/>
      <c r="AUK33" s="700"/>
      <c r="AUL33" s="700"/>
      <c r="AUM33" s="700"/>
      <c r="AUN33" s="700"/>
      <c r="AUO33" s="700"/>
      <c r="AUP33" s="700"/>
      <c r="AUQ33" s="700"/>
      <c r="AUR33" s="700"/>
      <c r="AUS33" s="700"/>
      <c r="AUT33" s="700"/>
      <c r="AUU33" s="700"/>
      <c r="AUV33" s="700"/>
      <c r="AUW33" s="700"/>
      <c r="AUX33" s="700"/>
      <c r="AUY33" s="700"/>
      <c r="AUZ33" s="700"/>
      <c r="AVA33" s="700"/>
      <c r="AVB33" s="700"/>
      <c r="AVC33" s="700"/>
      <c r="AVD33" s="700"/>
      <c r="AVE33" s="700"/>
      <c r="AVF33" s="700"/>
      <c r="AVG33" s="700"/>
      <c r="AVH33" s="700"/>
      <c r="AVI33" s="700"/>
      <c r="AVJ33" s="700"/>
      <c r="AVK33" s="700"/>
      <c r="AVL33" s="700"/>
      <c r="AVM33" s="700"/>
      <c r="AVN33" s="700"/>
      <c r="AVO33" s="700"/>
      <c r="AVP33" s="700"/>
      <c r="AVQ33" s="700"/>
      <c r="AVR33" s="700"/>
      <c r="AVS33" s="700"/>
      <c r="AVT33" s="700"/>
      <c r="AVU33" s="700"/>
      <c r="AVV33" s="700"/>
      <c r="AVW33" s="700"/>
      <c r="AVX33" s="700"/>
      <c r="AVY33" s="700"/>
      <c r="AVZ33" s="700"/>
      <c r="AWA33" s="700"/>
      <c r="AWB33" s="700"/>
      <c r="AWC33" s="700"/>
      <c r="AWD33" s="700"/>
      <c r="AWE33" s="700"/>
      <c r="AWF33" s="700"/>
      <c r="AWG33" s="700"/>
      <c r="AWH33" s="700"/>
      <c r="AWI33" s="700"/>
      <c r="AWJ33" s="700"/>
      <c r="AWK33" s="700"/>
      <c r="AWL33" s="700"/>
      <c r="AWM33" s="700"/>
      <c r="AWN33" s="700"/>
      <c r="AWO33" s="700"/>
      <c r="AWP33" s="700"/>
      <c r="AWQ33" s="700"/>
      <c r="AWR33" s="700"/>
      <c r="AWS33" s="700"/>
      <c r="AWT33" s="700"/>
      <c r="AWU33" s="700"/>
      <c r="AWV33" s="700"/>
      <c r="AWW33" s="700"/>
      <c r="AWX33" s="700"/>
      <c r="AWY33" s="700"/>
      <c r="AWZ33" s="700"/>
      <c r="AXA33" s="700"/>
      <c r="AXB33" s="700"/>
      <c r="AXC33" s="700"/>
      <c r="AXD33" s="700"/>
      <c r="AXE33" s="700"/>
      <c r="AXF33" s="700"/>
      <c r="AXG33" s="700"/>
      <c r="AXH33" s="700"/>
      <c r="AXI33" s="700"/>
      <c r="AXJ33" s="700"/>
      <c r="AXK33" s="700"/>
      <c r="AXL33" s="700"/>
      <c r="AXM33" s="700"/>
      <c r="AXN33" s="700"/>
      <c r="AXO33" s="700"/>
      <c r="AXP33" s="700"/>
      <c r="AXQ33" s="700"/>
      <c r="AXR33" s="700"/>
      <c r="AXS33" s="700"/>
      <c r="AXT33" s="700"/>
      <c r="AXU33" s="700"/>
      <c r="AXV33" s="700"/>
      <c r="AXW33" s="700"/>
      <c r="AXX33" s="700"/>
      <c r="AXY33" s="700"/>
      <c r="AXZ33" s="700"/>
      <c r="AYA33" s="700"/>
      <c r="AYB33" s="700"/>
      <c r="AYC33" s="700"/>
      <c r="AYD33" s="700"/>
      <c r="AYE33" s="700"/>
      <c r="AYF33" s="700"/>
      <c r="AYG33" s="700"/>
      <c r="AYH33" s="700"/>
      <c r="AYI33" s="700"/>
      <c r="AYJ33" s="700"/>
      <c r="AYK33" s="700"/>
      <c r="AYL33" s="700"/>
      <c r="AYM33" s="700"/>
      <c r="AYN33" s="700"/>
      <c r="AYO33" s="700"/>
      <c r="AYP33" s="700"/>
      <c r="AYQ33" s="700"/>
      <c r="AYR33" s="700"/>
      <c r="AYS33" s="700"/>
      <c r="AYT33" s="700"/>
      <c r="AYU33" s="700"/>
      <c r="AYV33" s="700"/>
      <c r="AYW33" s="700"/>
      <c r="AYX33" s="700"/>
      <c r="AYY33" s="700"/>
      <c r="AYZ33" s="700"/>
      <c r="AZA33" s="700"/>
      <c r="AZB33" s="700"/>
      <c r="AZC33" s="700"/>
      <c r="AZD33" s="700"/>
      <c r="AZE33" s="700"/>
      <c r="AZF33" s="700"/>
      <c r="AZG33" s="700"/>
      <c r="AZH33" s="700"/>
      <c r="AZI33" s="700"/>
      <c r="AZJ33" s="700"/>
      <c r="AZK33" s="700"/>
      <c r="AZL33" s="700"/>
      <c r="AZM33" s="700"/>
      <c r="AZN33" s="700"/>
      <c r="AZO33" s="700"/>
      <c r="AZP33" s="700"/>
      <c r="AZQ33" s="700"/>
      <c r="AZR33" s="700"/>
      <c r="AZS33" s="700"/>
      <c r="AZT33" s="700"/>
      <c r="AZU33" s="700"/>
      <c r="AZV33" s="700"/>
      <c r="AZW33" s="700"/>
      <c r="AZX33" s="700"/>
      <c r="AZY33" s="700"/>
      <c r="AZZ33" s="700"/>
      <c r="BAA33" s="700"/>
      <c r="BAB33" s="700"/>
      <c r="BAC33" s="700"/>
      <c r="BAD33" s="700"/>
      <c r="BAE33" s="700"/>
      <c r="BAF33" s="700"/>
      <c r="BAG33" s="700"/>
      <c r="BAH33" s="700"/>
      <c r="BAI33" s="700"/>
      <c r="BAJ33" s="700"/>
      <c r="BAK33" s="700"/>
      <c r="BAL33" s="700"/>
      <c r="BAM33" s="700"/>
      <c r="BAN33" s="700"/>
      <c r="BAO33" s="700"/>
      <c r="BAP33" s="700"/>
      <c r="BAQ33" s="700"/>
      <c r="BAR33" s="700"/>
      <c r="BAS33" s="700"/>
      <c r="BAT33" s="700"/>
      <c r="BAU33" s="700"/>
      <c r="BAV33" s="700"/>
      <c r="BAW33" s="700"/>
      <c r="BAX33" s="700"/>
      <c r="BAY33" s="700"/>
      <c r="BAZ33" s="700"/>
      <c r="BBA33" s="700"/>
      <c r="BBB33" s="700"/>
      <c r="BBC33" s="700"/>
      <c r="BBD33" s="700"/>
      <c r="BBE33" s="700"/>
      <c r="BBF33" s="700"/>
      <c r="BBG33" s="700"/>
      <c r="BBH33" s="700"/>
      <c r="BBI33" s="700"/>
      <c r="BBJ33" s="700"/>
      <c r="BBK33" s="700"/>
      <c r="BBL33" s="700"/>
      <c r="BBM33" s="700"/>
      <c r="BBN33" s="700"/>
      <c r="BBO33" s="700"/>
      <c r="BBP33" s="700"/>
      <c r="BBQ33" s="700"/>
      <c r="BBR33" s="700"/>
      <c r="BBS33" s="700"/>
      <c r="BBT33" s="700"/>
      <c r="BBU33" s="700"/>
      <c r="BBV33" s="700"/>
      <c r="BBW33" s="700"/>
      <c r="BBX33" s="700"/>
      <c r="BBY33" s="700"/>
      <c r="BBZ33" s="700"/>
      <c r="BCA33" s="700"/>
      <c r="BCB33" s="700"/>
      <c r="BCC33" s="700"/>
      <c r="BCD33" s="700"/>
      <c r="BCE33" s="700"/>
      <c r="BCF33" s="700"/>
      <c r="BCG33" s="700"/>
      <c r="BCH33" s="700"/>
      <c r="BCI33" s="700"/>
      <c r="BCJ33" s="700"/>
      <c r="BCK33" s="700"/>
      <c r="BCL33" s="700"/>
      <c r="BCM33" s="700"/>
      <c r="BCN33" s="700"/>
      <c r="BCO33" s="700"/>
      <c r="BCP33" s="700"/>
      <c r="BCQ33" s="700"/>
      <c r="BCR33" s="700"/>
      <c r="BCS33" s="700"/>
      <c r="BCT33" s="700"/>
      <c r="BCU33" s="700"/>
      <c r="BCV33" s="700"/>
      <c r="BCW33" s="700"/>
      <c r="BCX33" s="700"/>
      <c r="BCY33" s="700"/>
      <c r="BCZ33" s="700"/>
      <c r="BDA33" s="700"/>
      <c r="BDB33" s="700"/>
      <c r="BDC33" s="700"/>
      <c r="BDD33" s="700"/>
      <c r="BDE33" s="700"/>
      <c r="BDF33" s="700"/>
      <c r="BDG33" s="700"/>
      <c r="BDH33" s="700"/>
      <c r="BDI33" s="700"/>
      <c r="BDJ33" s="700"/>
      <c r="BDK33" s="700"/>
      <c r="BDL33" s="700"/>
      <c r="BDM33" s="700"/>
      <c r="BDN33" s="700"/>
      <c r="BDO33" s="700"/>
      <c r="BDP33" s="700"/>
      <c r="BDQ33" s="700"/>
      <c r="BDR33" s="700"/>
      <c r="BDS33" s="700"/>
      <c r="BDT33" s="700"/>
      <c r="BDU33" s="700"/>
      <c r="BDV33" s="700"/>
      <c r="BDW33" s="700"/>
      <c r="BDX33" s="700"/>
      <c r="BDY33" s="700"/>
      <c r="BDZ33" s="700"/>
      <c r="BEA33" s="700"/>
      <c r="BEB33" s="700"/>
      <c r="BEC33" s="700"/>
      <c r="BED33" s="700"/>
      <c r="BEE33" s="700"/>
      <c r="BEF33" s="700"/>
      <c r="BEG33" s="700"/>
      <c r="BEH33" s="700"/>
      <c r="BEI33" s="700"/>
      <c r="BEJ33" s="700"/>
      <c r="BEK33" s="700"/>
      <c r="BEL33" s="700"/>
      <c r="BEM33" s="700"/>
      <c r="BEN33" s="700"/>
      <c r="BEO33" s="700"/>
      <c r="BEP33" s="700"/>
      <c r="BEQ33" s="700"/>
      <c r="BER33" s="700"/>
      <c r="BES33" s="700"/>
      <c r="BET33" s="700"/>
      <c r="BEU33" s="700"/>
      <c r="BEV33" s="700"/>
      <c r="BEW33" s="700"/>
      <c r="BEX33" s="700"/>
      <c r="BEY33" s="700"/>
      <c r="BEZ33" s="700"/>
      <c r="BFA33" s="700"/>
      <c r="BFB33" s="700"/>
      <c r="BFC33" s="700"/>
      <c r="BFD33" s="700"/>
      <c r="BFE33" s="700"/>
      <c r="BFF33" s="700"/>
      <c r="BFG33" s="700"/>
      <c r="BFH33" s="700"/>
      <c r="BFI33" s="700"/>
      <c r="BFJ33" s="700"/>
      <c r="BFK33" s="700"/>
      <c r="BFL33" s="700"/>
      <c r="BFM33" s="700"/>
      <c r="BFN33" s="700"/>
      <c r="BFO33" s="700"/>
      <c r="BFP33" s="700"/>
      <c r="BFQ33" s="700"/>
      <c r="BFR33" s="700"/>
      <c r="BFS33" s="700"/>
      <c r="BFT33" s="700"/>
      <c r="BFU33" s="700"/>
      <c r="BFV33" s="700"/>
      <c r="BFW33" s="700"/>
      <c r="BFX33" s="700"/>
      <c r="BFY33" s="700"/>
      <c r="BFZ33" s="700"/>
      <c r="BGA33" s="700"/>
      <c r="BGB33" s="700"/>
      <c r="BGC33" s="700"/>
      <c r="BGD33" s="700"/>
      <c r="BGE33" s="700"/>
      <c r="BGF33" s="700"/>
      <c r="BGG33" s="700"/>
      <c r="BGH33" s="700"/>
      <c r="BGI33" s="700"/>
      <c r="BGJ33" s="700"/>
      <c r="BGK33" s="700"/>
      <c r="BGL33" s="700"/>
      <c r="BGM33" s="700"/>
      <c r="BGN33" s="700"/>
      <c r="BGO33" s="700"/>
      <c r="BGP33" s="700"/>
      <c r="BGQ33" s="700"/>
      <c r="BGR33" s="700"/>
      <c r="BGS33" s="700"/>
      <c r="BGT33" s="700"/>
      <c r="BGU33" s="700"/>
      <c r="BGV33" s="700"/>
      <c r="BGW33" s="700"/>
      <c r="BGX33" s="700"/>
      <c r="BGY33" s="700"/>
      <c r="BGZ33" s="700"/>
      <c r="BHA33" s="700"/>
      <c r="BHB33" s="700"/>
      <c r="BHC33" s="700"/>
      <c r="BHD33" s="700"/>
      <c r="BHE33" s="700"/>
      <c r="BHF33" s="700"/>
      <c r="BHG33" s="700"/>
      <c r="BHH33" s="700"/>
      <c r="BHI33" s="700"/>
      <c r="BHJ33" s="700"/>
      <c r="BHK33" s="700"/>
      <c r="BHL33" s="700"/>
      <c r="BHM33" s="700"/>
      <c r="BHN33" s="700"/>
      <c r="BHO33" s="700"/>
      <c r="BHP33" s="700"/>
      <c r="BHQ33" s="700"/>
      <c r="BHR33" s="700"/>
      <c r="BHS33" s="700"/>
      <c r="BHT33" s="700"/>
      <c r="BHU33" s="700"/>
      <c r="BHV33" s="700"/>
      <c r="BHW33" s="700"/>
      <c r="BHX33" s="700"/>
      <c r="BHY33" s="700"/>
      <c r="BHZ33" s="700"/>
      <c r="BIA33" s="700"/>
      <c r="BIB33" s="700"/>
      <c r="BIC33" s="700"/>
      <c r="BID33" s="700"/>
      <c r="BIE33" s="700"/>
      <c r="BIF33" s="700"/>
      <c r="BIG33" s="700"/>
      <c r="BIH33" s="700"/>
      <c r="BII33" s="700"/>
      <c r="BIJ33" s="700"/>
      <c r="BIK33" s="700"/>
      <c r="BIL33" s="700"/>
      <c r="BIM33" s="700"/>
      <c r="BIN33" s="700"/>
      <c r="BIO33" s="700"/>
      <c r="BIP33" s="700"/>
      <c r="BIQ33" s="700"/>
      <c r="BIR33" s="700"/>
      <c r="BIS33" s="700"/>
      <c r="BIT33" s="700"/>
      <c r="BIU33" s="700"/>
      <c r="BIV33" s="700"/>
      <c r="BIW33" s="700"/>
      <c r="BIX33" s="700"/>
      <c r="BIY33" s="700"/>
      <c r="BIZ33" s="700"/>
      <c r="BJA33" s="700"/>
      <c r="BJB33" s="700"/>
      <c r="BJC33" s="700"/>
      <c r="BJD33" s="700"/>
      <c r="BJE33" s="700"/>
      <c r="BJF33" s="700"/>
      <c r="BJG33" s="700"/>
      <c r="BJH33" s="700"/>
      <c r="BJI33" s="700"/>
      <c r="BJJ33" s="700"/>
      <c r="BJK33" s="700"/>
      <c r="BJL33" s="700"/>
      <c r="BJM33" s="700"/>
      <c r="BJN33" s="700"/>
      <c r="BJO33" s="700"/>
      <c r="BJP33" s="700"/>
      <c r="BJQ33" s="700"/>
      <c r="BJR33" s="700"/>
      <c r="BJS33" s="700"/>
      <c r="BJT33" s="700"/>
      <c r="BJU33" s="700"/>
      <c r="BJV33" s="700"/>
      <c r="BJW33" s="700"/>
      <c r="BJX33" s="700"/>
      <c r="BJY33" s="700"/>
      <c r="BJZ33" s="700"/>
      <c r="BKA33" s="700"/>
      <c r="BKB33" s="700"/>
      <c r="BKC33" s="700"/>
      <c r="BKD33" s="700"/>
      <c r="BKE33" s="700"/>
      <c r="BKF33" s="700"/>
      <c r="BKG33" s="700"/>
      <c r="BKH33" s="700"/>
      <c r="BKI33" s="700"/>
      <c r="BKJ33" s="700"/>
      <c r="BKK33" s="700"/>
      <c r="BKL33" s="700"/>
      <c r="BKM33" s="700"/>
      <c r="BKN33" s="700"/>
      <c r="BKO33" s="700"/>
      <c r="BKP33" s="700"/>
      <c r="BKQ33" s="700"/>
      <c r="BKR33" s="700"/>
      <c r="BKS33" s="700"/>
      <c r="BKT33" s="700"/>
      <c r="BKU33" s="700"/>
      <c r="BKV33" s="700"/>
      <c r="BKW33" s="700"/>
      <c r="BKX33" s="700"/>
      <c r="BKY33" s="700"/>
      <c r="BKZ33" s="700"/>
      <c r="BLA33" s="700"/>
      <c r="BLB33" s="700"/>
      <c r="BLC33" s="700"/>
      <c r="BLD33" s="700"/>
      <c r="BLE33" s="700"/>
      <c r="BLF33" s="700"/>
      <c r="BLG33" s="700"/>
      <c r="BLH33" s="700"/>
      <c r="BLI33" s="700"/>
      <c r="BLJ33" s="700"/>
      <c r="BLK33" s="700"/>
      <c r="BLL33" s="700"/>
      <c r="BLM33" s="700"/>
      <c r="BLN33" s="700"/>
      <c r="BLO33" s="700"/>
      <c r="BLP33" s="700"/>
      <c r="BLQ33" s="700"/>
      <c r="BLR33" s="700"/>
      <c r="BLS33" s="700"/>
      <c r="BLT33" s="700"/>
      <c r="BLU33" s="700"/>
      <c r="BLV33" s="700"/>
      <c r="BLW33" s="700"/>
      <c r="BLX33" s="700"/>
      <c r="BLY33" s="700"/>
      <c r="BLZ33" s="700"/>
      <c r="BMA33" s="700"/>
      <c r="BMB33" s="700"/>
      <c r="BMC33" s="700"/>
      <c r="BMD33" s="700"/>
      <c r="BME33" s="700"/>
      <c r="BMF33" s="700"/>
      <c r="BMG33" s="700"/>
      <c r="BMH33" s="700"/>
      <c r="BMI33" s="700"/>
      <c r="BMJ33" s="700"/>
      <c r="BMK33" s="700"/>
      <c r="BML33" s="700"/>
      <c r="BMM33" s="700"/>
      <c r="BMN33" s="700"/>
      <c r="BMO33" s="700"/>
      <c r="BMP33" s="700"/>
      <c r="BMQ33" s="700"/>
      <c r="BMR33" s="700"/>
      <c r="BMS33" s="700"/>
      <c r="BMT33" s="700"/>
      <c r="BMU33" s="700"/>
      <c r="BMV33" s="700"/>
      <c r="BMW33" s="700"/>
      <c r="BMX33" s="700"/>
      <c r="BMY33" s="700"/>
      <c r="BMZ33" s="700"/>
      <c r="BNA33" s="700"/>
      <c r="BNB33" s="700"/>
      <c r="BNC33" s="700"/>
      <c r="BND33" s="700"/>
      <c r="BNE33" s="700"/>
      <c r="BNF33" s="700"/>
      <c r="BNG33" s="700"/>
      <c r="BNH33" s="700"/>
      <c r="BNI33" s="700"/>
      <c r="BNJ33" s="700"/>
      <c r="BNK33" s="700"/>
      <c r="BNL33" s="700"/>
      <c r="BNM33" s="700"/>
      <c r="BNN33" s="700"/>
      <c r="BNO33" s="700"/>
      <c r="BNP33" s="700"/>
      <c r="BNQ33" s="700"/>
      <c r="BNR33" s="700"/>
      <c r="BNS33" s="700"/>
      <c r="BNT33" s="700"/>
      <c r="BNU33" s="700"/>
      <c r="BNV33" s="700"/>
      <c r="BNW33" s="700"/>
      <c r="BNX33" s="700"/>
      <c r="BNY33" s="700"/>
      <c r="BNZ33" s="700"/>
      <c r="BOA33" s="700"/>
      <c r="BOB33" s="700"/>
      <c r="BOC33" s="700"/>
      <c r="BOD33" s="700"/>
      <c r="BOE33" s="700"/>
      <c r="BOF33" s="700"/>
      <c r="BOG33" s="700"/>
      <c r="BOH33" s="700"/>
      <c r="BOI33" s="700"/>
      <c r="BOJ33" s="700"/>
      <c r="BOK33" s="700"/>
      <c r="BOL33" s="700"/>
      <c r="BOM33" s="700"/>
      <c r="BON33" s="700"/>
      <c r="BOO33" s="700"/>
      <c r="BOP33" s="700"/>
      <c r="BOQ33" s="700"/>
      <c r="BOR33" s="700"/>
      <c r="BOS33" s="700"/>
      <c r="BOT33" s="700"/>
      <c r="BOU33" s="700"/>
      <c r="BOV33" s="700"/>
      <c r="BOW33" s="700"/>
      <c r="BOX33" s="700"/>
      <c r="BOY33" s="700"/>
      <c r="BOZ33" s="700"/>
      <c r="BPA33" s="700"/>
      <c r="BPB33" s="700"/>
      <c r="BPC33" s="700"/>
      <c r="BPD33" s="700"/>
      <c r="BPE33" s="700"/>
      <c r="BPF33" s="700"/>
      <c r="BPG33" s="700"/>
      <c r="BPH33" s="700"/>
      <c r="BPI33" s="700"/>
      <c r="BPJ33" s="700"/>
      <c r="BPK33" s="700"/>
      <c r="BPL33" s="700"/>
      <c r="BPM33" s="700"/>
      <c r="BPN33" s="700"/>
      <c r="BPO33" s="700"/>
      <c r="BPP33" s="700"/>
      <c r="BPQ33" s="700"/>
      <c r="BPR33" s="700"/>
      <c r="BPS33" s="700"/>
      <c r="BPT33" s="700"/>
      <c r="BPU33" s="700"/>
      <c r="BPV33" s="700"/>
      <c r="BPW33" s="700"/>
      <c r="BPX33" s="700"/>
      <c r="BPY33" s="700"/>
      <c r="BPZ33" s="700"/>
      <c r="BQA33" s="700"/>
      <c r="BQB33" s="700"/>
      <c r="BQC33" s="700"/>
      <c r="BQD33" s="700"/>
      <c r="BQE33" s="700"/>
      <c r="BQF33" s="700"/>
      <c r="BQG33" s="700"/>
      <c r="BQH33" s="700"/>
      <c r="BQI33" s="700"/>
      <c r="BQJ33" s="700"/>
      <c r="BQK33" s="700"/>
      <c r="BQL33" s="700"/>
      <c r="BQM33" s="700"/>
      <c r="BQN33" s="700"/>
      <c r="BQO33" s="700"/>
      <c r="BQP33" s="700"/>
      <c r="BQQ33" s="700"/>
      <c r="BQR33" s="700"/>
      <c r="BQS33" s="700"/>
      <c r="BQT33" s="700"/>
      <c r="BQU33" s="700"/>
      <c r="BQV33" s="700"/>
      <c r="BQW33" s="700"/>
      <c r="BQX33" s="700"/>
      <c r="BQY33" s="700"/>
      <c r="BQZ33" s="700"/>
      <c r="BRA33" s="700"/>
      <c r="BRB33" s="700"/>
      <c r="BRC33" s="700"/>
      <c r="BRD33" s="700"/>
      <c r="BRE33" s="700"/>
      <c r="BRF33" s="700"/>
      <c r="BRG33" s="700"/>
      <c r="BRH33" s="700"/>
      <c r="BRI33" s="700"/>
      <c r="BRJ33" s="700"/>
      <c r="BRK33" s="700"/>
      <c r="BRL33" s="700"/>
      <c r="BRM33" s="700"/>
      <c r="BRN33" s="700"/>
      <c r="BRO33" s="700"/>
      <c r="BRP33" s="700"/>
      <c r="BRQ33" s="700"/>
      <c r="BRR33" s="700"/>
      <c r="BRS33" s="700"/>
      <c r="BRT33" s="700"/>
      <c r="BRU33" s="700"/>
      <c r="BRV33" s="700"/>
      <c r="BRW33" s="700"/>
      <c r="BRX33" s="700"/>
      <c r="BRY33" s="700"/>
      <c r="BRZ33" s="700"/>
      <c r="BSA33" s="700"/>
      <c r="BSB33" s="700"/>
      <c r="BSC33" s="700"/>
      <c r="BSD33" s="700"/>
      <c r="BSE33" s="700"/>
      <c r="BSF33" s="700"/>
      <c r="BSG33" s="700"/>
      <c r="BSH33" s="700"/>
      <c r="BSI33" s="700"/>
      <c r="BSJ33" s="700"/>
      <c r="BSK33" s="700"/>
      <c r="BSL33" s="700"/>
      <c r="BSM33" s="700"/>
      <c r="BSN33" s="700"/>
      <c r="BSO33" s="700"/>
      <c r="BSP33" s="700"/>
      <c r="BSQ33" s="700"/>
      <c r="BSR33" s="700"/>
      <c r="BSS33" s="700"/>
      <c r="BST33" s="700"/>
      <c r="BSU33" s="700"/>
      <c r="BSV33" s="700"/>
      <c r="BSW33" s="700"/>
      <c r="BSX33" s="700"/>
      <c r="BSY33" s="700"/>
      <c r="BSZ33" s="700"/>
      <c r="BTA33" s="700"/>
      <c r="BTB33" s="700"/>
      <c r="BTC33" s="700"/>
      <c r="BTD33" s="700"/>
      <c r="BTE33" s="700"/>
      <c r="BTF33" s="700"/>
      <c r="BTG33" s="700"/>
      <c r="BTH33" s="700"/>
      <c r="BTI33" s="700"/>
      <c r="BTJ33" s="700"/>
      <c r="BTK33" s="700"/>
      <c r="BTL33" s="700"/>
      <c r="BTM33" s="700"/>
      <c r="BTN33" s="700"/>
      <c r="BTO33" s="700"/>
      <c r="BTP33" s="700"/>
      <c r="BTQ33" s="700"/>
      <c r="BTR33" s="700"/>
      <c r="BTS33" s="700"/>
      <c r="BTT33" s="700"/>
      <c r="BTU33" s="700"/>
      <c r="BTV33" s="700"/>
      <c r="BTW33" s="700"/>
      <c r="BTX33" s="700"/>
      <c r="BTY33" s="700"/>
      <c r="BTZ33" s="700"/>
      <c r="BUA33" s="700"/>
      <c r="BUB33" s="700"/>
      <c r="BUC33" s="700"/>
      <c r="BUD33" s="700"/>
      <c r="BUE33" s="700"/>
      <c r="BUF33" s="700"/>
      <c r="BUG33" s="700"/>
      <c r="BUH33" s="700"/>
      <c r="BUI33" s="700"/>
      <c r="BUJ33" s="700"/>
      <c r="BUK33" s="700"/>
      <c r="BUL33" s="700"/>
      <c r="BUM33" s="700"/>
      <c r="BUN33" s="700"/>
      <c r="BUO33" s="700"/>
      <c r="BUP33" s="700"/>
      <c r="BUQ33" s="700"/>
      <c r="BUR33" s="700"/>
      <c r="BUS33" s="700"/>
      <c r="BUT33" s="700"/>
      <c r="BUU33" s="700"/>
      <c r="BUV33" s="700"/>
      <c r="BUW33" s="700"/>
      <c r="BUX33" s="700"/>
      <c r="BUY33" s="700"/>
      <c r="BUZ33" s="700"/>
      <c r="BVA33" s="700"/>
      <c r="BVB33" s="700"/>
      <c r="BVC33" s="700"/>
      <c r="BVD33" s="700"/>
      <c r="BVE33" s="700"/>
      <c r="BVF33" s="700"/>
      <c r="BVG33" s="700"/>
      <c r="BVH33" s="700"/>
      <c r="BVI33" s="700"/>
      <c r="BVJ33" s="700"/>
      <c r="BVK33" s="700"/>
      <c r="BVL33" s="700"/>
      <c r="BVM33" s="700"/>
      <c r="BVN33" s="700"/>
      <c r="BVO33" s="700"/>
      <c r="BVP33" s="700"/>
      <c r="BVQ33" s="700"/>
      <c r="BVR33" s="700"/>
      <c r="BVS33" s="700"/>
      <c r="BVT33" s="700"/>
      <c r="BVU33" s="700"/>
      <c r="BVV33" s="700"/>
      <c r="BVW33" s="700"/>
      <c r="BVX33" s="700"/>
      <c r="BVY33" s="700"/>
      <c r="BVZ33" s="700"/>
      <c r="BWA33" s="700"/>
      <c r="BWB33" s="700"/>
      <c r="BWC33" s="700"/>
      <c r="BWD33" s="700"/>
      <c r="BWE33" s="700"/>
      <c r="BWF33" s="700"/>
      <c r="BWG33" s="700"/>
      <c r="BWH33" s="700"/>
      <c r="BWI33" s="700"/>
      <c r="BWJ33" s="700"/>
      <c r="BWK33" s="700"/>
      <c r="BWL33" s="700"/>
      <c r="BWM33" s="700"/>
      <c r="BWN33" s="700"/>
      <c r="BWO33" s="700"/>
      <c r="BWP33" s="700"/>
      <c r="BWQ33" s="700"/>
      <c r="BWR33" s="700"/>
      <c r="BWS33" s="700"/>
      <c r="BWT33" s="700"/>
      <c r="BWU33" s="700"/>
      <c r="BWV33" s="700"/>
      <c r="BWW33" s="700"/>
      <c r="BWX33" s="700"/>
      <c r="BWY33" s="700"/>
      <c r="BWZ33" s="700"/>
      <c r="BXA33" s="700"/>
      <c r="BXB33" s="700"/>
      <c r="BXC33" s="700"/>
      <c r="BXD33" s="700"/>
      <c r="BXE33" s="700"/>
      <c r="BXF33" s="700"/>
      <c r="BXG33" s="700"/>
      <c r="BXH33" s="700"/>
      <c r="BXI33" s="700"/>
      <c r="BXJ33" s="700"/>
      <c r="BXK33" s="700"/>
      <c r="BXL33" s="700"/>
      <c r="BXM33" s="700"/>
      <c r="BXN33" s="700"/>
      <c r="BXO33" s="700"/>
      <c r="BXP33" s="700"/>
      <c r="BXQ33" s="700"/>
      <c r="BXR33" s="700"/>
      <c r="BXS33" s="700"/>
      <c r="BXT33" s="700"/>
      <c r="BXU33" s="700"/>
      <c r="BXV33" s="700"/>
      <c r="BXW33" s="700"/>
      <c r="BXX33" s="700"/>
      <c r="BXY33" s="700"/>
      <c r="BXZ33" s="700"/>
    </row>
    <row r="34" spans="1:2002" ht="15">
      <c r="A34" s="717"/>
      <c r="B34" s="706"/>
      <c r="C34" s="721" t="s">
        <v>55</v>
      </c>
      <c r="D34" s="742">
        <v>7733000</v>
      </c>
      <c r="E34" s="742">
        <v>6603000</v>
      </c>
      <c r="F34" s="742">
        <v>6449000</v>
      </c>
      <c r="G34" s="742">
        <v>6399000</v>
      </c>
      <c r="H34" s="742">
        <v>6728000</v>
      </c>
      <c r="I34" s="742"/>
      <c r="J34" s="742"/>
      <c r="K34" s="742"/>
      <c r="L34" s="742"/>
      <c r="M34" s="742"/>
      <c r="N34" s="742"/>
      <c r="O34" s="742"/>
      <c r="P34" s="742"/>
      <c r="Q34" s="742"/>
      <c r="R34" s="742"/>
      <c r="S34" s="712"/>
      <c r="T34" s="700"/>
      <c r="U34" s="700"/>
      <c r="V34" s="700"/>
      <c r="W34" s="700"/>
      <c r="X34" s="700"/>
      <c r="Y34" s="700"/>
      <c r="Z34" s="700"/>
      <c r="AA34" s="700"/>
      <c r="AB34" s="700"/>
      <c r="AC34" s="700"/>
      <c r="AD34" s="700"/>
      <c r="AE34" s="700"/>
      <c r="AF34" s="700"/>
      <c r="AG34" s="700"/>
      <c r="AH34" s="700"/>
      <c r="AI34" s="700"/>
      <c r="AJ34" s="700"/>
      <c r="AK34" s="700"/>
      <c r="AL34" s="700"/>
      <c r="AM34" s="700"/>
      <c r="AN34" s="700"/>
      <c r="AO34" s="700"/>
      <c r="AP34" s="700"/>
      <c r="AQ34" s="700"/>
      <c r="AR34" s="700"/>
      <c r="AS34" s="700"/>
      <c r="AT34" s="700"/>
      <c r="AU34" s="700"/>
      <c r="AV34" s="700"/>
      <c r="AW34" s="700"/>
      <c r="AX34" s="700"/>
      <c r="AY34" s="700"/>
      <c r="AZ34" s="700"/>
      <c r="BA34" s="700"/>
      <c r="BB34" s="700"/>
      <c r="BC34" s="700"/>
      <c r="BD34" s="700"/>
      <c r="BE34" s="700"/>
      <c r="BF34" s="700"/>
      <c r="BG34" s="700"/>
      <c r="BH34" s="700"/>
      <c r="BI34" s="700"/>
      <c r="BJ34" s="700"/>
      <c r="BK34" s="700"/>
      <c r="BL34" s="700"/>
      <c r="BM34" s="700"/>
      <c r="BN34" s="700"/>
      <c r="BO34" s="700"/>
      <c r="BP34" s="700"/>
      <c r="BQ34" s="700"/>
      <c r="BR34" s="700"/>
      <c r="BS34" s="700"/>
      <c r="BT34" s="700"/>
      <c r="BU34" s="700"/>
      <c r="BV34" s="700"/>
      <c r="BW34" s="700"/>
      <c r="BX34" s="700"/>
      <c r="BY34" s="700"/>
      <c r="BZ34" s="700"/>
      <c r="CA34" s="700"/>
      <c r="CB34" s="700"/>
      <c r="CC34" s="700"/>
      <c r="CD34" s="700"/>
      <c r="CE34" s="700"/>
      <c r="CF34" s="700"/>
      <c r="CG34" s="700"/>
      <c r="CH34" s="700"/>
      <c r="CI34" s="700"/>
      <c r="CJ34" s="700"/>
      <c r="CK34" s="700"/>
      <c r="CL34" s="700"/>
      <c r="CM34" s="700"/>
      <c r="CN34" s="700"/>
      <c r="CO34" s="700"/>
      <c r="CP34" s="700"/>
      <c r="CQ34" s="700"/>
      <c r="CR34" s="700"/>
      <c r="CS34" s="700"/>
      <c r="CT34" s="700"/>
      <c r="CU34" s="700"/>
      <c r="CV34" s="700"/>
      <c r="CW34" s="700"/>
      <c r="CX34" s="700"/>
      <c r="CY34" s="700"/>
      <c r="CZ34" s="700"/>
      <c r="DA34" s="700"/>
      <c r="DB34" s="700"/>
      <c r="DC34" s="700"/>
      <c r="DD34" s="700"/>
      <c r="DE34" s="700"/>
      <c r="DF34" s="700"/>
      <c r="DG34" s="700"/>
      <c r="DH34" s="700"/>
      <c r="DI34" s="700"/>
      <c r="DJ34" s="700"/>
      <c r="DK34" s="700"/>
      <c r="DL34" s="700"/>
      <c r="DM34" s="700"/>
      <c r="DN34" s="700"/>
      <c r="DO34" s="700"/>
      <c r="DP34" s="700"/>
      <c r="DQ34" s="700"/>
      <c r="DR34" s="700"/>
      <c r="DS34" s="700"/>
      <c r="DT34" s="700"/>
      <c r="DU34" s="700"/>
      <c r="DV34" s="700"/>
      <c r="DW34" s="700"/>
      <c r="DX34" s="700"/>
      <c r="DY34" s="700"/>
      <c r="DZ34" s="700"/>
      <c r="EA34" s="700"/>
      <c r="EB34" s="700"/>
      <c r="EC34" s="700"/>
      <c r="ED34" s="700"/>
      <c r="EE34" s="700"/>
      <c r="EF34" s="700"/>
      <c r="EG34" s="700"/>
      <c r="EH34" s="700"/>
      <c r="EI34" s="700"/>
      <c r="EJ34" s="700"/>
      <c r="EK34" s="700"/>
      <c r="EL34" s="700"/>
      <c r="EM34" s="700"/>
      <c r="EN34" s="700"/>
      <c r="EO34" s="700"/>
      <c r="EP34" s="700"/>
      <c r="EQ34" s="700"/>
      <c r="ER34" s="700"/>
      <c r="ES34" s="700"/>
      <c r="ET34" s="700"/>
      <c r="EU34" s="700"/>
      <c r="EV34" s="700"/>
      <c r="EW34" s="700"/>
      <c r="EX34" s="700"/>
      <c r="EY34" s="700"/>
      <c r="EZ34" s="700"/>
      <c r="FA34" s="700"/>
      <c r="FB34" s="700"/>
      <c r="FC34" s="700"/>
      <c r="FD34" s="700"/>
      <c r="FE34" s="700"/>
      <c r="FF34" s="700"/>
      <c r="FG34" s="700"/>
      <c r="FH34" s="700"/>
      <c r="FI34" s="700"/>
      <c r="FJ34" s="700"/>
      <c r="FK34" s="700"/>
      <c r="FL34" s="700"/>
      <c r="FM34" s="700"/>
      <c r="FN34" s="700"/>
      <c r="FO34" s="700"/>
      <c r="FP34" s="700"/>
      <c r="FQ34" s="700"/>
      <c r="FR34" s="700"/>
      <c r="FS34" s="700"/>
      <c r="FT34" s="700"/>
      <c r="FU34" s="700"/>
      <c r="FV34" s="700"/>
      <c r="FW34" s="700"/>
      <c r="FX34" s="700"/>
      <c r="FY34" s="700"/>
      <c r="FZ34" s="700"/>
      <c r="GA34" s="700"/>
      <c r="GB34" s="700"/>
      <c r="GC34" s="700"/>
      <c r="GD34" s="700"/>
      <c r="GE34" s="700"/>
      <c r="GF34" s="700"/>
      <c r="GG34" s="700"/>
      <c r="GH34" s="700"/>
      <c r="GI34" s="700"/>
      <c r="GJ34" s="700"/>
      <c r="GK34" s="700"/>
      <c r="GL34" s="700"/>
      <c r="GM34" s="700"/>
      <c r="GN34" s="700"/>
      <c r="GO34" s="700"/>
      <c r="GP34" s="700"/>
      <c r="GQ34" s="700"/>
      <c r="GR34" s="700"/>
      <c r="GS34" s="700"/>
      <c r="GT34" s="700"/>
      <c r="GU34" s="700"/>
      <c r="GV34" s="700"/>
      <c r="GW34" s="700"/>
      <c r="GX34" s="700"/>
      <c r="GY34" s="700"/>
      <c r="GZ34" s="700"/>
      <c r="HA34" s="700"/>
      <c r="HB34" s="700"/>
      <c r="HC34" s="700"/>
      <c r="HD34" s="700"/>
      <c r="HE34" s="700"/>
      <c r="HF34" s="700"/>
      <c r="HG34" s="700"/>
      <c r="HH34" s="700"/>
      <c r="HI34" s="700"/>
      <c r="HJ34" s="700"/>
      <c r="HK34" s="700"/>
      <c r="HL34" s="700"/>
      <c r="HM34" s="700"/>
      <c r="HN34" s="700"/>
      <c r="HO34" s="700"/>
      <c r="HP34" s="700"/>
      <c r="HQ34" s="700"/>
      <c r="HR34" s="700"/>
      <c r="HS34" s="700"/>
      <c r="HT34" s="700"/>
      <c r="HU34" s="700"/>
      <c r="HV34" s="700"/>
      <c r="HW34" s="700"/>
      <c r="HX34" s="700"/>
      <c r="HY34" s="700"/>
      <c r="HZ34" s="700"/>
      <c r="IA34" s="700"/>
      <c r="IB34" s="700"/>
      <c r="IC34" s="700"/>
      <c r="ID34" s="700"/>
      <c r="IE34" s="700"/>
      <c r="IF34" s="700"/>
      <c r="IG34" s="700"/>
      <c r="IH34" s="700"/>
      <c r="II34" s="700"/>
      <c r="IJ34" s="700"/>
      <c r="IK34" s="700"/>
      <c r="IL34" s="700"/>
      <c r="IM34" s="700"/>
      <c r="IN34" s="700"/>
      <c r="IO34" s="700"/>
      <c r="IP34" s="700"/>
      <c r="IQ34" s="700"/>
      <c r="IR34" s="700"/>
      <c r="IS34" s="700"/>
      <c r="IT34" s="700"/>
      <c r="IU34" s="700"/>
      <c r="IV34" s="700"/>
      <c r="IW34" s="700"/>
      <c r="IX34" s="700"/>
      <c r="IY34" s="700"/>
      <c r="IZ34" s="700"/>
      <c r="JA34" s="700"/>
      <c r="JB34" s="700"/>
      <c r="JC34" s="700"/>
      <c r="JD34" s="700"/>
      <c r="JE34" s="700"/>
      <c r="JF34" s="700"/>
      <c r="JG34" s="700"/>
      <c r="JH34" s="700"/>
      <c r="JI34" s="700"/>
      <c r="JJ34" s="700"/>
      <c r="JK34" s="700"/>
      <c r="JL34" s="700"/>
      <c r="JM34" s="700"/>
      <c r="JN34" s="700"/>
      <c r="JO34" s="700"/>
      <c r="JP34" s="700"/>
      <c r="JQ34" s="700"/>
      <c r="JR34" s="700"/>
      <c r="JS34" s="700"/>
      <c r="JT34" s="700"/>
      <c r="JU34" s="700"/>
      <c r="JV34" s="700"/>
      <c r="JW34" s="700"/>
      <c r="JX34" s="700"/>
      <c r="JY34" s="700"/>
      <c r="JZ34" s="700"/>
      <c r="KA34" s="700"/>
      <c r="KB34" s="700"/>
      <c r="KC34" s="700"/>
      <c r="KD34" s="700"/>
      <c r="KE34" s="700"/>
      <c r="KF34" s="700"/>
      <c r="KG34" s="700"/>
      <c r="KH34" s="700"/>
      <c r="KI34" s="700"/>
      <c r="KJ34" s="700"/>
      <c r="KK34" s="700"/>
      <c r="KL34" s="700"/>
      <c r="KM34" s="700"/>
      <c r="KN34" s="700"/>
      <c r="KO34" s="700"/>
      <c r="KP34" s="700"/>
      <c r="KQ34" s="700"/>
      <c r="KR34" s="700"/>
      <c r="KS34" s="700"/>
      <c r="KT34" s="700"/>
      <c r="KU34" s="700"/>
      <c r="KV34" s="700"/>
      <c r="KW34" s="700"/>
      <c r="KX34" s="700"/>
      <c r="KY34" s="700"/>
      <c r="KZ34" s="700"/>
      <c r="LA34" s="700"/>
      <c r="LB34" s="700"/>
      <c r="LC34" s="700"/>
      <c r="LD34" s="700"/>
      <c r="LE34" s="700"/>
      <c r="LF34" s="700"/>
      <c r="LG34" s="700"/>
      <c r="LH34" s="700"/>
      <c r="LI34" s="700"/>
      <c r="LJ34" s="700"/>
      <c r="LK34" s="700"/>
      <c r="LL34" s="700"/>
      <c r="LM34" s="700"/>
      <c r="LN34" s="700"/>
      <c r="LO34" s="700"/>
      <c r="LP34" s="700"/>
      <c r="LQ34" s="700"/>
      <c r="LR34" s="700"/>
      <c r="LS34" s="700"/>
      <c r="LT34" s="700"/>
      <c r="LU34" s="700"/>
      <c r="LV34" s="700"/>
      <c r="LW34" s="700"/>
      <c r="LX34" s="700"/>
      <c r="LY34" s="700"/>
      <c r="LZ34" s="700"/>
      <c r="MA34" s="700"/>
      <c r="MB34" s="700"/>
      <c r="MC34" s="700"/>
      <c r="MD34" s="700"/>
      <c r="ME34" s="700"/>
      <c r="MF34" s="700"/>
      <c r="MG34" s="700"/>
      <c r="MH34" s="700"/>
      <c r="MI34" s="700"/>
      <c r="MJ34" s="700"/>
      <c r="MK34" s="700"/>
      <c r="ML34" s="700"/>
      <c r="MM34" s="700"/>
      <c r="MN34" s="700"/>
      <c r="MO34" s="700"/>
      <c r="MP34" s="700"/>
      <c r="MQ34" s="700"/>
      <c r="MR34" s="700"/>
      <c r="MS34" s="700"/>
      <c r="MT34" s="700"/>
      <c r="MU34" s="700"/>
      <c r="MV34" s="700"/>
      <c r="MW34" s="700"/>
      <c r="MX34" s="700"/>
      <c r="MY34" s="700"/>
      <c r="MZ34" s="700"/>
      <c r="NA34" s="700"/>
      <c r="NB34" s="700"/>
      <c r="NC34" s="700"/>
      <c r="ND34" s="700"/>
      <c r="NE34" s="700"/>
      <c r="NF34" s="700"/>
      <c r="NG34" s="700"/>
      <c r="NH34" s="700"/>
      <c r="NI34" s="700"/>
      <c r="NJ34" s="700"/>
      <c r="NK34" s="700"/>
      <c r="NL34" s="700"/>
      <c r="NM34" s="700"/>
      <c r="NN34" s="700"/>
      <c r="NO34" s="700"/>
      <c r="NP34" s="700"/>
      <c r="NQ34" s="700"/>
      <c r="NR34" s="700"/>
      <c r="NS34" s="700"/>
      <c r="NT34" s="700"/>
      <c r="NU34" s="700"/>
      <c r="NV34" s="700"/>
      <c r="NW34" s="700"/>
      <c r="NX34" s="700"/>
      <c r="NY34" s="700"/>
      <c r="NZ34" s="700"/>
      <c r="OA34" s="700"/>
      <c r="OB34" s="700"/>
      <c r="OC34" s="700"/>
      <c r="OD34" s="700"/>
      <c r="OE34" s="700"/>
      <c r="OF34" s="700"/>
      <c r="OG34" s="700"/>
      <c r="OH34" s="700"/>
      <c r="OI34" s="700"/>
      <c r="OJ34" s="700"/>
      <c r="OK34" s="700"/>
      <c r="OL34" s="700"/>
      <c r="OM34" s="700"/>
      <c r="ON34" s="700"/>
      <c r="OO34" s="700"/>
      <c r="OP34" s="700"/>
      <c r="OQ34" s="700"/>
      <c r="OR34" s="700"/>
      <c r="OS34" s="700"/>
      <c r="OT34" s="700"/>
      <c r="OU34" s="700"/>
      <c r="OV34" s="700"/>
      <c r="OW34" s="700"/>
      <c r="OX34" s="700"/>
      <c r="OY34" s="700"/>
      <c r="OZ34" s="700"/>
      <c r="PA34" s="700"/>
      <c r="PB34" s="700"/>
      <c r="PC34" s="700"/>
      <c r="PD34" s="700"/>
      <c r="PE34" s="700"/>
      <c r="PF34" s="700"/>
      <c r="PG34" s="700"/>
      <c r="PH34" s="700"/>
      <c r="PI34" s="700"/>
      <c r="PJ34" s="700"/>
      <c r="PK34" s="700"/>
      <c r="PL34" s="700"/>
      <c r="PM34" s="700"/>
      <c r="PN34" s="700"/>
      <c r="PO34" s="700"/>
      <c r="PP34" s="700"/>
      <c r="PQ34" s="700"/>
      <c r="PR34" s="700"/>
      <c r="PS34" s="700"/>
      <c r="PT34" s="700"/>
      <c r="PU34" s="700"/>
      <c r="PV34" s="700"/>
      <c r="PW34" s="700"/>
      <c r="PX34" s="700"/>
      <c r="PY34" s="700"/>
      <c r="PZ34" s="700"/>
      <c r="QA34" s="700"/>
      <c r="QB34" s="700"/>
      <c r="QC34" s="700"/>
      <c r="QD34" s="700"/>
      <c r="QE34" s="700"/>
      <c r="QF34" s="700"/>
      <c r="QG34" s="700"/>
      <c r="QH34" s="700"/>
      <c r="QI34" s="700"/>
      <c r="QJ34" s="700"/>
      <c r="QK34" s="700"/>
      <c r="QL34" s="700"/>
      <c r="QM34" s="700"/>
      <c r="QN34" s="700"/>
      <c r="QO34" s="700"/>
      <c r="QP34" s="700"/>
      <c r="QQ34" s="700"/>
      <c r="QR34" s="700"/>
      <c r="QS34" s="700"/>
      <c r="QT34" s="700"/>
      <c r="QU34" s="700"/>
      <c r="QV34" s="700"/>
      <c r="QW34" s="700"/>
      <c r="QX34" s="700"/>
      <c r="QY34" s="700"/>
      <c r="QZ34" s="700"/>
      <c r="RA34" s="700"/>
      <c r="RB34" s="700"/>
      <c r="RC34" s="700"/>
      <c r="RD34" s="700"/>
      <c r="RE34" s="700"/>
      <c r="RF34" s="700"/>
      <c r="RG34" s="700"/>
      <c r="RH34" s="700"/>
      <c r="RI34" s="700"/>
      <c r="RJ34" s="700"/>
      <c r="RK34" s="700"/>
      <c r="RL34" s="700"/>
      <c r="RM34" s="700"/>
      <c r="RN34" s="700"/>
      <c r="RO34" s="700"/>
      <c r="RP34" s="700"/>
      <c r="RQ34" s="700"/>
      <c r="RR34" s="700"/>
      <c r="RS34" s="700"/>
      <c r="RT34" s="700"/>
      <c r="RU34" s="700"/>
      <c r="RV34" s="700"/>
      <c r="RW34" s="700"/>
      <c r="RX34" s="700"/>
      <c r="RY34" s="700"/>
      <c r="RZ34" s="700"/>
      <c r="SA34" s="700"/>
      <c r="SB34" s="700"/>
      <c r="SC34" s="700"/>
      <c r="SD34" s="700"/>
      <c r="SE34" s="700"/>
      <c r="SF34" s="700"/>
      <c r="SG34" s="700"/>
      <c r="SH34" s="700"/>
      <c r="SI34" s="700"/>
      <c r="SJ34" s="700"/>
      <c r="SK34" s="700"/>
      <c r="SL34" s="700"/>
      <c r="SM34" s="700"/>
      <c r="SN34" s="700"/>
      <c r="SO34" s="700"/>
      <c r="SP34" s="700"/>
      <c r="SQ34" s="700"/>
      <c r="SR34" s="700"/>
      <c r="SS34" s="700"/>
      <c r="ST34" s="700"/>
      <c r="SU34" s="700"/>
      <c r="SV34" s="700"/>
      <c r="SW34" s="700"/>
      <c r="SX34" s="700"/>
      <c r="SY34" s="700"/>
      <c r="SZ34" s="700"/>
      <c r="TA34" s="700"/>
      <c r="TB34" s="700"/>
      <c r="TC34" s="700"/>
      <c r="TD34" s="700"/>
      <c r="TE34" s="700"/>
      <c r="TF34" s="700"/>
      <c r="TG34" s="700"/>
      <c r="TH34" s="700"/>
      <c r="TI34" s="700"/>
      <c r="TJ34" s="700"/>
      <c r="TK34" s="700"/>
      <c r="TL34" s="700"/>
      <c r="TM34" s="700"/>
      <c r="TN34" s="700"/>
      <c r="TO34" s="700"/>
      <c r="TP34" s="700"/>
      <c r="TQ34" s="700"/>
      <c r="TR34" s="700"/>
      <c r="TS34" s="700"/>
      <c r="TT34" s="700"/>
      <c r="TU34" s="700"/>
      <c r="TV34" s="700"/>
      <c r="TW34" s="700"/>
      <c r="TX34" s="700"/>
      <c r="TY34" s="700"/>
      <c r="TZ34" s="700"/>
      <c r="UA34" s="700"/>
      <c r="UB34" s="700"/>
      <c r="UC34" s="700"/>
      <c r="UD34" s="700"/>
      <c r="UE34" s="700"/>
      <c r="UF34" s="700"/>
      <c r="UG34" s="700"/>
      <c r="UH34" s="700"/>
      <c r="UI34" s="700"/>
      <c r="UJ34" s="700"/>
      <c r="UK34" s="700"/>
      <c r="UL34" s="700"/>
      <c r="UM34" s="700"/>
      <c r="UN34" s="700"/>
      <c r="UO34" s="700"/>
      <c r="UP34" s="700"/>
      <c r="UQ34" s="700"/>
      <c r="UR34" s="700"/>
      <c r="US34" s="700"/>
      <c r="UT34" s="700"/>
      <c r="UU34" s="700"/>
      <c r="UV34" s="700"/>
      <c r="UW34" s="700"/>
      <c r="UX34" s="700"/>
      <c r="UY34" s="700"/>
      <c r="UZ34" s="700"/>
      <c r="VA34" s="700"/>
      <c r="VB34" s="700"/>
      <c r="VC34" s="700"/>
      <c r="VD34" s="700"/>
      <c r="VE34" s="700"/>
      <c r="VF34" s="700"/>
      <c r="VG34" s="700"/>
      <c r="VH34" s="700"/>
      <c r="VI34" s="700"/>
      <c r="VJ34" s="700"/>
      <c r="VK34" s="700"/>
      <c r="VL34" s="700"/>
      <c r="VM34" s="700"/>
      <c r="VN34" s="700"/>
      <c r="VO34" s="700"/>
      <c r="VP34" s="700"/>
      <c r="VQ34" s="700"/>
      <c r="VR34" s="700"/>
      <c r="VS34" s="700"/>
      <c r="VT34" s="700"/>
      <c r="VU34" s="700"/>
      <c r="VV34" s="700"/>
      <c r="VW34" s="700"/>
      <c r="VX34" s="700"/>
      <c r="VY34" s="700"/>
      <c r="VZ34" s="700"/>
      <c r="WA34" s="700"/>
      <c r="WB34" s="700"/>
      <c r="WC34" s="700"/>
      <c r="WD34" s="700"/>
      <c r="WE34" s="700"/>
      <c r="WF34" s="700"/>
      <c r="WG34" s="700"/>
      <c r="WH34" s="700"/>
      <c r="WI34" s="700"/>
      <c r="WJ34" s="700"/>
      <c r="WK34" s="700"/>
      <c r="WL34" s="700"/>
      <c r="WM34" s="700"/>
      <c r="WN34" s="700"/>
      <c r="WO34" s="700"/>
      <c r="WP34" s="700"/>
      <c r="WQ34" s="700"/>
      <c r="WR34" s="700"/>
      <c r="WS34" s="700"/>
      <c r="WT34" s="700"/>
      <c r="WU34" s="700"/>
      <c r="WV34" s="700"/>
      <c r="WW34" s="700"/>
      <c r="WX34" s="700"/>
      <c r="WY34" s="700"/>
      <c r="WZ34" s="700"/>
      <c r="XA34" s="700"/>
      <c r="XB34" s="700"/>
      <c r="XC34" s="700"/>
      <c r="XD34" s="700"/>
      <c r="XE34" s="700"/>
      <c r="XF34" s="700"/>
      <c r="XG34" s="700"/>
      <c r="XH34" s="700"/>
      <c r="XI34" s="700"/>
      <c r="XJ34" s="700"/>
      <c r="XK34" s="700"/>
      <c r="XL34" s="700"/>
      <c r="XM34" s="700"/>
      <c r="XN34" s="700"/>
      <c r="XO34" s="700"/>
      <c r="XP34" s="700"/>
      <c r="XQ34" s="700"/>
      <c r="XR34" s="700"/>
      <c r="XS34" s="700"/>
      <c r="XT34" s="700"/>
      <c r="XU34" s="700"/>
      <c r="XV34" s="700"/>
      <c r="XW34" s="700"/>
      <c r="XX34" s="700"/>
      <c r="XY34" s="700"/>
      <c r="XZ34" s="700"/>
      <c r="YA34" s="700"/>
      <c r="YB34" s="700"/>
      <c r="YC34" s="700"/>
      <c r="YD34" s="700"/>
      <c r="YE34" s="700"/>
      <c r="YF34" s="700"/>
      <c r="YG34" s="700"/>
      <c r="YH34" s="700"/>
      <c r="YI34" s="700"/>
      <c r="YJ34" s="700"/>
      <c r="YK34" s="700"/>
      <c r="YL34" s="700"/>
      <c r="YM34" s="700"/>
      <c r="YN34" s="700"/>
      <c r="YO34" s="700"/>
      <c r="YP34" s="700"/>
      <c r="YQ34" s="700"/>
      <c r="YR34" s="700"/>
      <c r="YS34" s="700"/>
      <c r="YT34" s="700"/>
      <c r="YU34" s="700"/>
      <c r="YV34" s="700"/>
      <c r="YW34" s="700"/>
      <c r="YX34" s="700"/>
      <c r="YY34" s="700"/>
      <c r="YZ34" s="700"/>
      <c r="ZA34" s="700"/>
      <c r="ZB34" s="700"/>
      <c r="ZC34" s="700"/>
      <c r="ZD34" s="700"/>
      <c r="ZE34" s="700"/>
      <c r="ZF34" s="700"/>
      <c r="ZG34" s="700"/>
      <c r="ZH34" s="700"/>
      <c r="ZI34" s="700"/>
      <c r="ZJ34" s="700"/>
      <c r="ZK34" s="700"/>
      <c r="ZL34" s="700"/>
      <c r="ZM34" s="700"/>
      <c r="ZN34" s="700"/>
      <c r="ZO34" s="700"/>
      <c r="ZP34" s="700"/>
      <c r="ZQ34" s="700"/>
      <c r="ZR34" s="700"/>
      <c r="ZS34" s="700"/>
      <c r="ZT34" s="700"/>
      <c r="ZU34" s="700"/>
      <c r="ZV34" s="700"/>
      <c r="ZW34" s="700"/>
      <c r="ZX34" s="700"/>
      <c r="ZY34" s="700"/>
      <c r="ZZ34" s="700"/>
      <c r="AAA34" s="700"/>
      <c r="AAB34" s="700"/>
      <c r="AAC34" s="700"/>
      <c r="AAD34" s="700"/>
      <c r="AAE34" s="700"/>
      <c r="AAF34" s="700"/>
      <c r="AAG34" s="700"/>
      <c r="AAH34" s="700"/>
      <c r="AAI34" s="700"/>
      <c r="AAJ34" s="700"/>
      <c r="AAK34" s="700"/>
      <c r="AAL34" s="700"/>
      <c r="AAM34" s="700"/>
      <c r="AAN34" s="700"/>
      <c r="AAO34" s="700"/>
      <c r="AAP34" s="700"/>
      <c r="AAQ34" s="700"/>
      <c r="AAR34" s="700"/>
      <c r="AAS34" s="700"/>
      <c r="AAT34" s="700"/>
      <c r="AAU34" s="700"/>
      <c r="AAV34" s="700"/>
      <c r="AAW34" s="700"/>
      <c r="AAX34" s="700"/>
      <c r="AAY34" s="700"/>
      <c r="AAZ34" s="700"/>
      <c r="ABA34" s="700"/>
      <c r="ABB34" s="700"/>
      <c r="ABC34" s="700"/>
      <c r="ABD34" s="700"/>
      <c r="ABE34" s="700"/>
      <c r="ABF34" s="700"/>
      <c r="ABG34" s="700"/>
      <c r="ABH34" s="700"/>
      <c r="ABI34" s="700"/>
      <c r="ABJ34" s="700"/>
      <c r="ABK34" s="700"/>
      <c r="ABL34" s="700"/>
      <c r="ABM34" s="700"/>
      <c r="ABN34" s="700"/>
      <c r="ABO34" s="700"/>
      <c r="ABP34" s="700"/>
      <c r="ABQ34" s="700"/>
      <c r="ABR34" s="700"/>
      <c r="ABS34" s="700"/>
      <c r="ABT34" s="700"/>
      <c r="ABU34" s="700"/>
      <c r="ABV34" s="700"/>
      <c r="ABW34" s="700"/>
      <c r="ABX34" s="700"/>
      <c r="ABY34" s="700"/>
      <c r="ABZ34" s="700"/>
      <c r="ACA34" s="700"/>
      <c r="ACB34" s="700"/>
      <c r="ACC34" s="700"/>
      <c r="ACD34" s="700"/>
      <c r="ACE34" s="700"/>
      <c r="ACF34" s="700"/>
      <c r="ACG34" s="700"/>
      <c r="ACH34" s="700"/>
      <c r="ACI34" s="700"/>
      <c r="ACJ34" s="700"/>
      <c r="ACK34" s="700"/>
      <c r="ACL34" s="700"/>
      <c r="ACM34" s="700"/>
      <c r="ACN34" s="700"/>
      <c r="ACO34" s="700"/>
      <c r="ACP34" s="700"/>
      <c r="ACQ34" s="700"/>
      <c r="ACR34" s="700"/>
      <c r="ACS34" s="700"/>
      <c r="ACT34" s="700"/>
      <c r="ACU34" s="700"/>
      <c r="ACV34" s="700"/>
      <c r="ACW34" s="700"/>
      <c r="ACX34" s="700"/>
      <c r="ACY34" s="700"/>
      <c r="ACZ34" s="700"/>
      <c r="ADA34" s="700"/>
      <c r="ADB34" s="700"/>
      <c r="ADC34" s="700"/>
      <c r="ADD34" s="700"/>
      <c r="ADE34" s="700"/>
      <c r="ADF34" s="700"/>
      <c r="ADG34" s="700"/>
      <c r="ADH34" s="700"/>
      <c r="ADI34" s="700"/>
      <c r="ADJ34" s="700"/>
      <c r="ADK34" s="700"/>
      <c r="ADL34" s="700"/>
      <c r="ADM34" s="700"/>
      <c r="ADN34" s="700"/>
      <c r="ADO34" s="700"/>
      <c r="ADP34" s="700"/>
      <c r="ADQ34" s="700"/>
      <c r="ADR34" s="700"/>
      <c r="ADS34" s="700"/>
      <c r="ADT34" s="700"/>
      <c r="ADU34" s="700"/>
      <c r="ADV34" s="700"/>
      <c r="ADW34" s="700"/>
      <c r="ADX34" s="700"/>
      <c r="ADY34" s="700"/>
      <c r="ADZ34" s="700"/>
      <c r="AEA34" s="700"/>
      <c r="AEB34" s="700"/>
      <c r="AEC34" s="700"/>
      <c r="AED34" s="700"/>
      <c r="AEE34" s="700"/>
      <c r="AEF34" s="700"/>
      <c r="AEG34" s="700"/>
      <c r="AEH34" s="700"/>
      <c r="AEI34" s="700"/>
      <c r="AEJ34" s="700"/>
      <c r="AEK34" s="700"/>
      <c r="AEL34" s="700"/>
      <c r="AEM34" s="700"/>
      <c r="AEN34" s="700"/>
      <c r="AEO34" s="700"/>
      <c r="AEP34" s="700"/>
      <c r="AEQ34" s="700"/>
      <c r="AER34" s="700"/>
      <c r="AES34" s="700"/>
      <c r="AET34" s="700"/>
      <c r="AEU34" s="700"/>
      <c r="AEV34" s="700"/>
      <c r="AEW34" s="700"/>
      <c r="AEX34" s="700"/>
      <c r="AEY34" s="700"/>
      <c r="AEZ34" s="700"/>
      <c r="AFA34" s="700"/>
      <c r="AFB34" s="700"/>
      <c r="AFC34" s="700"/>
      <c r="AFD34" s="700"/>
      <c r="AFE34" s="700"/>
      <c r="AFF34" s="700"/>
      <c r="AFG34" s="700"/>
      <c r="AFH34" s="700"/>
      <c r="AFI34" s="700"/>
      <c r="AFJ34" s="700"/>
      <c r="AFK34" s="700"/>
      <c r="AFL34" s="700"/>
      <c r="AFM34" s="700"/>
      <c r="AFN34" s="700"/>
      <c r="AFO34" s="700"/>
      <c r="AFP34" s="700"/>
      <c r="AFQ34" s="700"/>
      <c r="AFR34" s="700"/>
      <c r="AFS34" s="700"/>
      <c r="AFT34" s="700"/>
      <c r="AFU34" s="700"/>
      <c r="AFV34" s="700"/>
      <c r="AFW34" s="700"/>
      <c r="AFX34" s="700"/>
      <c r="AFY34" s="700"/>
      <c r="AFZ34" s="700"/>
      <c r="AGA34" s="700"/>
      <c r="AGB34" s="700"/>
      <c r="AGC34" s="700"/>
      <c r="AGD34" s="700"/>
      <c r="AGE34" s="700"/>
      <c r="AGF34" s="700"/>
      <c r="AGG34" s="700"/>
      <c r="AGH34" s="700"/>
      <c r="AGI34" s="700"/>
      <c r="AGJ34" s="700"/>
      <c r="AGK34" s="700"/>
      <c r="AGL34" s="700"/>
      <c r="AGM34" s="700"/>
      <c r="AGN34" s="700"/>
      <c r="AGO34" s="700"/>
      <c r="AGP34" s="700"/>
      <c r="AGQ34" s="700"/>
      <c r="AGR34" s="700"/>
      <c r="AGS34" s="700"/>
      <c r="AGT34" s="700"/>
      <c r="AGU34" s="700"/>
      <c r="AGV34" s="700"/>
      <c r="AGW34" s="700"/>
      <c r="AGX34" s="700"/>
      <c r="AGY34" s="700"/>
      <c r="AGZ34" s="700"/>
      <c r="AHA34" s="700"/>
      <c r="AHB34" s="700"/>
      <c r="AHC34" s="700"/>
      <c r="AHD34" s="700"/>
      <c r="AHE34" s="700"/>
      <c r="AHF34" s="700"/>
      <c r="AHG34" s="700"/>
      <c r="AHH34" s="700"/>
      <c r="AHI34" s="700"/>
      <c r="AHJ34" s="700"/>
      <c r="AHK34" s="700"/>
      <c r="AHL34" s="700"/>
      <c r="AHM34" s="700"/>
      <c r="AHN34" s="700"/>
      <c r="AHO34" s="700"/>
      <c r="AHP34" s="700"/>
      <c r="AHQ34" s="700"/>
      <c r="AHR34" s="700"/>
      <c r="AHS34" s="700"/>
      <c r="AHT34" s="700"/>
      <c r="AHU34" s="700"/>
      <c r="AHV34" s="700"/>
      <c r="AHW34" s="700"/>
      <c r="AHX34" s="700"/>
      <c r="AHY34" s="700"/>
      <c r="AHZ34" s="700"/>
      <c r="AIA34" s="700"/>
      <c r="AIB34" s="700"/>
      <c r="AIC34" s="700"/>
      <c r="AID34" s="700"/>
      <c r="AIE34" s="700"/>
      <c r="AIF34" s="700"/>
      <c r="AIG34" s="700"/>
      <c r="AIH34" s="700"/>
      <c r="AII34" s="700"/>
      <c r="AIJ34" s="700"/>
      <c r="AIK34" s="700"/>
      <c r="AIL34" s="700"/>
      <c r="AIM34" s="700"/>
      <c r="AIN34" s="700"/>
      <c r="AIO34" s="700"/>
      <c r="AIP34" s="700"/>
      <c r="AIQ34" s="700"/>
      <c r="AIR34" s="700"/>
      <c r="AIS34" s="700"/>
      <c r="AIT34" s="700"/>
      <c r="AIU34" s="700"/>
      <c r="AIV34" s="700"/>
      <c r="AIW34" s="700"/>
      <c r="AIX34" s="700"/>
      <c r="AIY34" s="700"/>
      <c r="AIZ34" s="700"/>
      <c r="AJA34" s="700"/>
      <c r="AJB34" s="700"/>
      <c r="AJC34" s="700"/>
      <c r="AJD34" s="700"/>
      <c r="AJE34" s="700"/>
      <c r="AJF34" s="700"/>
      <c r="AJG34" s="700"/>
      <c r="AJH34" s="700"/>
      <c r="AJI34" s="700"/>
      <c r="AJJ34" s="700"/>
      <c r="AJK34" s="700"/>
      <c r="AJL34" s="700"/>
      <c r="AJM34" s="700"/>
      <c r="AJN34" s="700"/>
      <c r="AJO34" s="700"/>
      <c r="AJP34" s="700"/>
      <c r="AJQ34" s="700"/>
      <c r="AJR34" s="700"/>
      <c r="AJS34" s="700"/>
      <c r="AJT34" s="700"/>
      <c r="AJU34" s="700"/>
      <c r="AJV34" s="700"/>
      <c r="AJW34" s="700"/>
      <c r="AJX34" s="700"/>
      <c r="AJY34" s="700"/>
      <c r="AJZ34" s="700"/>
      <c r="AKA34" s="700"/>
      <c r="AKB34" s="700"/>
      <c r="AKC34" s="700"/>
      <c r="AKD34" s="700"/>
      <c r="AKE34" s="700"/>
      <c r="AKF34" s="700"/>
      <c r="AKG34" s="700"/>
      <c r="AKH34" s="700"/>
      <c r="AKI34" s="700"/>
      <c r="AKJ34" s="700"/>
      <c r="AKK34" s="700"/>
      <c r="AKL34" s="700"/>
      <c r="AKM34" s="700"/>
      <c r="AKN34" s="700"/>
      <c r="AKO34" s="700"/>
      <c r="AKP34" s="700"/>
      <c r="AKQ34" s="700"/>
      <c r="AKR34" s="700"/>
      <c r="AKS34" s="700"/>
      <c r="AKT34" s="700"/>
      <c r="AKU34" s="700"/>
      <c r="AKV34" s="700"/>
      <c r="AKW34" s="700"/>
      <c r="AKX34" s="700"/>
      <c r="AKY34" s="700"/>
      <c r="AKZ34" s="700"/>
      <c r="ALA34" s="700"/>
      <c r="ALB34" s="700"/>
      <c r="ALC34" s="700"/>
      <c r="ALD34" s="700"/>
      <c r="ALE34" s="700"/>
      <c r="ALF34" s="700"/>
      <c r="ALG34" s="700"/>
      <c r="ALH34" s="700"/>
      <c r="ALI34" s="700"/>
      <c r="ALJ34" s="700"/>
      <c r="ALK34" s="700"/>
      <c r="ALL34" s="700"/>
      <c r="ALM34" s="700"/>
      <c r="ALN34" s="700"/>
      <c r="ALO34" s="700"/>
      <c r="ALP34" s="700"/>
      <c r="ALQ34" s="700"/>
      <c r="ALR34" s="700"/>
      <c r="ALS34" s="700"/>
      <c r="ALT34" s="700"/>
      <c r="ALU34" s="700"/>
      <c r="ALV34" s="700"/>
      <c r="ALW34" s="700"/>
      <c r="ALX34" s="700"/>
      <c r="ALY34" s="700"/>
      <c r="ALZ34" s="700"/>
      <c r="AMA34" s="700"/>
      <c r="AMB34" s="700"/>
      <c r="AMC34" s="700"/>
      <c r="AMD34" s="700"/>
      <c r="AME34" s="700"/>
      <c r="AMF34" s="700"/>
      <c r="AMG34" s="700"/>
      <c r="AMH34" s="700"/>
      <c r="AMI34" s="700"/>
      <c r="AMJ34" s="700"/>
      <c r="AMK34" s="700"/>
      <c r="AML34" s="700"/>
      <c r="AMM34" s="700"/>
      <c r="AMN34" s="700"/>
      <c r="AMO34" s="700"/>
      <c r="AMP34" s="700"/>
      <c r="AMQ34" s="700"/>
      <c r="AMR34" s="700"/>
      <c r="AMS34" s="700"/>
      <c r="AMT34" s="700"/>
      <c r="AMU34" s="700"/>
      <c r="AMV34" s="700"/>
      <c r="AMW34" s="700"/>
      <c r="AMX34" s="700"/>
      <c r="AMY34" s="700"/>
      <c r="AMZ34" s="700"/>
      <c r="ANA34" s="700"/>
      <c r="ANB34" s="700"/>
      <c r="ANC34" s="700"/>
      <c r="AND34" s="700"/>
      <c r="ANE34" s="700"/>
      <c r="ANF34" s="700"/>
      <c r="ANG34" s="700"/>
      <c r="ANH34" s="700"/>
      <c r="ANI34" s="700"/>
      <c r="ANJ34" s="700"/>
      <c r="ANK34" s="700"/>
      <c r="ANL34" s="700"/>
      <c r="ANM34" s="700"/>
      <c r="ANN34" s="700"/>
      <c r="ANO34" s="700"/>
      <c r="ANP34" s="700"/>
      <c r="ANQ34" s="700"/>
      <c r="ANR34" s="700"/>
      <c r="ANS34" s="700"/>
      <c r="ANT34" s="700"/>
      <c r="ANU34" s="700"/>
      <c r="ANV34" s="700"/>
      <c r="ANW34" s="700"/>
      <c r="ANX34" s="700"/>
      <c r="ANY34" s="700"/>
      <c r="ANZ34" s="700"/>
      <c r="AOA34" s="700"/>
      <c r="AOB34" s="700"/>
      <c r="AOC34" s="700"/>
      <c r="AOD34" s="700"/>
      <c r="AOE34" s="700"/>
      <c r="AOF34" s="700"/>
      <c r="AOG34" s="700"/>
      <c r="AOH34" s="700"/>
      <c r="AOI34" s="700"/>
      <c r="AOJ34" s="700"/>
      <c r="AOK34" s="700"/>
      <c r="AOL34" s="700"/>
      <c r="AOM34" s="700"/>
      <c r="AON34" s="700"/>
      <c r="AOO34" s="700"/>
      <c r="AOP34" s="700"/>
      <c r="AOQ34" s="700"/>
      <c r="AOR34" s="700"/>
      <c r="AOS34" s="700"/>
      <c r="AOT34" s="700"/>
      <c r="AOU34" s="700"/>
      <c r="AOV34" s="700"/>
      <c r="AOW34" s="700"/>
      <c r="AOX34" s="700"/>
      <c r="AOY34" s="700"/>
      <c r="AOZ34" s="700"/>
      <c r="APA34" s="700"/>
      <c r="APB34" s="700"/>
      <c r="APC34" s="700"/>
      <c r="APD34" s="700"/>
      <c r="APE34" s="700"/>
      <c r="APF34" s="700"/>
      <c r="APG34" s="700"/>
      <c r="APH34" s="700"/>
      <c r="API34" s="700"/>
      <c r="APJ34" s="700"/>
      <c r="APK34" s="700"/>
      <c r="APL34" s="700"/>
      <c r="APM34" s="700"/>
      <c r="APN34" s="700"/>
      <c r="APO34" s="700"/>
      <c r="APP34" s="700"/>
      <c r="APQ34" s="700"/>
      <c r="APR34" s="700"/>
      <c r="APS34" s="700"/>
      <c r="APT34" s="700"/>
      <c r="APU34" s="700"/>
      <c r="APV34" s="700"/>
      <c r="APW34" s="700"/>
      <c r="APX34" s="700"/>
      <c r="APY34" s="700"/>
      <c r="APZ34" s="700"/>
      <c r="AQA34" s="700"/>
      <c r="AQB34" s="700"/>
      <c r="AQC34" s="700"/>
      <c r="AQD34" s="700"/>
      <c r="AQE34" s="700"/>
      <c r="AQF34" s="700"/>
      <c r="AQG34" s="700"/>
      <c r="AQH34" s="700"/>
      <c r="AQI34" s="700"/>
      <c r="AQJ34" s="700"/>
      <c r="AQK34" s="700"/>
      <c r="AQL34" s="700"/>
      <c r="AQM34" s="700"/>
      <c r="AQN34" s="700"/>
      <c r="AQO34" s="700"/>
      <c r="AQP34" s="700"/>
      <c r="AQQ34" s="700"/>
      <c r="AQR34" s="700"/>
      <c r="AQS34" s="700"/>
      <c r="AQT34" s="700"/>
      <c r="AQU34" s="700"/>
      <c r="AQV34" s="700"/>
      <c r="AQW34" s="700"/>
      <c r="AQX34" s="700"/>
      <c r="AQY34" s="700"/>
      <c r="AQZ34" s="700"/>
      <c r="ARA34" s="700"/>
      <c r="ARB34" s="700"/>
      <c r="ARC34" s="700"/>
      <c r="ARD34" s="700"/>
      <c r="ARE34" s="700"/>
      <c r="ARF34" s="700"/>
      <c r="ARG34" s="700"/>
      <c r="ARH34" s="700"/>
      <c r="ARI34" s="700"/>
      <c r="ARJ34" s="700"/>
      <c r="ARK34" s="700"/>
      <c r="ARL34" s="700"/>
      <c r="ARM34" s="700"/>
      <c r="ARN34" s="700"/>
      <c r="ARO34" s="700"/>
      <c r="ARP34" s="700"/>
      <c r="ARQ34" s="700"/>
      <c r="ARR34" s="700"/>
      <c r="ARS34" s="700"/>
      <c r="ART34" s="700"/>
      <c r="ARU34" s="700"/>
      <c r="ARV34" s="700"/>
      <c r="ARW34" s="700"/>
      <c r="ARX34" s="700"/>
      <c r="ARY34" s="700"/>
      <c r="ARZ34" s="700"/>
      <c r="ASA34" s="700"/>
      <c r="ASB34" s="700"/>
      <c r="ASC34" s="700"/>
      <c r="ASD34" s="700"/>
      <c r="ASE34" s="700"/>
      <c r="ASF34" s="700"/>
      <c r="ASG34" s="700"/>
      <c r="ASH34" s="700"/>
      <c r="ASI34" s="700"/>
      <c r="ASJ34" s="700"/>
      <c r="ASK34" s="700"/>
      <c r="ASL34" s="700"/>
      <c r="ASM34" s="700"/>
      <c r="ASN34" s="700"/>
      <c r="ASO34" s="700"/>
      <c r="ASP34" s="700"/>
      <c r="ASQ34" s="700"/>
      <c r="ASR34" s="700"/>
      <c r="ASS34" s="700"/>
      <c r="AST34" s="700"/>
      <c r="ASU34" s="700"/>
      <c r="ASV34" s="700"/>
      <c r="ASW34" s="700"/>
      <c r="ASX34" s="700"/>
      <c r="ASY34" s="700"/>
      <c r="ASZ34" s="700"/>
      <c r="ATA34" s="700"/>
      <c r="ATB34" s="700"/>
      <c r="ATC34" s="700"/>
      <c r="ATD34" s="700"/>
      <c r="ATE34" s="700"/>
      <c r="ATF34" s="700"/>
      <c r="ATG34" s="700"/>
      <c r="ATH34" s="700"/>
      <c r="ATI34" s="700"/>
      <c r="ATJ34" s="700"/>
      <c r="ATK34" s="700"/>
      <c r="ATL34" s="700"/>
      <c r="ATM34" s="700"/>
      <c r="ATN34" s="700"/>
      <c r="ATO34" s="700"/>
      <c r="ATP34" s="700"/>
      <c r="ATQ34" s="700"/>
      <c r="ATR34" s="700"/>
      <c r="ATS34" s="700"/>
      <c r="ATT34" s="700"/>
      <c r="ATU34" s="700"/>
      <c r="ATV34" s="700"/>
      <c r="ATW34" s="700"/>
      <c r="ATX34" s="700"/>
      <c r="ATY34" s="700"/>
      <c r="ATZ34" s="700"/>
      <c r="AUA34" s="700"/>
      <c r="AUB34" s="700"/>
      <c r="AUC34" s="700"/>
      <c r="AUD34" s="700"/>
      <c r="AUE34" s="700"/>
      <c r="AUF34" s="700"/>
      <c r="AUG34" s="700"/>
      <c r="AUH34" s="700"/>
      <c r="AUI34" s="700"/>
      <c r="AUJ34" s="700"/>
      <c r="AUK34" s="700"/>
      <c r="AUL34" s="700"/>
      <c r="AUM34" s="700"/>
      <c r="AUN34" s="700"/>
      <c r="AUO34" s="700"/>
      <c r="AUP34" s="700"/>
      <c r="AUQ34" s="700"/>
      <c r="AUR34" s="700"/>
      <c r="AUS34" s="700"/>
      <c r="AUT34" s="700"/>
      <c r="AUU34" s="700"/>
      <c r="AUV34" s="700"/>
      <c r="AUW34" s="700"/>
      <c r="AUX34" s="700"/>
      <c r="AUY34" s="700"/>
      <c r="AUZ34" s="700"/>
      <c r="AVA34" s="700"/>
      <c r="AVB34" s="700"/>
      <c r="AVC34" s="700"/>
      <c r="AVD34" s="700"/>
      <c r="AVE34" s="700"/>
      <c r="AVF34" s="700"/>
      <c r="AVG34" s="700"/>
      <c r="AVH34" s="700"/>
      <c r="AVI34" s="700"/>
      <c r="AVJ34" s="700"/>
      <c r="AVK34" s="700"/>
      <c r="AVL34" s="700"/>
      <c r="AVM34" s="700"/>
      <c r="AVN34" s="700"/>
      <c r="AVO34" s="700"/>
      <c r="AVP34" s="700"/>
      <c r="AVQ34" s="700"/>
      <c r="AVR34" s="700"/>
      <c r="AVS34" s="700"/>
      <c r="AVT34" s="700"/>
      <c r="AVU34" s="700"/>
      <c r="AVV34" s="700"/>
      <c r="AVW34" s="700"/>
      <c r="AVX34" s="700"/>
      <c r="AVY34" s="700"/>
      <c r="AVZ34" s="700"/>
      <c r="AWA34" s="700"/>
      <c r="AWB34" s="700"/>
      <c r="AWC34" s="700"/>
      <c r="AWD34" s="700"/>
      <c r="AWE34" s="700"/>
      <c r="AWF34" s="700"/>
      <c r="AWG34" s="700"/>
      <c r="AWH34" s="700"/>
      <c r="AWI34" s="700"/>
      <c r="AWJ34" s="700"/>
      <c r="AWK34" s="700"/>
      <c r="AWL34" s="700"/>
      <c r="AWM34" s="700"/>
      <c r="AWN34" s="700"/>
      <c r="AWO34" s="700"/>
      <c r="AWP34" s="700"/>
      <c r="AWQ34" s="700"/>
      <c r="AWR34" s="700"/>
      <c r="AWS34" s="700"/>
      <c r="AWT34" s="700"/>
      <c r="AWU34" s="700"/>
      <c r="AWV34" s="700"/>
      <c r="AWW34" s="700"/>
      <c r="AWX34" s="700"/>
      <c r="AWY34" s="700"/>
      <c r="AWZ34" s="700"/>
      <c r="AXA34" s="700"/>
      <c r="AXB34" s="700"/>
      <c r="AXC34" s="700"/>
      <c r="AXD34" s="700"/>
      <c r="AXE34" s="700"/>
      <c r="AXF34" s="700"/>
      <c r="AXG34" s="700"/>
      <c r="AXH34" s="700"/>
      <c r="AXI34" s="700"/>
      <c r="AXJ34" s="700"/>
      <c r="AXK34" s="700"/>
      <c r="AXL34" s="700"/>
      <c r="AXM34" s="700"/>
      <c r="AXN34" s="700"/>
      <c r="AXO34" s="700"/>
      <c r="AXP34" s="700"/>
      <c r="AXQ34" s="700"/>
      <c r="AXR34" s="700"/>
      <c r="AXS34" s="700"/>
      <c r="AXT34" s="700"/>
      <c r="AXU34" s="700"/>
      <c r="AXV34" s="700"/>
      <c r="AXW34" s="700"/>
      <c r="AXX34" s="700"/>
      <c r="AXY34" s="700"/>
      <c r="AXZ34" s="700"/>
      <c r="AYA34" s="700"/>
      <c r="AYB34" s="700"/>
      <c r="AYC34" s="700"/>
      <c r="AYD34" s="700"/>
      <c r="AYE34" s="700"/>
      <c r="AYF34" s="700"/>
      <c r="AYG34" s="700"/>
      <c r="AYH34" s="700"/>
      <c r="AYI34" s="700"/>
      <c r="AYJ34" s="700"/>
      <c r="AYK34" s="700"/>
      <c r="AYL34" s="700"/>
      <c r="AYM34" s="700"/>
      <c r="AYN34" s="700"/>
      <c r="AYO34" s="700"/>
      <c r="AYP34" s="700"/>
      <c r="AYQ34" s="700"/>
      <c r="AYR34" s="700"/>
      <c r="AYS34" s="700"/>
      <c r="AYT34" s="700"/>
      <c r="AYU34" s="700"/>
      <c r="AYV34" s="700"/>
      <c r="AYW34" s="700"/>
      <c r="AYX34" s="700"/>
      <c r="AYY34" s="700"/>
      <c r="AYZ34" s="700"/>
      <c r="AZA34" s="700"/>
      <c r="AZB34" s="700"/>
      <c r="AZC34" s="700"/>
      <c r="AZD34" s="700"/>
      <c r="AZE34" s="700"/>
      <c r="AZF34" s="700"/>
      <c r="AZG34" s="700"/>
      <c r="AZH34" s="700"/>
      <c r="AZI34" s="700"/>
      <c r="AZJ34" s="700"/>
      <c r="AZK34" s="700"/>
      <c r="AZL34" s="700"/>
      <c r="AZM34" s="700"/>
      <c r="AZN34" s="700"/>
      <c r="AZO34" s="700"/>
      <c r="AZP34" s="700"/>
      <c r="AZQ34" s="700"/>
      <c r="AZR34" s="700"/>
      <c r="AZS34" s="700"/>
      <c r="AZT34" s="700"/>
      <c r="AZU34" s="700"/>
      <c r="AZV34" s="700"/>
      <c r="AZW34" s="700"/>
      <c r="AZX34" s="700"/>
      <c r="AZY34" s="700"/>
      <c r="AZZ34" s="700"/>
      <c r="BAA34" s="700"/>
      <c r="BAB34" s="700"/>
      <c r="BAC34" s="700"/>
      <c r="BAD34" s="700"/>
      <c r="BAE34" s="700"/>
      <c r="BAF34" s="700"/>
      <c r="BAG34" s="700"/>
      <c r="BAH34" s="700"/>
      <c r="BAI34" s="700"/>
      <c r="BAJ34" s="700"/>
      <c r="BAK34" s="700"/>
      <c r="BAL34" s="700"/>
      <c r="BAM34" s="700"/>
      <c r="BAN34" s="700"/>
      <c r="BAO34" s="700"/>
      <c r="BAP34" s="700"/>
      <c r="BAQ34" s="700"/>
      <c r="BAR34" s="700"/>
      <c r="BAS34" s="700"/>
      <c r="BAT34" s="700"/>
      <c r="BAU34" s="700"/>
      <c r="BAV34" s="700"/>
      <c r="BAW34" s="700"/>
      <c r="BAX34" s="700"/>
      <c r="BAY34" s="700"/>
      <c r="BAZ34" s="700"/>
      <c r="BBA34" s="700"/>
      <c r="BBB34" s="700"/>
      <c r="BBC34" s="700"/>
      <c r="BBD34" s="700"/>
      <c r="BBE34" s="700"/>
      <c r="BBF34" s="700"/>
      <c r="BBG34" s="700"/>
      <c r="BBH34" s="700"/>
      <c r="BBI34" s="700"/>
      <c r="BBJ34" s="700"/>
      <c r="BBK34" s="700"/>
      <c r="BBL34" s="700"/>
      <c r="BBM34" s="700"/>
      <c r="BBN34" s="700"/>
      <c r="BBO34" s="700"/>
      <c r="BBP34" s="700"/>
      <c r="BBQ34" s="700"/>
      <c r="BBR34" s="700"/>
      <c r="BBS34" s="700"/>
      <c r="BBT34" s="700"/>
      <c r="BBU34" s="700"/>
      <c r="BBV34" s="700"/>
      <c r="BBW34" s="700"/>
      <c r="BBX34" s="700"/>
      <c r="BBY34" s="700"/>
      <c r="BBZ34" s="700"/>
      <c r="BCA34" s="700"/>
      <c r="BCB34" s="700"/>
      <c r="BCC34" s="700"/>
      <c r="BCD34" s="700"/>
      <c r="BCE34" s="700"/>
      <c r="BCF34" s="700"/>
      <c r="BCG34" s="700"/>
      <c r="BCH34" s="700"/>
      <c r="BCI34" s="700"/>
      <c r="BCJ34" s="700"/>
      <c r="BCK34" s="700"/>
      <c r="BCL34" s="700"/>
      <c r="BCM34" s="700"/>
      <c r="BCN34" s="700"/>
      <c r="BCO34" s="700"/>
      <c r="BCP34" s="700"/>
      <c r="BCQ34" s="700"/>
      <c r="BCR34" s="700"/>
      <c r="BCS34" s="700"/>
      <c r="BCT34" s="700"/>
      <c r="BCU34" s="700"/>
      <c r="BCV34" s="700"/>
      <c r="BCW34" s="700"/>
      <c r="BCX34" s="700"/>
      <c r="BCY34" s="700"/>
      <c r="BCZ34" s="700"/>
      <c r="BDA34" s="700"/>
      <c r="BDB34" s="700"/>
      <c r="BDC34" s="700"/>
      <c r="BDD34" s="700"/>
      <c r="BDE34" s="700"/>
      <c r="BDF34" s="700"/>
      <c r="BDG34" s="700"/>
      <c r="BDH34" s="700"/>
      <c r="BDI34" s="700"/>
      <c r="BDJ34" s="700"/>
      <c r="BDK34" s="700"/>
      <c r="BDL34" s="700"/>
      <c r="BDM34" s="700"/>
      <c r="BDN34" s="700"/>
      <c r="BDO34" s="700"/>
      <c r="BDP34" s="700"/>
      <c r="BDQ34" s="700"/>
      <c r="BDR34" s="700"/>
      <c r="BDS34" s="700"/>
      <c r="BDT34" s="700"/>
      <c r="BDU34" s="700"/>
      <c r="BDV34" s="700"/>
      <c r="BDW34" s="700"/>
      <c r="BDX34" s="700"/>
      <c r="BDY34" s="700"/>
      <c r="BDZ34" s="700"/>
      <c r="BEA34" s="700"/>
      <c r="BEB34" s="700"/>
      <c r="BEC34" s="700"/>
      <c r="BED34" s="700"/>
      <c r="BEE34" s="700"/>
      <c r="BEF34" s="700"/>
      <c r="BEG34" s="700"/>
      <c r="BEH34" s="700"/>
      <c r="BEI34" s="700"/>
      <c r="BEJ34" s="700"/>
      <c r="BEK34" s="700"/>
      <c r="BEL34" s="700"/>
      <c r="BEM34" s="700"/>
      <c r="BEN34" s="700"/>
      <c r="BEO34" s="700"/>
      <c r="BEP34" s="700"/>
      <c r="BEQ34" s="700"/>
      <c r="BER34" s="700"/>
      <c r="BES34" s="700"/>
      <c r="BET34" s="700"/>
      <c r="BEU34" s="700"/>
      <c r="BEV34" s="700"/>
      <c r="BEW34" s="700"/>
      <c r="BEX34" s="700"/>
      <c r="BEY34" s="700"/>
      <c r="BEZ34" s="700"/>
      <c r="BFA34" s="700"/>
      <c r="BFB34" s="700"/>
      <c r="BFC34" s="700"/>
      <c r="BFD34" s="700"/>
      <c r="BFE34" s="700"/>
      <c r="BFF34" s="700"/>
      <c r="BFG34" s="700"/>
      <c r="BFH34" s="700"/>
      <c r="BFI34" s="700"/>
      <c r="BFJ34" s="700"/>
      <c r="BFK34" s="700"/>
      <c r="BFL34" s="700"/>
      <c r="BFM34" s="700"/>
      <c r="BFN34" s="700"/>
      <c r="BFO34" s="700"/>
      <c r="BFP34" s="700"/>
      <c r="BFQ34" s="700"/>
      <c r="BFR34" s="700"/>
      <c r="BFS34" s="700"/>
      <c r="BFT34" s="700"/>
      <c r="BFU34" s="700"/>
      <c r="BFV34" s="700"/>
      <c r="BFW34" s="700"/>
      <c r="BFX34" s="700"/>
      <c r="BFY34" s="700"/>
      <c r="BFZ34" s="700"/>
      <c r="BGA34" s="700"/>
      <c r="BGB34" s="700"/>
      <c r="BGC34" s="700"/>
      <c r="BGD34" s="700"/>
      <c r="BGE34" s="700"/>
      <c r="BGF34" s="700"/>
      <c r="BGG34" s="700"/>
      <c r="BGH34" s="700"/>
      <c r="BGI34" s="700"/>
      <c r="BGJ34" s="700"/>
      <c r="BGK34" s="700"/>
      <c r="BGL34" s="700"/>
      <c r="BGM34" s="700"/>
      <c r="BGN34" s="700"/>
      <c r="BGO34" s="700"/>
      <c r="BGP34" s="700"/>
      <c r="BGQ34" s="700"/>
      <c r="BGR34" s="700"/>
      <c r="BGS34" s="700"/>
      <c r="BGT34" s="700"/>
      <c r="BGU34" s="700"/>
      <c r="BGV34" s="700"/>
      <c r="BGW34" s="700"/>
      <c r="BGX34" s="700"/>
      <c r="BGY34" s="700"/>
      <c r="BGZ34" s="700"/>
      <c r="BHA34" s="700"/>
      <c r="BHB34" s="700"/>
      <c r="BHC34" s="700"/>
      <c r="BHD34" s="700"/>
      <c r="BHE34" s="700"/>
      <c r="BHF34" s="700"/>
      <c r="BHG34" s="700"/>
      <c r="BHH34" s="700"/>
      <c r="BHI34" s="700"/>
      <c r="BHJ34" s="700"/>
      <c r="BHK34" s="700"/>
      <c r="BHL34" s="700"/>
      <c r="BHM34" s="700"/>
      <c r="BHN34" s="700"/>
      <c r="BHO34" s="700"/>
      <c r="BHP34" s="700"/>
      <c r="BHQ34" s="700"/>
      <c r="BHR34" s="700"/>
      <c r="BHS34" s="700"/>
      <c r="BHT34" s="700"/>
      <c r="BHU34" s="700"/>
      <c r="BHV34" s="700"/>
      <c r="BHW34" s="700"/>
      <c r="BHX34" s="700"/>
      <c r="BHY34" s="700"/>
      <c r="BHZ34" s="700"/>
      <c r="BIA34" s="700"/>
      <c r="BIB34" s="700"/>
      <c r="BIC34" s="700"/>
      <c r="BID34" s="700"/>
      <c r="BIE34" s="700"/>
      <c r="BIF34" s="700"/>
      <c r="BIG34" s="700"/>
      <c r="BIH34" s="700"/>
      <c r="BII34" s="700"/>
      <c r="BIJ34" s="700"/>
      <c r="BIK34" s="700"/>
      <c r="BIL34" s="700"/>
      <c r="BIM34" s="700"/>
      <c r="BIN34" s="700"/>
      <c r="BIO34" s="700"/>
      <c r="BIP34" s="700"/>
      <c r="BIQ34" s="700"/>
      <c r="BIR34" s="700"/>
      <c r="BIS34" s="700"/>
      <c r="BIT34" s="700"/>
      <c r="BIU34" s="700"/>
      <c r="BIV34" s="700"/>
      <c r="BIW34" s="700"/>
      <c r="BIX34" s="700"/>
      <c r="BIY34" s="700"/>
      <c r="BIZ34" s="700"/>
      <c r="BJA34" s="700"/>
      <c r="BJB34" s="700"/>
      <c r="BJC34" s="700"/>
      <c r="BJD34" s="700"/>
      <c r="BJE34" s="700"/>
      <c r="BJF34" s="700"/>
      <c r="BJG34" s="700"/>
      <c r="BJH34" s="700"/>
      <c r="BJI34" s="700"/>
      <c r="BJJ34" s="700"/>
      <c r="BJK34" s="700"/>
      <c r="BJL34" s="700"/>
      <c r="BJM34" s="700"/>
      <c r="BJN34" s="700"/>
      <c r="BJO34" s="700"/>
      <c r="BJP34" s="700"/>
      <c r="BJQ34" s="700"/>
      <c r="BJR34" s="700"/>
      <c r="BJS34" s="700"/>
      <c r="BJT34" s="700"/>
      <c r="BJU34" s="700"/>
      <c r="BJV34" s="700"/>
      <c r="BJW34" s="700"/>
      <c r="BJX34" s="700"/>
      <c r="BJY34" s="700"/>
      <c r="BJZ34" s="700"/>
      <c r="BKA34" s="700"/>
      <c r="BKB34" s="700"/>
      <c r="BKC34" s="700"/>
      <c r="BKD34" s="700"/>
      <c r="BKE34" s="700"/>
      <c r="BKF34" s="700"/>
      <c r="BKG34" s="700"/>
      <c r="BKH34" s="700"/>
      <c r="BKI34" s="700"/>
      <c r="BKJ34" s="700"/>
      <c r="BKK34" s="700"/>
      <c r="BKL34" s="700"/>
      <c r="BKM34" s="700"/>
      <c r="BKN34" s="700"/>
      <c r="BKO34" s="700"/>
      <c r="BKP34" s="700"/>
      <c r="BKQ34" s="700"/>
      <c r="BKR34" s="700"/>
      <c r="BKS34" s="700"/>
      <c r="BKT34" s="700"/>
      <c r="BKU34" s="700"/>
      <c r="BKV34" s="700"/>
      <c r="BKW34" s="700"/>
      <c r="BKX34" s="700"/>
      <c r="BKY34" s="700"/>
      <c r="BKZ34" s="700"/>
      <c r="BLA34" s="700"/>
      <c r="BLB34" s="700"/>
      <c r="BLC34" s="700"/>
      <c r="BLD34" s="700"/>
      <c r="BLE34" s="700"/>
      <c r="BLF34" s="700"/>
      <c r="BLG34" s="700"/>
      <c r="BLH34" s="700"/>
      <c r="BLI34" s="700"/>
      <c r="BLJ34" s="700"/>
      <c r="BLK34" s="700"/>
      <c r="BLL34" s="700"/>
      <c r="BLM34" s="700"/>
      <c r="BLN34" s="700"/>
      <c r="BLO34" s="700"/>
      <c r="BLP34" s="700"/>
      <c r="BLQ34" s="700"/>
      <c r="BLR34" s="700"/>
      <c r="BLS34" s="700"/>
      <c r="BLT34" s="700"/>
      <c r="BLU34" s="700"/>
      <c r="BLV34" s="700"/>
      <c r="BLW34" s="700"/>
      <c r="BLX34" s="700"/>
      <c r="BLY34" s="700"/>
      <c r="BLZ34" s="700"/>
      <c r="BMA34" s="700"/>
      <c r="BMB34" s="700"/>
      <c r="BMC34" s="700"/>
      <c r="BMD34" s="700"/>
      <c r="BME34" s="700"/>
      <c r="BMF34" s="700"/>
      <c r="BMG34" s="700"/>
      <c r="BMH34" s="700"/>
      <c r="BMI34" s="700"/>
      <c r="BMJ34" s="700"/>
      <c r="BMK34" s="700"/>
      <c r="BML34" s="700"/>
      <c r="BMM34" s="700"/>
      <c r="BMN34" s="700"/>
      <c r="BMO34" s="700"/>
      <c r="BMP34" s="700"/>
      <c r="BMQ34" s="700"/>
      <c r="BMR34" s="700"/>
      <c r="BMS34" s="700"/>
      <c r="BMT34" s="700"/>
      <c r="BMU34" s="700"/>
      <c r="BMV34" s="700"/>
      <c r="BMW34" s="700"/>
      <c r="BMX34" s="700"/>
      <c r="BMY34" s="700"/>
      <c r="BMZ34" s="700"/>
      <c r="BNA34" s="700"/>
      <c r="BNB34" s="700"/>
      <c r="BNC34" s="700"/>
      <c r="BND34" s="700"/>
      <c r="BNE34" s="700"/>
      <c r="BNF34" s="700"/>
      <c r="BNG34" s="700"/>
      <c r="BNH34" s="700"/>
      <c r="BNI34" s="700"/>
      <c r="BNJ34" s="700"/>
      <c r="BNK34" s="700"/>
      <c r="BNL34" s="700"/>
      <c r="BNM34" s="700"/>
      <c r="BNN34" s="700"/>
      <c r="BNO34" s="700"/>
      <c r="BNP34" s="700"/>
      <c r="BNQ34" s="700"/>
      <c r="BNR34" s="700"/>
      <c r="BNS34" s="700"/>
      <c r="BNT34" s="700"/>
      <c r="BNU34" s="700"/>
      <c r="BNV34" s="700"/>
      <c r="BNW34" s="700"/>
      <c r="BNX34" s="700"/>
      <c r="BNY34" s="700"/>
      <c r="BNZ34" s="700"/>
      <c r="BOA34" s="700"/>
      <c r="BOB34" s="700"/>
      <c r="BOC34" s="700"/>
      <c r="BOD34" s="700"/>
      <c r="BOE34" s="700"/>
      <c r="BOF34" s="700"/>
      <c r="BOG34" s="700"/>
      <c r="BOH34" s="700"/>
      <c r="BOI34" s="700"/>
      <c r="BOJ34" s="700"/>
      <c r="BOK34" s="700"/>
      <c r="BOL34" s="700"/>
      <c r="BOM34" s="700"/>
      <c r="BON34" s="700"/>
      <c r="BOO34" s="700"/>
      <c r="BOP34" s="700"/>
      <c r="BOQ34" s="700"/>
      <c r="BOR34" s="700"/>
      <c r="BOS34" s="700"/>
      <c r="BOT34" s="700"/>
      <c r="BOU34" s="700"/>
      <c r="BOV34" s="700"/>
      <c r="BOW34" s="700"/>
      <c r="BOX34" s="700"/>
      <c r="BOY34" s="700"/>
      <c r="BOZ34" s="700"/>
      <c r="BPA34" s="700"/>
      <c r="BPB34" s="700"/>
      <c r="BPC34" s="700"/>
      <c r="BPD34" s="700"/>
      <c r="BPE34" s="700"/>
      <c r="BPF34" s="700"/>
      <c r="BPG34" s="700"/>
      <c r="BPH34" s="700"/>
      <c r="BPI34" s="700"/>
      <c r="BPJ34" s="700"/>
      <c r="BPK34" s="700"/>
      <c r="BPL34" s="700"/>
      <c r="BPM34" s="700"/>
      <c r="BPN34" s="700"/>
      <c r="BPO34" s="700"/>
      <c r="BPP34" s="700"/>
      <c r="BPQ34" s="700"/>
      <c r="BPR34" s="700"/>
      <c r="BPS34" s="700"/>
      <c r="BPT34" s="700"/>
      <c r="BPU34" s="700"/>
      <c r="BPV34" s="700"/>
      <c r="BPW34" s="700"/>
      <c r="BPX34" s="700"/>
      <c r="BPY34" s="700"/>
      <c r="BPZ34" s="700"/>
      <c r="BQA34" s="700"/>
      <c r="BQB34" s="700"/>
      <c r="BQC34" s="700"/>
      <c r="BQD34" s="700"/>
      <c r="BQE34" s="700"/>
      <c r="BQF34" s="700"/>
      <c r="BQG34" s="700"/>
      <c r="BQH34" s="700"/>
      <c r="BQI34" s="700"/>
      <c r="BQJ34" s="700"/>
      <c r="BQK34" s="700"/>
      <c r="BQL34" s="700"/>
      <c r="BQM34" s="700"/>
      <c r="BQN34" s="700"/>
      <c r="BQO34" s="700"/>
      <c r="BQP34" s="700"/>
      <c r="BQQ34" s="700"/>
      <c r="BQR34" s="700"/>
      <c r="BQS34" s="700"/>
      <c r="BQT34" s="700"/>
      <c r="BQU34" s="700"/>
      <c r="BQV34" s="700"/>
      <c r="BQW34" s="700"/>
      <c r="BQX34" s="700"/>
      <c r="BQY34" s="700"/>
      <c r="BQZ34" s="700"/>
      <c r="BRA34" s="700"/>
      <c r="BRB34" s="700"/>
      <c r="BRC34" s="700"/>
      <c r="BRD34" s="700"/>
      <c r="BRE34" s="700"/>
      <c r="BRF34" s="700"/>
      <c r="BRG34" s="700"/>
      <c r="BRH34" s="700"/>
      <c r="BRI34" s="700"/>
      <c r="BRJ34" s="700"/>
      <c r="BRK34" s="700"/>
      <c r="BRL34" s="700"/>
      <c r="BRM34" s="700"/>
      <c r="BRN34" s="700"/>
      <c r="BRO34" s="700"/>
      <c r="BRP34" s="700"/>
      <c r="BRQ34" s="700"/>
      <c r="BRR34" s="700"/>
      <c r="BRS34" s="700"/>
      <c r="BRT34" s="700"/>
      <c r="BRU34" s="700"/>
      <c r="BRV34" s="700"/>
      <c r="BRW34" s="700"/>
      <c r="BRX34" s="700"/>
      <c r="BRY34" s="700"/>
      <c r="BRZ34" s="700"/>
      <c r="BSA34" s="700"/>
      <c r="BSB34" s="700"/>
      <c r="BSC34" s="700"/>
      <c r="BSD34" s="700"/>
      <c r="BSE34" s="700"/>
      <c r="BSF34" s="700"/>
      <c r="BSG34" s="700"/>
      <c r="BSH34" s="700"/>
      <c r="BSI34" s="700"/>
      <c r="BSJ34" s="700"/>
      <c r="BSK34" s="700"/>
      <c r="BSL34" s="700"/>
      <c r="BSM34" s="700"/>
      <c r="BSN34" s="700"/>
      <c r="BSO34" s="700"/>
      <c r="BSP34" s="700"/>
      <c r="BSQ34" s="700"/>
      <c r="BSR34" s="700"/>
      <c r="BSS34" s="700"/>
      <c r="BST34" s="700"/>
      <c r="BSU34" s="700"/>
      <c r="BSV34" s="700"/>
      <c r="BSW34" s="700"/>
      <c r="BSX34" s="700"/>
      <c r="BSY34" s="700"/>
      <c r="BSZ34" s="700"/>
      <c r="BTA34" s="700"/>
      <c r="BTB34" s="700"/>
      <c r="BTC34" s="700"/>
      <c r="BTD34" s="700"/>
      <c r="BTE34" s="700"/>
      <c r="BTF34" s="700"/>
      <c r="BTG34" s="700"/>
      <c r="BTH34" s="700"/>
      <c r="BTI34" s="700"/>
      <c r="BTJ34" s="700"/>
      <c r="BTK34" s="700"/>
      <c r="BTL34" s="700"/>
      <c r="BTM34" s="700"/>
      <c r="BTN34" s="700"/>
      <c r="BTO34" s="700"/>
      <c r="BTP34" s="700"/>
      <c r="BTQ34" s="700"/>
      <c r="BTR34" s="700"/>
      <c r="BTS34" s="700"/>
      <c r="BTT34" s="700"/>
      <c r="BTU34" s="700"/>
      <c r="BTV34" s="700"/>
      <c r="BTW34" s="700"/>
      <c r="BTX34" s="700"/>
      <c r="BTY34" s="700"/>
      <c r="BTZ34" s="700"/>
      <c r="BUA34" s="700"/>
      <c r="BUB34" s="700"/>
      <c r="BUC34" s="700"/>
      <c r="BUD34" s="700"/>
      <c r="BUE34" s="700"/>
      <c r="BUF34" s="700"/>
      <c r="BUG34" s="700"/>
      <c r="BUH34" s="700"/>
      <c r="BUI34" s="700"/>
      <c r="BUJ34" s="700"/>
      <c r="BUK34" s="700"/>
      <c r="BUL34" s="700"/>
      <c r="BUM34" s="700"/>
      <c r="BUN34" s="700"/>
      <c r="BUO34" s="700"/>
      <c r="BUP34" s="700"/>
      <c r="BUQ34" s="700"/>
      <c r="BUR34" s="700"/>
      <c r="BUS34" s="700"/>
      <c r="BUT34" s="700"/>
      <c r="BUU34" s="700"/>
      <c r="BUV34" s="700"/>
      <c r="BUW34" s="700"/>
      <c r="BUX34" s="700"/>
      <c r="BUY34" s="700"/>
      <c r="BUZ34" s="700"/>
      <c r="BVA34" s="700"/>
      <c r="BVB34" s="700"/>
      <c r="BVC34" s="700"/>
      <c r="BVD34" s="700"/>
      <c r="BVE34" s="700"/>
      <c r="BVF34" s="700"/>
      <c r="BVG34" s="700"/>
      <c r="BVH34" s="700"/>
      <c r="BVI34" s="700"/>
      <c r="BVJ34" s="700"/>
      <c r="BVK34" s="700"/>
      <c r="BVL34" s="700"/>
      <c r="BVM34" s="700"/>
      <c r="BVN34" s="700"/>
      <c r="BVO34" s="700"/>
      <c r="BVP34" s="700"/>
      <c r="BVQ34" s="700"/>
      <c r="BVR34" s="700"/>
      <c r="BVS34" s="700"/>
      <c r="BVT34" s="700"/>
      <c r="BVU34" s="700"/>
      <c r="BVV34" s="700"/>
      <c r="BVW34" s="700"/>
      <c r="BVX34" s="700"/>
      <c r="BVY34" s="700"/>
      <c r="BVZ34" s="700"/>
      <c r="BWA34" s="700"/>
      <c r="BWB34" s="700"/>
      <c r="BWC34" s="700"/>
      <c r="BWD34" s="700"/>
      <c r="BWE34" s="700"/>
      <c r="BWF34" s="700"/>
      <c r="BWG34" s="700"/>
      <c r="BWH34" s="700"/>
      <c r="BWI34" s="700"/>
      <c r="BWJ34" s="700"/>
      <c r="BWK34" s="700"/>
      <c r="BWL34" s="700"/>
      <c r="BWM34" s="700"/>
      <c r="BWN34" s="700"/>
      <c r="BWO34" s="700"/>
      <c r="BWP34" s="700"/>
      <c r="BWQ34" s="700"/>
      <c r="BWR34" s="700"/>
      <c r="BWS34" s="700"/>
      <c r="BWT34" s="700"/>
      <c r="BWU34" s="700"/>
      <c r="BWV34" s="700"/>
      <c r="BWW34" s="700"/>
      <c r="BWX34" s="700"/>
      <c r="BWY34" s="700"/>
      <c r="BWZ34" s="700"/>
      <c r="BXA34" s="700"/>
      <c r="BXB34" s="700"/>
      <c r="BXC34" s="700"/>
      <c r="BXD34" s="700"/>
      <c r="BXE34" s="700"/>
      <c r="BXF34" s="700"/>
      <c r="BXG34" s="700"/>
      <c r="BXH34" s="700"/>
      <c r="BXI34" s="700"/>
      <c r="BXJ34" s="700"/>
      <c r="BXK34" s="700"/>
      <c r="BXL34" s="700"/>
      <c r="BXM34" s="700"/>
      <c r="BXN34" s="700"/>
      <c r="BXO34" s="700"/>
      <c r="BXP34" s="700"/>
      <c r="BXQ34" s="700"/>
      <c r="BXR34" s="700"/>
      <c r="BXS34" s="700"/>
      <c r="BXT34" s="700"/>
      <c r="BXU34" s="700"/>
      <c r="BXV34" s="700"/>
      <c r="BXW34" s="700"/>
      <c r="BXX34" s="700"/>
      <c r="BXY34" s="700"/>
      <c r="BXZ34" s="700"/>
    </row>
    <row r="35" spans="1:2002" ht="15">
      <c r="A35" s="717"/>
      <c r="B35" s="706"/>
      <c r="C35" s="721" t="s">
        <v>56</v>
      </c>
      <c r="D35" s="742">
        <v>286000</v>
      </c>
      <c r="E35" s="742">
        <v>54000</v>
      </c>
      <c r="F35" s="742">
        <v>19000</v>
      </c>
      <c r="G35" s="742">
        <v>-48000</v>
      </c>
      <c r="H35" s="742">
        <v>29000</v>
      </c>
      <c r="I35" s="742"/>
      <c r="J35" s="742"/>
      <c r="K35" s="742"/>
      <c r="L35" s="742"/>
      <c r="M35" s="742"/>
      <c r="N35" s="742"/>
      <c r="O35" s="742"/>
      <c r="P35" s="742"/>
      <c r="Q35" s="742"/>
      <c r="R35" s="742"/>
      <c r="S35" s="712"/>
      <c r="T35" s="700"/>
      <c r="U35" s="700"/>
      <c r="V35" s="700"/>
      <c r="W35" s="700"/>
      <c r="X35" s="700"/>
      <c r="Y35" s="700"/>
      <c r="Z35" s="700"/>
      <c r="AA35" s="700"/>
      <c r="AB35" s="700"/>
      <c r="AC35" s="700"/>
      <c r="AD35" s="700"/>
      <c r="AE35" s="700"/>
      <c r="AF35" s="700"/>
      <c r="AG35" s="700"/>
      <c r="AH35" s="700"/>
      <c r="AI35" s="700"/>
      <c r="AJ35" s="700"/>
      <c r="AK35" s="700"/>
      <c r="AL35" s="700"/>
      <c r="AM35" s="700"/>
      <c r="AN35" s="700"/>
      <c r="AO35" s="700"/>
      <c r="AP35" s="700"/>
      <c r="AQ35" s="700"/>
      <c r="AR35" s="700"/>
      <c r="AS35" s="700"/>
      <c r="AT35" s="700"/>
      <c r="AU35" s="700"/>
      <c r="AV35" s="700"/>
      <c r="AW35" s="700"/>
      <c r="AX35" s="700"/>
      <c r="AY35" s="700"/>
      <c r="AZ35" s="700"/>
      <c r="BA35" s="700"/>
      <c r="BB35" s="700"/>
      <c r="BC35" s="700"/>
      <c r="BD35" s="700"/>
      <c r="BE35" s="700"/>
      <c r="BF35" s="700"/>
      <c r="BG35" s="700"/>
      <c r="BH35" s="700"/>
      <c r="BI35" s="700"/>
      <c r="BJ35" s="700"/>
      <c r="BK35" s="700"/>
      <c r="BL35" s="700"/>
      <c r="BM35" s="700"/>
      <c r="BN35" s="700"/>
      <c r="BO35" s="700"/>
      <c r="BP35" s="700"/>
      <c r="BQ35" s="700"/>
      <c r="BR35" s="700"/>
      <c r="BS35" s="700"/>
      <c r="BT35" s="700"/>
      <c r="BU35" s="700"/>
      <c r="BV35" s="700"/>
      <c r="BW35" s="700"/>
      <c r="BX35" s="700"/>
      <c r="BY35" s="700"/>
      <c r="BZ35" s="700"/>
      <c r="CA35" s="700"/>
      <c r="CB35" s="700"/>
      <c r="CC35" s="700"/>
      <c r="CD35" s="700"/>
      <c r="CE35" s="700"/>
      <c r="CF35" s="700"/>
      <c r="CG35" s="700"/>
      <c r="CH35" s="700"/>
      <c r="CI35" s="700"/>
      <c r="CJ35" s="700"/>
      <c r="CK35" s="700"/>
      <c r="CL35" s="700"/>
      <c r="CM35" s="700"/>
      <c r="CN35" s="700"/>
      <c r="CO35" s="700"/>
      <c r="CP35" s="700"/>
      <c r="CQ35" s="700"/>
      <c r="CR35" s="700"/>
      <c r="CS35" s="700"/>
      <c r="CT35" s="700"/>
      <c r="CU35" s="700"/>
      <c r="CV35" s="700"/>
      <c r="CW35" s="700"/>
      <c r="CX35" s="700"/>
      <c r="CY35" s="700"/>
      <c r="CZ35" s="700"/>
      <c r="DA35" s="700"/>
      <c r="DB35" s="700"/>
      <c r="DC35" s="700"/>
      <c r="DD35" s="700"/>
      <c r="DE35" s="700"/>
      <c r="DF35" s="700"/>
      <c r="DG35" s="700"/>
      <c r="DH35" s="700"/>
      <c r="DI35" s="700"/>
      <c r="DJ35" s="700"/>
      <c r="DK35" s="700"/>
      <c r="DL35" s="700"/>
      <c r="DM35" s="700"/>
      <c r="DN35" s="700"/>
      <c r="DO35" s="700"/>
      <c r="DP35" s="700"/>
      <c r="DQ35" s="700"/>
      <c r="DR35" s="700"/>
      <c r="DS35" s="700"/>
      <c r="DT35" s="700"/>
      <c r="DU35" s="700"/>
      <c r="DV35" s="700"/>
      <c r="DW35" s="700"/>
      <c r="DX35" s="700"/>
      <c r="DY35" s="700"/>
      <c r="DZ35" s="700"/>
      <c r="EA35" s="700"/>
      <c r="EB35" s="700"/>
      <c r="EC35" s="700"/>
      <c r="ED35" s="700"/>
      <c r="EE35" s="700"/>
      <c r="EF35" s="700"/>
      <c r="EG35" s="700"/>
      <c r="EH35" s="700"/>
      <c r="EI35" s="700"/>
      <c r="EJ35" s="700"/>
      <c r="EK35" s="700"/>
      <c r="EL35" s="700"/>
      <c r="EM35" s="700"/>
      <c r="EN35" s="700"/>
      <c r="EO35" s="700"/>
      <c r="EP35" s="700"/>
      <c r="EQ35" s="700"/>
      <c r="ER35" s="700"/>
      <c r="ES35" s="700"/>
      <c r="ET35" s="700"/>
      <c r="EU35" s="700"/>
      <c r="EV35" s="700"/>
      <c r="EW35" s="700"/>
      <c r="EX35" s="700"/>
      <c r="EY35" s="700"/>
      <c r="EZ35" s="700"/>
      <c r="FA35" s="700"/>
      <c r="FB35" s="700"/>
      <c r="FC35" s="700"/>
      <c r="FD35" s="700"/>
      <c r="FE35" s="700"/>
      <c r="FF35" s="700"/>
      <c r="FG35" s="700"/>
      <c r="FH35" s="700"/>
      <c r="FI35" s="700"/>
      <c r="FJ35" s="700"/>
      <c r="FK35" s="700"/>
      <c r="FL35" s="700"/>
      <c r="FM35" s="700"/>
      <c r="FN35" s="700"/>
      <c r="FO35" s="700"/>
      <c r="FP35" s="700"/>
      <c r="FQ35" s="700"/>
      <c r="FR35" s="700"/>
      <c r="FS35" s="700"/>
      <c r="FT35" s="700"/>
      <c r="FU35" s="700"/>
      <c r="FV35" s="700"/>
      <c r="FW35" s="700"/>
      <c r="FX35" s="700"/>
      <c r="FY35" s="700"/>
      <c r="FZ35" s="700"/>
      <c r="GA35" s="700"/>
      <c r="GB35" s="700"/>
      <c r="GC35" s="700"/>
      <c r="GD35" s="700"/>
      <c r="GE35" s="700"/>
      <c r="GF35" s="700"/>
      <c r="GG35" s="700"/>
      <c r="GH35" s="700"/>
      <c r="GI35" s="700"/>
      <c r="GJ35" s="700"/>
      <c r="GK35" s="700"/>
      <c r="GL35" s="700"/>
      <c r="GM35" s="700"/>
      <c r="GN35" s="700"/>
      <c r="GO35" s="700"/>
      <c r="GP35" s="700"/>
      <c r="GQ35" s="700"/>
      <c r="GR35" s="700"/>
      <c r="GS35" s="700"/>
      <c r="GT35" s="700"/>
      <c r="GU35" s="700"/>
      <c r="GV35" s="700"/>
      <c r="GW35" s="700"/>
      <c r="GX35" s="700"/>
      <c r="GY35" s="700"/>
      <c r="GZ35" s="700"/>
      <c r="HA35" s="700"/>
      <c r="HB35" s="700"/>
      <c r="HC35" s="700"/>
      <c r="HD35" s="700"/>
      <c r="HE35" s="700"/>
      <c r="HF35" s="700"/>
      <c r="HG35" s="700"/>
      <c r="HH35" s="700"/>
      <c r="HI35" s="700"/>
      <c r="HJ35" s="700"/>
      <c r="HK35" s="700"/>
      <c r="HL35" s="700"/>
      <c r="HM35" s="700"/>
      <c r="HN35" s="700"/>
      <c r="HO35" s="700"/>
      <c r="HP35" s="700"/>
      <c r="HQ35" s="700"/>
      <c r="HR35" s="700"/>
      <c r="HS35" s="700"/>
      <c r="HT35" s="700"/>
      <c r="HU35" s="700"/>
      <c r="HV35" s="700"/>
      <c r="HW35" s="700"/>
      <c r="HX35" s="700"/>
      <c r="HY35" s="700"/>
      <c r="HZ35" s="700"/>
      <c r="IA35" s="700"/>
      <c r="IB35" s="700"/>
      <c r="IC35" s="700"/>
      <c r="ID35" s="700"/>
      <c r="IE35" s="700"/>
      <c r="IF35" s="700"/>
      <c r="IG35" s="700"/>
      <c r="IH35" s="700"/>
      <c r="II35" s="700"/>
      <c r="IJ35" s="700"/>
      <c r="IK35" s="700"/>
      <c r="IL35" s="700"/>
      <c r="IM35" s="700"/>
      <c r="IN35" s="700"/>
      <c r="IO35" s="700"/>
      <c r="IP35" s="700"/>
      <c r="IQ35" s="700"/>
      <c r="IR35" s="700"/>
      <c r="IS35" s="700"/>
      <c r="IT35" s="700"/>
      <c r="IU35" s="700"/>
      <c r="IV35" s="700"/>
      <c r="IW35" s="700"/>
      <c r="IX35" s="700"/>
      <c r="IY35" s="700"/>
      <c r="IZ35" s="700"/>
      <c r="JA35" s="700"/>
      <c r="JB35" s="700"/>
      <c r="JC35" s="700"/>
      <c r="JD35" s="700"/>
      <c r="JE35" s="700"/>
      <c r="JF35" s="700"/>
      <c r="JG35" s="700"/>
      <c r="JH35" s="700"/>
      <c r="JI35" s="700"/>
      <c r="JJ35" s="700"/>
      <c r="JK35" s="700"/>
      <c r="JL35" s="700"/>
      <c r="JM35" s="700"/>
      <c r="JN35" s="700"/>
      <c r="JO35" s="700"/>
      <c r="JP35" s="700"/>
      <c r="JQ35" s="700"/>
      <c r="JR35" s="700"/>
      <c r="JS35" s="700"/>
      <c r="JT35" s="700"/>
      <c r="JU35" s="700"/>
      <c r="JV35" s="700"/>
      <c r="JW35" s="700"/>
      <c r="JX35" s="700"/>
      <c r="JY35" s="700"/>
      <c r="JZ35" s="700"/>
      <c r="KA35" s="700"/>
      <c r="KB35" s="700"/>
      <c r="KC35" s="700"/>
      <c r="KD35" s="700"/>
      <c r="KE35" s="700"/>
      <c r="KF35" s="700"/>
      <c r="KG35" s="700"/>
      <c r="KH35" s="700"/>
      <c r="KI35" s="700"/>
      <c r="KJ35" s="700"/>
      <c r="KK35" s="700"/>
      <c r="KL35" s="700"/>
      <c r="KM35" s="700"/>
      <c r="KN35" s="700"/>
      <c r="KO35" s="700"/>
      <c r="KP35" s="700"/>
      <c r="KQ35" s="700"/>
      <c r="KR35" s="700"/>
      <c r="KS35" s="700"/>
      <c r="KT35" s="700"/>
      <c r="KU35" s="700"/>
      <c r="KV35" s="700"/>
      <c r="KW35" s="700"/>
      <c r="KX35" s="700"/>
      <c r="KY35" s="700"/>
      <c r="KZ35" s="700"/>
      <c r="LA35" s="700"/>
      <c r="LB35" s="700"/>
      <c r="LC35" s="700"/>
      <c r="LD35" s="700"/>
      <c r="LE35" s="700"/>
      <c r="LF35" s="700"/>
      <c r="LG35" s="700"/>
      <c r="LH35" s="700"/>
      <c r="LI35" s="700"/>
      <c r="LJ35" s="700"/>
      <c r="LK35" s="700"/>
      <c r="LL35" s="700"/>
      <c r="LM35" s="700"/>
      <c r="LN35" s="700"/>
      <c r="LO35" s="700"/>
      <c r="LP35" s="700"/>
      <c r="LQ35" s="700"/>
      <c r="LR35" s="700"/>
      <c r="LS35" s="700"/>
      <c r="LT35" s="700"/>
      <c r="LU35" s="700"/>
      <c r="LV35" s="700"/>
      <c r="LW35" s="700"/>
      <c r="LX35" s="700"/>
      <c r="LY35" s="700"/>
      <c r="LZ35" s="700"/>
      <c r="MA35" s="700"/>
      <c r="MB35" s="700"/>
      <c r="MC35" s="700"/>
      <c r="MD35" s="700"/>
      <c r="ME35" s="700"/>
      <c r="MF35" s="700"/>
      <c r="MG35" s="700"/>
      <c r="MH35" s="700"/>
      <c r="MI35" s="700"/>
      <c r="MJ35" s="700"/>
      <c r="MK35" s="700"/>
      <c r="ML35" s="700"/>
      <c r="MM35" s="700"/>
      <c r="MN35" s="700"/>
      <c r="MO35" s="700"/>
      <c r="MP35" s="700"/>
      <c r="MQ35" s="700"/>
      <c r="MR35" s="700"/>
      <c r="MS35" s="700"/>
      <c r="MT35" s="700"/>
      <c r="MU35" s="700"/>
      <c r="MV35" s="700"/>
      <c r="MW35" s="700"/>
      <c r="MX35" s="700"/>
      <c r="MY35" s="700"/>
      <c r="MZ35" s="700"/>
      <c r="NA35" s="700"/>
      <c r="NB35" s="700"/>
      <c r="NC35" s="700"/>
      <c r="ND35" s="700"/>
      <c r="NE35" s="700"/>
      <c r="NF35" s="700"/>
      <c r="NG35" s="700"/>
      <c r="NH35" s="700"/>
      <c r="NI35" s="700"/>
      <c r="NJ35" s="700"/>
      <c r="NK35" s="700"/>
      <c r="NL35" s="700"/>
      <c r="NM35" s="700"/>
      <c r="NN35" s="700"/>
      <c r="NO35" s="700"/>
      <c r="NP35" s="700"/>
      <c r="NQ35" s="700"/>
      <c r="NR35" s="700"/>
      <c r="NS35" s="700"/>
      <c r="NT35" s="700"/>
      <c r="NU35" s="700"/>
      <c r="NV35" s="700"/>
      <c r="NW35" s="700"/>
      <c r="NX35" s="700"/>
      <c r="NY35" s="700"/>
      <c r="NZ35" s="700"/>
      <c r="OA35" s="700"/>
      <c r="OB35" s="700"/>
      <c r="OC35" s="700"/>
      <c r="OD35" s="700"/>
      <c r="OE35" s="700"/>
      <c r="OF35" s="700"/>
      <c r="OG35" s="700"/>
      <c r="OH35" s="700"/>
      <c r="OI35" s="700"/>
      <c r="OJ35" s="700"/>
      <c r="OK35" s="700"/>
      <c r="OL35" s="700"/>
      <c r="OM35" s="700"/>
      <c r="ON35" s="700"/>
      <c r="OO35" s="700"/>
      <c r="OP35" s="700"/>
      <c r="OQ35" s="700"/>
      <c r="OR35" s="700"/>
      <c r="OS35" s="700"/>
      <c r="OT35" s="700"/>
      <c r="OU35" s="700"/>
      <c r="OV35" s="700"/>
      <c r="OW35" s="700"/>
      <c r="OX35" s="700"/>
      <c r="OY35" s="700"/>
      <c r="OZ35" s="700"/>
      <c r="PA35" s="700"/>
      <c r="PB35" s="700"/>
      <c r="PC35" s="700"/>
      <c r="PD35" s="700"/>
      <c r="PE35" s="700"/>
      <c r="PF35" s="700"/>
      <c r="PG35" s="700"/>
      <c r="PH35" s="700"/>
      <c r="PI35" s="700"/>
      <c r="PJ35" s="700"/>
      <c r="PK35" s="700"/>
      <c r="PL35" s="700"/>
      <c r="PM35" s="700"/>
      <c r="PN35" s="700"/>
      <c r="PO35" s="700"/>
      <c r="PP35" s="700"/>
      <c r="PQ35" s="700"/>
      <c r="PR35" s="700"/>
      <c r="PS35" s="700"/>
      <c r="PT35" s="700"/>
      <c r="PU35" s="700"/>
      <c r="PV35" s="700"/>
      <c r="PW35" s="700"/>
      <c r="PX35" s="700"/>
      <c r="PY35" s="700"/>
      <c r="PZ35" s="700"/>
      <c r="QA35" s="700"/>
      <c r="QB35" s="700"/>
      <c r="QC35" s="700"/>
      <c r="QD35" s="700"/>
      <c r="QE35" s="700"/>
      <c r="QF35" s="700"/>
      <c r="QG35" s="700"/>
      <c r="QH35" s="700"/>
      <c r="QI35" s="700"/>
      <c r="QJ35" s="700"/>
      <c r="QK35" s="700"/>
      <c r="QL35" s="700"/>
      <c r="QM35" s="700"/>
      <c r="QN35" s="700"/>
      <c r="QO35" s="700"/>
      <c r="QP35" s="700"/>
      <c r="QQ35" s="700"/>
      <c r="QR35" s="700"/>
      <c r="QS35" s="700"/>
      <c r="QT35" s="700"/>
      <c r="QU35" s="700"/>
      <c r="QV35" s="700"/>
      <c r="QW35" s="700"/>
      <c r="QX35" s="700"/>
      <c r="QY35" s="700"/>
      <c r="QZ35" s="700"/>
      <c r="RA35" s="700"/>
      <c r="RB35" s="700"/>
      <c r="RC35" s="700"/>
      <c r="RD35" s="700"/>
      <c r="RE35" s="700"/>
      <c r="RF35" s="700"/>
      <c r="RG35" s="700"/>
      <c r="RH35" s="700"/>
      <c r="RI35" s="700"/>
      <c r="RJ35" s="700"/>
      <c r="RK35" s="700"/>
      <c r="RL35" s="700"/>
      <c r="RM35" s="700"/>
      <c r="RN35" s="700"/>
      <c r="RO35" s="700"/>
      <c r="RP35" s="700"/>
      <c r="RQ35" s="700"/>
      <c r="RR35" s="700"/>
      <c r="RS35" s="700"/>
      <c r="RT35" s="700"/>
      <c r="RU35" s="700"/>
      <c r="RV35" s="700"/>
      <c r="RW35" s="700"/>
      <c r="RX35" s="700"/>
      <c r="RY35" s="700"/>
      <c r="RZ35" s="700"/>
      <c r="SA35" s="700"/>
      <c r="SB35" s="700"/>
      <c r="SC35" s="700"/>
      <c r="SD35" s="700"/>
      <c r="SE35" s="700"/>
      <c r="SF35" s="700"/>
      <c r="SG35" s="700"/>
      <c r="SH35" s="700"/>
      <c r="SI35" s="700"/>
      <c r="SJ35" s="700"/>
      <c r="SK35" s="700"/>
      <c r="SL35" s="700"/>
      <c r="SM35" s="700"/>
      <c r="SN35" s="700"/>
      <c r="SO35" s="700"/>
      <c r="SP35" s="700"/>
      <c r="SQ35" s="700"/>
      <c r="SR35" s="700"/>
      <c r="SS35" s="700"/>
      <c r="ST35" s="700"/>
      <c r="SU35" s="700"/>
      <c r="SV35" s="700"/>
      <c r="SW35" s="700"/>
      <c r="SX35" s="700"/>
      <c r="SY35" s="700"/>
      <c r="SZ35" s="700"/>
      <c r="TA35" s="700"/>
      <c r="TB35" s="700"/>
      <c r="TC35" s="700"/>
      <c r="TD35" s="700"/>
      <c r="TE35" s="700"/>
      <c r="TF35" s="700"/>
      <c r="TG35" s="700"/>
      <c r="TH35" s="700"/>
      <c r="TI35" s="700"/>
      <c r="TJ35" s="700"/>
      <c r="TK35" s="700"/>
      <c r="TL35" s="700"/>
      <c r="TM35" s="700"/>
      <c r="TN35" s="700"/>
      <c r="TO35" s="700"/>
      <c r="TP35" s="700"/>
      <c r="TQ35" s="700"/>
      <c r="TR35" s="700"/>
      <c r="TS35" s="700"/>
      <c r="TT35" s="700"/>
      <c r="TU35" s="700"/>
      <c r="TV35" s="700"/>
      <c r="TW35" s="700"/>
      <c r="TX35" s="700"/>
      <c r="TY35" s="700"/>
      <c r="TZ35" s="700"/>
      <c r="UA35" s="700"/>
      <c r="UB35" s="700"/>
      <c r="UC35" s="700"/>
      <c r="UD35" s="700"/>
      <c r="UE35" s="700"/>
      <c r="UF35" s="700"/>
      <c r="UG35" s="700"/>
      <c r="UH35" s="700"/>
      <c r="UI35" s="700"/>
      <c r="UJ35" s="700"/>
      <c r="UK35" s="700"/>
      <c r="UL35" s="700"/>
      <c r="UM35" s="700"/>
      <c r="UN35" s="700"/>
      <c r="UO35" s="700"/>
      <c r="UP35" s="700"/>
      <c r="UQ35" s="700"/>
      <c r="UR35" s="700"/>
      <c r="US35" s="700"/>
      <c r="UT35" s="700"/>
      <c r="UU35" s="700"/>
      <c r="UV35" s="700"/>
      <c r="UW35" s="700"/>
      <c r="UX35" s="700"/>
      <c r="UY35" s="700"/>
      <c r="UZ35" s="700"/>
      <c r="VA35" s="700"/>
      <c r="VB35" s="700"/>
      <c r="VC35" s="700"/>
      <c r="VD35" s="700"/>
      <c r="VE35" s="700"/>
      <c r="VF35" s="700"/>
      <c r="VG35" s="700"/>
      <c r="VH35" s="700"/>
      <c r="VI35" s="700"/>
      <c r="VJ35" s="700"/>
      <c r="VK35" s="700"/>
      <c r="VL35" s="700"/>
      <c r="VM35" s="700"/>
      <c r="VN35" s="700"/>
      <c r="VO35" s="700"/>
      <c r="VP35" s="700"/>
      <c r="VQ35" s="700"/>
      <c r="VR35" s="700"/>
      <c r="VS35" s="700"/>
      <c r="VT35" s="700"/>
      <c r="VU35" s="700"/>
      <c r="VV35" s="700"/>
      <c r="VW35" s="700"/>
      <c r="VX35" s="700"/>
      <c r="VY35" s="700"/>
      <c r="VZ35" s="700"/>
      <c r="WA35" s="700"/>
      <c r="WB35" s="700"/>
      <c r="WC35" s="700"/>
      <c r="WD35" s="700"/>
      <c r="WE35" s="700"/>
      <c r="WF35" s="700"/>
      <c r="WG35" s="700"/>
      <c r="WH35" s="700"/>
      <c r="WI35" s="700"/>
      <c r="WJ35" s="700"/>
      <c r="WK35" s="700"/>
      <c r="WL35" s="700"/>
      <c r="WM35" s="700"/>
      <c r="WN35" s="700"/>
      <c r="WO35" s="700"/>
      <c r="WP35" s="700"/>
      <c r="WQ35" s="700"/>
      <c r="WR35" s="700"/>
      <c r="WS35" s="700"/>
      <c r="WT35" s="700"/>
      <c r="WU35" s="700"/>
      <c r="WV35" s="700"/>
      <c r="WW35" s="700"/>
      <c r="WX35" s="700"/>
      <c r="WY35" s="700"/>
      <c r="WZ35" s="700"/>
      <c r="XA35" s="700"/>
      <c r="XB35" s="700"/>
      <c r="XC35" s="700"/>
      <c r="XD35" s="700"/>
      <c r="XE35" s="700"/>
      <c r="XF35" s="700"/>
      <c r="XG35" s="700"/>
      <c r="XH35" s="700"/>
      <c r="XI35" s="700"/>
      <c r="XJ35" s="700"/>
      <c r="XK35" s="700"/>
      <c r="XL35" s="700"/>
      <c r="XM35" s="700"/>
      <c r="XN35" s="700"/>
      <c r="XO35" s="700"/>
      <c r="XP35" s="700"/>
      <c r="XQ35" s="700"/>
      <c r="XR35" s="700"/>
      <c r="XS35" s="700"/>
      <c r="XT35" s="700"/>
      <c r="XU35" s="700"/>
      <c r="XV35" s="700"/>
      <c r="XW35" s="700"/>
      <c r="XX35" s="700"/>
      <c r="XY35" s="700"/>
      <c r="XZ35" s="700"/>
      <c r="YA35" s="700"/>
      <c r="YB35" s="700"/>
      <c r="YC35" s="700"/>
      <c r="YD35" s="700"/>
      <c r="YE35" s="700"/>
      <c r="YF35" s="700"/>
      <c r="YG35" s="700"/>
      <c r="YH35" s="700"/>
      <c r="YI35" s="700"/>
      <c r="YJ35" s="700"/>
      <c r="YK35" s="700"/>
      <c r="YL35" s="700"/>
      <c r="YM35" s="700"/>
      <c r="YN35" s="700"/>
      <c r="YO35" s="700"/>
      <c r="YP35" s="700"/>
      <c r="YQ35" s="700"/>
      <c r="YR35" s="700"/>
      <c r="YS35" s="700"/>
      <c r="YT35" s="700"/>
      <c r="YU35" s="700"/>
      <c r="YV35" s="700"/>
      <c r="YW35" s="700"/>
      <c r="YX35" s="700"/>
      <c r="YY35" s="700"/>
      <c r="YZ35" s="700"/>
      <c r="ZA35" s="700"/>
      <c r="ZB35" s="700"/>
      <c r="ZC35" s="700"/>
      <c r="ZD35" s="700"/>
      <c r="ZE35" s="700"/>
      <c r="ZF35" s="700"/>
      <c r="ZG35" s="700"/>
      <c r="ZH35" s="700"/>
      <c r="ZI35" s="700"/>
      <c r="ZJ35" s="700"/>
      <c r="ZK35" s="700"/>
      <c r="ZL35" s="700"/>
      <c r="ZM35" s="700"/>
      <c r="ZN35" s="700"/>
      <c r="ZO35" s="700"/>
      <c r="ZP35" s="700"/>
      <c r="ZQ35" s="700"/>
      <c r="ZR35" s="700"/>
      <c r="ZS35" s="700"/>
      <c r="ZT35" s="700"/>
      <c r="ZU35" s="700"/>
      <c r="ZV35" s="700"/>
      <c r="ZW35" s="700"/>
      <c r="ZX35" s="700"/>
      <c r="ZY35" s="700"/>
      <c r="ZZ35" s="700"/>
      <c r="AAA35" s="700"/>
      <c r="AAB35" s="700"/>
      <c r="AAC35" s="700"/>
      <c r="AAD35" s="700"/>
      <c r="AAE35" s="700"/>
      <c r="AAF35" s="700"/>
      <c r="AAG35" s="700"/>
      <c r="AAH35" s="700"/>
      <c r="AAI35" s="700"/>
      <c r="AAJ35" s="700"/>
      <c r="AAK35" s="700"/>
      <c r="AAL35" s="700"/>
      <c r="AAM35" s="700"/>
      <c r="AAN35" s="700"/>
      <c r="AAO35" s="700"/>
      <c r="AAP35" s="700"/>
      <c r="AAQ35" s="700"/>
      <c r="AAR35" s="700"/>
      <c r="AAS35" s="700"/>
      <c r="AAT35" s="700"/>
      <c r="AAU35" s="700"/>
      <c r="AAV35" s="700"/>
      <c r="AAW35" s="700"/>
      <c r="AAX35" s="700"/>
      <c r="AAY35" s="700"/>
      <c r="AAZ35" s="700"/>
      <c r="ABA35" s="700"/>
      <c r="ABB35" s="700"/>
      <c r="ABC35" s="700"/>
      <c r="ABD35" s="700"/>
      <c r="ABE35" s="700"/>
      <c r="ABF35" s="700"/>
      <c r="ABG35" s="700"/>
      <c r="ABH35" s="700"/>
      <c r="ABI35" s="700"/>
      <c r="ABJ35" s="700"/>
      <c r="ABK35" s="700"/>
      <c r="ABL35" s="700"/>
      <c r="ABM35" s="700"/>
      <c r="ABN35" s="700"/>
      <c r="ABO35" s="700"/>
      <c r="ABP35" s="700"/>
      <c r="ABQ35" s="700"/>
      <c r="ABR35" s="700"/>
      <c r="ABS35" s="700"/>
      <c r="ABT35" s="700"/>
      <c r="ABU35" s="700"/>
      <c r="ABV35" s="700"/>
      <c r="ABW35" s="700"/>
      <c r="ABX35" s="700"/>
      <c r="ABY35" s="700"/>
      <c r="ABZ35" s="700"/>
      <c r="ACA35" s="700"/>
      <c r="ACB35" s="700"/>
      <c r="ACC35" s="700"/>
      <c r="ACD35" s="700"/>
      <c r="ACE35" s="700"/>
      <c r="ACF35" s="700"/>
      <c r="ACG35" s="700"/>
      <c r="ACH35" s="700"/>
      <c r="ACI35" s="700"/>
      <c r="ACJ35" s="700"/>
      <c r="ACK35" s="700"/>
      <c r="ACL35" s="700"/>
      <c r="ACM35" s="700"/>
      <c r="ACN35" s="700"/>
      <c r="ACO35" s="700"/>
      <c r="ACP35" s="700"/>
      <c r="ACQ35" s="700"/>
      <c r="ACR35" s="700"/>
      <c r="ACS35" s="700"/>
      <c r="ACT35" s="700"/>
      <c r="ACU35" s="700"/>
      <c r="ACV35" s="700"/>
      <c r="ACW35" s="700"/>
      <c r="ACX35" s="700"/>
      <c r="ACY35" s="700"/>
      <c r="ACZ35" s="700"/>
      <c r="ADA35" s="700"/>
      <c r="ADB35" s="700"/>
      <c r="ADC35" s="700"/>
      <c r="ADD35" s="700"/>
      <c r="ADE35" s="700"/>
      <c r="ADF35" s="700"/>
      <c r="ADG35" s="700"/>
      <c r="ADH35" s="700"/>
      <c r="ADI35" s="700"/>
      <c r="ADJ35" s="700"/>
      <c r="ADK35" s="700"/>
      <c r="ADL35" s="700"/>
      <c r="ADM35" s="700"/>
      <c r="ADN35" s="700"/>
      <c r="ADO35" s="700"/>
      <c r="ADP35" s="700"/>
      <c r="ADQ35" s="700"/>
      <c r="ADR35" s="700"/>
      <c r="ADS35" s="700"/>
      <c r="ADT35" s="700"/>
      <c r="ADU35" s="700"/>
      <c r="ADV35" s="700"/>
      <c r="ADW35" s="700"/>
      <c r="ADX35" s="700"/>
      <c r="ADY35" s="700"/>
      <c r="ADZ35" s="700"/>
      <c r="AEA35" s="700"/>
      <c r="AEB35" s="700"/>
      <c r="AEC35" s="700"/>
      <c r="AED35" s="700"/>
      <c r="AEE35" s="700"/>
      <c r="AEF35" s="700"/>
      <c r="AEG35" s="700"/>
      <c r="AEH35" s="700"/>
      <c r="AEI35" s="700"/>
      <c r="AEJ35" s="700"/>
      <c r="AEK35" s="700"/>
      <c r="AEL35" s="700"/>
      <c r="AEM35" s="700"/>
      <c r="AEN35" s="700"/>
      <c r="AEO35" s="700"/>
      <c r="AEP35" s="700"/>
      <c r="AEQ35" s="700"/>
      <c r="AER35" s="700"/>
      <c r="AES35" s="700"/>
      <c r="AET35" s="700"/>
      <c r="AEU35" s="700"/>
      <c r="AEV35" s="700"/>
      <c r="AEW35" s="700"/>
      <c r="AEX35" s="700"/>
      <c r="AEY35" s="700"/>
      <c r="AEZ35" s="700"/>
      <c r="AFA35" s="700"/>
      <c r="AFB35" s="700"/>
      <c r="AFC35" s="700"/>
      <c r="AFD35" s="700"/>
      <c r="AFE35" s="700"/>
      <c r="AFF35" s="700"/>
      <c r="AFG35" s="700"/>
      <c r="AFH35" s="700"/>
      <c r="AFI35" s="700"/>
      <c r="AFJ35" s="700"/>
      <c r="AFK35" s="700"/>
      <c r="AFL35" s="700"/>
      <c r="AFM35" s="700"/>
      <c r="AFN35" s="700"/>
      <c r="AFO35" s="700"/>
      <c r="AFP35" s="700"/>
      <c r="AFQ35" s="700"/>
      <c r="AFR35" s="700"/>
      <c r="AFS35" s="700"/>
      <c r="AFT35" s="700"/>
      <c r="AFU35" s="700"/>
      <c r="AFV35" s="700"/>
      <c r="AFW35" s="700"/>
      <c r="AFX35" s="700"/>
      <c r="AFY35" s="700"/>
      <c r="AFZ35" s="700"/>
      <c r="AGA35" s="700"/>
      <c r="AGB35" s="700"/>
      <c r="AGC35" s="700"/>
      <c r="AGD35" s="700"/>
      <c r="AGE35" s="700"/>
      <c r="AGF35" s="700"/>
      <c r="AGG35" s="700"/>
      <c r="AGH35" s="700"/>
      <c r="AGI35" s="700"/>
      <c r="AGJ35" s="700"/>
      <c r="AGK35" s="700"/>
      <c r="AGL35" s="700"/>
      <c r="AGM35" s="700"/>
      <c r="AGN35" s="700"/>
      <c r="AGO35" s="700"/>
      <c r="AGP35" s="700"/>
      <c r="AGQ35" s="700"/>
      <c r="AGR35" s="700"/>
      <c r="AGS35" s="700"/>
      <c r="AGT35" s="700"/>
      <c r="AGU35" s="700"/>
      <c r="AGV35" s="700"/>
      <c r="AGW35" s="700"/>
      <c r="AGX35" s="700"/>
      <c r="AGY35" s="700"/>
      <c r="AGZ35" s="700"/>
      <c r="AHA35" s="700"/>
      <c r="AHB35" s="700"/>
      <c r="AHC35" s="700"/>
      <c r="AHD35" s="700"/>
      <c r="AHE35" s="700"/>
      <c r="AHF35" s="700"/>
      <c r="AHG35" s="700"/>
      <c r="AHH35" s="700"/>
      <c r="AHI35" s="700"/>
      <c r="AHJ35" s="700"/>
      <c r="AHK35" s="700"/>
      <c r="AHL35" s="700"/>
      <c r="AHM35" s="700"/>
      <c r="AHN35" s="700"/>
      <c r="AHO35" s="700"/>
      <c r="AHP35" s="700"/>
      <c r="AHQ35" s="700"/>
      <c r="AHR35" s="700"/>
      <c r="AHS35" s="700"/>
      <c r="AHT35" s="700"/>
      <c r="AHU35" s="700"/>
      <c r="AHV35" s="700"/>
      <c r="AHW35" s="700"/>
      <c r="AHX35" s="700"/>
      <c r="AHY35" s="700"/>
      <c r="AHZ35" s="700"/>
      <c r="AIA35" s="700"/>
      <c r="AIB35" s="700"/>
      <c r="AIC35" s="700"/>
      <c r="AID35" s="700"/>
      <c r="AIE35" s="700"/>
      <c r="AIF35" s="700"/>
      <c r="AIG35" s="700"/>
      <c r="AIH35" s="700"/>
      <c r="AII35" s="700"/>
      <c r="AIJ35" s="700"/>
      <c r="AIK35" s="700"/>
      <c r="AIL35" s="700"/>
      <c r="AIM35" s="700"/>
      <c r="AIN35" s="700"/>
      <c r="AIO35" s="700"/>
      <c r="AIP35" s="700"/>
      <c r="AIQ35" s="700"/>
      <c r="AIR35" s="700"/>
      <c r="AIS35" s="700"/>
      <c r="AIT35" s="700"/>
      <c r="AIU35" s="700"/>
      <c r="AIV35" s="700"/>
      <c r="AIW35" s="700"/>
      <c r="AIX35" s="700"/>
      <c r="AIY35" s="700"/>
      <c r="AIZ35" s="700"/>
      <c r="AJA35" s="700"/>
      <c r="AJB35" s="700"/>
      <c r="AJC35" s="700"/>
      <c r="AJD35" s="700"/>
      <c r="AJE35" s="700"/>
      <c r="AJF35" s="700"/>
      <c r="AJG35" s="700"/>
      <c r="AJH35" s="700"/>
      <c r="AJI35" s="700"/>
      <c r="AJJ35" s="700"/>
      <c r="AJK35" s="700"/>
      <c r="AJL35" s="700"/>
      <c r="AJM35" s="700"/>
      <c r="AJN35" s="700"/>
      <c r="AJO35" s="700"/>
      <c r="AJP35" s="700"/>
      <c r="AJQ35" s="700"/>
      <c r="AJR35" s="700"/>
      <c r="AJS35" s="700"/>
      <c r="AJT35" s="700"/>
      <c r="AJU35" s="700"/>
      <c r="AJV35" s="700"/>
      <c r="AJW35" s="700"/>
      <c r="AJX35" s="700"/>
      <c r="AJY35" s="700"/>
      <c r="AJZ35" s="700"/>
      <c r="AKA35" s="700"/>
      <c r="AKB35" s="700"/>
      <c r="AKC35" s="700"/>
      <c r="AKD35" s="700"/>
      <c r="AKE35" s="700"/>
      <c r="AKF35" s="700"/>
      <c r="AKG35" s="700"/>
      <c r="AKH35" s="700"/>
      <c r="AKI35" s="700"/>
      <c r="AKJ35" s="700"/>
      <c r="AKK35" s="700"/>
      <c r="AKL35" s="700"/>
      <c r="AKM35" s="700"/>
      <c r="AKN35" s="700"/>
      <c r="AKO35" s="700"/>
      <c r="AKP35" s="700"/>
      <c r="AKQ35" s="700"/>
      <c r="AKR35" s="700"/>
      <c r="AKS35" s="700"/>
      <c r="AKT35" s="700"/>
      <c r="AKU35" s="700"/>
      <c r="AKV35" s="700"/>
      <c r="AKW35" s="700"/>
      <c r="AKX35" s="700"/>
      <c r="AKY35" s="700"/>
      <c r="AKZ35" s="700"/>
      <c r="ALA35" s="700"/>
      <c r="ALB35" s="700"/>
      <c r="ALC35" s="700"/>
      <c r="ALD35" s="700"/>
      <c r="ALE35" s="700"/>
      <c r="ALF35" s="700"/>
      <c r="ALG35" s="700"/>
      <c r="ALH35" s="700"/>
      <c r="ALI35" s="700"/>
      <c r="ALJ35" s="700"/>
      <c r="ALK35" s="700"/>
      <c r="ALL35" s="700"/>
      <c r="ALM35" s="700"/>
      <c r="ALN35" s="700"/>
      <c r="ALO35" s="700"/>
      <c r="ALP35" s="700"/>
      <c r="ALQ35" s="700"/>
      <c r="ALR35" s="700"/>
      <c r="ALS35" s="700"/>
      <c r="ALT35" s="700"/>
      <c r="ALU35" s="700"/>
      <c r="ALV35" s="700"/>
      <c r="ALW35" s="700"/>
      <c r="ALX35" s="700"/>
      <c r="ALY35" s="700"/>
      <c r="ALZ35" s="700"/>
      <c r="AMA35" s="700"/>
      <c r="AMB35" s="700"/>
      <c r="AMC35" s="700"/>
      <c r="AMD35" s="700"/>
      <c r="AME35" s="700"/>
      <c r="AMF35" s="700"/>
      <c r="AMG35" s="700"/>
      <c r="AMH35" s="700"/>
      <c r="AMI35" s="700"/>
      <c r="AMJ35" s="700"/>
      <c r="AMK35" s="700"/>
      <c r="AML35" s="700"/>
      <c r="AMM35" s="700"/>
      <c r="AMN35" s="700"/>
      <c r="AMO35" s="700"/>
      <c r="AMP35" s="700"/>
      <c r="AMQ35" s="700"/>
      <c r="AMR35" s="700"/>
      <c r="AMS35" s="700"/>
      <c r="AMT35" s="700"/>
      <c r="AMU35" s="700"/>
      <c r="AMV35" s="700"/>
      <c r="AMW35" s="700"/>
      <c r="AMX35" s="700"/>
      <c r="AMY35" s="700"/>
      <c r="AMZ35" s="700"/>
      <c r="ANA35" s="700"/>
      <c r="ANB35" s="700"/>
      <c r="ANC35" s="700"/>
      <c r="AND35" s="700"/>
      <c r="ANE35" s="700"/>
      <c r="ANF35" s="700"/>
      <c r="ANG35" s="700"/>
      <c r="ANH35" s="700"/>
      <c r="ANI35" s="700"/>
      <c r="ANJ35" s="700"/>
      <c r="ANK35" s="700"/>
      <c r="ANL35" s="700"/>
      <c r="ANM35" s="700"/>
      <c r="ANN35" s="700"/>
      <c r="ANO35" s="700"/>
      <c r="ANP35" s="700"/>
      <c r="ANQ35" s="700"/>
      <c r="ANR35" s="700"/>
      <c r="ANS35" s="700"/>
      <c r="ANT35" s="700"/>
      <c r="ANU35" s="700"/>
      <c r="ANV35" s="700"/>
      <c r="ANW35" s="700"/>
      <c r="ANX35" s="700"/>
      <c r="ANY35" s="700"/>
      <c r="ANZ35" s="700"/>
      <c r="AOA35" s="700"/>
      <c r="AOB35" s="700"/>
      <c r="AOC35" s="700"/>
      <c r="AOD35" s="700"/>
      <c r="AOE35" s="700"/>
      <c r="AOF35" s="700"/>
      <c r="AOG35" s="700"/>
      <c r="AOH35" s="700"/>
      <c r="AOI35" s="700"/>
      <c r="AOJ35" s="700"/>
      <c r="AOK35" s="700"/>
      <c r="AOL35" s="700"/>
      <c r="AOM35" s="700"/>
      <c r="AON35" s="700"/>
      <c r="AOO35" s="700"/>
      <c r="AOP35" s="700"/>
      <c r="AOQ35" s="700"/>
      <c r="AOR35" s="700"/>
      <c r="AOS35" s="700"/>
      <c r="AOT35" s="700"/>
      <c r="AOU35" s="700"/>
      <c r="AOV35" s="700"/>
      <c r="AOW35" s="700"/>
      <c r="AOX35" s="700"/>
      <c r="AOY35" s="700"/>
      <c r="AOZ35" s="700"/>
      <c r="APA35" s="700"/>
      <c r="APB35" s="700"/>
      <c r="APC35" s="700"/>
      <c r="APD35" s="700"/>
      <c r="APE35" s="700"/>
      <c r="APF35" s="700"/>
      <c r="APG35" s="700"/>
      <c r="APH35" s="700"/>
      <c r="API35" s="700"/>
      <c r="APJ35" s="700"/>
      <c r="APK35" s="700"/>
      <c r="APL35" s="700"/>
      <c r="APM35" s="700"/>
      <c r="APN35" s="700"/>
      <c r="APO35" s="700"/>
      <c r="APP35" s="700"/>
      <c r="APQ35" s="700"/>
      <c r="APR35" s="700"/>
      <c r="APS35" s="700"/>
      <c r="APT35" s="700"/>
      <c r="APU35" s="700"/>
      <c r="APV35" s="700"/>
      <c r="APW35" s="700"/>
      <c r="APX35" s="700"/>
      <c r="APY35" s="700"/>
      <c r="APZ35" s="700"/>
      <c r="AQA35" s="700"/>
      <c r="AQB35" s="700"/>
      <c r="AQC35" s="700"/>
      <c r="AQD35" s="700"/>
      <c r="AQE35" s="700"/>
      <c r="AQF35" s="700"/>
      <c r="AQG35" s="700"/>
      <c r="AQH35" s="700"/>
      <c r="AQI35" s="700"/>
      <c r="AQJ35" s="700"/>
      <c r="AQK35" s="700"/>
      <c r="AQL35" s="700"/>
      <c r="AQM35" s="700"/>
      <c r="AQN35" s="700"/>
      <c r="AQO35" s="700"/>
      <c r="AQP35" s="700"/>
      <c r="AQQ35" s="700"/>
      <c r="AQR35" s="700"/>
      <c r="AQS35" s="700"/>
      <c r="AQT35" s="700"/>
      <c r="AQU35" s="700"/>
      <c r="AQV35" s="700"/>
      <c r="AQW35" s="700"/>
      <c r="AQX35" s="700"/>
      <c r="AQY35" s="700"/>
      <c r="AQZ35" s="700"/>
      <c r="ARA35" s="700"/>
      <c r="ARB35" s="700"/>
      <c r="ARC35" s="700"/>
      <c r="ARD35" s="700"/>
      <c r="ARE35" s="700"/>
      <c r="ARF35" s="700"/>
      <c r="ARG35" s="700"/>
      <c r="ARH35" s="700"/>
      <c r="ARI35" s="700"/>
      <c r="ARJ35" s="700"/>
      <c r="ARK35" s="700"/>
      <c r="ARL35" s="700"/>
      <c r="ARM35" s="700"/>
      <c r="ARN35" s="700"/>
      <c r="ARO35" s="700"/>
      <c r="ARP35" s="700"/>
      <c r="ARQ35" s="700"/>
      <c r="ARR35" s="700"/>
      <c r="ARS35" s="700"/>
      <c r="ART35" s="700"/>
      <c r="ARU35" s="700"/>
      <c r="ARV35" s="700"/>
      <c r="ARW35" s="700"/>
      <c r="ARX35" s="700"/>
      <c r="ARY35" s="700"/>
      <c r="ARZ35" s="700"/>
      <c r="ASA35" s="700"/>
      <c r="ASB35" s="700"/>
      <c r="ASC35" s="700"/>
      <c r="ASD35" s="700"/>
      <c r="ASE35" s="700"/>
      <c r="ASF35" s="700"/>
      <c r="ASG35" s="700"/>
      <c r="ASH35" s="700"/>
      <c r="ASI35" s="700"/>
      <c r="ASJ35" s="700"/>
      <c r="ASK35" s="700"/>
      <c r="ASL35" s="700"/>
      <c r="ASM35" s="700"/>
      <c r="ASN35" s="700"/>
      <c r="ASO35" s="700"/>
      <c r="ASP35" s="700"/>
      <c r="ASQ35" s="700"/>
      <c r="ASR35" s="700"/>
      <c r="ASS35" s="700"/>
      <c r="AST35" s="700"/>
      <c r="ASU35" s="700"/>
      <c r="ASV35" s="700"/>
      <c r="ASW35" s="700"/>
      <c r="ASX35" s="700"/>
      <c r="ASY35" s="700"/>
      <c r="ASZ35" s="700"/>
      <c r="ATA35" s="700"/>
      <c r="ATB35" s="700"/>
      <c r="ATC35" s="700"/>
      <c r="ATD35" s="700"/>
      <c r="ATE35" s="700"/>
      <c r="ATF35" s="700"/>
      <c r="ATG35" s="700"/>
      <c r="ATH35" s="700"/>
      <c r="ATI35" s="700"/>
      <c r="ATJ35" s="700"/>
      <c r="ATK35" s="700"/>
      <c r="ATL35" s="700"/>
      <c r="ATM35" s="700"/>
      <c r="ATN35" s="700"/>
      <c r="ATO35" s="700"/>
      <c r="ATP35" s="700"/>
      <c r="ATQ35" s="700"/>
      <c r="ATR35" s="700"/>
      <c r="ATS35" s="700"/>
      <c r="ATT35" s="700"/>
      <c r="ATU35" s="700"/>
      <c r="ATV35" s="700"/>
      <c r="ATW35" s="700"/>
      <c r="ATX35" s="700"/>
      <c r="ATY35" s="700"/>
      <c r="ATZ35" s="700"/>
      <c r="AUA35" s="700"/>
      <c r="AUB35" s="700"/>
      <c r="AUC35" s="700"/>
      <c r="AUD35" s="700"/>
      <c r="AUE35" s="700"/>
      <c r="AUF35" s="700"/>
      <c r="AUG35" s="700"/>
      <c r="AUH35" s="700"/>
      <c r="AUI35" s="700"/>
      <c r="AUJ35" s="700"/>
      <c r="AUK35" s="700"/>
      <c r="AUL35" s="700"/>
      <c r="AUM35" s="700"/>
      <c r="AUN35" s="700"/>
      <c r="AUO35" s="700"/>
      <c r="AUP35" s="700"/>
      <c r="AUQ35" s="700"/>
      <c r="AUR35" s="700"/>
      <c r="AUS35" s="700"/>
      <c r="AUT35" s="700"/>
      <c r="AUU35" s="700"/>
      <c r="AUV35" s="700"/>
      <c r="AUW35" s="700"/>
      <c r="AUX35" s="700"/>
      <c r="AUY35" s="700"/>
      <c r="AUZ35" s="700"/>
      <c r="AVA35" s="700"/>
      <c r="AVB35" s="700"/>
      <c r="AVC35" s="700"/>
      <c r="AVD35" s="700"/>
      <c r="AVE35" s="700"/>
      <c r="AVF35" s="700"/>
      <c r="AVG35" s="700"/>
      <c r="AVH35" s="700"/>
      <c r="AVI35" s="700"/>
      <c r="AVJ35" s="700"/>
      <c r="AVK35" s="700"/>
      <c r="AVL35" s="700"/>
      <c r="AVM35" s="700"/>
      <c r="AVN35" s="700"/>
      <c r="AVO35" s="700"/>
      <c r="AVP35" s="700"/>
      <c r="AVQ35" s="700"/>
      <c r="AVR35" s="700"/>
      <c r="AVS35" s="700"/>
      <c r="AVT35" s="700"/>
      <c r="AVU35" s="700"/>
      <c r="AVV35" s="700"/>
      <c r="AVW35" s="700"/>
      <c r="AVX35" s="700"/>
      <c r="AVY35" s="700"/>
      <c r="AVZ35" s="700"/>
      <c r="AWA35" s="700"/>
      <c r="AWB35" s="700"/>
      <c r="AWC35" s="700"/>
      <c r="AWD35" s="700"/>
      <c r="AWE35" s="700"/>
      <c r="AWF35" s="700"/>
      <c r="AWG35" s="700"/>
      <c r="AWH35" s="700"/>
      <c r="AWI35" s="700"/>
      <c r="AWJ35" s="700"/>
      <c r="AWK35" s="700"/>
      <c r="AWL35" s="700"/>
      <c r="AWM35" s="700"/>
      <c r="AWN35" s="700"/>
      <c r="AWO35" s="700"/>
      <c r="AWP35" s="700"/>
      <c r="AWQ35" s="700"/>
      <c r="AWR35" s="700"/>
      <c r="AWS35" s="700"/>
      <c r="AWT35" s="700"/>
      <c r="AWU35" s="700"/>
      <c r="AWV35" s="700"/>
      <c r="AWW35" s="700"/>
      <c r="AWX35" s="700"/>
      <c r="AWY35" s="700"/>
      <c r="AWZ35" s="700"/>
      <c r="AXA35" s="700"/>
      <c r="AXB35" s="700"/>
      <c r="AXC35" s="700"/>
      <c r="AXD35" s="700"/>
      <c r="AXE35" s="700"/>
      <c r="AXF35" s="700"/>
      <c r="AXG35" s="700"/>
      <c r="AXH35" s="700"/>
      <c r="AXI35" s="700"/>
      <c r="AXJ35" s="700"/>
      <c r="AXK35" s="700"/>
      <c r="AXL35" s="700"/>
      <c r="AXM35" s="700"/>
      <c r="AXN35" s="700"/>
      <c r="AXO35" s="700"/>
      <c r="AXP35" s="700"/>
      <c r="AXQ35" s="700"/>
      <c r="AXR35" s="700"/>
      <c r="AXS35" s="700"/>
      <c r="AXT35" s="700"/>
      <c r="AXU35" s="700"/>
      <c r="AXV35" s="700"/>
      <c r="AXW35" s="700"/>
      <c r="AXX35" s="700"/>
      <c r="AXY35" s="700"/>
      <c r="AXZ35" s="700"/>
      <c r="AYA35" s="700"/>
      <c r="AYB35" s="700"/>
      <c r="AYC35" s="700"/>
      <c r="AYD35" s="700"/>
      <c r="AYE35" s="700"/>
      <c r="AYF35" s="700"/>
      <c r="AYG35" s="700"/>
      <c r="AYH35" s="700"/>
      <c r="AYI35" s="700"/>
      <c r="AYJ35" s="700"/>
      <c r="AYK35" s="700"/>
      <c r="AYL35" s="700"/>
      <c r="AYM35" s="700"/>
      <c r="AYN35" s="700"/>
      <c r="AYO35" s="700"/>
      <c r="AYP35" s="700"/>
      <c r="AYQ35" s="700"/>
      <c r="AYR35" s="700"/>
      <c r="AYS35" s="700"/>
      <c r="AYT35" s="700"/>
      <c r="AYU35" s="700"/>
      <c r="AYV35" s="700"/>
      <c r="AYW35" s="700"/>
      <c r="AYX35" s="700"/>
      <c r="AYY35" s="700"/>
      <c r="AYZ35" s="700"/>
      <c r="AZA35" s="700"/>
      <c r="AZB35" s="700"/>
      <c r="AZC35" s="700"/>
      <c r="AZD35" s="700"/>
      <c r="AZE35" s="700"/>
      <c r="AZF35" s="700"/>
      <c r="AZG35" s="700"/>
      <c r="AZH35" s="700"/>
      <c r="AZI35" s="700"/>
      <c r="AZJ35" s="700"/>
      <c r="AZK35" s="700"/>
      <c r="AZL35" s="700"/>
      <c r="AZM35" s="700"/>
      <c r="AZN35" s="700"/>
      <c r="AZO35" s="700"/>
      <c r="AZP35" s="700"/>
      <c r="AZQ35" s="700"/>
      <c r="AZR35" s="700"/>
      <c r="AZS35" s="700"/>
      <c r="AZT35" s="700"/>
      <c r="AZU35" s="700"/>
      <c r="AZV35" s="700"/>
      <c r="AZW35" s="700"/>
      <c r="AZX35" s="700"/>
      <c r="AZY35" s="700"/>
      <c r="AZZ35" s="700"/>
      <c r="BAA35" s="700"/>
      <c r="BAB35" s="700"/>
      <c r="BAC35" s="700"/>
      <c r="BAD35" s="700"/>
      <c r="BAE35" s="700"/>
      <c r="BAF35" s="700"/>
      <c r="BAG35" s="700"/>
      <c r="BAH35" s="700"/>
      <c r="BAI35" s="700"/>
      <c r="BAJ35" s="700"/>
      <c r="BAK35" s="700"/>
      <c r="BAL35" s="700"/>
      <c r="BAM35" s="700"/>
      <c r="BAN35" s="700"/>
      <c r="BAO35" s="700"/>
      <c r="BAP35" s="700"/>
      <c r="BAQ35" s="700"/>
      <c r="BAR35" s="700"/>
      <c r="BAS35" s="700"/>
      <c r="BAT35" s="700"/>
      <c r="BAU35" s="700"/>
      <c r="BAV35" s="700"/>
      <c r="BAW35" s="700"/>
      <c r="BAX35" s="700"/>
      <c r="BAY35" s="700"/>
      <c r="BAZ35" s="700"/>
      <c r="BBA35" s="700"/>
      <c r="BBB35" s="700"/>
      <c r="BBC35" s="700"/>
      <c r="BBD35" s="700"/>
      <c r="BBE35" s="700"/>
      <c r="BBF35" s="700"/>
      <c r="BBG35" s="700"/>
      <c r="BBH35" s="700"/>
      <c r="BBI35" s="700"/>
      <c r="BBJ35" s="700"/>
      <c r="BBK35" s="700"/>
      <c r="BBL35" s="700"/>
      <c r="BBM35" s="700"/>
      <c r="BBN35" s="700"/>
      <c r="BBO35" s="700"/>
      <c r="BBP35" s="700"/>
      <c r="BBQ35" s="700"/>
      <c r="BBR35" s="700"/>
      <c r="BBS35" s="700"/>
      <c r="BBT35" s="700"/>
      <c r="BBU35" s="700"/>
      <c r="BBV35" s="700"/>
      <c r="BBW35" s="700"/>
      <c r="BBX35" s="700"/>
      <c r="BBY35" s="700"/>
      <c r="BBZ35" s="700"/>
      <c r="BCA35" s="700"/>
      <c r="BCB35" s="700"/>
      <c r="BCC35" s="700"/>
      <c r="BCD35" s="700"/>
      <c r="BCE35" s="700"/>
      <c r="BCF35" s="700"/>
      <c r="BCG35" s="700"/>
      <c r="BCH35" s="700"/>
      <c r="BCI35" s="700"/>
      <c r="BCJ35" s="700"/>
      <c r="BCK35" s="700"/>
      <c r="BCL35" s="700"/>
      <c r="BCM35" s="700"/>
      <c r="BCN35" s="700"/>
      <c r="BCO35" s="700"/>
      <c r="BCP35" s="700"/>
      <c r="BCQ35" s="700"/>
      <c r="BCR35" s="700"/>
      <c r="BCS35" s="700"/>
      <c r="BCT35" s="700"/>
      <c r="BCU35" s="700"/>
      <c r="BCV35" s="700"/>
      <c r="BCW35" s="700"/>
      <c r="BCX35" s="700"/>
      <c r="BCY35" s="700"/>
      <c r="BCZ35" s="700"/>
      <c r="BDA35" s="700"/>
      <c r="BDB35" s="700"/>
      <c r="BDC35" s="700"/>
      <c r="BDD35" s="700"/>
      <c r="BDE35" s="700"/>
      <c r="BDF35" s="700"/>
      <c r="BDG35" s="700"/>
      <c r="BDH35" s="700"/>
      <c r="BDI35" s="700"/>
      <c r="BDJ35" s="700"/>
      <c r="BDK35" s="700"/>
      <c r="BDL35" s="700"/>
      <c r="BDM35" s="700"/>
      <c r="BDN35" s="700"/>
      <c r="BDO35" s="700"/>
      <c r="BDP35" s="700"/>
      <c r="BDQ35" s="700"/>
      <c r="BDR35" s="700"/>
      <c r="BDS35" s="700"/>
      <c r="BDT35" s="700"/>
      <c r="BDU35" s="700"/>
      <c r="BDV35" s="700"/>
      <c r="BDW35" s="700"/>
      <c r="BDX35" s="700"/>
      <c r="BDY35" s="700"/>
      <c r="BDZ35" s="700"/>
      <c r="BEA35" s="700"/>
      <c r="BEB35" s="700"/>
      <c r="BEC35" s="700"/>
      <c r="BED35" s="700"/>
      <c r="BEE35" s="700"/>
      <c r="BEF35" s="700"/>
      <c r="BEG35" s="700"/>
      <c r="BEH35" s="700"/>
      <c r="BEI35" s="700"/>
      <c r="BEJ35" s="700"/>
      <c r="BEK35" s="700"/>
      <c r="BEL35" s="700"/>
      <c r="BEM35" s="700"/>
      <c r="BEN35" s="700"/>
      <c r="BEO35" s="700"/>
      <c r="BEP35" s="700"/>
      <c r="BEQ35" s="700"/>
      <c r="BER35" s="700"/>
      <c r="BES35" s="700"/>
      <c r="BET35" s="700"/>
      <c r="BEU35" s="700"/>
      <c r="BEV35" s="700"/>
      <c r="BEW35" s="700"/>
      <c r="BEX35" s="700"/>
      <c r="BEY35" s="700"/>
      <c r="BEZ35" s="700"/>
      <c r="BFA35" s="700"/>
      <c r="BFB35" s="700"/>
      <c r="BFC35" s="700"/>
      <c r="BFD35" s="700"/>
      <c r="BFE35" s="700"/>
      <c r="BFF35" s="700"/>
      <c r="BFG35" s="700"/>
      <c r="BFH35" s="700"/>
      <c r="BFI35" s="700"/>
      <c r="BFJ35" s="700"/>
      <c r="BFK35" s="700"/>
      <c r="BFL35" s="700"/>
      <c r="BFM35" s="700"/>
      <c r="BFN35" s="700"/>
      <c r="BFO35" s="700"/>
      <c r="BFP35" s="700"/>
      <c r="BFQ35" s="700"/>
      <c r="BFR35" s="700"/>
      <c r="BFS35" s="700"/>
      <c r="BFT35" s="700"/>
      <c r="BFU35" s="700"/>
      <c r="BFV35" s="700"/>
      <c r="BFW35" s="700"/>
      <c r="BFX35" s="700"/>
      <c r="BFY35" s="700"/>
      <c r="BFZ35" s="700"/>
      <c r="BGA35" s="700"/>
      <c r="BGB35" s="700"/>
      <c r="BGC35" s="700"/>
      <c r="BGD35" s="700"/>
      <c r="BGE35" s="700"/>
      <c r="BGF35" s="700"/>
      <c r="BGG35" s="700"/>
      <c r="BGH35" s="700"/>
      <c r="BGI35" s="700"/>
      <c r="BGJ35" s="700"/>
      <c r="BGK35" s="700"/>
      <c r="BGL35" s="700"/>
      <c r="BGM35" s="700"/>
      <c r="BGN35" s="700"/>
      <c r="BGO35" s="700"/>
      <c r="BGP35" s="700"/>
      <c r="BGQ35" s="700"/>
      <c r="BGR35" s="700"/>
      <c r="BGS35" s="700"/>
      <c r="BGT35" s="700"/>
      <c r="BGU35" s="700"/>
      <c r="BGV35" s="700"/>
      <c r="BGW35" s="700"/>
      <c r="BGX35" s="700"/>
      <c r="BGY35" s="700"/>
      <c r="BGZ35" s="700"/>
      <c r="BHA35" s="700"/>
      <c r="BHB35" s="700"/>
      <c r="BHC35" s="700"/>
      <c r="BHD35" s="700"/>
      <c r="BHE35" s="700"/>
      <c r="BHF35" s="700"/>
      <c r="BHG35" s="700"/>
      <c r="BHH35" s="700"/>
      <c r="BHI35" s="700"/>
      <c r="BHJ35" s="700"/>
      <c r="BHK35" s="700"/>
      <c r="BHL35" s="700"/>
      <c r="BHM35" s="700"/>
      <c r="BHN35" s="700"/>
      <c r="BHO35" s="700"/>
      <c r="BHP35" s="700"/>
      <c r="BHQ35" s="700"/>
      <c r="BHR35" s="700"/>
      <c r="BHS35" s="700"/>
      <c r="BHT35" s="700"/>
      <c r="BHU35" s="700"/>
      <c r="BHV35" s="700"/>
      <c r="BHW35" s="700"/>
      <c r="BHX35" s="700"/>
      <c r="BHY35" s="700"/>
      <c r="BHZ35" s="700"/>
      <c r="BIA35" s="700"/>
      <c r="BIB35" s="700"/>
      <c r="BIC35" s="700"/>
      <c r="BID35" s="700"/>
      <c r="BIE35" s="700"/>
      <c r="BIF35" s="700"/>
      <c r="BIG35" s="700"/>
      <c r="BIH35" s="700"/>
      <c r="BII35" s="700"/>
      <c r="BIJ35" s="700"/>
      <c r="BIK35" s="700"/>
      <c r="BIL35" s="700"/>
      <c r="BIM35" s="700"/>
      <c r="BIN35" s="700"/>
      <c r="BIO35" s="700"/>
      <c r="BIP35" s="700"/>
      <c r="BIQ35" s="700"/>
      <c r="BIR35" s="700"/>
      <c r="BIS35" s="700"/>
      <c r="BIT35" s="700"/>
      <c r="BIU35" s="700"/>
      <c r="BIV35" s="700"/>
      <c r="BIW35" s="700"/>
      <c r="BIX35" s="700"/>
      <c r="BIY35" s="700"/>
      <c r="BIZ35" s="700"/>
      <c r="BJA35" s="700"/>
      <c r="BJB35" s="700"/>
      <c r="BJC35" s="700"/>
      <c r="BJD35" s="700"/>
      <c r="BJE35" s="700"/>
      <c r="BJF35" s="700"/>
      <c r="BJG35" s="700"/>
      <c r="BJH35" s="700"/>
      <c r="BJI35" s="700"/>
      <c r="BJJ35" s="700"/>
      <c r="BJK35" s="700"/>
      <c r="BJL35" s="700"/>
      <c r="BJM35" s="700"/>
      <c r="BJN35" s="700"/>
      <c r="BJO35" s="700"/>
      <c r="BJP35" s="700"/>
      <c r="BJQ35" s="700"/>
      <c r="BJR35" s="700"/>
      <c r="BJS35" s="700"/>
      <c r="BJT35" s="700"/>
      <c r="BJU35" s="700"/>
      <c r="BJV35" s="700"/>
      <c r="BJW35" s="700"/>
      <c r="BJX35" s="700"/>
      <c r="BJY35" s="700"/>
      <c r="BJZ35" s="700"/>
      <c r="BKA35" s="700"/>
      <c r="BKB35" s="700"/>
      <c r="BKC35" s="700"/>
      <c r="BKD35" s="700"/>
      <c r="BKE35" s="700"/>
      <c r="BKF35" s="700"/>
      <c r="BKG35" s="700"/>
      <c r="BKH35" s="700"/>
      <c r="BKI35" s="700"/>
      <c r="BKJ35" s="700"/>
      <c r="BKK35" s="700"/>
      <c r="BKL35" s="700"/>
      <c r="BKM35" s="700"/>
      <c r="BKN35" s="700"/>
      <c r="BKO35" s="700"/>
      <c r="BKP35" s="700"/>
      <c r="BKQ35" s="700"/>
      <c r="BKR35" s="700"/>
      <c r="BKS35" s="700"/>
      <c r="BKT35" s="700"/>
      <c r="BKU35" s="700"/>
      <c r="BKV35" s="700"/>
      <c r="BKW35" s="700"/>
      <c r="BKX35" s="700"/>
      <c r="BKY35" s="700"/>
      <c r="BKZ35" s="700"/>
      <c r="BLA35" s="700"/>
      <c r="BLB35" s="700"/>
      <c r="BLC35" s="700"/>
      <c r="BLD35" s="700"/>
      <c r="BLE35" s="700"/>
      <c r="BLF35" s="700"/>
      <c r="BLG35" s="700"/>
      <c r="BLH35" s="700"/>
      <c r="BLI35" s="700"/>
      <c r="BLJ35" s="700"/>
      <c r="BLK35" s="700"/>
      <c r="BLL35" s="700"/>
      <c r="BLM35" s="700"/>
      <c r="BLN35" s="700"/>
      <c r="BLO35" s="700"/>
      <c r="BLP35" s="700"/>
      <c r="BLQ35" s="700"/>
      <c r="BLR35" s="700"/>
      <c r="BLS35" s="700"/>
      <c r="BLT35" s="700"/>
      <c r="BLU35" s="700"/>
      <c r="BLV35" s="700"/>
      <c r="BLW35" s="700"/>
      <c r="BLX35" s="700"/>
      <c r="BLY35" s="700"/>
      <c r="BLZ35" s="700"/>
      <c r="BMA35" s="700"/>
      <c r="BMB35" s="700"/>
      <c r="BMC35" s="700"/>
      <c r="BMD35" s="700"/>
      <c r="BME35" s="700"/>
      <c r="BMF35" s="700"/>
      <c r="BMG35" s="700"/>
      <c r="BMH35" s="700"/>
      <c r="BMI35" s="700"/>
      <c r="BMJ35" s="700"/>
      <c r="BMK35" s="700"/>
      <c r="BML35" s="700"/>
      <c r="BMM35" s="700"/>
      <c r="BMN35" s="700"/>
      <c r="BMO35" s="700"/>
      <c r="BMP35" s="700"/>
      <c r="BMQ35" s="700"/>
      <c r="BMR35" s="700"/>
      <c r="BMS35" s="700"/>
      <c r="BMT35" s="700"/>
      <c r="BMU35" s="700"/>
      <c r="BMV35" s="700"/>
      <c r="BMW35" s="700"/>
      <c r="BMX35" s="700"/>
      <c r="BMY35" s="700"/>
      <c r="BMZ35" s="700"/>
      <c r="BNA35" s="700"/>
      <c r="BNB35" s="700"/>
      <c r="BNC35" s="700"/>
      <c r="BND35" s="700"/>
      <c r="BNE35" s="700"/>
      <c r="BNF35" s="700"/>
      <c r="BNG35" s="700"/>
      <c r="BNH35" s="700"/>
      <c r="BNI35" s="700"/>
      <c r="BNJ35" s="700"/>
      <c r="BNK35" s="700"/>
      <c r="BNL35" s="700"/>
      <c r="BNM35" s="700"/>
      <c r="BNN35" s="700"/>
      <c r="BNO35" s="700"/>
      <c r="BNP35" s="700"/>
      <c r="BNQ35" s="700"/>
      <c r="BNR35" s="700"/>
      <c r="BNS35" s="700"/>
      <c r="BNT35" s="700"/>
      <c r="BNU35" s="700"/>
      <c r="BNV35" s="700"/>
      <c r="BNW35" s="700"/>
      <c r="BNX35" s="700"/>
      <c r="BNY35" s="700"/>
      <c r="BNZ35" s="700"/>
      <c r="BOA35" s="700"/>
      <c r="BOB35" s="700"/>
      <c r="BOC35" s="700"/>
      <c r="BOD35" s="700"/>
      <c r="BOE35" s="700"/>
      <c r="BOF35" s="700"/>
      <c r="BOG35" s="700"/>
      <c r="BOH35" s="700"/>
      <c r="BOI35" s="700"/>
      <c r="BOJ35" s="700"/>
      <c r="BOK35" s="700"/>
      <c r="BOL35" s="700"/>
      <c r="BOM35" s="700"/>
      <c r="BON35" s="700"/>
      <c r="BOO35" s="700"/>
      <c r="BOP35" s="700"/>
      <c r="BOQ35" s="700"/>
      <c r="BOR35" s="700"/>
      <c r="BOS35" s="700"/>
      <c r="BOT35" s="700"/>
      <c r="BOU35" s="700"/>
      <c r="BOV35" s="700"/>
      <c r="BOW35" s="700"/>
      <c r="BOX35" s="700"/>
      <c r="BOY35" s="700"/>
      <c r="BOZ35" s="700"/>
      <c r="BPA35" s="700"/>
      <c r="BPB35" s="700"/>
      <c r="BPC35" s="700"/>
      <c r="BPD35" s="700"/>
      <c r="BPE35" s="700"/>
      <c r="BPF35" s="700"/>
      <c r="BPG35" s="700"/>
      <c r="BPH35" s="700"/>
      <c r="BPI35" s="700"/>
      <c r="BPJ35" s="700"/>
      <c r="BPK35" s="700"/>
      <c r="BPL35" s="700"/>
      <c r="BPM35" s="700"/>
      <c r="BPN35" s="700"/>
      <c r="BPO35" s="700"/>
      <c r="BPP35" s="700"/>
      <c r="BPQ35" s="700"/>
      <c r="BPR35" s="700"/>
      <c r="BPS35" s="700"/>
      <c r="BPT35" s="700"/>
      <c r="BPU35" s="700"/>
      <c r="BPV35" s="700"/>
      <c r="BPW35" s="700"/>
      <c r="BPX35" s="700"/>
      <c r="BPY35" s="700"/>
      <c r="BPZ35" s="700"/>
      <c r="BQA35" s="700"/>
      <c r="BQB35" s="700"/>
      <c r="BQC35" s="700"/>
      <c r="BQD35" s="700"/>
      <c r="BQE35" s="700"/>
      <c r="BQF35" s="700"/>
      <c r="BQG35" s="700"/>
      <c r="BQH35" s="700"/>
      <c r="BQI35" s="700"/>
      <c r="BQJ35" s="700"/>
      <c r="BQK35" s="700"/>
      <c r="BQL35" s="700"/>
      <c r="BQM35" s="700"/>
      <c r="BQN35" s="700"/>
      <c r="BQO35" s="700"/>
      <c r="BQP35" s="700"/>
      <c r="BQQ35" s="700"/>
      <c r="BQR35" s="700"/>
      <c r="BQS35" s="700"/>
      <c r="BQT35" s="700"/>
      <c r="BQU35" s="700"/>
      <c r="BQV35" s="700"/>
      <c r="BQW35" s="700"/>
      <c r="BQX35" s="700"/>
      <c r="BQY35" s="700"/>
      <c r="BQZ35" s="700"/>
      <c r="BRA35" s="700"/>
      <c r="BRB35" s="700"/>
      <c r="BRC35" s="700"/>
      <c r="BRD35" s="700"/>
      <c r="BRE35" s="700"/>
      <c r="BRF35" s="700"/>
      <c r="BRG35" s="700"/>
      <c r="BRH35" s="700"/>
      <c r="BRI35" s="700"/>
      <c r="BRJ35" s="700"/>
      <c r="BRK35" s="700"/>
      <c r="BRL35" s="700"/>
      <c r="BRM35" s="700"/>
      <c r="BRN35" s="700"/>
      <c r="BRO35" s="700"/>
      <c r="BRP35" s="700"/>
      <c r="BRQ35" s="700"/>
      <c r="BRR35" s="700"/>
      <c r="BRS35" s="700"/>
      <c r="BRT35" s="700"/>
      <c r="BRU35" s="700"/>
      <c r="BRV35" s="700"/>
      <c r="BRW35" s="700"/>
      <c r="BRX35" s="700"/>
      <c r="BRY35" s="700"/>
      <c r="BRZ35" s="700"/>
      <c r="BSA35" s="700"/>
      <c r="BSB35" s="700"/>
      <c r="BSC35" s="700"/>
      <c r="BSD35" s="700"/>
      <c r="BSE35" s="700"/>
      <c r="BSF35" s="700"/>
      <c r="BSG35" s="700"/>
      <c r="BSH35" s="700"/>
      <c r="BSI35" s="700"/>
      <c r="BSJ35" s="700"/>
      <c r="BSK35" s="700"/>
      <c r="BSL35" s="700"/>
      <c r="BSM35" s="700"/>
      <c r="BSN35" s="700"/>
      <c r="BSO35" s="700"/>
      <c r="BSP35" s="700"/>
      <c r="BSQ35" s="700"/>
      <c r="BSR35" s="700"/>
      <c r="BSS35" s="700"/>
      <c r="BST35" s="700"/>
      <c r="BSU35" s="700"/>
      <c r="BSV35" s="700"/>
      <c r="BSW35" s="700"/>
      <c r="BSX35" s="700"/>
      <c r="BSY35" s="700"/>
      <c r="BSZ35" s="700"/>
      <c r="BTA35" s="700"/>
      <c r="BTB35" s="700"/>
      <c r="BTC35" s="700"/>
      <c r="BTD35" s="700"/>
      <c r="BTE35" s="700"/>
      <c r="BTF35" s="700"/>
      <c r="BTG35" s="700"/>
      <c r="BTH35" s="700"/>
      <c r="BTI35" s="700"/>
      <c r="BTJ35" s="700"/>
      <c r="BTK35" s="700"/>
      <c r="BTL35" s="700"/>
      <c r="BTM35" s="700"/>
      <c r="BTN35" s="700"/>
      <c r="BTO35" s="700"/>
      <c r="BTP35" s="700"/>
      <c r="BTQ35" s="700"/>
      <c r="BTR35" s="700"/>
      <c r="BTS35" s="700"/>
      <c r="BTT35" s="700"/>
      <c r="BTU35" s="700"/>
      <c r="BTV35" s="700"/>
      <c r="BTW35" s="700"/>
      <c r="BTX35" s="700"/>
      <c r="BTY35" s="700"/>
      <c r="BTZ35" s="700"/>
      <c r="BUA35" s="700"/>
      <c r="BUB35" s="700"/>
      <c r="BUC35" s="700"/>
      <c r="BUD35" s="700"/>
      <c r="BUE35" s="700"/>
      <c r="BUF35" s="700"/>
      <c r="BUG35" s="700"/>
      <c r="BUH35" s="700"/>
      <c r="BUI35" s="700"/>
      <c r="BUJ35" s="700"/>
      <c r="BUK35" s="700"/>
      <c r="BUL35" s="700"/>
      <c r="BUM35" s="700"/>
      <c r="BUN35" s="700"/>
      <c r="BUO35" s="700"/>
      <c r="BUP35" s="700"/>
      <c r="BUQ35" s="700"/>
      <c r="BUR35" s="700"/>
      <c r="BUS35" s="700"/>
      <c r="BUT35" s="700"/>
      <c r="BUU35" s="700"/>
      <c r="BUV35" s="700"/>
      <c r="BUW35" s="700"/>
      <c r="BUX35" s="700"/>
      <c r="BUY35" s="700"/>
      <c r="BUZ35" s="700"/>
      <c r="BVA35" s="700"/>
      <c r="BVB35" s="700"/>
      <c r="BVC35" s="700"/>
      <c r="BVD35" s="700"/>
      <c r="BVE35" s="700"/>
      <c r="BVF35" s="700"/>
      <c r="BVG35" s="700"/>
      <c r="BVH35" s="700"/>
      <c r="BVI35" s="700"/>
      <c r="BVJ35" s="700"/>
      <c r="BVK35" s="700"/>
      <c r="BVL35" s="700"/>
      <c r="BVM35" s="700"/>
      <c r="BVN35" s="700"/>
      <c r="BVO35" s="700"/>
      <c r="BVP35" s="700"/>
      <c r="BVQ35" s="700"/>
      <c r="BVR35" s="700"/>
      <c r="BVS35" s="700"/>
      <c r="BVT35" s="700"/>
      <c r="BVU35" s="700"/>
      <c r="BVV35" s="700"/>
      <c r="BVW35" s="700"/>
      <c r="BVX35" s="700"/>
      <c r="BVY35" s="700"/>
      <c r="BVZ35" s="700"/>
      <c r="BWA35" s="700"/>
      <c r="BWB35" s="700"/>
      <c r="BWC35" s="700"/>
      <c r="BWD35" s="700"/>
      <c r="BWE35" s="700"/>
      <c r="BWF35" s="700"/>
      <c r="BWG35" s="700"/>
      <c r="BWH35" s="700"/>
      <c r="BWI35" s="700"/>
      <c r="BWJ35" s="700"/>
      <c r="BWK35" s="700"/>
      <c r="BWL35" s="700"/>
      <c r="BWM35" s="700"/>
      <c r="BWN35" s="700"/>
      <c r="BWO35" s="700"/>
      <c r="BWP35" s="700"/>
      <c r="BWQ35" s="700"/>
      <c r="BWR35" s="700"/>
      <c r="BWS35" s="700"/>
      <c r="BWT35" s="700"/>
      <c r="BWU35" s="700"/>
      <c r="BWV35" s="700"/>
      <c r="BWW35" s="700"/>
      <c r="BWX35" s="700"/>
      <c r="BWY35" s="700"/>
      <c r="BWZ35" s="700"/>
      <c r="BXA35" s="700"/>
      <c r="BXB35" s="700"/>
      <c r="BXC35" s="700"/>
      <c r="BXD35" s="700"/>
      <c r="BXE35" s="700"/>
      <c r="BXF35" s="700"/>
      <c r="BXG35" s="700"/>
      <c r="BXH35" s="700"/>
      <c r="BXI35" s="700"/>
      <c r="BXJ35" s="700"/>
      <c r="BXK35" s="700"/>
      <c r="BXL35" s="700"/>
      <c r="BXM35" s="700"/>
      <c r="BXN35" s="700"/>
      <c r="BXO35" s="700"/>
      <c r="BXP35" s="700"/>
      <c r="BXQ35" s="700"/>
      <c r="BXR35" s="700"/>
      <c r="BXS35" s="700"/>
      <c r="BXT35" s="700"/>
      <c r="BXU35" s="700"/>
      <c r="BXV35" s="700"/>
      <c r="BXW35" s="700"/>
      <c r="BXX35" s="700"/>
      <c r="BXY35" s="700"/>
      <c r="BXZ35" s="700"/>
    </row>
    <row r="36" spans="1:2002" ht="15">
      <c r="A36" s="717"/>
      <c r="B36" s="706"/>
      <c r="C36" s="739" t="s">
        <v>57</v>
      </c>
      <c r="D36" s="740">
        <v>8019000</v>
      </c>
      <c r="E36" s="740">
        <v>6657000</v>
      </c>
      <c r="F36" s="740">
        <v>6468000</v>
      </c>
      <c r="G36" s="740">
        <v>6351000</v>
      </c>
      <c r="H36" s="740">
        <v>6757000</v>
      </c>
      <c r="I36" s="740"/>
      <c r="J36" s="740"/>
      <c r="K36" s="740"/>
      <c r="L36" s="740"/>
      <c r="M36" s="740"/>
      <c r="N36" s="741"/>
      <c r="O36" s="741"/>
      <c r="P36" s="741"/>
      <c r="Q36" s="741"/>
      <c r="R36" s="741"/>
      <c r="S36" s="744" t="s">
        <v>58</v>
      </c>
      <c r="T36" s="745" t="s">
        <v>58</v>
      </c>
      <c r="U36" s="745" t="s">
        <v>58</v>
      </c>
      <c r="V36" s="745" t="s">
        <v>58</v>
      </c>
      <c r="W36" s="745" t="s">
        <v>58</v>
      </c>
      <c r="X36" s="745" t="s">
        <v>59</v>
      </c>
      <c r="Y36" s="745" t="s">
        <v>59</v>
      </c>
      <c r="Z36" s="745" t="s">
        <v>59</v>
      </c>
      <c r="AA36" s="745" t="s">
        <v>59</v>
      </c>
      <c r="AB36" s="745" t="s">
        <v>59</v>
      </c>
      <c r="AC36" s="745" t="s">
        <v>59</v>
      </c>
      <c r="AD36" s="745" t="s">
        <v>59</v>
      </c>
      <c r="AE36" s="745" t="s">
        <v>59</v>
      </c>
      <c r="AF36" s="745" t="s">
        <v>59</v>
      </c>
      <c r="AG36" s="745" t="s">
        <v>59</v>
      </c>
      <c r="AH36" s="745" t="s">
        <v>59</v>
      </c>
      <c r="AI36" s="745" t="s">
        <v>59</v>
      </c>
      <c r="AJ36" s="745" t="s">
        <v>59</v>
      </c>
      <c r="AK36" s="745" t="s">
        <v>59</v>
      </c>
      <c r="AL36" s="745" t="s">
        <v>59</v>
      </c>
      <c r="AM36" s="745" t="s">
        <v>59</v>
      </c>
      <c r="AN36" s="745" t="s">
        <v>59</v>
      </c>
      <c r="AO36" s="745" t="s">
        <v>59</v>
      </c>
      <c r="AP36" s="745" t="s">
        <v>59</v>
      </c>
      <c r="AQ36" s="745" t="s">
        <v>59</v>
      </c>
      <c r="AR36" s="745" t="s">
        <v>59</v>
      </c>
      <c r="AS36" s="700"/>
      <c r="AT36" s="700"/>
      <c r="AU36" s="700"/>
      <c r="AV36" s="700"/>
      <c r="AW36" s="700"/>
      <c r="AX36" s="700"/>
      <c r="AY36" s="700"/>
      <c r="AZ36" s="700"/>
      <c r="BA36" s="700"/>
      <c r="BB36" s="700"/>
      <c r="BC36" s="700"/>
      <c r="BD36" s="700"/>
      <c r="BE36" s="700"/>
      <c r="BF36" s="700"/>
      <c r="BG36" s="700"/>
      <c r="BH36" s="700"/>
      <c r="BI36" s="700"/>
      <c r="BJ36" s="700"/>
      <c r="BK36" s="700"/>
      <c r="BL36" s="700"/>
      <c r="BM36" s="700"/>
      <c r="BN36" s="700"/>
      <c r="BO36" s="700"/>
      <c r="BP36" s="700"/>
      <c r="BQ36" s="700"/>
      <c r="BR36" s="700"/>
      <c r="BS36" s="700"/>
      <c r="BT36" s="700"/>
      <c r="BU36" s="700"/>
      <c r="BV36" s="700"/>
      <c r="BW36" s="700"/>
      <c r="BX36" s="700"/>
      <c r="BY36" s="700"/>
      <c r="BZ36" s="700"/>
      <c r="CA36" s="700"/>
      <c r="CB36" s="700"/>
      <c r="CC36" s="700"/>
      <c r="CD36" s="700"/>
      <c r="CE36" s="700"/>
      <c r="CF36" s="700"/>
      <c r="CG36" s="700"/>
      <c r="CH36" s="700"/>
      <c r="CI36" s="700"/>
      <c r="CJ36" s="700"/>
      <c r="CK36" s="700"/>
      <c r="CL36" s="700"/>
      <c r="CM36" s="700"/>
      <c r="CN36" s="700"/>
      <c r="CO36" s="700"/>
      <c r="CP36" s="700"/>
      <c r="CQ36" s="700"/>
      <c r="CR36" s="700"/>
      <c r="CS36" s="700"/>
      <c r="CT36" s="700"/>
      <c r="CU36" s="700"/>
      <c r="CV36" s="700"/>
      <c r="CW36" s="700"/>
      <c r="CX36" s="700"/>
      <c r="CY36" s="700"/>
      <c r="CZ36" s="700"/>
      <c r="DA36" s="700"/>
      <c r="DB36" s="700"/>
      <c r="DC36" s="700"/>
      <c r="DD36" s="700"/>
      <c r="DE36" s="700"/>
      <c r="DF36" s="700"/>
      <c r="DG36" s="700"/>
      <c r="DH36" s="700"/>
      <c r="DI36" s="700"/>
      <c r="DJ36" s="700"/>
      <c r="DK36" s="700"/>
      <c r="DL36" s="700"/>
      <c r="DM36" s="700"/>
      <c r="DN36" s="700"/>
      <c r="DO36" s="700"/>
      <c r="DP36" s="700"/>
      <c r="DQ36" s="700"/>
      <c r="DR36" s="700"/>
      <c r="DS36" s="700"/>
      <c r="DT36" s="700"/>
      <c r="DU36" s="700"/>
      <c r="DV36" s="700"/>
      <c r="DW36" s="700"/>
      <c r="DX36" s="700"/>
      <c r="DY36" s="700"/>
      <c r="DZ36" s="700"/>
      <c r="EA36" s="700"/>
      <c r="EB36" s="700"/>
      <c r="EC36" s="700"/>
      <c r="ED36" s="700"/>
      <c r="EE36" s="700"/>
      <c r="EF36" s="700"/>
      <c r="EG36" s="700"/>
      <c r="EH36" s="700"/>
      <c r="EI36" s="700"/>
      <c r="EJ36" s="700"/>
      <c r="EK36" s="700"/>
      <c r="EL36" s="700"/>
      <c r="EM36" s="700"/>
      <c r="EN36" s="700"/>
      <c r="EO36" s="700"/>
      <c r="EP36" s="700"/>
      <c r="EQ36" s="700"/>
      <c r="ER36" s="700"/>
      <c r="ES36" s="700"/>
      <c r="ET36" s="700"/>
      <c r="EU36" s="700"/>
      <c r="EV36" s="700"/>
      <c r="EW36" s="700"/>
      <c r="EX36" s="700"/>
      <c r="EY36" s="700"/>
      <c r="EZ36" s="700"/>
      <c r="FA36" s="700"/>
      <c r="FB36" s="700"/>
      <c r="FC36" s="700"/>
      <c r="FD36" s="700"/>
      <c r="FE36" s="700"/>
      <c r="FF36" s="700"/>
      <c r="FG36" s="700"/>
      <c r="FH36" s="700"/>
      <c r="FI36" s="700"/>
      <c r="FJ36" s="700"/>
      <c r="FK36" s="700"/>
      <c r="FL36" s="700"/>
      <c r="FM36" s="700"/>
      <c r="FN36" s="700"/>
      <c r="FO36" s="700"/>
      <c r="FP36" s="700"/>
      <c r="FQ36" s="700"/>
      <c r="FR36" s="700"/>
      <c r="FS36" s="700"/>
      <c r="FT36" s="700"/>
      <c r="FU36" s="700"/>
      <c r="FV36" s="700"/>
      <c r="FW36" s="700"/>
      <c r="FX36" s="700"/>
      <c r="FY36" s="700"/>
      <c r="FZ36" s="700"/>
      <c r="GA36" s="700"/>
      <c r="GB36" s="700"/>
      <c r="GC36" s="700"/>
      <c r="GD36" s="700"/>
      <c r="GE36" s="700"/>
      <c r="GF36" s="700"/>
      <c r="GG36" s="700"/>
      <c r="GH36" s="700"/>
      <c r="GI36" s="700"/>
      <c r="GJ36" s="700"/>
      <c r="GK36" s="700"/>
      <c r="GL36" s="700"/>
      <c r="GM36" s="700"/>
      <c r="GN36" s="700"/>
      <c r="GO36" s="700"/>
      <c r="GP36" s="700"/>
      <c r="GQ36" s="700"/>
      <c r="GR36" s="700"/>
      <c r="GS36" s="700"/>
      <c r="GT36" s="700"/>
      <c r="GU36" s="700"/>
      <c r="GV36" s="700"/>
      <c r="GW36" s="700"/>
      <c r="GX36" s="700"/>
      <c r="GY36" s="700"/>
      <c r="GZ36" s="700"/>
      <c r="HA36" s="700"/>
      <c r="HB36" s="700"/>
      <c r="HC36" s="700"/>
      <c r="HD36" s="700"/>
      <c r="HE36" s="700"/>
      <c r="HF36" s="700"/>
      <c r="HG36" s="700"/>
      <c r="HH36" s="700"/>
      <c r="HI36" s="700"/>
      <c r="HJ36" s="700"/>
      <c r="HK36" s="700"/>
      <c r="HL36" s="700"/>
      <c r="HM36" s="700"/>
      <c r="HN36" s="700"/>
      <c r="HO36" s="700"/>
      <c r="HP36" s="700"/>
      <c r="HQ36" s="700"/>
      <c r="HR36" s="700"/>
      <c r="HS36" s="700"/>
      <c r="HT36" s="700"/>
      <c r="HU36" s="700"/>
      <c r="HV36" s="700"/>
      <c r="HW36" s="700"/>
      <c r="HX36" s="700"/>
      <c r="HY36" s="700"/>
      <c r="HZ36" s="700"/>
      <c r="IA36" s="700"/>
      <c r="IB36" s="700"/>
      <c r="IC36" s="700"/>
      <c r="ID36" s="700"/>
      <c r="IE36" s="700"/>
      <c r="IF36" s="700"/>
      <c r="IG36" s="700"/>
      <c r="IH36" s="700"/>
      <c r="II36" s="700"/>
      <c r="IJ36" s="700"/>
      <c r="IK36" s="700"/>
      <c r="IL36" s="700"/>
      <c r="IM36" s="700"/>
      <c r="IN36" s="700"/>
      <c r="IO36" s="700"/>
      <c r="IP36" s="700"/>
      <c r="IQ36" s="700"/>
      <c r="IR36" s="700"/>
      <c r="IS36" s="700"/>
      <c r="IT36" s="700"/>
      <c r="IU36" s="700"/>
      <c r="IV36" s="700"/>
      <c r="IW36" s="700"/>
      <c r="IX36" s="700"/>
      <c r="IY36" s="700"/>
      <c r="IZ36" s="700"/>
      <c r="JA36" s="700"/>
      <c r="JB36" s="700"/>
      <c r="JC36" s="700"/>
      <c r="JD36" s="700"/>
      <c r="JE36" s="700"/>
      <c r="JF36" s="700"/>
      <c r="JG36" s="700"/>
      <c r="JH36" s="700"/>
      <c r="JI36" s="700"/>
      <c r="JJ36" s="700"/>
      <c r="JK36" s="700"/>
      <c r="JL36" s="700"/>
      <c r="JM36" s="700"/>
      <c r="JN36" s="700"/>
      <c r="JO36" s="700"/>
      <c r="JP36" s="700"/>
      <c r="JQ36" s="700"/>
      <c r="JR36" s="700"/>
      <c r="JS36" s="700"/>
      <c r="JT36" s="700"/>
      <c r="JU36" s="700"/>
      <c r="JV36" s="700"/>
      <c r="JW36" s="700"/>
      <c r="JX36" s="700"/>
      <c r="JY36" s="700"/>
      <c r="JZ36" s="700"/>
      <c r="KA36" s="700"/>
      <c r="KB36" s="700"/>
      <c r="KC36" s="700"/>
      <c r="KD36" s="700"/>
      <c r="KE36" s="700"/>
      <c r="KF36" s="700"/>
      <c r="KG36" s="700"/>
      <c r="KH36" s="700"/>
      <c r="KI36" s="700"/>
      <c r="KJ36" s="700"/>
      <c r="KK36" s="700"/>
      <c r="KL36" s="700"/>
      <c r="KM36" s="700"/>
      <c r="KN36" s="700"/>
      <c r="KO36" s="700"/>
      <c r="KP36" s="700"/>
      <c r="KQ36" s="700"/>
      <c r="KR36" s="700"/>
      <c r="KS36" s="700"/>
      <c r="KT36" s="700"/>
      <c r="KU36" s="700"/>
      <c r="KV36" s="700"/>
      <c r="KW36" s="700"/>
      <c r="KX36" s="700"/>
      <c r="KY36" s="700"/>
      <c r="KZ36" s="700"/>
      <c r="LA36" s="700"/>
      <c r="LB36" s="700"/>
      <c r="LC36" s="700"/>
      <c r="LD36" s="700"/>
      <c r="LE36" s="700"/>
      <c r="LF36" s="700"/>
      <c r="LG36" s="700"/>
      <c r="LH36" s="700"/>
      <c r="LI36" s="700"/>
      <c r="LJ36" s="700"/>
      <c r="LK36" s="700"/>
      <c r="LL36" s="700"/>
      <c r="LM36" s="700"/>
      <c r="LN36" s="700"/>
      <c r="LO36" s="700"/>
      <c r="LP36" s="700"/>
      <c r="LQ36" s="700"/>
      <c r="LR36" s="700"/>
      <c r="LS36" s="700"/>
      <c r="LT36" s="700"/>
      <c r="LU36" s="700"/>
      <c r="LV36" s="700"/>
      <c r="LW36" s="700"/>
      <c r="LX36" s="700"/>
      <c r="LY36" s="700"/>
      <c r="LZ36" s="700"/>
      <c r="MA36" s="700"/>
      <c r="MB36" s="700"/>
      <c r="MC36" s="700"/>
      <c r="MD36" s="700"/>
      <c r="ME36" s="700"/>
      <c r="MF36" s="700"/>
      <c r="MG36" s="700"/>
      <c r="MH36" s="700"/>
      <c r="MI36" s="700"/>
      <c r="MJ36" s="700"/>
      <c r="MK36" s="700"/>
      <c r="ML36" s="700"/>
      <c r="MM36" s="700"/>
      <c r="MN36" s="700"/>
      <c r="MO36" s="700"/>
      <c r="MP36" s="700"/>
      <c r="MQ36" s="700"/>
      <c r="MR36" s="700"/>
      <c r="MS36" s="700"/>
      <c r="MT36" s="700"/>
      <c r="MU36" s="700"/>
      <c r="MV36" s="700"/>
      <c r="MW36" s="700"/>
      <c r="MX36" s="700"/>
      <c r="MY36" s="700"/>
      <c r="MZ36" s="700"/>
      <c r="NA36" s="700"/>
      <c r="NB36" s="700"/>
      <c r="NC36" s="700"/>
      <c r="ND36" s="700"/>
      <c r="NE36" s="700"/>
      <c r="NF36" s="700"/>
      <c r="NG36" s="700"/>
      <c r="NH36" s="700"/>
      <c r="NI36" s="700"/>
      <c r="NJ36" s="700"/>
      <c r="NK36" s="700"/>
      <c r="NL36" s="700"/>
      <c r="NM36" s="700"/>
      <c r="NN36" s="700"/>
      <c r="NO36" s="700"/>
      <c r="NP36" s="700"/>
      <c r="NQ36" s="700"/>
      <c r="NR36" s="700"/>
      <c r="NS36" s="700"/>
      <c r="NT36" s="700"/>
      <c r="NU36" s="700"/>
      <c r="NV36" s="700"/>
      <c r="NW36" s="700"/>
      <c r="NX36" s="700"/>
      <c r="NY36" s="700"/>
      <c r="NZ36" s="700"/>
      <c r="OA36" s="700"/>
      <c r="OB36" s="700"/>
      <c r="OC36" s="700"/>
      <c r="OD36" s="700"/>
      <c r="OE36" s="700"/>
      <c r="OF36" s="700"/>
      <c r="OG36" s="700"/>
      <c r="OH36" s="700"/>
      <c r="OI36" s="700"/>
      <c r="OJ36" s="700"/>
      <c r="OK36" s="700"/>
      <c r="OL36" s="700"/>
      <c r="OM36" s="700"/>
      <c r="ON36" s="700"/>
      <c r="OO36" s="700"/>
      <c r="OP36" s="700"/>
      <c r="OQ36" s="700"/>
      <c r="OR36" s="700"/>
      <c r="OS36" s="700"/>
      <c r="OT36" s="700"/>
      <c r="OU36" s="700"/>
      <c r="OV36" s="700"/>
      <c r="OW36" s="700"/>
      <c r="OX36" s="700"/>
      <c r="OY36" s="700"/>
      <c r="OZ36" s="700"/>
      <c r="PA36" s="700"/>
      <c r="PB36" s="700"/>
      <c r="PC36" s="700"/>
      <c r="PD36" s="700"/>
      <c r="PE36" s="700"/>
      <c r="PF36" s="700"/>
      <c r="PG36" s="700"/>
      <c r="PH36" s="700"/>
      <c r="PI36" s="700"/>
      <c r="PJ36" s="700"/>
      <c r="PK36" s="700"/>
      <c r="PL36" s="700"/>
      <c r="PM36" s="700"/>
      <c r="PN36" s="700"/>
      <c r="PO36" s="700"/>
      <c r="PP36" s="700"/>
      <c r="PQ36" s="700"/>
      <c r="PR36" s="700"/>
      <c r="PS36" s="700"/>
      <c r="PT36" s="700"/>
      <c r="PU36" s="700"/>
      <c r="PV36" s="700"/>
      <c r="PW36" s="700"/>
      <c r="PX36" s="700"/>
      <c r="PY36" s="700"/>
      <c r="PZ36" s="700"/>
      <c r="QA36" s="700"/>
      <c r="QB36" s="700"/>
      <c r="QC36" s="700"/>
      <c r="QD36" s="700"/>
      <c r="QE36" s="700"/>
      <c r="QF36" s="700"/>
      <c r="QG36" s="700"/>
      <c r="QH36" s="700"/>
      <c r="QI36" s="700"/>
      <c r="QJ36" s="700"/>
      <c r="QK36" s="700"/>
      <c r="QL36" s="700"/>
      <c r="QM36" s="700"/>
      <c r="QN36" s="700"/>
      <c r="QO36" s="700"/>
      <c r="QP36" s="700"/>
      <c r="QQ36" s="700"/>
      <c r="QR36" s="700"/>
      <c r="QS36" s="700"/>
      <c r="QT36" s="700"/>
      <c r="QU36" s="700"/>
      <c r="QV36" s="700"/>
      <c r="QW36" s="700"/>
      <c r="QX36" s="700"/>
      <c r="QY36" s="700"/>
      <c r="QZ36" s="700"/>
      <c r="RA36" s="700"/>
      <c r="RB36" s="700"/>
      <c r="RC36" s="700"/>
      <c r="RD36" s="700"/>
      <c r="RE36" s="700"/>
      <c r="RF36" s="700"/>
      <c r="RG36" s="700"/>
      <c r="RH36" s="700"/>
      <c r="RI36" s="700"/>
      <c r="RJ36" s="700"/>
      <c r="RK36" s="700"/>
      <c r="RL36" s="700"/>
      <c r="RM36" s="700"/>
      <c r="RN36" s="700"/>
      <c r="RO36" s="700"/>
      <c r="RP36" s="700"/>
      <c r="RQ36" s="700"/>
      <c r="RR36" s="700"/>
      <c r="RS36" s="700"/>
      <c r="RT36" s="700"/>
      <c r="RU36" s="700"/>
      <c r="RV36" s="700"/>
      <c r="RW36" s="700"/>
      <c r="RX36" s="700"/>
      <c r="RY36" s="700"/>
      <c r="RZ36" s="700"/>
      <c r="SA36" s="700"/>
      <c r="SB36" s="700"/>
      <c r="SC36" s="700"/>
      <c r="SD36" s="700"/>
      <c r="SE36" s="700"/>
      <c r="SF36" s="700"/>
      <c r="SG36" s="700"/>
      <c r="SH36" s="700"/>
      <c r="SI36" s="700"/>
      <c r="SJ36" s="700"/>
      <c r="SK36" s="700"/>
      <c r="SL36" s="700"/>
      <c r="SM36" s="700"/>
      <c r="SN36" s="700"/>
      <c r="SO36" s="700"/>
      <c r="SP36" s="700"/>
      <c r="SQ36" s="700"/>
      <c r="SR36" s="700"/>
      <c r="SS36" s="700"/>
      <c r="ST36" s="700"/>
      <c r="SU36" s="700"/>
      <c r="SV36" s="700"/>
      <c r="SW36" s="700"/>
      <c r="SX36" s="700"/>
      <c r="SY36" s="700"/>
      <c r="SZ36" s="700"/>
      <c r="TA36" s="700"/>
      <c r="TB36" s="700"/>
      <c r="TC36" s="700"/>
      <c r="TD36" s="700"/>
      <c r="TE36" s="700"/>
      <c r="TF36" s="700"/>
      <c r="TG36" s="700"/>
      <c r="TH36" s="700"/>
      <c r="TI36" s="700"/>
      <c r="TJ36" s="700"/>
      <c r="TK36" s="700"/>
      <c r="TL36" s="700"/>
      <c r="TM36" s="700"/>
      <c r="TN36" s="700"/>
      <c r="TO36" s="700"/>
      <c r="TP36" s="700"/>
      <c r="TQ36" s="700"/>
      <c r="TR36" s="700"/>
      <c r="TS36" s="700"/>
      <c r="TT36" s="700"/>
      <c r="TU36" s="700"/>
      <c r="TV36" s="700"/>
      <c r="TW36" s="700"/>
      <c r="TX36" s="700"/>
      <c r="TY36" s="700"/>
      <c r="TZ36" s="700"/>
      <c r="UA36" s="700"/>
      <c r="UB36" s="700"/>
      <c r="UC36" s="700"/>
      <c r="UD36" s="700"/>
      <c r="UE36" s="700"/>
      <c r="UF36" s="700"/>
      <c r="UG36" s="700"/>
      <c r="UH36" s="700"/>
      <c r="UI36" s="700"/>
      <c r="UJ36" s="700"/>
      <c r="UK36" s="700"/>
      <c r="UL36" s="700"/>
      <c r="UM36" s="700"/>
      <c r="UN36" s="700"/>
      <c r="UO36" s="700"/>
      <c r="UP36" s="700"/>
      <c r="UQ36" s="700"/>
      <c r="UR36" s="700"/>
      <c r="US36" s="700"/>
      <c r="UT36" s="700"/>
      <c r="UU36" s="700"/>
      <c r="UV36" s="700"/>
      <c r="UW36" s="700"/>
      <c r="UX36" s="700"/>
      <c r="UY36" s="700"/>
      <c r="UZ36" s="700"/>
      <c r="VA36" s="700"/>
      <c r="VB36" s="700"/>
      <c r="VC36" s="700"/>
      <c r="VD36" s="700"/>
      <c r="VE36" s="700"/>
      <c r="VF36" s="700"/>
      <c r="VG36" s="700"/>
      <c r="VH36" s="700"/>
      <c r="VI36" s="700"/>
      <c r="VJ36" s="700"/>
      <c r="VK36" s="700"/>
      <c r="VL36" s="700"/>
      <c r="VM36" s="700"/>
      <c r="VN36" s="700"/>
      <c r="VO36" s="700"/>
      <c r="VP36" s="700"/>
      <c r="VQ36" s="700"/>
      <c r="VR36" s="700"/>
      <c r="VS36" s="700"/>
      <c r="VT36" s="700"/>
      <c r="VU36" s="700"/>
      <c r="VV36" s="700"/>
      <c r="VW36" s="700"/>
      <c r="VX36" s="700"/>
      <c r="VY36" s="700"/>
      <c r="VZ36" s="700"/>
      <c r="WA36" s="700"/>
      <c r="WB36" s="700"/>
      <c r="WC36" s="700"/>
      <c r="WD36" s="700"/>
      <c r="WE36" s="700"/>
      <c r="WF36" s="700"/>
      <c r="WG36" s="700"/>
      <c r="WH36" s="700"/>
      <c r="WI36" s="700"/>
      <c r="WJ36" s="700"/>
      <c r="WK36" s="700"/>
      <c r="WL36" s="700"/>
      <c r="WM36" s="700"/>
      <c r="WN36" s="700"/>
      <c r="WO36" s="700"/>
      <c r="WP36" s="700"/>
      <c r="WQ36" s="700"/>
      <c r="WR36" s="700"/>
      <c r="WS36" s="700"/>
      <c r="WT36" s="700"/>
      <c r="WU36" s="700"/>
      <c r="WV36" s="700"/>
      <c r="WW36" s="700"/>
      <c r="WX36" s="700"/>
      <c r="WY36" s="700"/>
      <c r="WZ36" s="700"/>
      <c r="XA36" s="700"/>
      <c r="XB36" s="700"/>
      <c r="XC36" s="700"/>
      <c r="XD36" s="700"/>
      <c r="XE36" s="700"/>
      <c r="XF36" s="700"/>
      <c r="XG36" s="700"/>
      <c r="XH36" s="700"/>
      <c r="XI36" s="700"/>
      <c r="XJ36" s="700"/>
      <c r="XK36" s="700"/>
      <c r="XL36" s="700"/>
      <c r="XM36" s="700"/>
      <c r="XN36" s="700"/>
      <c r="XO36" s="700"/>
      <c r="XP36" s="700"/>
      <c r="XQ36" s="700"/>
      <c r="XR36" s="700"/>
      <c r="XS36" s="700"/>
      <c r="XT36" s="700"/>
      <c r="XU36" s="700"/>
      <c r="XV36" s="700"/>
      <c r="XW36" s="700"/>
      <c r="XX36" s="700"/>
      <c r="XY36" s="700"/>
      <c r="XZ36" s="700"/>
      <c r="YA36" s="700"/>
      <c r="YB36" s="700"/>
      <c r="YC36" s="700"/>
      <c r="YD36" s="700"/>
      <c r="YE36" s="700"/>
      <c r="YF36" s="700"/>
      <c r="YG36" s="700"/>
      <c r="YH36" s="700"/>
      <c r="YI36" s="700"/>
      <c r="YJ36" s="700"/>
      <c r="YK36" s="700"/>
      <c r="YL36" s="700"/>
      <c r="YM36" s="700"/>
      <c r="YN36" s="700"/>
      <c r="YO36" s="700"/>
      <c r="YP36" s="700"/>
      <c r="YQ36" s="700"/>
      <c r="YR36" s="700"/>
      <c r="YS36" s="700"/>
      <c r="YT36" s="700"/>
      <c r="YU36" s="700"/>
      <c r="YV36" s="700"/>
      <c r="YW36" s="700"/>
      <c r="YX36" s="700"/>
      <c r="YY36" s="700"/>
      <c r="YZ36" s="700"/>
      <c r="ZA36" s="700"/>
      <c r="ZB36" s="700"/>
      <c r="ZC36" s="700"/>
      <c r="ZD36" s="700"/>
      <c r="ZE36" s="700"/>
      <c r="ZF36" s="700"/>
      <c r="ZG36" s="700"/>
      <c r="ZH36" s="700"/>
      <c r="ZI36" s="700"/>
      <c r="ZJ36" s="700"/>
      <c r="ZK36" s="700"/>
      <c r="ZL36" s="700"/>
      <c r="ZM36" s="700"/>
      <c r="ZN36" s="700"/>
      <c r="ZO36" s="700"/>
      <c r="ZP36" s="700"/>
      <c r="ZQ36" s="700"/>
      <c r="ZR36" s="700"/>
      <c r="ZS36" s="700"/>
      <c r="ZT36" s="700"/>
      <c r="ZU36" s="700"/>
      <c r="ZV36" s="700"/>
      <c r="ZW36" s="700"/>
      <c r="ZX36" s="700"/>
      <c r="ZY36" s="700"/>
      <c r="ZZ36" s="700"/>
      <c r="AAA36" s="700"/>
      <c r="AAB36" s="700"/>
      <c r="AAC36" s="700"/>
      <c r="AAD36" s="700"/>
      <c r="AAE36" s="700"/>
      <c r="AAF36" s="700"/>
      <c r="AAG36" s="700"/>
      <c r="AAH36" s="700"/>
      <c r="AAI36" s="700"/>
      <c r="AAJ36" s="700"/>
      <c r="AAK36" s="700"/>
      <c r="AAL36" s="700"/>
      <c r="AAM36" s="700"/>
      <c r="AAN36" s="700"/>
      <c r="AAO36" s="700"/>
      <c r="AAP36" s="700"/>
      <c r="AAQ36" s="700"/>
      <c r="AAR36" s="700"/>
      <c r="AAS36" s="700"/>
      <c r="AAT36" s="700"/>
      <c r="AAU36" s="700"/>
      <c r="AAV36" s="700"/>
      <c r="AAW36" s="700"/>
      <c r="AAX36" s="700"/>
      <c r="AAY36" s="700"/>
      <c r="AAZ36" s="700"/>
      <c r="ABA36" s="700"/>
      <c r="ABB36" s="700"/>
      <c r="ABC36" s="700"/>
      <c r="ABD36" s="700"/>
      <c r="ABE36" s="700"/>
      <c r="ABF36" s="700"/>
      <c r="ABG36" s="700"/>
      <c r="ABH36" s="700"/>
      <c r="ABI36" s="700"/>
      <c r="ABJ36" s="700"/>
      <c r="ABK36" s="700"/>
      <c r="ABL36" s="700"/>
      <c r="ABM36" s="700"/>
      <c r="ABN36" s="700"/>
      <c r="ABO36" s="700"/>
      <c r="ABP36" s="700"/>
      <c r="ABQ36" s="700"/>
      <c r="ABR36" s="700"/>
      <c r="ABS36" s="700"/>
      <c r="ABT36" s="700"/>
      <c r="ABU36" s="700"/>
      <c r="ABV36" s="700"/>
      <c r="ABW36" s="700"/>
      <c r="ABX36" s="700"/>
      <c r="ABY36" s="700"/>
      <c r="ABZ36" s="700"/>
      <c r="ACA36" s="700"/>
      <c r="ACB36" s="700"/>
      <c r="ACC36" s="700"/>
      <c r="ACD36" s="700"/>
      <c r="ACE36" s="700"/>
      <c r="ACF36" s="700"/>
      <c r="ACG36" s="700"/>
      <c r="ACH36" s="700"/>
      <c r="ACI36" s="700"/>
      <c r="ACJ36" s="700"/>
      <c r="ACK36" s="700"/>
      <c r="ACL36" s="700"/>
      <c r="ACM36" s="700"/>
      <c r="ACN36" s="700"/>
      <c r="ACO36" s="700"/>
      <c r="ACP36" s="700"/>
      <c r="ACQ36" s="700"/>
      <c r="ACR36" s="700"/>
      <c r="ACS36" s="700"/>
      <c r="ACT36" s="700"/>
      <c r="ACU36" s="700"/>
      <c r="ACV36" s="700"/>
      <c r="ACW36" s="700"/>
      <c r="ACX36" s="700"/>
      <c r="ACY36" s="700"/>
      <c r="ACZ36" s="700"/>
      <c r="ADA36" s="700"/>
      <c r="ADB36" s="700"/>
      <c r="ADC36" s="700"/>
      <c r="ADD36" s="700"/>
      <c r="ADE36" s="700"/>
      <c r="ADF36" s="700"/>
      <c r="ADG36" s="700"/>
      <c r="ADH36" s="700"/>
      <c r="ADI36" s="700"/>
      <c r="ADJ36" s="700"/>
      <c r="ADK36" s="700"/>
      <c r="ADL36" s="700"/>
      <c r="ADM36" s="700"/>
      <c r="ADN36" s="700"/>
      <c r="ADO36" s="700"/>
      <c r="ADP36" s="700"/>
      <c r="ADQ36" s="700"/>
      <c r="ADR36" s="700"/>
      <c r="ADS36" s="700"/>
      <c r="ADT36" s="700"/>
      <c r="ADU36" s="700"/>
      <c r="ADV36" s="700"/>
      <c r="ADW36" s="700"/>
      <c r="ADX36" s="700"/>
      <c r="ADY36" s="700"/>
      <c r="ADZ36" s="700"/>
      <c r="AEA36" s="700"/>
      <c r="AEB36" s="700"/>
      <c r="AEC36" s="700"/>
      <c r="AED36" s="700"/>
      <c r="AEE36" s="700"/>
      <c r="AEF36" s="700"/>
      <c r="AEG36" s="700"/>
      <c r="AEH36" s="700"/>
      <c r="AEI36" s="700"/>
      <c r="AEJ36" s="700"/>
      <c r="AEK36" s="700"/>
      <c r="AEL36" s="700"/>
      <c r="AEM36" s="700"/>
      <c r="AEN36" s="700"/>
      <c r="AEO36" s="700"/>
      <c r="AEP36" s="700"/>
      <c r="AEQ36" s="700"/>
      <c r="AER36" s="700"/>
      <c r="AES36" s="700"/>
      <c r="AET36" s="700"/>
      <c r="AEU36" s="700"/>
      <c r="AEV36" s="700"/>
      <c r="AEW36" s="700"/>
      <c r="AEX36" s="700"/>
      <c r="AEY36" s="700"/>
      <c r="AEZ36" s="700"/>
      <c r="AFA36" s="700"/>
      <c r="AFB36" s="700"/>
      <c r="AFC36" s="700"/>
      <c r="AFD36" s="700"/>
      <c r="AFE36" s="700"/>
      <c r="AFF36" s="700"/>
      <c r="AFG36" s="700"/>
      <c r="AFH36" s="700"/>
      <c r="AFI36" s="700"/>
      <c r="AFJ36" s="700"/>
      <c r="AFK36" s="700"/>
      <c r="AFL36" s="700"/>
      <c r="AFM36" s="700"/>
      <c r="AFN36" s="700"/>
      <c r="AFO36" s="700"/>
      <c r="AFP36" s="700"/>
      <c r="AFQ36" s="700"/>
      <c r="AFR36" s="700"/>
      <c r="AFS36" s="700"/>
      <c r="AFT36" s="700"/>
      <c r="AFU36" s="700"/>
      <c r="AFV36" s="700"/>
      <c r="AFW36" s="700"/>
      <c r="AFX36" s="700"/>
      <c r="AFY36" s="700"/>
      <c r="AFZ36" s="700"/>
      <c r="AGA36" s="700"/>
      <c r="AGB36" s="700"/>
      <c r="AGC36" s="700"/>
      <c r="AGD36" s="700"/>
      <c r="AGE36" s="700"/>
      <c r="AGF36" s="700"/>
      <c r="AGG36" s="700"/>
      <c r="AGH36" s="700"/>
      <c r="AGI36" s="700"/>
      <c r="AGJ36" s="700"/>
      <c r="AGK36" s="700"/>
      <c r="AGL36" s="700"/>
      <c r="AGM36" s="700"/>
      <c r="AGN36" s="700"/>
      <c r="AGO36" s="700"/>
      <c r="AGP36" s="700"/>
      <c r="AGQ36" s="700"/>
      <c r="AGR36" s="700"/>
      <c r="AGS36" s="700"/>
      <c r="AGT36" s="700"/>
      <c r="AGU36" s="700"/>
      <c r="AGV36" s="700"/>
      <c r="AGW36" s="700"/>
      <c r="AGX36" s="700"/>
      <c r="AGY36" s="700"/>
      <c r="AGZ36" s="700"/>
      <c r="AHA36" s="700"/>
      <c r="AHB36" s="700"/>
      <c r="AHC36" s="700"/>
      <c r="AHD36" s="700"/>
      <c r="AHE36" s="700"/>
      <c r="AHF36" s="700"/>
      <c r="AHG36" s="700"/>
      <c r="AHH36" s="700"/>
      <c r="AHI36" s="700"/>
      <c r="AHJ36" s="700"/>
      <c r="AHK36" s="700"/>
      <c r="AHL36" s="700"/>
      <c r="AHM36" s="700"/>
      <c r="AHN36" s="700"/>
      <c r="AHO36" s="700"/>
      <c r="AHP36" s="700"/>
      <c r="AHQ36" s="700"/>
      <c r="AHR36" s="700"/>
      <c r="AHS36" s="700"/>
      <c r="AHT36" s="700"/>
      <c r="AHU36" s="700"/>
      <c r="AHV36" s="700"/>
      <c r="AHW36" s="700"/>
      <c r="AHX36" s="700"/>
      <c r="AHY36" s="700"/>
      <c r="AHZ36" s="700"/>
      <c r="AIA36" s="700"/>
      <c r="AIB36" s="700"/>
      <c r="AIC36" s="700"/>
      <c r="AID36" s="700"/>
      <c r="AIE36" s="700"/>
      <c r="AIF36" s="700"/>
      <c r="AIG36" s="700"/>
      <c r="AIH36" s="700"/>
      <c r="AII36" s="700"/>
      <c r="AIJ36" s="700"/>
      <c r="AIK36" s="700"/>
      <c r="AIL36" s="700"/>
      <c r="AIM36" s="700"/>
      <c r="AIN36" s="700"/>
      <c r="AIO36" s="700"/>
      <c r="AIP36" s="700"/>
      <c r="AIQ36" s="700"/>
      <c r="AIR36" s="700"/>
      <c r="AIS36" s="700"/>
      <c r="AIT36" s="700"/>
      <c r="AIU36" s="700"/>
      <c r="AIV36" s="700"/>
      <c r="AIW36" s="700"/>
      <c r="AIX36" s="700"/>
      <c r="AIY36" s="700"/>
      <c r="AIZ36" s="700"/>
      <c r="AJA36" s="700"/>
      <c r="AJB36" s="700"/>
      <c r="AJC36" s="700"/>
      <c r="AJD36" s="700"/>
      <c r="AJE36" s="700"/>
      <c r="AJF36" s="700"/>
      <c r="AJG36" s="700"/>
      <c r="AJH36" s="700"/>
      <c r="AJI36" s="700"/>
      <c r="AJJ36" s="700"/>
      <c r="AJK36" s="700"/>
      <c r="AJL36" s="700"/>
      <c r="AJM36" s="700"/>
      <c r="AJN36" s="700"/>
      <c r="AJO36" s="700"/>
      <c r="AJP36" s="700"/>
      <c r="AJQ36" s="700"/>
      <c r="AJR36" s="700"/>
      <c r="AJS36" s="700"/>
      <c r="AJT36" s="700"/>
      <c r="AJU36" s="700"/>
      <c r="AJV36" s="700"/>
      <c r="AJW36" s="700"/>
      <c r="AJX36" s="700"/>
      <c r="AJY36" s="700"/>
      <c r="AJZ36" s="700"/>
      <c r="AKA36" s="700"/>
      <c r="AKB36" s="700"/>
      <c r="AKC36" s="700"/>
      <c r="AKD36" s="700"/>
      <c r="AKE36" s="700"/>
      <c r="AKF36" s="700"/>
      <c r="AKG36" s="700"/>
      <c r="AKH36" s="700"/>
      <c r="AKI36" s="700"/>
      <c r="AKJ36" s="700"/>
      <c r="AKK36" s="700"/>
      <c r="AKL36" s="700"/>
      <c r="AKM36" s="700"/>
      <c r="AKN36" s="700"/>
      <c r="AKO36" s="700"/>
      <c r="AKP36" s="700"/>
      <c r="AKQ36" s="700"/>
      <c r="AKR36" s="700"/>
      <c r="AKS36" s="700"/>
      <c r="AKT36" s="700"/>
      <c r="AKU36" s="700"/>
      <c r="AKV36" s="700"/>
      <c r="AKW36" s="700"/>
      <c r="AKX36" s="700"/>
      <c r="AKY36" s="700"/>
      <c r="AKZ36" s="700"/>
      <c r="ALA36" s="700"/>
      <c r="ALB36" s="700"/>
      <c r="ALC36" s="700"/>
      <c r="ALD36" s="700"/>
      <c r="ALE36" s="700"/>
      <c r="ALF36" s="700"/>
      <c r="ALG36" s="700"/>
      <c r="ALH36" s="700"/>
      <c r="ALI36" s="700"/>
      <c r="ALJ36" s="700"/>
      <c r="ALK36" s="700"/>
      <c r="ALL36" s="700"/>
      <c r="ALM36" s="700"/>
      <c r="ALN36" s="700"/>
      <c r="ALO36" s="700"/>
      <c r="ALP36" s="700"/>
      <c r="ALQ36" s="700"/>
      <c r="ALR36" s="700"/>
      <c r="ALS36" s="700"/>
      <c r="ALT36" s="700"/>
      <c r="ALU36" s="700"/>
      <c r="ALV36" s="700"/>
      <c r="ALW36" s="700"/>
      <c r="ALX36" s="700"/>
      <c r="ALY36" s="700"/>
      <c r="ALZ36" s="700"/>
      <c r="AMA36" s="700"/>
      <c r="AMB36" s="700"/>
      <c r="AMC36" s="700"/>
      <c r="AMD36" s="700"/>
      <c r="AME36" s="700"/>
      <c r="AMF36" s="700"/>
      <c r="AMG36" s="700"/>
      <c r="AMH36" s="700"/>
      <c r="AMI36" s="700"/>
      <c r="AMJ36" s="700"/>
      <c r="AMK36" s="700"/>
      <c r="AML36" s="700"/>
      <c r="AMM36" s="700"/>
      <c r="AMN36" s="700"/>
      <c r="AMO36" s="700"/>
      <c r="AMP36" s="700"/>
      <c r="AMQ36" s="700"/>
      <c r="AMR36" s="700"/>
      <c r="AMS36" s="700"/>
      <c r="AMT36" s="700"/>
      <c r="AMU36" s="700"/>
      <c r="AMV36" s="700"/>
      <c r="AMW36" s="700"/>
      <c r="AMX36" s="700"/>
      <c r="AMY36" s="700"/>
      <c r="AMZ36" s="700"/>
      <c r="ANA36" s="700"/>
      <c r="ANB36" s="700"/>
      <c r="ANC36" s="700"/>
      <c r="AND36" s="700"/>
      <c r="ANE36" s="700"/>
      <c r="ANF36" s="700"/>
      <c r="ANG36" s="700"/>
      <c r="ANH36" s="700"/>
      <c r="ANI36" s="700"/>
      <c r="ANJ36" s="700"/>
      <c r="ANK36" s="700"/>
      <c r="ANL36" s="700"/>
      <c r="ANM36" s="700"/>
      <c r="ANN36" s="700"/>
      <c r="ANO36" s="700"/>
      <c r="ANP36" s="700"/>
      <c r="ANQ36" s="700"/>
      <c r="ANR36" s="700"/>
      <c r="ANS36" s="700"/>
      <c r="ANT36" s="700"/>
      <c r="ANU36" s="700"/>
      <c r="ANV36" s="700"/>
      <c r="ANW36" s="700"/>
      <c r="ANX36" s="700"/>
      <c r="ANY36" s="700"/>
      <c r="ANZ36" s="700"/>
      <c r="AOA36" s="700"/>
      <c r="AOB36" s="700"/>
      <c r="AOC36" s="700"/>
      <c r="AOD36" s="700"/>
      <c r="AOE36" s="700"/>
      <c r="AOF36" s="700"/>
      <c r="AOG36" s="700"/>
      <c r="AOH36" s="700"/>
      <c r="AOI36" s="700"/>
      <c r="AOJ36" s="700"/>
      <c r="AOK36" s="700"/>
      <c r="AOL36" s="700"/>
      <c r="AOM36" s="700"/>
      <c r="AON36" s="700"/>
      <c r="AOO36" s="700"/>
      <c r="AOP36" s="700"/>
      <c r="AOQ36" s="700"/>
      <c r="AOR36" s="700"/>
      <c r="AOS36" s="700"/>
      <c r="AOT36" s="700"/>
      <c r="AOU36" s="700"/>
      <c r="AOV36" s="700"/>
      <c r="AOW36" s="700"/>
      <c r="AOX36" s="700"/>
      <c r="AOY36" s="700"/>
      <c r="AOZ36" s="700"/>
      <c r="APA36" s="700"/>
      <c r="APB36" s="700"/>
      <c r="APC36" s="700"/>
      <c r="APD36" s="700"/>
      <c r="APE36" s="700"/>
      <c r="APF36" s="700"/>
      <c r="APG36" s="700"/>
      <c r="APH36" s="700"/>
      <c r="API36" s="700"/>
      <c r="APJ36" s="700"/>
      <c r="APK36" s="700"/>
      <c r="APL36" s="700"/>
      <c r="APM36" s="700"/>
      <c r="APN36" s="700"/>
      <c r="APO36" s="700"/>
      <c r="APP36" s="700"/>
      <c r="APQ36" s="700"/>
      <c r="APR36" s="700"/>
      <c r="APS36" s="700"/>
      <c r="APT36" s="700"/>
      <c r="APU36" s="700"/>
      <c r="APV36" s="700"/>
      <c r="APW36" s="700"/>
      <c r="APX36" s="700"/>
      <c r="APY36" s="700"/>
      <c r="APZ36" s="700"/>
      <c r="AQA36" s="700"/>
      <c r="AQB36" s="700"/>
      <c r="AQC36" s="700"/>
      <c r="AQD36" s="700"/>
      <c r="AQE36" s="700"/>
      <c r="AQF36" s="700"/>
      <c r="AQG36" s="700"/>
      <c r="AQH36" s="700"/>
      <c r="AQI36" s="700"/>
      <c r="AQJ36" s="700"/>
      <c r="AQK36" s="700"/>
      <c r="AQL36" s="700"/>
      <c r="AQM36" s="700"/>
      <c r="AQN36" s="700"/>
      <c r="AQO36" s="700"/>
      <c r="AQP36" s="700"/>
      <c r="AQQ36" s="700"/>
      <c r="AQR36" s="700"/>
      <c r="AQS36" s="700"/>
      <c r="AQT36" s="700"/>
      <c r="AQU36" s="700"/>
      <c r="AQV36" s="700"/>
      <c r="AQW36" s="700"/>
      <c r="AQX36" s="700"/>
      <c r="AQY36" s="700"/>
      <c r="AQZ36" s="700"/>
      <c r="ARA36" s="700"/>
      <c r="ARB36" s="700"/>
      <c r="ARC36" s="700"/>
      <c r="ARD36" s="700"/>
      <c r="ARE36" s="700"/>
      <c r="ARF36" s="700"/>
      <c r="ARG36" s="700"/>
      <c r="ARH36" s="700"/>
      <c r="ARI36" s="700"/>
      <c r="ARJ36" s="700"/>
      <c r="ARK36" s="700"/>
      <c r="ARL36" s="700"/>
      <c r="ARM36" s="700"/>
      <c r="ARN36" s="700"/>
      <c r="ARO36" s="700"/>
      <c r="ARP36" s="700"/>
      <c r="ARQ36" s="700"/>
      <c r="ARR36" s="700"/>
      <c r="ARS36" s="700"/>
      <c r="ART36" s="700"/>
      <c r="ARU36" s="700"/>
      <c r="ARV36" s="700"/>
      <c r="ARW36" s="700"/>
      <c r="ARX36" s="700"/>
      <c r="ARY36" s="700"/>
      <c r="ARZ36" s="700"/>
      <c r="ASA36" s="700"/>
      <c r="ASB36" s="700"/>
      <c r="ASC36" s="700"/>
      <c r="ASD36" s="700"/>
      <c r="ASE36" s="700"/>
      <c r="ASF36" s="700"/>
      <c r="ASG36" s="700"/>
      <c r="ASH36" s="700"/>
      <c r="ASI36" s="700"/>
      <c r="ASJ36" s="700"/>
      <c r="ASK36" s="700"/>
      <c r="ASL36" s="700"/>
      <c r="ASM36" s="700"/>
      <c r="ASN36" s="700"/>
      <c r="ASO36" s="700"/>
      <c r="ASP36" s="700"/>
      <c r="ASQ36" s="700"/>
      <c r="ASR36" s="700"/>
      <c r="ASS36" s="700"/>
      <c r="AST36" s="700"/>
      <c r="ASU36" s="700"/>
      <c r="ASV36" s="700"/>
      <c r="ASW36" s="700"/>
      <c r="ASX36" s="700"/>
      <c r="ASY36" s="700"/>
      <c r="ASZ36" s="700"/>
      <c r="ATA36" s="700"/>
      <c r="ATB36" s="700"/>
      <c r="ATC36" s="700"/>
      <c r="ATD36" s="700"/>
      <c r="ATE36" s="700"/>
      <c r="ATF36" s="700"/>
      <c r="ATG36" s="700"/>
      <c r="ATH36" s="700"/>
      <c r="ATI36" s="700"/>
      <c r="ATJ36" s="700"/>
      <c r="ATK36" s="700"/>
      <c r="ATL36" s="700"/>
      <c r="ATM36" s="700"/>
      <c r="ATN36" s="700"/>
      <c r="ATO36" s="700"/>
      <c r="ATP36" s="700"/>
      <c r="ATQ36" s="700"/>
      <c r="ATR36" s="700"/>
      <c r="ATS36" s="700"/>
      <c r="ATT36" s="700"/>
      <c r="ATU36" s="700"/>
      <c r="ATV36" s="700"/>
      <c r="ATW36" s="700"/>
      <c r="ATX36" s="700"/>
      <c r="ATY36" s="700"/>
      <c r="ATZ36" s="700"/>
      <c r="AUA36" s="700"/>
      <c r="AUB36" s="700"/>
      <c r="AUC36" s="700"/>
      <c r="AUD36" s="700"/>
      <c r="AUE36" s="700"/>
      <c r="AUF36" s="700"/>
      <c r="AUG36" s="700"/>
      <c r="AUH36" s="700"/>
      <c r="AUI36" s="700"/>
      <c r="AUJ36" s="700"/>
      <c r="AUK36" s="700"/>
      <c r="AUL36" s="700"/>
      <c r="AUM36" s="700"/>
      <c r="AUN36" s="700"/>
      <c r="AUO36" s="700"/>
      <c r="AUP36" s="700"/>
      <c r="AUQ36" s="700"/>
      <c r="AUR36" s="700"/>
      <c r="AUS36" s="700"/>
      <c r="AUT36" s="700"/>
      <c r="AUU36" s="700"/>
      <c r="AUV36" s="700"/>
      <c r="AUW36" s="700"/>
      <c r="AUX36" s="700"/>
      <c r="AUY36" s="700"/>
      <c r="AUZ36" s="700"/>
      <c r="AVA36" s="700"/>
      <c r="AVB36" s="700"/>
      <c r="AVC36" s="700"/>
      <c r="AVD36" s="700"/>
      <c r="AVE36" s="700"/>
      <c r="AVF36" s="700"/>
      <c r="AVG36" s="700"/>
      <c r="AVH36" s="700"/>
      <c r="AVI36" s="700"/>
      <c r="AVJ36" s="700"/>
      <c r="AVK36" s="700"/>
      <c r="AVL36" s="700"/>
      <c r="AVM36" s="700"/>
      <c r="AVN36" s="700"/>
      <c r="AVO36" s="700"/>
      <c r="AVP36" s="700"/>
      <c r="AVQ36" s="700"/>
      <c r="AVR36" s="700"/>
      <c r="AVS36" s="700"/>
      <c r="AVT36" s="700"/>
      <c r="AVU36" s="700"/>
      <c r="AVV36" s="700"/>
      <c r="AVW36" s="700"/>
      <c r="AVX36" s="700"/>
      <c r="AVY36" s="700"/>
      <c r="AVZ36" s="700"/>
      <c r="AWA36" s="700"/>
      <c r="AWB36" s="700"/>
      <c r="AWC36" s="700"/>
      <c r="AWD36" s="700"/>
      <c r="AWE36" s="700"/>
      <c r="AWF36" s="700"/>
      <c r="AWG36" s="700"/>
      <c r="AWH36" s="700"/>
      <c r="AWI36" s="700"/>
      <c r="AWJ36" s="700"/>
      <c r="AWK36" s="700"/>
      <c r="AWL36" s="700"/>
      <c r="AWM36" s="700"/>
      <c r="AWN36" s="700"/>
      <c r="AWO36" s="700"/>
      <c r="AWP36" s="700"/>
      <c r="AWQ36" s="700"/>
      <c r="AWR36" s="700"/>
      <c r="AWS36" s="700"/>
      <c r="AWT36" s="700"/>
      <c r="AWU36" s="700"/>
      <c r="AWV36" s="700"/>
      <c r="AWW36" s="700"/>
      <c r="AWX36" s="700"/>
      <c r="AWY36" s="700"/>
      <c r="AWZ36" s="700"/>
      <c r="AXA36" s="700"/>
      <c r="AXB36" s="700"/>
      <c r="AXC36" s="700"/>
      <c r="AXD36" s="700"/>
      <c r="AXE36" s="700"/>
      <c r="AXF36" s="700"/>
      <c r="AXG36" s="700"/>
      <c r="AXH36" s="700"/>
      <c r="AXI36" s="700"/>
      <c r="AXJ36" s="700"/>
      <c r="AXK36" s="700"/>
      <c r="AXL36" s="700"/>
      <c r="AXM36" s="700"/>
      <c r="AXN36" s="700"/>
      <c r="AXO36" s="700"/>
      <c r="AXP36" s="700"/>
      <c r="AXQ36" s="700"/>
      <c r="AXR36" s="700"/>
      <c r="AXS36" s="700"/>
      <c r="AXT36" s="700"/>
      <c r="AXU36" s="700"/>
      <c r="AXV36" s="700"/>
      <c r="AXW36" s="700"/>
      <c r="AXX36" s="700"/>
      <c r="AXY36" s="700"/>
      <c r="AXZ36" s="700"/>
      <c r="AYA36" s="700"/>
      <c r="AYB36" s="700"/>
      <c r="AYC36" s="700"/>
      <c r="AYD36" s="700"/>
      <c r="AYE36" s="700"/>
      <c r="AYF36" s="700"/>
      <c r="AYG36" s="700"/>
      <c r="AYH36" s="700"/>
      <c r="AYI36" s="700"/>
      <c r="AYJ36" s="700"/>
      <c r="AYK36" s="700"/>
      <c r="AYL36" s="700"/>
      <c r="AYM36" s="700"/>
      <c r="AYN36" s="700"/>
      <c r="AYO36" s="700"/>
      <c r="AYP36" s="700"/>
      <c r="AYQ36" s="700"/>
      <c r="AYR36" s="700"/>
      <c r="AYS36" s="700"/>
      <c r="AYT36" s="700"/>
      <c r="AYU36" s="700"/>
      <c r="AYV36" s="700"/>
      <c r="AYW36" s="700"/>
      <c r="AYX36" s="700"/>
      <c r="AYY36" s="700"/>
      <c r="AYZ36" s="700"/>
      <c r="AZA36" s="700"/>
      <c r="AZB36" s="700"/>
      <c r="AZC36" s="700"/>
      <c r="AZD36" s="700"/>
      <c r="AZE36" s="700"/>
      <c r="AZF36" s="700"/>
      <c r="AZG36" s="700"/>
      <c r="AZH36" s="700"/>
      <c r="AZI36" s="700"/>
      <c r="AZJ36" s="700"/>
      <c r="AZK36" s="700"/>
      <c r="AZL36" s="700"/>
      <c r="AZM36" s="700"/>
      <c r="AZN36" s="700"/>
      <c r="AZO36" s="700"/>
      <c r="AZP36" s="700"/>
      <c r="AZQ36" s="700"/>
      <c r="AZR36" s="700"/>
      <c r="AZS36" s="700"/>
      <c r="AZT36" s="700"/>
      <c r="AZU36" s="700"/>
      <c r="AZV36" s="700"/>
      <c r="AZW36" s="700"/>
      <c r="AZX36" s="700"/>
      <c r="AZY36" s="700"/>
      <c r="AZZ36" s="700"/>
      <c r="BAA36" s="700"/>
      <c r="BAB36" s="700"/>
      <c r="BAC36" s="700"/>
      <c r="BAD36" s="700"/>
      <c r="BAE36" s="700"/>
      <c r="BAF36" s="700"/>
      <c r="BAG36" s="700"/>
      <c r="BAH36" s="700"/>
      <c r="BAI36" s="700"/>
      <c r="BAJ36" s="700"/>
      <c r="BAK36" s="700"/>
      <c r="BAL36" s="700"/>
      <c r="BAM36" s="700"/>
      <c r="BAN36" s="700"/>
      <c r="BAO36" s="700"/>
      <c r="BAP36" s="700"/>
      <c r="BAQ36" s="700"/>
      <c r="BAR36" s="700"/>
      <c r="BAS36" s="700"/>
      <c r="BAT36" s="700"/>
      <c r="BAU36" s="700"/>
      <c r="BAV36" s="700"/>
      <c r="BAW36" s="700"/>
      <c r="BAX36" s="700"/>
      <c r="BAY36" s="700"/>
      <c r="BAZ36" s="700"/>
      <c r="BBA36" s="700"/>
      <c r="BBB36" s="700"/>
      <c r="BBC36" s="700"/>
      <c r="BBD36" s="700"/>
      <c r="BBE36" s="700"/>
      <c r="BBF36" s="700"/>
      <c r="BBG36" s="700"/>
      <c r="BBH36" s="700"/>
      <c r="BBI36" s="700"/>
      <c r="BBJ36" s="700"/>
      <c r="BBK36" s="700"/>
      <c r="BBL36" s="700"/>
      <c r="BBM36" s="700"/>
      <c r="BBN36" s="700"/>
      <c r="BBO36" s="700"/>
      <c r="BBP36" s="700"/>
      <c r="BBQ36" s="700"/>
      <c r="BBR36" s="700"/>
      <c r="BBS36" s="700"/>
      <c r="BBT36" s="700"/>
      <c r="BBU36" s="700"/>
      <c r="BBV36" s="700"/>
      <c r="BBW36" s="700"/>
      <c r="BBX36" s="700"/>
      <c r="BBY36" s="700"/>
      <c r="BBZ36" s="700"/>
      <c r="BCA36" s="700"/>
      <c r="BCB36" s="700"/>
      <c r="BCC36" s="700"/>
      <c r="BCD36" s="700"/>
      <c r="BCE36" s="700"/>
      <c r="BCF36" s="700"/>
      <c r="BCG36" s="700"/>
      <c r="BCH36" s="700"/>
      <c r="BCI36" s="700"/>
      <c r="BCJ36" s="700"/>
      <c r="BCK36" s="700"/>
      <c r="BCL36" s="700"/>
      <c r="BCM36" s="700"/>
      <c r="BCN36" s="700"/>
      <c r="BCO36" s="700"/>
      <c r="BCP36" s="700"/>
      <c r="BCQ36" s="700"/>
      <c r="BCR36" s="700"/>
      <c r="BCS36" s="700"/>
      <c r="BCT36" s="700"/>
      <c r="BCU36" s="700"/>
      <c r="BCV36" s="700"/>
      <c r="BCW36" s="700"/>
      <c r="BCX36" s="700"/>
      <c r="BCY36" s="700"/>
      <c r="BCZ36" s="700"/>
      <c r="BDA36" s="700"/>
      <c r="BDB36" s="700"/>
      <c r="BDC36" s="700"/>
      <c r="BDD36" s="700"/>
      <c r="BDE36" s="700"/>
      <c r="BDF36" s="700"/>
      <c r="BDG36" s="700"/>
      <c r="BDH36" s="700"/>
      <c r="BDI36" s="700"/>
      <c r="BDJ36" s="700"/>
      <c r="BDK36" s="700"/>
      <c r="BDL36" s="700"/>
      <c r="BDM36" s="700"/>
      <c r="BDN36" s="700"/>
      <c r="BDO36" s="700"/>
      <c r="BDP36" s="700"/>
      <c r="BDQ36" s="700"/>
      <c r="BDR36" s="700"/>
      <c r="BDS36" s="700"/>
      <c r="BDT36" s="700"/>
      <c r="BDU36" s="700"/>
      <c r="BDV36" s="700"/>
      <c r="BDW36" s="700"/>
      <c r="BDX36" s="700"/>
      <c r="BDY36" s="700"/>
      <c r="BDZ36" s="700"/>
      <c r="BEA36" s="700"/>
      <c r="BEB36" s="700"/>
      <c r="BEC36" s="700"/>
      <c r="BED36" s="700"/>
      <c r="BEE36" s="700"/>
      <c r="BEF36" s="700"/>
      <c r="BEG36" s="700"/>
      <c r="BEH36" s="700"/>
      <c r="BEI36" s="700"/>
      <c r="BEJ36" s="700"/>
      <c r="BEK36" s="700"/>
      <c r="BEL36" s="700"/>
      <c r="BEM36" s="700"/>
      <c r="BEN36" s="700"/>
      <c r="BEO36" s="700"/>
      <c r="BEP36" s="700"/>
      <c r="BEQ36" s="700"/>
      <c r="BER36" s="700"/>
      <c r="BES36" s="700"/>
      <c r="BET36" s="700"/>
      <c r="BEU36" s="700"/>
      <c r="BEV36" s="700"/>
      <c r="BEW36" s="700"/>
      <c r="BEX36" s="700"/>
      <c r="BEY36" s="700"/>
      <c r="BEZ36" s="700"/>
      <c r="BFA36" s="700"/>
      <c r="BFB36" s="700"/>
      <c r="BFC36" s="700"/>
      <c r="BFD36" s="700"/>
      <c r="BFE36" s="700"/>
      <c r="BFF36" s="700"/>
      <c r="BFG36" s="700"/>
      <c r="BFH36" s="700"/>
      <c r="BFI36" s="700"/>
      <c r="BFJ36" s="700"/>
      <c r="BFK36" s="700"/>
      <c r="BFL36" s="700"/>
      <c r="BFM36" s="700"/>
      <c r="BFN36" s="700"/>
      <c r="BFO36" s="700"/>
      <c r="BFP36" s="700"/>
      <c r="BFQ36" s="700"/>
      <c r="BFR36" s="700"/>
      <c r="BFS36" s="700"/>
      <c r="BFT36" s="700"/>
      <c r="BFU36" s="700"/>
      <c r="BFV36" s="700"/>
      <c r="BFW36" s="700"/>
      <c r="BFX36" s="700"/>
      <c r="BFY36" s="700"/>
      <c r="BFZ36" s="700"/>
      <c r="BGA36" s="700"/>
      <c r="BGB36" s="700"/>
      <c r="BGC36" s="700"/>
      <c r="BGD36" s="700"/>
      <c r="BGE36" s="700"/>
      <c r="BGF36" s="700"/>
      <c r="BGG36" s="700"/>
      <c r="BGH36" s="700"/>
      <c r="BGI36" s="700"/>
      <c r="BGJ36" s="700"/>
      <c r="BGK36" s="700"/>
      <c r="BGL36" s="700"/>
      <c r="BGM36" s="700"/>
      <c r="BGN36" s="700"/>
      <c r="BGO36" s="700"/>
      <c r="BGP36" s="700"/>
      <c r="BGQ36" s="700"/>
      <c r="BGR36" s="700"/>
      <c r="BGS36" s="700"/>
      <c r="BGT36" s="700"/>
      <c r="BGU36" s="700"/>
      <c r="BGV36" s="700"/>
      <c r="BGW36" s="700"/>
      <c r="BGX36" s="700"/>
      <c r="BGY36" s="700"/>
      <c r="BGZ36" s="700"/>
      <c r="BHA36" s="700"/>
      <c r="BHB36" s="700"/>
      <c r="BHC36" s="700"/>
      <c r="BHD36" s="700"/>
      <c r="BHE36" s="700"/>
      <c r="BHF36" s="700"/>
      <c r="BHG36" s="700"/>
      <c r="BHH36" s="700"/>
      <c r="BHI36" s="700"/>
      <c r="BHJ36" s="700"/>
      <c r="BHK36" s="700"/>
      <c r="BHL36" s="700"/>
      <c r="BHM36" s="700"/>
      <c r="BHN36" s="700"/>
      <c r="BHO36" s="700"/>
      <c r="BHP36" s="700"/>
      <c r="BHQ36" s="700"/>
      <c r="BHR36" s="700"/>
      <c r="BHS36" s="700"/>
      <c r="BHT36" s="700"/>
      <c r="BHU36" s="700"/>
      <c r="BHV36" s="700"/>
      <c r="BHW36" s="700"/>
      <c r="BHX36" s="700"/>
      <c r="BHY36" s="700"/>
      <c r="BHZ36" s="700"/>
      <c r="BIA36" s="700"/>
      <c r="BIB36" s="700"/>
      <c r="BIC36" s="700"/>
      <c r="BID36" s="700"/>
      <c r="BIE36" s="700"/>
      <c r="BIF36" s="700"/>
      <c r="BIG36" s="700"/>
      <c r="BIH36" s="700"/>
      <c r="BII36" s="700"/>
      <c r="BIJ36" s="700"/>
      <c r="BIK36" s="700"/>
      <c r="BIL36" s="700"/>
      <c r="BIM36" s="700"/>
      <c r="BIN36" s="700"/>
      <c r="BIO36" s="700"/>
      <c r="BIP36" s="700"/>
      <c r="BIQ36" s="700"/>
      <c r="BIR36" s="700"/>
      <c r="BIS36" s="700"/>
      <c r="BIT36" s="700"/>
      <c r="BIU36" s="700"/>
      <c r="BIV36" s="700"/>
      <c r="BIW36" s="700"/>
      <c r="BIX36" s="700"/>
      <c r="BIY36" s="700"/>
      <c r="BIZ36" s="700"/>
      <c r="BJA36" s="700"/>
      <c r="BJB36" s="700"/>
      <c r="BJC36" s="700"/>
      <c r="BJD36" s="700"/>
      <c r="BJE36" s="700"/>
      <c r="BJF36" s="700"/>
      <c r="BJG36" s="700"/>
      <c r="BJH36" s="700"/>
      <c r="BJI36" s="700"/>
      <c r="BJJ36" s="700"/>
      <c r="BJK36" s="700"/>
      <c r="BJL36" s="700"/>
      <c r="BJM36" s="700"/>
      <c r="BJN36" s="700"/>
      <c r="BJO36" s="700"/>
      <c r="BJP36" s="700"/>
      <c r="BJQ36" s="700"/>
      <c r="BJR36" s="700"/>
      <c r="BJS36" s="700"/>
      <c r="BJT36" s="700"/>
      <c r="BJU36" s="700"/>
      <c r="BJV36" s="700"/>
      <c r="BJW36" s="700"/>
      <c r="BJX36" s="700"/>
      <c r="BJY36" s="700"/>
      <c r="BJZ36" s="700"/>
      <c r="BKA36" s="700"/>
      <c r="BKB36" s="700"/>
      <c r="BKC36" s="700"/>
      <c r="BKD36" s="700"/>
      <c r="BKE36" s="700"/>
      <c r="BKF36" s="700"/>
      <c r="BKG36" s="700"/>
      <c r="BKH36" s="700"/>
      <c r="BKI36" s="700"/>
      <c r="BKJ36" s="700"/>
      <c r="BKK36" s="700"/>
      <c r="BKL36" s="700"/>
      <c r="BKM36" s="700"/>
      <c r="BKN36" s="700"/>
      <c r="BKO36" s="700"/>
      <c r="BKP36" s="700"/>
      <c r="BKQ36" s="700"/>
      <c r="BKR36" s="700"/>
      <c r="BKS36" s="700"/>
      <c r="BKT36" s="700"/>
      <c r="BKU36" s="700"/>
      <c r="BKV36" s="700"/>
      <c r="BKW36" s="700"/>
      <c r="BKX36" s="700"/>
      <c r="BKY36" s="700"/>
      <c r="BKZ36" s="700"/>
      <c r="BLA36" s="700"/>
      <c r="BLB36" s="700"/>
      <c r="BLC36" s="700"/>
      <c r="BLD36" s="700"/>
      <c r="BLE36" s="700"/>
      <c r="BLF36" s="700"/>
      <c r="BLG36" s="700"/>
      <c r="BLH36" s="700"/>
      <c r="BLI36" s="700"/>
      <c r="BLJ36" s="700"/>
      <c r="BLK36" s="700"/>
      <c r="BLL36" s="700"/>
      <c r="BLM36" s="700"/>
      <c r="BLN36" s="700"/>
      <c r="BLO36" s="700"/>
      <c r="BLP36" s="700"/>
      <c r="BLQ36" s="700"/>
      <c r="BLR36" s="700"/>
      <c r="BLS36" s="700"/>
      <c r="BLT36" s="700"/>
      <c r="BLU36" s="700"/>
      <c r="BLV36" s="700"/>
      <c r="BLW36" s="700"/>
      <c r="BLX36" s="700"/>
      <c r="BLY36" s="700"/>
      <c r="BLZ36" s="700"/>
      <c r="BMA36" s="700"/>
      <c r="BMB36" s="700"/>
      <c r="BMC36" s="700"/>
      <c r="BMD36" s="700"/>
      <c r="BME36" s="700"/>
      <c r="BMF36" s="700"/>
      <c r="BMG36" s="700"/>
      <c r="BMH36" s="700"/>
      <c r="BMI36" s="700"/>
      <c r="BMJ36" s="700"/>
      <c r="BMK36" s="700"/>
      <c r="BML36" s="700"/>
      <c r="BMM36" s="700"/>
      <c r="BMN36" s="700"/>
      <c r="BMO36" s="700"/>
      <c r="BMP36" s="700"/>
      <c r="BMQ36" s="700"/>
      <c r="BMR36" s="700"/>
      <c r="BMS36" s="700"/>
      <c r="BMT36" s="700"/>
      <c r="BMU36" s="700"/>
      <c r="BMV36" s="700"/>
      <c r="BMW36" s="700"/>
      <c r="BMX36" s="700"/>
      <c r="BMY36" s="700"/>
      <c r="BMZ36" s="700"/>
      <c r="BNA36" s="700"/>
      <c r="BNB36" s="700"/>
      <c r="BNC36" s="700"/>
      <c r="BND36" s="700"/>
      <c r="BNE36" s="700"/>
      <c r="BNF36" s="700"/>
      <c r="BNG36" s="700"/>
      <c r="BNH36" s="700"/>
      <c r="BNI36" s="700"/>
      <c r="BNJ36" s="700"/>
      <c r="BNK36" s="700"/>
      <c r="BNL36" s="700"/>
      <c r="BNM36" s="700"/>
      <c r="BNN36" s="700"/>
      <c r="BNO36" s="700"/>
      <c r="BNP36" s="700"/>
      <c r="BNQ36" s="700"/>
      <c r="BNR36" s="700"/>
      <c r="BNS36" s="700"/>
      <c r="BNT36" s="700"/>
      <c r="BNU36" s="700"/>
      <c r="BNV36" s="700"/>
      <c r="BNW36" s="700"/>
      <c r="BNX36" s="700"/>
      <c r="BNY36" s="700"/>
      <c r="BNZ36" s="700"/>
      <c r="BOA36" s="700"/>
      <c r="BOB36" s="700"/>
      <c r="BOC36" s="700"/>
      <c r="BOD36" s="700"/>
      <c r="BOE36" s="700"/>
      <c r="BOF36" s="700"/>
      <c r="BOG36" s="700"/>
      <c r="BOH36" s="700"/>
      <c r="BOI36" s="700"/>
      <c r="BOJ36" s="700"/>
      <c r="BOK36" s="700"/>
      <c r="BOL36" s="700"/>
      <c r="BOM36" s="700"/>
      <c r="BON36" s="700"/>
      <c r="BOO36" s="700"/>
      <c r="BOP36" s="700"/>
      <c r="BOQ36" s="700"/>
      <c r="BOR36" s="700"/>
      <c r="BOS36" s="700"/>
      <c r="BOT36" s="700"/>
      <c r="BOU36" s="700"/>
      <c r="BOV36" s="700"/>
      <c r="BOW36" s="700"/>
      <c r="BOX36" s="700"/>
      <c r="BOY36" s="700"/>
      <c r="BOZ36" s="700"/>
      <c r="BPA36" s="700"/>
      <c r="BPB36" s="700"/>
      <c r="BPC36" s="700"/>
      <c r="BPD36" s="700"/>
      <c r="BPE36" s="700"/>
      <c r="BPF36" s="700"/>
      <c r="BPG36" s="700"/>
      <c r="BPH36" s="700"/>
      <c r="BPI36" s="700"/>
      <c r="BPJ36" s="700"/>
      <c r="BPK36" s="700"/>
      <c r="BPL36" s="700"/>
      <c r="BPM36" s="700"/>
      <c r="BPN36" s="700"/>
      <c r="BPO36" s="700"/>
      <c r="BPP36" s="700"/>
      <c r="BPQ36" s="700"/>
      <c r="BPR36" s="700"/>
      <c r="BPS36" s="700"/>
      <c r="BPT36" s="700"/>
      <c r="BPU36" s="700"/>
      <c r="BPV36" s="700"/>
      <c r="BPW36" s="700"/>
      <c r="BPX36" s="700"/>
      <c r="BPY36" s="700"/>
      <c r="BPZ36" s="700"/>
      <c r="BQA36" s="700"/>
      <c r="BQB36" s="700"/>
      <c r="BQC36" s="700"/>
      <c r="BQD36" s="700"/>
      <c r="BQE36" s="700"/>
      <c r="BQF36" s="700"/>
      <c r="BQG36" s="700"/>
      <c r="BQH36" s="700"/>
      <c r="BQI36" s="700"/>
      <c r="BQJ36" s="700"/>
      <c r="BQK36" s="700"/>
      <c r="BQL36" s="700"/>
      <c r="BQM36" s="700"/>
      <c r="BQN36" s="700"/>
      <c r="BQO36" s="700"/>
      <c r="BQP36" s="700"/>
      <c r="BQQ36" s="700"/>
      <c r="BQR36" s="700"/>
      <c r="BQS36" s="700"/>
      <c r="BQT36" s="700"/>
      <c r="BQU36" s="700"/>
      <c r="BQV36" s="700"/>
      <c r="BQW36" s="700"/>
      <c r="BQX36" s="700"/>
      <c r="BQY36" s="700"/>
      <c r="BQZ36" s="700"/>
      <c r="BRA36" s="700"/>
      <c r="BRB36" s="700"/>
      <c r="BRC36" s="700"/>
      <c r="BRD36" s="700"/>
      <c r="BRE36" s="700"/>
      <c r="BRF36" s="700"/>
      <c r="BRG36" s="700"/>
      <c r="BRH36" s="700"/>
      <c r="BRI36" s="700"/>
      <c r="BRJ36" s="700"/>
      <c r="BRK36" s="700"/>
      <c r="BRL36" s="700"/>
      <c r="BRM36" s="700"/>
      <c r="BRN36" s="700"/>
      <c r="BRO36" s="700"/>
      <c r="BRP36" s="700"/>
      <c r="BRQ36" s="700"/>
      <c r="BRR36" s="700"/>
      <c r="BRS36" s="700"/>
      <c r="BRT36" s="700"/>
      <c r="BRU36" s="700"/>
      <c r="BRV36" s="700"/>
      <c r="BRW36" s="700"/>
      <c r="BRX36" s="700"/>
      <c r="BRY36" s="700"/>
      <c r="BRZ36" s="700"/>
      <c r="BSA36" s="700"/>
      <c r="BSB36" s="700"/>
      <c r="BSC36" s="700"/>
      <c r="BSD36" s="700"/>
      <c r="BSE36" s="700"/>
      <c r="BSF36" s="700"/>
      <c r="BSG36" s="700"/>
      <c r="BSH36" s="700"/>
      <c r="BSI36" s="700"/>
      <c r="BSJ36" s="700"/>
      <c r="BSK36" s="700"/>
      <c r="BSL36" s="700"/>
      <c r="BSM36" s="700"/>
      <c r="BSN36" s="700"/>
      <c r="BSO36" s="700"/>
      <c r="BSP36" s="700"/>
      <c r="BSQ36" s="700"/>
      <c r="BSR36" s="700"/>
      <c r="BSS36" s="700"/>
      <c r="BST36" s="700"/>
      <c r="BSU36" s="700"/>
      <c r="BSV36" s="700"/>
      <c r="BSW36" s="700"/>
      <c r="BSX36" s="700"/>
      <c r="BSY36" s="700"/>
      <c r="BSZ36" s="700"/>
      <c r="BTA36" s="700"/>
      <c r="BTB36" s="700"/>
      <c r="BTC36" s="700"/>
      <c r="BTD36" s="700"/>
      <c r="BTE36" s="700"/>
      <c r="BTF36" s="700"/>
      <c r="BTG36" s="700"/>
      <c r="BTH36" s="700"/>
      <c r="BTI36" s="700"/>
      <c r="BTJ36" s="700"/>
      <c r="BTK36" s="700"/>
      <c r="BTL36" s="700"/>
      <c r="BTM36" s="700"/>
      <c r="BTN36" s="700"/>
      <c r="BTO36" s="700"/>
      <c r="BTP36" s="700"/>
      <c r="BTQ36" s="700"/>
      <c r="BTR36" s="700"/>
      <c r="BTS36" s="700"/>
      <c r="BTT36" s="700"/>
      <c r="BTU36" s="700"/>
      <c r="BTV36" s="700"/>
      <c r="BTW36" s="700"/>
      <c r="BTX36" s="700"/>
      <c r="BTY36" s="700"/>
      <c r="BTZ36" s="700"/>
      <c r="BUA36" s="700"/>
      <c r="BUB36" s="700"/>
      <c r="BUC36" s="700"/>
      <c r="BUD36" s="700"/>
      <c r="BUE36" s="700"/>
      <c r="BUF36" s="700"/>
      <c r="BUG36" s="700"/>
      <c r="BUH36" s="700"/>
      <c r="BUI36" s="700"/>
      <c r="BUJ36" s="700"/>
      <c r="BUK36" s="700"/>
      <c r="BUL36" s="700"/>
      <c r="BUM36" s="700"/>
      <c r="BUN36" s="700"/>
      <c r="BUO36" s="700"/>
      <c r="BUP36" s="700"/>
      <c r="BUQ36" s="700"/>
      <c r="BUR36" s="700"/>
      <c r="BUS36" s="700"/>
      <c r="BUT36" s="700"/>
      <c r="BUU36" s="700"/>
      <c r="BUV36" s="700"/>
      <c r="BUW36" s="700"/>
      <c r="BUX36" s="700"/>
      <c r="BUY36" s="700"/>
      <c r="BUZ36" s="700"/>
      <c r="BVA36" s="700"/>
      <c r="BVB36" s="700"/>
      <c r="BVC36" s="700"/>
      <c r="BVD36" s="700"/>
      <c r="BVE36" s="700"/>
      <c r="BVF36" s="700"/>
      <c r="BVG36" s="700"/>
      <c r="BVH36" s="700"/>
      <c r="BVI36" s="700"/>
      <c r="BVJ36" s="700"/>
      <c r="BVK36" s="700"/>
      <c r="BVL36" s="700"/>
      <c r="BVM36" s="700"/>
      <c r="BVN36" s="700"/>
      <c r="BVO36" s="700"/>
      <c r="BVP36" s="700"/>
      <c r="BVQ36" s="700"/>
      <c r="BVR36" s="700"/>
      <c r="BVS36" s="700"/>
      <c r="BVT36" s="700"/>
      <c r="BVU36" s="700"/>
      <c r="BVV36" s="700"/>
      <c r="BVW36" s="700"/>
      <c r="BVX36" s="700"/>
      <c r="BVY36" s="700"/>
      <c r="BVZ36" s="700"/>
      <c r="BWA36" s="700"/>
      <c r="BWB36" s="700"/>
      <c r="BWC36" s="700"/>
      <c r="BWD36" s="700"/>
      <c r="BWE36" s="700"/>
      <c r="BWF36" s="700"/>
      <c r="BWG36" s="700"/>
      <c r="BWH36" s="700"/>
      <c r="BWI36" s="700"/>
      <c r="BWJ36" s="700"/>
      <c r="BWK36" s="700"/>
      <c r="BWL36" s="700"/>
      <c r="BWM36" s="700"/>
      <c r="BWN36" s="700"/>
      <c r="BWO36" s="700"/>
      <c r="BWP36" s="700"/>
      <c r="BWQ36" s="700"/>
      <c r="BWR36" s="700"/>
      <c r="BWS36" s="700"/>
      <c r="BWT36" s="700"/>
      <c r="BWU36" s="700"/>
      <c r="BWV36" s="700"/>
      <c r="BWW36" s="700"/>
      <c r="BWX36" s="700"/>
      <c r="BWY36" s="700"/>
      <c r="BWZ36" s="700"/>
      <c r="BXA36" s="700"/>
      <c r="BXB36" s="700"/>
      <c r="BXC36" s="700"/>
      <c r="BXD36" s="700"/>
      <c r="BXE36" s="700"/>
      <c r="BXF36" s="700"/>
      <c r="BXG36" s="700"/>
      <c r="BXH36" s="700"/>
      <c r="BXI36" s="700"/>
      <c r="BXJ36" s="700"/>
      <c r="BXK36" s="700"/>
      <c r="BXL36" s="700"/>
      <c r="BXM36" s="700"/>
      <c r="BXN36" s="700"/>
      <c r="BXO36" s="700"/>
      <c r="BXP36" s="700"/>
      <c r="BXQ36" s="700"/>
      <c r="BXR36" s="700"/>
      <c r="BXS36" s="700"/>
      <c r="BXT36" s="700"/>
      <c r="BXU36" s="700"/>
      <c r="BXV36" s="700"/>
      <c r="BXW36" s="700"/>
      <c r="BXX36" s="700"/>
      <c r="BXY36" s="700"/>
      <c r="BXZ36" s="700"/>
    </row>
    <row r="39" spans="1:2002" ht="23.25">
      <c r="C39" s="924" t="s">
        <v>60</v>
      </c>
      <c r="D39" s="924"/>
      <c r="E39" s="924"/>
      <c r="F39" s="924"/>
      <c r="G39" s="924"/>
      <c r="H39" s="924"/>
      <c r="I39" s="746"/>
      <c r="J39" s="746"/>
      <c r="K39" s="746"/>
      <c r="L39" s="746"/>
      <c r="M39" s="746"/>
    </row>
    <row r="40" spans="1:2002" ht="14.25">
      <c r="C40" s="925" t="s">
        <v>61</v>
      </c>
      <c r="D40" s="925"/>
      <c r="E40" s="925"/>
      <c r="F40" s="925"/>
      <c r="G40" s="925"/>
      <c r="H40" s="925"/>
      <c r="I40" s="925"/>
      <c r="J40" s="925"/>
      <c r="K40" s="746"/>
      <c r="L40" s="746"/>
      <c r="M40" s="746"/>
    </row>
    <row r="41" spans="1:2002">
      <c r="C41" s="746"/>
      <c r="D41" s="746"/>
      <c r="E41" s="746"/>
      <c r="F41" s="746"/>
      <c r="G41" s="746"/>
      <c r="H41" s="746"/>
      <c r="I41" s="746"/>
      <c r="J41" s="746"/>
      <c r="K41" s="746"/>
      <c r="L41" s="746"/>
      <c r="M41" s="746"/>
    </row>
    <row r="42" spans="1:2002" ht="15.75">
      <c r="C42" s="926" t="s">
        <v>62</v>
      </c>
      <c r="D42" s="926"/>
      <c r="E42" s="926"/>
      <c r="F42" s="926"/>
      <c r="G42" s="926"/>
      <c r="H42" s="926"/>
      <c r="I42" s="746"/>
      <c r="J42" s="746"/>
      <c r="K42" s="746"/>
      <c r="L42" s="746"/>
      <c r="M42" s="746"/>
    </row>
    <row r="43" spans="1:2002" ht="12.75">
      <c r="C43" s="927" t="s">
        <v>63</v>
      </c>
      <c r="D43" s="927"/>
      <c r="E43" s="927"/>
      <c r="F43" s="927"/>
      <c r="G43" s="927"/>
      <c r="H43" s="927"/>
      <c r="I43" s="746"/>
      <c r="J43" s="746"/>
      <c r="K43" s="746"/>
      <c r="L43" s="746"/>
      <c r="M43" s="746"/>
    </row>
    <row r="44" spans="1:2002">
      <c r="C44" s="746"/>
      <c r="D44" s="746"/>
      <c r="E44" s="746"/>
      <c r="F44" s="746"/>
      <c r="G44" s="746"/>
      <c r="H44" s="746"/>
      <c r="I44" s="746"/>
      <c r="J44" s="746"/>
      <c r="K44" s="746"/>
      <c r="L44" s="746"/>
      <c r="M44" s="746"/>
    </row>
    <row r="45" spans="1:2002">
      <c r="C45" s="746"/>
      <c r="D45" s="746"/>
      <c r="E45" s="746"/>
      <c r="F45" s="746"/>
      <c r="G45" s="746"/>
      <c r="H45" s="746"/>
      <c r="I45" s="746"/>
      <c r="J45" s="746"/>
      <c r="K45" s="746"/>
      <c r="L45" s="746"/>
      <c r="M45" s="746"/>
    </row>
    <row r="46" spans="1:2002" ht="15.75">
      <c r="C46" s="928" t="s">
        <v>64</v>
      </c>
      <c r="D46" s="928"/>
      <c r="E46" s="928"/>
      <c r="F46" s="928"/>
      <c r="G46" s="928"/>
      <c r="H46" s="928"/>
      <c r="I46" s="746"/>
      <c r="J46" s="746"/>
      <c r="K46" s="746"/>
      <c r="L46" s="746"/>
      <c r="M46" s="746"/>
    </row>
    <row r="47" spans="1:2002" ht="12.75">
      <c r="C47" s="747" t="s">
        <v>65</v>
      </c>
      <c r="D47" s="747" t="s">
        <v>66</v>
      </c>
      <c r="E47" s="747" t="s">
        <v>67</v>
      </c>
      <c r="F47" s="747" t="s">
        <v>68</v>
      </c>
      <c r="G47" s="746"/>
      <c r="H47" s="746"/>
      <c r="I47" s="746"/>
      <c r="J47" s="746"/>
      <c r="K47" s="746"/>
      <c r="L47" s="746"/>
      <c r="M47" s="746"/>
    </row>
    <row r="48" spans="1:2002" ht="12.75">
      <c r="C48" s="748" t="s">
        <v>69</v>
      </c>
      <c r="D48" s="748" t="s">
        <v>70</v>
      </c>
      <c r="E48" s="749">
        <v>12.5</v>
      </c>
      <c r="F48" s="929" t="s">
        <v>71</v>
      </c>
      <c r="G48" s="929"/>
      <c r="H48" s="929"/>
      <c r="I48" s="746"/>
      <c r="J48" s="746"/>
      <c r="K48" s="746"/>
      <c r="L48" s="746"/>
      <c r="M48" s="746"/>
    </row>
    <row r="49" spans="3:18" ht="12.75">
      <c r="C49" s="748" t="s">
        <v>72</v>
      </c>
      <c r="D49" s="748" t="s">
        <v>73</v>
      </c>
      <c r="E49" s="749">
        <v>3.8</v>
      </c>
      <c r="F49" s="929" t="s">
        <v>74</v>
      </c>
      <c r="G49" s="929"/>
      <c r="H49" s="929"/>
      <c r="I49" s="746"/>
      <c r="J49" s="746"/>
      <c r="K49" s="746"/>
      <c r="L49" s="746"/>
      <c r="M49" s="746"/>
    </row>
    <row r="50" spans="3:18" ht="12.75">
      <c r="C50" s="748" t="s">
        <v>75</v>
      </c>
      <c r="D50" s="748" t="s">
        <v>76</v>
      </c>
      <c r="E50" s="749">
        <v>5.6</v>
      </c>
      <c r="F50" s="929" t="s">
        <v>77</v>
      </c>
      <c r="G50" s="929"/>
      <c r="H50" s="929"/>
      <c r="I50" s="929"/>
      <c r="J50" s="746"/>
      <c r="K50" s="746"/>
      <c r="L50" s="746"/>
      <c r="M50" s="746"/>
    </row>
    <row r="51" spans="3:18" ht="12.75">
      <c r="C51" s="748" t="s">
        <v>78</v>
      </c>
      <c r="D51" s="748" t="s">
        <v>79</v>
      </c>
      <c r="E51" s="749">
        <v>5.3</v>
      </c>
      <c r="F51" s="929" t="s">
        <v>80</v>
      </c>
      <c r="G51" s="929"/>
      <c r="H51" s="929"/>
      <c r="I51" s="746"/>
      <c r="J51" s="746"/>
      <c r="K51" s="746"/>
      <c r="L51" s="746"/>
      <c r="M51" s="746"/>
    </row>
    <row r="52" spans="3:18" ht="12.75">
      <c r="C52" s="748" t="s">
        <v>81</v>
      </c>
      <c r="D52" s="748" t="s">
        <v>79</v>
      </c>
      <c r="E52" s="749">
        <v>5.9</v>
      </c>
      <c r="F52" s="929" t="s">
        <v>82</v>
      </c>
      <c r="G52" s="929"/>
      <c r="H52" s="929"/>
      <c r="I52" s="746"/>
      <c r="J52" s="746"/>
      <c r="K52" s="746"/>
      <c r="L52" s="746"/>
      <c r="M52" s="746"/>
    </row>
    <row r="53" spans="3:18">
      <c r="C53" s="746"/>
      <c r="D53" s="746"/>
      <c r="E53" s="746"/>
      <c r="F53" s="746"/>
      <c r="G53" s="746"/>
      <c r="H53" s="746"/>
      <c r="I53" s="746"/>
      <c r="J53" s="746"/>
      <c r="K53" s="746"/>
      <c r="L53" s="746"/>
      <c r="M53" s="746"/>
    </row>
    <row r="54" spans="3:18" ht="15.75">
      <c r="C54" s="928" t="s">
        <v>83</v>
      </c>
      <c r="D54" s="928"/>
      <c r="E54" s="928"/>
      <c r="F54" s="928"/>
      <c r="G54" s="928"/>
      <c r="H54" s="928"/>
      <c r="I54" s="715">
        <v>2026</v>
      </c>
      <c r="J54" s="715">
        <v>2027</v>
      </c>
      <c r="K54" s="715">
        <v>2028</v>
      </c>
      <c r="L54" s="715">
        <v>2029</v>
      </c>
      <c r="M54" s="715">
        <v>2030</v>
      </c>
      <c r="N54" s="715">
        <v>2031</v>
      </c>
      <c r="O54" s="715">
        <v>2032</v>
      </c>
      <c r="P54" s="715">
        <v>2033</v>
      </c>
      <c r="Q54" s="715">
        <v>2034</v>
      </c>
      <c r="R54" s="715">
        <v>2035</v>
      </c>
    </row>
    <row r="55" spans="3:18" ht="12.75">
      <c r="C55" s="929" t="s">
        <v>84</v>
      </c>
      <c r="D55" s="929"/>
      <c r="E55" s="929"/>
      <c r="F55" s="929"/>
      <c r="G55" s="929"/>
      <c r="H55" s="929"/>
      <c r="I55" s="763">
        <v>0.21</v>
      </c>
      <c r="J55" s="763">
        <v>0.19</v>
      </c>
      <c r="K55" s="763">
        <v>0.17</v>
      </c>
      <c r="L55" s="763">
        <v>0.15</v>
      </c>
      <c r="M55" s="763">
        <v>0.13</v>
      </c>
      <c r="N55" s="764">
        <v>0.1</v>
      </c>
      <c r="O55" s="764">
        <v>0.09</v>
      </c>
      <c r="P55" s="764">
        <v>0.09</v>
      </c>
      <c r="Q55" s="764">
        <v>0.08</v>
      </c>
      <c r="R55" s="764">
        <v>7.0000000000000007E-2</v>
      </c>
    </row>
    <row r="56" spans="3:18" ht="12.75">
      <c r="C56" s="929" t="s">
        <v>85</v>
      </c>
      <c r="D56" s="929"/>
      <c r="E56" s="929"/>
      <c r="F56" s="929"/>
      <c r="G56" s="929"/>
      <c r="H56" s="929"/>
      <c r="L56" s="746"/>
      <c r="M56" s="746"/>
    </row>
    <row r="57" spans="3:18" ht="12.75">
      <c r="C57" s="929" t="s">
        <v>86</v>
      </c>
      <c r="D57" s="929"/>
      <c r="E57" s="929"/>
      <c r="F57" s="929"/>
      <c r="G57" s="929"/>
      <c r="H57" s="929"/>
      <c r="K57" s="746"/>
      <c r="L57" s="746"/>
      <c r="M57" s="746"/>
    </row>
    <row r="58" spans="3:18" ht="12.75">
      <c r="C58" s="929" t="s">
        <v>87</v>
      </c>
      <c r="D58" s="929"/>
      <c r="E58" s="929"/>
      <c r="F58" s="929"/>
      <c r="G58" s="929"/>
      <c r="H58" s="929"/>
      <c r="J58" s="746"/>
      <c r="K58" s="746"/>
      <c r="L58" s="746"/>
      <c r="M58" s="746"/>
    </row>
    <row r="59" spans="3:18" ht="12.75">
      <c r="C59" s="929" t="s">
        <v>88</v>
      </c>
      <c r="D59" s="929"/>
      <c r="E59" s="929"/>
      <c r="F59" s="929"/>
      <c r="G59" s="929"/>
      <c r="H59" s="929"/>
      <c r="I59" s="763"/>
      <c r="J59" s="746"/>
      <c r="K59" s="746"/>
      <c r="L59" s="746"/>
      <c r="M59" s="746"/>
    </row>
    <row r="60" spans="3:18" ht="12.75">
      <c r="C60" s="929" t="s">
        <v>89</v>
      </c>
      <c r="D60" s="929"/>
      <c r="E60" s="929"/>
      <c r="F60" s="929"/>
      <c r="G60" s="929"/>
      <c r="H60" s="929"/>
      <c r="I60" s="746"/>
      <c r="J60" s="746"/>
      <c r="K60" s="746"/>
      <c r="L60" s="746"/>
      <c r="M60" s="746"/>
    </row>
    <row r="61" spans="3:18" ht="12.75">
      <c r="C61" s="929" t="s">
        <v>90</v>
      </c>
      <c r="D61" s="929"/>
      <c r="E61" s="929"/>
      <c r="F61" s="929"/>
      <c r="G61" s="929"/>
      <c r="H61" s="929"/>
      <c r="I61" s="746"/>
      <c r="J61" s="746"/>
      <c r="K61" s="746"/>
      <c r="L61" s="746"/>
      <c r="M61" s="746"/>
    </row>
    <row r="62" spans="3:18">
      <c r="C62" s="746"/>
      <c r="D62" s="746"/>
      <c r="E62" s="746"/>
      <c r="F62" s="746"/>
      <c r="G62" s="746"/>
      <c r="H62" s="746"/>
      <c r="I62" s="746"/>
      <c r="J62" s="746"/>
      <c r="K62" s="746"/>
      <c r="L62" s="746"/>
      <c r="M62" s="746"/>
    </row>
    <row r="63" spans="3:18" ht="15.75">
      <c r="C63" s="928" t="s">
        <v>91</v>
      </c>
      <c r="D63" s="928"/>
      <c r="E63" s="928"/>
      <c r="F63" s="928"/>
      <c r="G63" s="928"/>
      <c r="H63" s="928"/>
      <c r="I63" s="746"/>
      <c r="J63" s="746"/>
      <c r="K63" s="746"/>
      <c r="L63" s="746"/>
      <c r="M63" s="746"/>
    </row>
    <row r="64" spans="3:18" ht="12.75">
      <c r="C64" s="747" t="s">
        <v>92</v>
      </c>
      <c r="D64" s="747" t="s">
        <v>93</v>
      </c>
      <c r="E64" s="747" t="s">
        <v>94</v>
      </c>
      <c r="F64" s="747" t="s">
        <v>95</v>
      </c>
      <c r="G64" s="747" t="s">
        <v>96</v>
      </c>
      <c r="H64" s="747" t="s">
        <v>97</v>
      </c>
      <c r="I64" s="746"/>
      <c r="J64" s="746"/>
      <c r="K64" s="746"/>
      <c r="L64" s="746"/>
      <c r="M64" s="746"/>
    </row>
    <row r="65" spans="3:13" ht="12.75">
      <c r="C65" s="748" t="s">
        <v>98</v>
      </c>
      <c r="D65" s="750">
        <v>0.56799999999999995</v>
      </c>
      <c r="E65" s="750">
        <v>0.56499999999999995</v>
      </c>
      <c r="F65" s="750">
        <v>0.54500000000000004</v>
      </c>
      <c r="G65" s="750">
        <v>0.53500000000000003</v>
      </c>
      <c r="H65" s="929" t="s">
        <v>99</v>
      </c>
      <c r="I65" s="929"/>
      <c r="J65" s="929"/>
      <c r="K65" s="929"/>
      <c r="L65" s="929"/>
      <c r="M65" s="929"/>
    </row>
    <row r="66" spans="3:13" ht="12.75">
      <c r="C66" s="748" t="s">
        <v>100</v>
      </c>
      <c r="D66" s="750">
        <v>0.04</v>
      </c>
      <c r="E66" s="750">
        <v>0.05</v>
      </c>
      <c r="F66" s="750">
        <v>4.1000000000000002E-2</v>
      </c>
      <c r="G66" s="750">
        <v>3.5999999999999997E-2</v>
      </c>
      <c r="H66" s="929" t="s">
        <v>101</v>
      </c>
      <c r="I66" s="929"/>
      <c r="J66" s="929"/>
      <c r="M66" s="746"/>
    </row>
    <row r="67" spans="3:13" ht="12.75">
      <c r="C67" s="748" t="s">
        <v>102</v>
      </c>
      <c r="D67" s="750">
        <v>0.109</v>
      </c>
      <c r="E67" s="750">
        <v>0.108</v>
      </c>
      <c r="F67" s="750">
        <v>9.8000000000000004E-2</v>
      </c>
      <c r="G67" s="750">
        <v>0.09</v>
      </c>
      <c r="H67" s="929" t="s">
        <v>103</v>
      </c>
      <c r="I67" s="929"/>
      <c r="J67" s="929"/>
      <c r="K67" s="929"/>
      <c r="L67" s="929"/>
      <c r="M67" s="746"/>
    </row>
    <row r="68" spans="3:13" ht="12.75">
      <c r="C68" s="748" t="s">
        <v>104</v>
      </c>
      <c r="D68" s="750">
        <v>0.127</v>
      </c>
      <c r="E68" s="750">
        <v>0.125</v>
      </c>
      <c r="F68" s="750">
        <v>0.105</v>
      </c>
      <c r="G68" s="750">
        <v>0.09</v>
      </c>
      <c r="H68" s="929" t="s">
        <v>105</v>
      </c>
      <c r="I68" s="929"/>
      <c r="J68" s="929"/>
      <c r="K68" s="929"/>
      <c r="L68" s="929"/>
      <c r="M68" s="746"/>
    </row>
    <row r="69" spans="3:13" ht="12.75">
      <c r="C69" s="748" t="s">
        <v>106</v>
      </c>
      <c r="D69" s="750">
        <v>5.0000000000000001E-3</v>
      </c>
      <c r="E69" s="750">
        <v>5.0000000000000001E-3</v>
      </c>
      <c r="F69" s="750">
        <v>5.0000000000000001E-3</v>
      </c>
      <c r="G69" s="750">
        <v>5.0000000000000001E-3</v>
      </c>
      <c r="H69" s="929" t="s">
        <v>107</v>
      </c>
      <c r="I69" s="929"/>
      <c r="J69" s="929"/>
      <c r="K69" s="929"/>
      <c r="M69" s="746"/>
    </row>
    <row r="70" spans="3:13" ht="12.75">
      <c r="C70" s="748" t="s">
        <v>108</v>
      </c>
      <c r="D70" s="750">
        <v>6.6000000000000003E-2</v>
      </c>
      <c r="E70" s="750">
        <v>7.9000000000000001E-2</v>
      </c>
      <c r="F70" s="750">
        <v>0.154</v>
      </c>
      <c r="G70" s="750">
        <v>0.20200000000000001</v>
      </c>
      <c r="H70" s="929" t="s">
        <v>109</v>
      </c>
      <c r="I70" s="929"/>
      <c r="J70" s="929"/>
      <c r="K70" s="929"/>
      <c r="L70" s="929"/>
      <c r="M70" s="746"/>
    </row>
    <row r="71" spans="3:13" ht="12.75">
      <c r="C71" s="748" t="s">
        <v>110</v>
      </c>
      <c r="D71" s="750">
        <v>0.11700000000000001</v>
      </c>
      <c r="E71" s="750">
        <v>0.129</v>
      </c>
      <c r="F71" s="750">
        <v>0.20399999999999999</v>
      </c>
      <c r="G71" s="750">
        <v>0.252</v>
      </c>
      <c r="H71" s="929" t="s">
        <v>111</v>
      </c>
      <c r="I71" s="929"/>
      <c r="J71" s="929"/>
      <c r="K71" s="929"/>
      <c r="L71" s="929"/>
      <c r="M71" s="929"/>
    </row>
    <row r="72" spans="3:13" ht="12.75">
      <c r="C72" s="748" t="s">
        <v>112</v>
      </c>
      <c r="D72" s="748" t="s">
        <v>113</v>
      </c>
      <c r="E72" s="751">
        <v>0.17</v>
      </c>
      <c r="F72" s="751">
        <v>0.17</v>
      </c>
      <c r="G72" s="751">
        <v>0.17</v>
      </c>
      <c r="H72" s="929" t="s">
        <v>114</v>
      </c>
      <c r="I72" s="929"/>
      <c r="J72" s="929"/>
      <c r="K72" s="929"/>
      <c r="L72" s="929"/>
      <c r="M72" s="929"/>
    </row>
    <row r="73" spans="3:13" ht="12.75">
      <c r="C73" s="748" t="s">
        <v>115</v>
      </c>
      <c r="D73" s="750">
        <v>7.6999999999999999E-2</v>
      </c>
      <c r="E73" s="750">
        <v>0.03</v>
      </c>
      <c r="F73" s="750">
        <v>0.03</v>
      </c>
      <c r="G73" s="750">
        <v>0.03</v>
      </c>
      <c r="H73" s="929" t="s">
        <v>116</v>
      </c>
      <c r="I73" s="929"/>
      <c r="J73" s="929"/>
      <c r="K73" s="929"/>
      <c r="L73" s="929"/>
      <c r="M73" s="746"/>
    </row>
    <row r="74" spans="3:13" ht="12.75">
      <c r="C74" s="748" t="s">
        <v>117</v>
      </c>
      <c r="D74" s="748" t="s">
        <v>118</v>
      </c>
      <c r="E74" s="750">
        <v>1.4999999999999999E-2</v>
      </c>
      <c r="F74" s="750">
        <v>1.4999999999999999E-2</v>
      </c>
      <c r="G74" s="750">
        <v>1.4999999999999999E-2</v>
      </c>
      <c r="H74" s="929" t="s">
        <v>119</v>
      </c>
      <c r="I74" s="929"/>
      <c r="J74" s="746"/>
      <c r="K74" s="746"/>
      <c r="L74" s="746"/>
      <c r="M74" s="746"/>
    </row>
    <row r="75" spans="3:13">
      <c r="L75" s="746"/>
      <c r="M75" s="746"/>
    </row>
    <row r="76" spans="3:13" ht="15.75">
      <c r="C76" s="928" t="s">
        <v>120</v>
      </c>
      <c r="D76" s="928"/>
      <c r="E76" s="928"/>
      <c r="F76" s="928"/>
      <c r="G76" s="928"/>
      <c r="H76" s="928"/>
      <c r="I76" s="746"/>
      <c r="J76" s="746"/>
      <c r="K76" s="746"/>
      <c r="L76" s="746"/>
      <c r="M76" s="746"/>
    </row>
    <row r="77" spans="3:13" ht="12.75">
      <c r="C77" s="747" t="s">
        <v>121</v>
      </c>
      <c r="D77" s="747" t="s">
        <v>122</v>
      </c>
      <c r="E77" s="747" t="s">
        <v>123</v>
      </c>
      <c r="F77" s="746"/>
      <c r="G77" s="746"/>
      <c r="H77" s="746"/>
      <c r="I77" s="746"/>
      <c r="J77" s="746"/>
      <c r="K77" s="746"/>
      <c r="L77" s="746"/>
      <c r="M77" s="746"/>
    </row>
    <row r="78" spans="3:13" ht="12.75">
      <c r="C78" s="748" t="s">
        <v>124</v>
      </c>
      <c r="D78" s="750">
        <v>4.1799999999999997E-2</v>
      </c>
      <c r="E78" s="929" t="s">
        <v>125</v>
      </c>
      <c r="F78" s="929"/>
      <c r="G78" s="929"/>
      <c r="H78" s="746"/>
      <c r="I78" s="746"/>
      <c r="J78" s="746"/>
      <c r="K78" s="746"/>
      <c r="L78" s="746"/>
      <c r="M78" s="746"/>
    </row>
    <row r="79" spans="3:13" ht="12.75">
      <c r="C79" s="748" t="s">
        <v>126</v>
      </c>
      <c r="D79" s="750">
        <v>4.1000000000000002E-2</v>
      </c>
      <c r="E79" s="929" t="s">
        <v>127</v>
      </c>
      <c r="F79" s="929"/>
      <c r="G79" s="929"/>
      <c r="H79" s="746"/>
      <c r="I79" s="746"/>
      <c r="J79" s="746"/>
      <c r="K79" s="746"/>
      <c r="L79" s="746"/>
      <c r="M79" s="746"/>
    </row>
    <row r="80" spans="3:13" ht="12.75">
      <c r="C80" s="748" t="s">
        <v>128</v>
      </c>
      <c r="D80" s="748">
        <v>1.397</v>
      </c>
      <c r="E80" s="929" t="s">
        <v>129</v>
      </c>
      <c r="F80" s="929"/>
      <c r="G80" s="929"/>
      <c r="H80" s="929"/>
      <c r="I80" s="929"/>
      <c r="J80" s="746"/>
      <c r="K80" s="746"/>
      <c r="L80" s="746"/>
      <c r="M80" s="746"/>
    </row>
    <row r="81" spans="3:13" ht="12.75">
      <c r="C81" s="748" t="s">
        <v>130</v>
      </c>
      <c r="D81" s="748">
        <v>1.4890000000000001</v>
      </c>
      <c r="E81" s="929" t="s">
        <v>131</v>
      </c>
      <c r="F81" s="929"/>
      <c r="G81" s="746"/>
      <c r="H81" s="746"/>
      <c r="I81" s="746"/>
      <c r="J81" s="746"/>
      <c r="K81" s="746"/>
      <c r="L81" s="746"/>
      <c r="M81" s="746"/>
    </row>
    <row r="82" spans="3:13" ht="12.75">
      <c r="C82" s="748" t="s">
        <v>132</v>
      </c>
      <c r="D82" s="750">
        <v>0</v>
      </c>
      <c r="E82" s="929" t="s">
        <v>133</v>
      </c>
      <c r="F82" s="929"/>
      <c r="G82" s="929"/>
      <c r="H82" s="929"/>
      <c r="I82" s="746"/>
      <c r="J82" s="746"/>
      <c r="K82" s="746"/>
      <c r="L82" s="746"/>
      <c r="M82" s="746"/>
    </row>
    <row r="83" spans="3:13" ht="12.75">
      <c r="C83" s="748" t="s">
        <v>134</v>
      </c>
      <c r="D83" s="750">
        <v>0</v>
      </c>
      <c r="E83" s="929" t="s">
        <v>135</v>
      </c>
      <c r="F83" s="929"/>
      <c r="G83" s="929"/>
      <c r="H83" s="929"/>
      <c r="I83" s="746"/>
      <c r="J83" s="746"/>
      <c r="K83" s="746"/>
      <c r="L83" s="746"/>
      <c r="M83" s="746"/>
    </row>
    <row r="84" spans="3:13" ht="12.75">
      <c r="C84" s="748" t="s">
        <v>136</v>
      </c>
      <c r="D84" s="750">
        <v>0.1178</v>
      </c>
      <c r="E84" s="929" t="s">
        <v>137</v>
      </c>
      <c r="F84" s="929"/>
      <c r="G84" s="746"/>
      <c r="H84" s="746"/>
      <c r="I84" s="746"/>
      <c r="J84" s="746"/>
      <c r="K84" s="746"/>
      <c r="L84" s="746"/>
      <c r="M84" s="746"/>
    </row>
    <row r="85" spans="3:13" ht="12.75">
      <c r="C85" s="748" t="s">
        <v>138</v>
      </c>
      <c r="D85" s="750">
        <v>0.06</v>
      </c>
      <c r="E85" s="929" t="s">
        <v>139</v>
      </c>
      <c r="F85" s="929"/>
      <c r="G85" s="929"/>
      <c r="H85" s="746"/>
      <c r="I85" s="746"/>
      <c r="J85" s="746"/>
      <c r="K85" s="746"/>
      <c r="L85" s="746"/>
      <c r="M85" s="746"/>
    </row>
    <row r="86" spans="3:13" ht="12.75">
      <c r="C86" s="748" t="s">
        <v>140</v>
      </c>
      <c r="D86" s="750">
        <v>4.9799999999999997E-2</v>
      </c>
      <c r="E86" s="929" t="s">
        <v>141</v>
      </c>
      <c r="F86" s="929"/>
      <c r="G86" s="746"/>
      <c r="H86" s="746"/>
      <c r="I86" s="746"/>
      <c r="J86" s="746"/>
      <c r="K86" s="746"/>
      <c r="L86" s="746"/>
      <c r="M86" s="746"/>
    </row>
    <row r="87" spans="3:13" ht="12.75">
      <c r="C87" s="748" t="s">
        <v>142</v>
      </c>
      <c r="D87" s="750">
        <v>7.9100000000000004E-2</v>
      </c>
      <c r="E87" s="929" t="s">
        <v>143</v>
      </c>
      <c r="F87" s="929"/>
      <c r="G87" s="746"/>
      <c r="H87" s="746"/>
      <c r="I87" s="746"/>
      <c r="J87" s="746"/>
      <c r="K87" s="746"/>
      <c r="L87" s="746"/>
      <c r="M87" s="746"/>
    </row>
    <row r="88" spans="3:13" ht="15">
      <c r="C88" s="752" t="s">
        <v>144</v>
      </c>
      <c r="D88" s="753">
        <v>9.9000000000000005E-2</v>
      </c>
      <c r="E88" s="752" t="s">
        <v>145</v>
      </c>
      <c r="F88" s="746"/>
      <c r="G88" s="746"/>
      <c r="H88" s="746"/>
      <c r="I88" s="746"/>
      <c r="J88" s="746"/>
      <c r="K88" s="746"/>
      <c r="L88" s="746"/>
      <c r="M88" s="746"/>
    </row>
    <row r="89" spans="3:13">
      <c r="C89" s="746"/>
      <c r="D89" s="746"/>
      <c r="E89" s="746"/>
      <c r="F89" s="746"/>
      <c r="G89" s="746"/>
      <c r="H89" s="746"/>
      <c r="I89" s="746"/>
      <c r="J89" s="746"/>
      <c r="K89" s="746"/>
      <c r="L89" s="746"/>
      <c r="M89" s="746"/>
    </row>
    <row r="90" spans="3:13" ht="15.75">
      <c r="C90" s="928" t="s">
        <v>146</v>
      </c>
      <c r="D90" s="928"/>
      <c r="E90" s="928"/>
      <c r="F90" s="928"/>
      <c r="G90" s="928"/>
      <c r="H90" s="928"/>
      <c r="I90" s="746"/>
      <c r="J90" s="746"/>
      <c r="K90" s="746"/>
      <c r="L90" s="746"/>
      <c r="M90" s="746"/>
    </row>
    <row r="91" spans="3:13" ht="12.75">
      <c r="C91" s="747" t="s">
        <v>147</v>
      </c>
      <c r="D91" s="747" t="s">
        <v>148</v>
      </c>
      <c r="E91" s="747" t="s">
        <v>149</v>
      </c>
      <c r="F91" s="747" t="s">
        <v>150</v>
      </c>
      <c r="G91" s="747" t="s">
        <v>151</v>
      </c>
      <c r="H91" s="746"/>
      <c r="I91" s="746"/>
      <c r="J91" s="746"/>
      <c r="K91" s="746"/>
      <c r="L91" s="746"/>
      <c r="M91" s="746"/>
    </row>
    <row r="92" spans="3:13" ht="12.75">
      <c r="C92" s="748" t="s">
        <v>152</v>
      </c>
      <c r="D92" s="748" t="s">
        <v>153</v>
      </c>
      <c r="E92" s="749">
        <v>3.5</v>
      </c>
      <c r="F92" s="751">
        <v>0</v>
      </c>
      <c r="G92" s="929" t="s">
        <v>154</v>
      </c>
      <c r="H92" s="929"/>
      <c r="I92" s="929"/>
      <c r="J92" s="929"/>
      <c r="K92" s="746"/>
      <c r="L92" s="746"/>
      <c r="M92" s="746"/>
    </row>
    <row r="93" spans="3:13" ht="12.75">
      <c r="C93" s="748"/>
      <c r="D93" s="748"/>
      <c r="E93" s="748"/>
      <c r="F93" s="748"/>
      <c r="G93" s="748"/>
      <c r="H93" s="746"/>
      <c r="I93" s="746"/>
      <c r="J93" s="746"/>
      <c r="K93" s="746"/>
      <c r="L93" s="746"/>
      <c r="M93" s="746"/>
    </row>
    <row r="94" spans="3:13" ht="12.75">
      <c r="C94" s="754" t="s">
        <v>155</v>
      </c>
      <c r="D94" s="755">
        <v>19225</v>
      </c>
      <c r="E94" s="756">
        <v>4.7</v>
      </c>
      <c r="F94" s="757">
        <v>0.34</v>
      </c>
      <c r="G94" s="754" t="s">
        <v>156</v>
      </c>
      <c r="H94" s="746"/>
      <c r="I94" s="746"/>
      <c r="J94" s="746"/>
      <c r="K94" s="746"/>
      <c r="L94" s="746"/>
      <c r="M94" s="746"/>
    </row>
    <row r="95" spans="3:13" ht="12.75">
      <c r="C95" s="748" t="s">
        <v>157</v>
      </c>
      <c r="D95" s="758">
        <v>12262</v>
      </c>
      <c r="E95" s="749">
        <v>3</v>
      </c>
      <c r="F95" s="751">
        <v>-0.14000000000000001</v>
      </c>
      <c r="G95" s="929" t="s">
        <v>158</v>
      </c>
      <c r="H95" s="929"/>
      <c r="I95" s="929"/>
      <c r="J95" s="929"/>
      <c r="K95" s="746"/>
      <c r="L95" s="746"/>
      <c r="M95" s="746"/>
    </row>
    <row r="96" spans="3:13" ht="12.75">
      <c r="C96" s="754" t="s">
        <v>159</v>
      </c>
      <c r="D96" s="755">
        <v>16760</v>
      </c>
      <c r="E96" s="756">
        <v>4.0999999999999996</v>
      </c>
      <c r="F96" s="757">
        <v>0.17</v>
      </c>
      <c r="G96" s="754" t="s">
        <v>160</v>
      </c>
      <c r="H96" s="746"/>
      <c r="I96" s="746"/>
      <c r="J96" s="746"/>
      <c r="K96" s="746"/>
      <c r="L96" s="746"/>
      <c r="M96" s="746"/>
    </row>
    <row r="97" spans="3:13" ht="12.75">
      <c r="C97" s="748" t="s">
        <v>161</v>
      </c>
      <c r="D97" s="758">
        <v>22276</v>
      </c>
      <c r="E97" s="749">
        <v>5.45</v>
      </c>
      <c r="F97" s="751">
        <v>0.56000000000000005</v>
      </c>
      <c r="G97" s="929" t="s">
        <v>162</v>
      </c>
      <c r="H97" s="929"/>
      <c r="I97" s="746"/>
      <c r="J97" s="746"/>
      <c r="K97" s="746"/>
      <c r="L97" s="746"/>
      <c r="M97" s="746"/>
    </row>
    <row r="98" spans="3:13" ht="12.75">
      <c r="C98" s="748"/>
      <c r="D98" s="748"/>
      <c r="E98" s="748"/>
      <c r="F98" s="748"/>
      <c r="G98" s="748"/>
      <c r="H98" s="746"/>
      <c r="I98" s="746"/>
      <c r="J98" s="746"/>
      <c r="K98" s="746"/>
      <c r="L98" s="746"/>
      <c r="M98" s="746"/>
    </row>
    <row r="99" spans="3:13" ht="12.75">
      <c r="C99" s="748" t="s">
        <v>163</v>
      </c>
      <c r="D99" s="748" t="s">
        <v>153</v>
      </c>
      <c r="E99" s="749">
        <v>5</v>
      </c>
      <c r="F99" s="751">
        <v>0.43</v>
      </c>
      <c r="G99" s="929" t="s">
        <v>164</v>
      </c>
      <c r="H99" s="929"/>
      <c r="I99" s="929"/>
      <c r="J99" s="929"/>
      <c r="K99" s="746"/>
      <c r="L99" s="746"/>
      <c r="M99" s="746"/>
    </row>
    <row r="100" spans="3:13" ht="12.75">
      <c r="C100" s="748" t="s">
        <v>165</v>
      </c>
      <c r="D100" s="748" t="s">
        <v>153</v>
      </c>
      <c r="E100" s="749">
        <v>6.12</v>
      </c>
      <c r="F100" s="751">
        <v>0.75</v>
      </c>
      <c r="G100" s="929" t="s">
        <v>166</v>
      </c>
      <c r="H100" s="929"/>
      <c r="I100" s="929"/>
      <c r="J100" s="746"/>
      <c r="K100" s="746"/>
      <c r="L100" s="746"/>
      <c r="M100" s="746"/>
    </row>
    <row r="101" spans="3:13">
      <c r="C101" s="746"/>
      <c r="D101" s="746"/>
      <c r="E101" s="746"/>
      <c r="F101" s="746"/>
      <c r="G101" s="746"/>
      <c r="H101" s="746"/>
      <c r="I101" s="746"/>
      <c r="J101" s="746"/>
      <c r="K101" s="746"/>
      <c r="L101" s="746"/>
      <c r="M101" s="746"/>
    </row>
    <row r="102" spans="3:13" ht="15.75">
      <c r="C102" s="926" t="s">
        <v>167</v>
      </c>
      <c r="D102" s="926"/>
      <c r="E102" s="926"/>
      <c r="F102" s="926"/>
      <c r="G102" s="926"/>
      <c r="H102" s="926"/>
      <c r="I102" s="746"/>
      <c r="J102" s="746"/>
      <c r="K102" s="746"/>
      <c r="L102" s="746"/>
      <c r="M102" s="746"/>
    </row>
    <row r="103" spans="3:13" ht="12.75">
      <c r="C103" s="929"/>
      <c r="D103" s="929"/>
      <c r="E103" s="929"/>
      <c r="F103" s="929"/>
      <c r="G103" s="929"/>
      <c r="H103" s="929"/>
      <c r="I103" s="746"/>
      <c r="J103" s="746"/>
      <c r="K103" s="746"/>
      <c r="L103" s="746"/>
      <c r="M103" s="746"/>
    </row>
    <row r="104" spans="3:13" ht="12.75">
      <c r="C104" s="929" t="s">
        <v>168</v>
      </c>
      <c r="D104" s="929"/>
      <c r="E104" s="929"/>
      <c r="F104" s="929"/>
      <c r="G104" s="929"/>
      <c r="H104" s="929"/>
      <c r="I104" s="746"/>
      <c r="J104" s="746"/>
      <c r="K104" s="746"/>
      <c r="L104" s="746"/>
      <c r="M104" s="746"/>
    </row>
    <row r="105" spans="3:13" ht="12.75">
      <c r="C105" s="929"/>
      <c r="D105" s="929"/>
      <c r="E105" s="929"/>
      <c r="F105" s="929"/>
      <c r="G105" s="929"/>
      <c r="H105" s="929"/>
      <c r="I105" s="746"/>
      <c r="J105" s="746"/>
      <c r="K105" s="746"/>
      <c r="L105" s="746"/>
      <c r="M105" s="746"/>
    </row>
    <row r="106" spans="3:13" ht="12.75">
      <c r="C106" s="929" t="s">
        <v>169</v>
      </c>
      <c r="D106" s="929"/>
      <c r="E106" s="929"/>
      <c r="F106" s="929"/>
      <c r="G106" s="929"/>
      <c r="H106" s="929"/>
      <c r="I106" s="746"/>
      <c r="J106" s="746"/>
      <c r="K106" s="746"/>
      <c r="L106" s="746"/>
      <c r="M106" s="746"/>
    </row>
    <row r="107" spans="3:13" ht="12.75">
      <c r="C107" s="929" t="s">
        <v>170</v>
      </c>
      <c r="D107" s="929"/>
      <c r="E107" s="929"/>
      <c r="F107" s="929"/>
      <c r="G107" s="929"/>
      <c r="H107" s="929"/>
      <c r="I107" s="746"/>
      <c r="J107" s="746"/>
      <c r="K107" s="746"/>
      <c r="L107" s="746"/>
      <c r="M107" s="746"/>
    </row>
    <row r="108" spans="3:13" ht="12.75">
      <c r="C108" s="929" t="s">
        <v>171</v>
      </c>
      <c r="D108" s="929"/>
      <c r="E108" s="929"/>
      <c r="F108" s="929"/>
      <c r="G108" s="929"/>
      <c r="H108" s="929"/>
      <c r="I108" s="746"/>
      <c r="J108" s="746"/>
      <c r="K108" s="746"/>
      <c r="L108" s="746"/>
      <c r="M108" s="746"/>
    </row>
    <row r="109" spans="3:13" ht="12.75">
      <c r="C109" s="929" t="s">
        <v>172</v>
      </c>
      <c r="D109" s="929"/>
      <c r="E109" s="929"/>
      <c r="F109" s="929"/>
      <c r="G109" s="929"/>
      <c r="H109" s="929"/>
      <c r="I109" s="746"/>
      <c r="J109" s="746"/>
      <c r="K109" s="746"/>
      <c r="L109" s="746"/>
      <c r="M109" s="746"/>
    </row>
    <row r="110" spans="3:13" ht="12.75">
      <c r="C110" s="929"/>
      <c r="D110" s="929"/>
      <c r="E110" s="929"/>
      <c r="F110" s="929"/>
      <c r="G110" s="929"/>
      <c r="H110" s="929"/>
      <c r="I110" s="746"/>
      <c r="J110" s="746"/>
      <c r="K110" s="746"/>
      <c r="L110" s="746"/>
      <c r="M110" s="746"/>
    </row>
    <row r="111" spans="3:13" ht="12.75">
      <c r="C111" s="929" t="s">
        <v>173</v>
      </c>
      <c r="D111" s="929"/>
      <c r="E111" s="929"/>
      <c r="F111" s="929"/>
      <c r="G111" s="929"/>
      <c r="H111" s="929"/>
      <c r="I111" s="746"/>
      <c r="J111" s="746"/>
      <c r="K111" s="746"/>
      <c r="L111" s="746"/>
      <c r="M111" s="746"/>
    </row>
    <row r="112" spans="3:13" ht="12.75">
      <c r="C112" s="929" t="s">
        <v>174</v>
      </c>
      <c r="D112" s="929"/>
      <c r="E112" s="929"/>
      <c r="F112" s="929"/>
      <c r="G112" s="929"/>
      <c r="H112" s="929"/>
      <c r="I112" s="746"/>
      <c r="J112" s="746"/>
      <c r="K112" s="746"/>
      <c r="L112" s="746"/>
      <c r="M112" s="746"/>
    </row>
    <row r="113" spans="3:13" ht="12.75">
      <c r="C113" s="929" t="s">
        <v>175</v>
      </c>
      <c r="D113" s="929"/>
      <c r="E113" s="929"/>
      <c r="F113" s="929"/>
      <c r="G113" s="929"/>
      <c r="H113" s="929"/>
      <c r="I113" s="746"/>
      <c r="J113" s="746"/>
      <c r="K113" s="746"/>
      <c r="L113" s="746"/>
      <c r="M113" s="746"/>
    </row>
    <row r="114" spans="3:13" ht="12.75">
      <c r="C114" s="929" t="s">
        <v>176</v>
      </c>
      <c r="D114" s="929"/>
      <c r="E114" s="929"/>
      <c r="F114" s="929"/>
      <c r="G114" s="929"/>
      <c r="H114" s="929"/>
      <c r="I114" s="746"/>
      <c r="J114" s="746"/>
      <c r="K114" s="746"/>
      <c r="L114" s="746"/>
      <c r="M114" s="746"/>
    </row>
    <row r="115" spans="3:13">
      <c r="C115" s="746"/>
      <c r="D115" s="746"/>
      <c r="E115" s="746"/>
      <c r="F115" s="746"/>
      <c r="G115" s="746"/>
      <c r="H115" s="746"/>
      <c r="I115" s="746"/>
      <c r="J115" s="746"/>
      <c r="K115" s="746"/>
      <c r="L115" s="746"/>
      <c r="M115" s="746"/>
    </row>
    <row r="116" spans="3:13" ht="15.75">
      <c r="C116" s="928" t="s">
        <v>177</v>
      </c>
      <c r="D116" s="928"/>
      <c r="E116" s="928"/>
      <c r="F116" s="928"/>
      <c r="G116" s="928"/>
      <c r="H116" s="928"/>
      <c r="I116" s="746"/>
      <c r="J116" s="746"/>
      <c r="K116" s="746"/>
      <c r="L116" s="746"/>
      <c r="M116" s="746"/>
    </row>
    <row r="117" spans="3:13" ht="12.75">
      <c r="C117" s="747" t="s">
        <v>178</v>
      </c>
      <c r="D117" s="747" t="s">
        <v>179</v>
      </c>
      <c r="E117" s="747" t="s">
        <v>180</v>
      </c>
      <c r="F117" s="747" t="s">
        <v>181</v>
      </c>
      <c r="G117" s="747" t="s">
        <v>182</v>
      </c>
      <c r="H117" s="747" t="s">
        <v>183</v>
      </c>
      <c r="I117" s="747" t="s">
        <v>184</v>
      </c>
      <c r="J117" s="746"/>
      <c r="K117" s="746"/>
      <c r="L117" s="746"/>
      <c r="M117" s="746"/>
    </row>
    <row r="118" spans="3:13" ht="12.75">
      <c r="C118" s="748" t="s">
        <v>185</v>
      </c>
      <c r="D118" s="748" t="s">
        <v>186</v>
      </c>
      <c r="E118" s="758">
        <v>19576</v>
      </c>
      <c r="F118" s="748" t="s">
        <v>187</v>
      </c>
      <c r="G118" s="750">
        <v>2.4E-2</v>
      </c>
      <c r="H118" s="748">
        <v>1.28</v>
      </c>
      <c r="I118" s="748" t="s">
        <v>188</v>
      </c>
      <c r="J118" s="746"/>
      <c r="K118" s="746"/>
      <c r="L118" s="746"/>
      <c r="M118" s="746"/>
    </row>
    <row r="119" spans="3:13" ht="12.75">
      <c r="C119" s="748" t="s">
        <v>189</v>
      </c>
      <c r="D119" s="748" t="s">
        <v>190</v>
      </c>
      <c r="E119" s="758">
        <v>3892</v>
      </c>
      <c r="F119" s="748" t="s">
        <v>191</v>
      </c>
      <c r="G119" s="750">
        <v>-2.1000000000000001E-2</v>
      </c>
      <c r="H119" s="748">
        <v>0.97</v>
      </c>
      <c r="I119" s="748" t="s">
        <v>192</v>
      </c>
      <c r="J119" s="746"/>
      <c r="K119" s="746"/>
      <c r="L119" s="746"/>
      <c r="M119" s="746"/>
    </row>
    <row r="120" spans="3:13" ht="12.75">
      <c r="C120" s="748" t="s">
        <v>193</v>
      </c>
      <c r="D120" s="748" t="s">
        <v>194</v>
      </c>
      <c r="E120" s="758">
        <v>72493</v>
      </c>
      <c r="F120" s="748" t="s">
        <v>195</v>
      </c>
      <c r="G120" s="750">
        <v>8.6999999999999994E-2</v>
      </c>
      <c r="H120" s="748">
        <v>1.78</v>
      </c>
      <c r="I120" s="748" t="s">
        <v>188</v>
      </c>
      <c r="J120" s="746"/>
      <c r="K120" s="746"/>
      <c r="L120" s="746"/>
      <c r="M120" s="746"/>
    </row>
    <row r="121" spans="3:13" ht="12.75">
      <c r="C121" s="748" t="s">
        <v>196</v>
      </c>
      <c r="D121" s="748" t="s">
        <v>197</v>
      </c>
      <c r="E121" s="758">
        <v>162967</v>
      </c>
      <c r="F121" s="748" t="s">
        <v>198</v>
      </c>
      <c r="G121" s="750">
        <v>0.107</v>
      </c>
      <c r="H121" s="748">
        <v>1.35</v>
      </c>
      <c r="I121" s="748" t="s">
        <v>199</v>
      </c>
      <c r="J121" s="746"/>
      <c r="K121" s="746"/>
      <c r="L121" s="746"/>
      <c r="M121" s="746"/>
    </row>
    <row r="122" spans="3:13" ht="12.75">
      <c r="C122" s="748" t="s">
        <v>200</v>
      </c>
      <c r="D122" s="748" t="s">
        <v>201</v>
      </c>
      <c r="E122" s="758">
        <v>7425</v>
      </c>
      <c r="F122" s="748" t="s">
        <v>202</v>
      </c>
      <c r="G122" s="750">
        <v>-2.7E-2</v>
      </c>
      <c r="H122" s="748">
        <v>1.66</v>
      </c>
      <c r="I122" s="748" t="s">
        <v>199</v>
      </c>
      <c r="J122" s="746"/>
      <c r="K122" s="746"/>
      <c r="L122" s="746"/>
      <c r="M122" s="746"/>
    </row>
    <row r="123" spans="3:13" ht="12.75">
      <c r="C123" s="748" t="s">
        <v>203</v>
      </c>
      <c r="D123" s="748" t="s">
        <v>204</v>
      </c>
      <c r="E123" s="758">
        <v>23599</v>
      </c>
      <c r="F123" s="748" t="s">
        <v>205</v>
      </c>
      <c r="G123" s="750">
        <v>-1.6E-2</v>
      </c>
      <c r="H123" s="748">
        <v>1.45</v>
      </c>
      <c r="I123" s="748" t="s">
        <v>206</v>
      </c>
      <c r="J123" s="746"/>
      <c r="K123" s="746"/>
      <c r="L123" s="746"/>
      <c r="M123" s="746"/>
    </row>
    <row r="124" spans="3:13" ht="12.75">
      <c r="C124" s="748" t="s">
        <v>207</v>
      </c>
      <c r="D124" s="748" t="s">
        <v>208</v>
      </c>
      <c r="E124" s="758">
        <v>77812</v>
      </c>
      <c r="F124" s="748" t="s">
        <v>209</v>
      </c>
      <c r="G124" s="750">
        <v>-8.5000000000000006E-2</v>
      </c>
      <c r="H124" s="748">
        <v>1.01</v>
      </c>
      <c r="I124" s="748" t="s">
        <v>206</v>
      </c>
      <c r="J124" s="746"/>
      <c r="K124" s="746"/>
      <c r="L124" s="746"/>
      <c r="M124" s="746"/>
    </row>
    <row r="125" spans="3:13" ht="12.75">
      <c r="C125" s="748" t="s">
        <v>210</v>
      </c>
      <c r="D125" s="748" t="s">
        <v>211</v>
      </c>
      <c r="E125" s="758">
        <v>7636</v>
      </c>
      <c r="F125" s="748" t="s">
        <v>212</v>
      </c>
      <c r="G125" s="750">
        <v>7.0000000000000001E-3</v>
      </c>
      <c r="H125" s="748">
        <v>1.89</v>
      </c>
      <c r="I125" s="748" t="s">
        <v>213</v>
      </c>
      <c r="J125" s="746"/>
      <c r="K125" s="746"/>
      <c r="L125" s="746"/>
      <c r="M125" s="746"/>
    </row>
    <row r="126" spans="3:13" ht="12.75">
      <c r="C126" s="748" t="s">
        <v>214</v>
      </c>
      <c r="D126" s="748" t="s">
        <v>215</v>
      </c>
      <c r="E126" s="758">
        <v>93696</v>
      </c>
      <c r="F126" s="748" t="s">
        <v>216</v>
      </c>
      <c r="G126" s="750">
        <v>6.0999999999999999E-2</v>
      </c>
      <c r="H126" s="748">
        <v>1.72</v>
      </c>
      <c r="I126" s="748" t="s">
        <v>199</v>
      </c>
      <c r="J126" s="746"/>
      <c r="K126" s="746"/>
      <c r="L126" s="746"/>
      <c r="M126" s="746"/>
    </row>
    <row r="127" spans="3:13" ht="12.75">
      <c r="C127" s="748" t="s">
        <v>217</v>
      </c>
      <c r="D127" s="748" t="s">
        <v>218</v>
      </c>
      <c r="E127" s="758">
        <v>5720</v>
      </c>
      <c r="F127" s="748" t="s">
        <v>219</v>
      </c>
      <c r="G127" s="750">
        <v>0.14399999999999999</v>
      </c>
      <c r="H127" s="748">
        <v>0.47</v>
      </c>
      <c r="I127" s="748" t="s">
        <v>220</v>
      </c>
      <c r="J127" s="746"/>
      <c r="K127" s="746"/>
      <c r="L127" s="746"/>
      <c r="M127" s="746"/>
    </row>
    <row r="128" spans="3:13" ht="12.75">
      <c r="C128" s="759" t="s">
        <v>221</v>
      </c>
      <c r="D128" s="759" t="s">
        <v>221</v>
      </c>
      <c r="E128" s="759" t="s">
        <v>221</v>
      </c>
      <c r="F128" s="759" t="s">
        <v>221</v>
      </c>
      <c r="G128" s="759" t="s">
        <v>221</v>
      </c>
      <c r="H128" s="759" t="s">
        <v>221</v>
      </c>
      <c r="I128" s="759" t="s">
        <v>221</v>
      </c>
      <c r="J128" s="746"/>
      <c r="K128" s="746"/>
      <c r="L128" s="746"/>
      <c r="M128" s="746"/>
    </row>
    <row r="129" spans="3:13" ht="12.75">
      <c r="C129" s="760" t="s">
        <v>222</v>
      </c>
      <c r="D129" s="760" t="s">
        <v>153</v>
      </c>
      <c r="E129" s="761">
        <v>21587</v>
      </c>
      <c r="F129" s="760" t="s">
        <v>223</v>
      </c>
      <c r="G129" s="762">
        <v>1.4999999999999999E-2</v>
      </c>
      <c r="H129" s="760" t="s">
        <v>224</v>
      </c>
      <c r="I129" s="760" t="s">
        <v>153</v>
      </c>
      <c r="J129" s="746"/>
      <c r="K129" s="746"/>
      <c r="L129" s="746"/>
      <c r="M129" s="746"/>
    </row>
    <row r="130" spans="3:13" ht="12.75">
      <c r="C130" s="760" t="s">
        <v>225</v>
      </c>
      <c r="D130" s="760" t="s">
        <v>153</v>
      </c>
      <c r="E130" s="760" t="s">
        <v>153</v>
      </c>
      <c r="F130" s="760" t="s">
        <v>226</v>
      </c>
      <c r="G130" s="760" t="s">
        <v>153</v>
      </c>
      <c r="H130" s="760" t="s">
        <v>153</v>
      </c>
      <c r="I130" s="760" t="s">
        <v>153</v>
      </c>
      <c r="J130" s="746"/>
      <c r="K130" s="746"/>
      <c r="L130" s="746"/>
      <c r="M130" s="746"/>
    </row>
    <row r="131" spans="3:13" ht="12.75">
      <c r="C131" s="760" t="s">
        <v>227</v>
      </c>
      <c r="D131" s="760" t="s">
        <v>153</v>
      </c>
      <c r="E131" s="760" t="s">
        <v>153</v>
      </c>
      <c r="F131" s="760" t="s">
        <v>228</v>
      </c>
      <c r="G131" s="760" t="s">
        <v>153</v>
      </c>
      <c r="H131" s="760" t="s">
        <v>153</v>
      </c>
      <c r="I131" s="760" t="s">
        <v>153</v>
      </c>
      <c r="J131" s="746"/>
      <c r="K131" s="746"/>
      <c r="L131" s="746"/>
      <c r="M131" s="746"/>
    </row>
    <row r="132" spans="3:13">
      <c r="C132" s="746"/>
      <c r="D132" s="746"/>
      <c r="E132" s="746"/>
      <c r="F132" s="746"/>
      <c r="G132" s="746"/>
      <c r="H132" s="746"/>
      <c r="I132" s="746"/>
      <c r="J132" s="746"/>
      <c r="K132" s="746"/>
      <c r="L132" s="746"/>
      <c r="M132" s="746"/>
    </row>
    <row r="133" spans="3:13" ht="15.75">
      <c r="C133" s="928" t="s">
        <v>229</v>
      </c>
      <c r="D133" s="928"/>
      <c r="E133" s="928"/>
      <c r="F133" s="928"/>
      <c r="G133" s="928"/>
      <c r="H133" s="928"/>
      <c r="I133" s="746"/>
      <c r="J133" s="746"/>
      <c r="K133" s="746"/>
      <c r="L133" s="746"/>
      <c r="M133" s="746"/>
    </row>
    <row r="134" spans="3:13" ht="12.75">
      <c r="C134" s="930" t="s">
        <v>230</v>
      </c>
      <c r="D134" s="930"/>
      <c r="E134" s="930"/>
      <c r="F134" s="930"/>
      <c r="G134" s="930"/>
      <c r="H134" s="930"/>
      <c r="I134" s="746"/>
      <c r="J134" s="746"/>
      <c r="K134" s="746"/>
      <c r="L134" s="746"/>
      <c r="M134" s="746"/>
    </row>
    <row r="135" spans="3:13" ht="12">
      <c r="C135" s="931" t="s">
        <v>231</v>
      </c>
      <c r="D135" s="931"/>
      <c r="E135" s="931"/>
      <c r="F135" s="931"/>
      <c r="G135" s="931"/>
      <c r="H135" s="931"/>
      <c r="I135" s="746"/>
      <c r="J135" s="746"/>
      <c r="K135" s="746"/>
      <c r="L135" s="746"/>
      <c r="M135" s="746"/>
    </row>
    <row r="136" spans="3:13" ht="12">
      <c r="C136" s="931" t="s">
        <v>232</v>
      </c>
      <c r="D136" s="931"/>
      <c r="E136" s="931"/>
      <c r="F136" s="931"/>
      <c r="G136" s="931"/>
      <c r="H136" s="931"/>
      <c r="I136" s="746"/>
      <c r="J136" s="746"/>
      <c r="K136" s="746"/>
      <c r="L136" s="746"/>
      <c r="M136" s="746"/>
    </row>
    <row r="137" spans="3:13" ht="12">
      <c r="C137" s="931" t="s">
        <v>233</v>
      </c>
      <c r="D137" s="931"/>
      <c r="E137" s="931"/>
      <c r="F137" s="931"/>
      <c r="G137" s="931"/>
      <c r="H137" s="931"/>
      <c r="I137" s="746"/>
      <c r="J137" s="746"/>
      <c r="K137" s="746"/>
      <c r="L137" s="746"/>
      <c r="M137" s="746"/>
    </row>
    <row r="138" spans="3:13" ht="12">
      <c r="C138" s="931" t="s">
        <v>234</v>
      </c>
      <c r="D138" s="931"/>
      <c r="E138" s="931"/>
      <c r="F138" s="931"/>
      <c r="G138" s="931"/>
      <c r="H138" s="931"/>
      <c r="I138" s="746"/>
      <c r="J138" s="746"/>
      <c r="K138" s="746"/>
      <c r="L138" s="746"/>
      <c r="M138" s="746"/>
    </row>
    <row r="139" spans="3:13" ht="12">
      <c r="C139" s="931" t="s">
        <v>235</v>
      </c>
      <c r="D139" s="931"/>
      <c r="E139" s="931"/>
      <c r="F139" s="931"/>
      <c r="G139" s="931"/>
      <c r="H139" s="931"/>
      <c r="I139" s="746"/>
      <c r="J139" s="746"/>
      <c r="K139" s="746"/>
      <c r="L139" s="746"/>
      <c r="M139" s="746"/>
    </row>
    <row r="140" spans="3:13" ht="12">
      <c r="C140" s="931"/>
      <c r="D140" s="931"/>
      <c r="E140" s="931"/>
      <c r="F140" s="931"/>
      <c r="G140" s="931"/>
      <c r="H140" s="931"/>
      <c r="I140" s="746"/>
      <c r="J140" s="746"/>
      <c r="K140" s="746"/>
      <c r="L140" s="746"/>
      <c r="M140" s="746"/>
    </row>
    <row r="141" spans="3:13" ht="12.75">
      <c r="C141" s="930" t="s">
        <v>236</v>
      </c>
      <c r="D141" s="930"/>
      <c r="E141" s="930"/>
      <c r="F141" s="930"/>
      <c r="G141" s="930"/>
      <c r="H141" s="930"/>
      <c r="I141" s="746"/>
      <c r="J141" s="746"/>
      <c r="K141" s="746"/>
      <c r="L141" s="746"/>
      <c r="M141" s="746"/>
    </row>
    <row r="142" spans="3:13" ht="12">
      <c r="C142" s="931" t="s">
        <v>237</v>
      </c>
      <c r="D142" s="931"/>
      <c r="E142" s="931"/>
      <c r="F142" s="931"/>
      <c r="G142" s="931"/>
      <c r="H142" s="931"/>
      <c r="I142" s="746"/>
      <c r="J142" s="746"/>
      <c r="K142" s="746"/>
      <c r="L142" s="746"/>
      <c r="M142" s="746"/>
    </row>
    <row r="143" spans="3:13" ht="12">
      <c r="C143" s="931" t="s">
        <v>238</v>
      </c>
      <c r="D143" s="931"/>
      <c r="E143" s="931"/>
      <c r="F143" s="931"/>
      <c r="G143" s="931"/>
      <c r="H143" s="931"/>
      <c r="I143" s="746"/>
      <c r="J143" s="746"/>
      <c r="K143" s="746"/>
      <c r="L143" s="746"/>
      <c r="M143" s="746"/>
    </row>
    <row r="144" spans="3:13" ht="12">
      <c r="C144" s="931"/>
      <c r="D144" s="931"/>
      <c r="E144" s="931"/>
      <c r="F144" s="931"/>
      <c r="G144" s="931"/>
      <c r="H144" s="931"/>
      <c r="I144" s="746"/>
      <c r="J144" s="746"/>
      <c r="K144" s="746"/>
      <c r="L144" s="746"/>
      <c r="M144" s="746"/>
    </row>
    <row r="145" spans="3:13" ht="12.75">
      <c r="C145" s="930" t="s">
        <v>239</v>
      </c>
      <c r="D145" s="930"/>
      <c r="E145" s="930"/>
      <c r="F145" s="930"/>
      <c r="G145" s="930"/>
      <c r="H145" s="930"/>
      <c r="I145" s="746"/>
      <c r="J145" s="746"/>
      <c r="K145" s="746"/>
      <c r="L145" s="746"/>
      <c r="M145" s="746"/>
    </row>
    <row r="146" spans="3:13" ht="12">
      <c r="C146" s="931" t="s">
        <v>240</v>
      </c>
      <c r="D146" s="931"/>
      <c r="E146" s="931"/>
      <c r="F146" s="931"/>
      <c r="G146" s="931"/>
      <c r="H146" s="931"/>
      <c r="I146" s="746"/>
      <c r="J146" s="746"/>
      <c r="K146" s="746"/>
      <c r="L146" s="746"/>
      <c r="M146" s="746"/>
    </row>
    <row r="147" spans="3:13" ht="12">
      <c r="C147" s="931"/>
      <c r="D147" s="931"/>
      <c r="E147" s="931"/>
      <c r="F147" s="931"/>
      <c r="G147" s="931"/>
      <c r="H147" s="931"/>
      <c r="I147" s="746"/>
      <c r="J147" s="746"/>
      <c r="K147" s="746"/>
      <c r="L147" s="746"/>
      <c r="M147" s="746"/>
    </row>
    <row r="148" spans="3:13" ht="12.75">
      <c r="C148" s="930" t="s">
        <v>241</v>
      </c>
      <c r="D148" s="930"/>
      <c r="E148" s="930"/>
      <c r="F148" s="930"/>
      <c r="G148" s="930"/>
      <c r="H148" s="930"/>
      <c r="I148" s="746"/>
      <c r="J148" s="746"/>
      <c r="K148" s="746"/>
      <c r="L148" s="746"/>
      <c r="M148" s="746"/>
    </row>
    <row r="149" spans="3:13" ht="12">
      <c r="C149" s="931" t="s">
        <v>242</v>
      </c>
      <c r="D149" s="931"/>
      <c r="E149" s="931"/>
      <c r="F149" s="931"/>
      <c r="G149" s="931"/>
      <c r="H149" s="931"/>
      <c r="I149" s="746"/>
      <c r="J149" s="746"/>
      <c r="K149" s="746"/>
      <c r="L149" s="746"/>
      <c r="M149" s="746"/>
    </row>
    <row r="150" spans="3:13" ht="12">
      <c r="C150" s="931" t="s">
        <v>243</v>
      </c>
      <c r="D150" s="931"/>
      <c r="E150" s="931"/>
      <c r="F150" s="931"/>
      <c r="G150" s="931"/>
      <c r="H150" s="931"/>
      <c r="I150" s="746"/>
      <c r="J150" s="746"/>
      <c r="K150" s="746"/>
      <c r="L150" s="746"/>
      <c r="M150" s="746"/>
    </row>
    <row r="151" spans="3:13">
      <c r="C151" s="746"/>
      <c r="D151" s="746"/>
      <c r="E151" s="746"/>
      <c r="F151" s="746"/>
      <c r="G151" s="746"/>
      <c r="H151" s="746"/>
      <c r="I151" s="746"/>
      <c r="J151" s="746"/>
      <c r="K151" s="746"/>
      <c r="L151" s="746"/>
      <c r="M151" s="746"/>
    </row>
    <row r="152" spans="3:13" ht="15.75">
      <c r="C152" s="928" t="s">
        <v>244</v>
      </c>
      <c r="D152" s="928"/>
      <c r="E152" s="928"/>
      <c r="F152" s="928"/>
      <c r="G152" s="928"/>
      <c r="H152" s="928"/>
      <c r="I152" s="746"/>
      <c r="J152" s="746"/>
      <c r="K152" s="746"/>
      <c r="L152" s="746"/>
      <c r="M152" s="746"/>
    </row>
    <row r="153" spans="3:13" ht="12.75">
      <c r="C153" s="747" t="s">
        <v>245</v>
      </c>
      <c r="D153" s="747" t="s">
        <v>246</v>
      </c>
      <c r="E153" s="747" t="s">
        <v>247</v>
      </c>
      <c r="F153" s="746"/>
      <c r="G153" s="746"/>
      <c r="H153" s="746"/>
      <c r="I153" s="746"/>
      <c r="J153" s="746"/>
      <c r="K153" s="746"/>
      <c r="L153" s="746"/>
      <c r="M153" s="746"/>
    </row>
    <row r="154" spans="3:13" ht="12.75">
      <c r="C154" s="748" t="s">
        <v>248</v>
      </c>
      <c r="D154" s="748" t="s">
        <v>249</v>
      </c>
      <c r="E154" s="748" t="s">
        <v>250</v>
      </c>
      <c r="F154" s="746"/>
      <c r="G154" s="746"/>
      <c r="H154" s="746"/>
      <c r="I154" s="746"/>
      <c r="J154" s="746"/>
      <c r="K154" s="746"/>
      <c r="L154" s="746"/>
      <c r="M154" s="746"/>
    </row>
    <row r="155" spans="3:13" ht="12.75">
      <c r="C155" s="748" t="s">
        <v>15</v>
      </c>
      <c r="D155" s="748" t="s">
        <v>251</v>
      </c>
      <c r="E155" s="929" t="s">
        <v>252</v>
      </c>
      <c r="F155" s="929"/>
      <c r="G155" s="746"/>
      <c r="H155" s="746"/>
      <c r="I155" s="746"/>
      <c r="J155" s="746"/>
      <c r="K155" s="746"/>
      <c r="L155" s="746"/>
      <c r="M155" s="746"/>
    </row>
    <row r="156" spans="3:13" ht="12.75">
      <c r="C156" s="748" t="s">
        <v>253</v>
      </c>
      <c r="D156" s="748" t="s">
        <v>254</v>
      </c>
      <c r="E156" s="929" t="s">
        <v>255</v>
      </c>
      <c r="F156" s="929"/>
      <c r="G156" s="746"/>
      <c r="H156" s="746"/>
      <c r="I156" s="746"/>
      <c r="J156" s="746"/>
      <c r="K156" s="746"/>
      <c r="L156" s="746"/>
      <c r="M156" s="746"/>
    </row>
    <row r="157" spans="3:13" ht="12.75">
      <c r="C157" s="748" t="s">
        <v>256</v>
      </c>
      <c r="D157" s="748" t="s">
        <v>257</v>
      </c>
      <c r="E157" s="929" t="s">
        <v>258</v>
      </c>
      <c r="F157" s="929"/>
      <c r="G157" s="746"/>
      <c r="H157" s="746"/>
      <c r="I157" s="746"/>
      <c r="J157" s="746"/>
      <c r="K157" s="746"/>
      <c r="L157" s="746"/>
      <c r="M157" s="746"/>
    </row>
    <row r="158" spans="3:13" ht="12.75">
      <c r="C158" s="748" t="s">
        <v>23</v>
      </c>
      <c r="D158" s="748" t="s">
        <v>259</v>
      </c>
      <c r="E158" s="929" t="s">
        <v>260</v>
      </c>
      <c r="F158" s="929"/>
      <c r="G158" s="746"/>
      <c r="H158" s="746"/>
      <c r="I158" s="746"/>
      <c r="J158" s="746"/>
      <c r="K158" s="746"/>
      <c r="L158" s="746"/>
      <c r="M158" s="746"/>
    </row>
    <row r="159" spans="3:13" ht="12.75">
      <c r="C159" s="748" t="s">
        <v>261</v>
      </c>
      <c r="D159" s="748" t="s">
        <v>262</v>
      </c>
      <c r="E159" s="929" t="s">
        <v>263</v>
      </c>
      <c r="F159" s="929"/>
      <c r="G159" s="746"/>
      <c r="H159" s="746"/>
      <c r="I159" s="746"/>
      <c r="J159" s="746"/>
      <c r="K159" s="746"/>
      <c r="L159" s="746"/>
      <c r="M159" s="746"/>
    </row>
    <row r="160" spans="3:13" ht="12.75">
      <c r="C160" s="748" t="s">
        <v>264</v>
      </c>
      <c r="D160" s="748" t="s">
        <v>265</v>
      </c>
      <c r="E160" s="929" t="s">
        <v>266</v>
      </c>
      <c r="F160" s="929"/>
      <c r="G160" s="746"/>
      <c r="H160" s="746"/>
      <c r="I160" s="746"/>
      <c r="J160" s="746"/>
      <c r="K160" s="746"/>
      <c r="L160" s="746"/>
      <c r="M160" s="746"/>
    </row>
    <row r="161" spans="3:13" ht="12.75">
      <c r="C161" s="748" t="s">
        <v>144</v>
      </c>
      <c r="D161" s="748" t="s">
        <v>267</v>
      </c>
      <c r="E161" s="929" t="s">
        <v>268</v>
      </c>
      <c r="F161" s="929"/>
      <c r="G161" s="929"/>
      <c r="H161" s="746"/>
      <c r="I161" s="746"/>
      <c r="J161" s="746"/>
      <c r="K161" s="746"/>
      <c r="L161" s="746"/>
      <c r="M161" s="746"/>
    </row>
    <row r="162" spans="3:13" ht="12.75">
      <c r="C162" s="748" t="s">
        <v>269</v>
      </c>
      <c r="D162" s="748" t="s">
        <v>270</v>
      </c>
      <c r="E162" s="929" t="s">
        <v>271</v>
      </c>
      <c r="F162" s="929"/>
      <c r="G162" s="929"/>
      <c r="H162" s="746"/>
      <c r="I162" s="746"/>
      <c r="J162" s="746"/>
      <c r="K162" s="746"/>
      <c r="L162" s="746"/>
      <c r="M162" s="746"/>
    </row>
    <row r="163" spans="3:13" ht="12.75">
      <c r="C163" s="748" t="s">
        <v>272</v>
      </c>
      <c r="D163" s="748" t="s">
        <v>273</v>
      </c>
      <c r="E163" s="929" t="s">
        <v>274</v>
      </c>
      <c r="F163" s="929"/>
      <c r="G163" s="746"/>
      <c r="H163" s="746"/>
      <c r="I163" s="746"/>
      <c r="J163" s="746"/>
      <c r="K163" s="746"/>
      <c r="L163" s="746"/>
      <c r="M163" s="746"/>
    </row>
    <row r="164" spans="3:13" ht="12.75">
      <c r="C164" s="748" t="s">
        <v>275</v>
      </c>
      <c r="D164" s="748" t="s">
        <v>276</v>
      </c>
      <c r="E164" s="929" t="s">
        <v>277</v>
      </c>
      <c r="F164" s="929"/>
      <c r="G164" s="746"/>
      <c r="H164" s="746"/>
      <c r="I164" s="746"/>
      <c r="J164" s="746"/>
      <c r="K164" s="746"/>
      <c r="L164" s="746"/>
      <c r="M164" s="746"/>
    </row>
    <row r="165" spans="3:13" ht="12.75">
      <c r="C165" s="748" t="s">
        <v>278</v>
      </c>
      <c r="D165" s="748" t="s">
        <v>279</v>
      </c>
      <c r="E165" s="929" t="s">
        <v>280</v>
      </c>
      <c r="F165" s="929"/>
      <c r="G165" s="746"/>
      <c r="H165" s="746"/>
      <c r="I165" s="746"/>
      <c r="J165" s="746"/>
      <c r="K165" s="746"/>
      <c r="L165" s="746"/>
      <c r="M165" s="746"/>
    </row>
    <row r="166" spans="3:13" ht="12.75">
      <c r="C166" s="748" t="s">
        <v>281</v>
      </c>
      <c r="D166" s="748" t="s">
        <v>282</v>
      </c>
      <c r="E166" s="929" t="s">
        <v>280</v>
      </c>
      <c r="F166" s="929"/>
      <c r="G166" s="746"/>
      <c r="H166" s="746"/>
      <c r="I166" s="746"/>
      <c r="J166" s="746"/>
      <c r="K166" s="746"/>
      <c r="L166" s="746"/>
      <c r="M166" s="746"/>
    </row>
  </sheetData>
  <mergeCells count="91">
    <mergeCell ref="E165:F165"/>
    <mergeCell ref="E166:F166"/>
    <mergeCell ref="E159:F159"/>
    <mergeCell ref="E160:F160"/>
    <mergeCell ref="E161:G161"/>
    <mergeCell ref="E162:G162"/>
    <mergeCell ref="E163:F163"/>
    <mergeCell ref="E164:F164"/>
    <mergeCell ref="E158:F158"/>
    <mergeCell ref="C144:H144"/>
    <mergeCell ref="C145:H145"/>
    <mergeCell ref="C146:H146"/>
    <mergeCell ref="C147:H147"/>
    <mergeCell ref="C148:H148"/>
    <mergeCell ref="C149:H149"/>
    <mergeCell ref="C150:H150"/>
    <mergeCell ref="C152:H152"/>
    <mergeCell ref="E155:F155"/>
    <mergeCell ref="E156:F156"/>
    <mergeCell ref="E157:F157"/>
    <mergeCell ref="C143:H143"/>
    <mergeCell ref="C116:H116"/>
    <mergeCell ref="C133:H133"/>
    <mergeCell ref="C134:H134"/>
    <mergeCell ref="C135:H135"/>
    <mergeCell ref="C136:H136"/>
    <mergeCell ref="C137:H137"/>
    <mergeCell ref="C138:H138"/>
    <mergeCell ref="C139:H139"/>
    <mergeCell ref="C140:H140"/>
    <mergeCell ref="C141:H141"/>
    <mergeCell ref="C142:H142"/>
    <mergeCell ref="C111:H111"/>
    <mergeCell ref="C112:H112"/>
    <mergeCell ref="C113:H113"/>
    <mergeCell ref="C114:H114"/>
    <mergeCell ref="C109:H109"/>
    <mergeCell ref="C110:H110"/>
    <mergeCell ref="C108:H108"/>
    <mergeCell ref="G95:J95"/>
    <mergeCell ref="G97:H97"/>
    <mergeCell ref="G99:J99"/>
    <mergeCell ref="G100:I100"/>
    <mergeCell ref="C102:H102"/>
    <mergeCell ref="C103:H103"/>
    <mergeCell ref="C104:H104"/>
    <mergeCell ref="C105:H105"/>
    <mergeCell ref="C106:H106"/>
    <mergeCell ref="C107:H107"/>
    <mergeCell ref="G92:J92"/>
    <mergeCell ref="E78:G78"/>
    <mergeCell ref="E79:G79"/>
    <mergeCell ref="E80:I80"/>
    <mergeCell ref="E81:F81"/>
    <mergeCell ref="E82:H82"/>
    <mergeCell ref="E83:H83"/>
    <mergeCell ref="E84:F84"/>
    <mergeCell ref="E85:G85"/>
    <mergeCell ref="E86:F86"/>
    <mergeCell ref="E87:F87"/>
    <mergeCell ref="C90:H90"/>
    <mergeCell ref="C76:H76"/>
    <mergeCell ref="C63:H63"/>
    <mergeCell ref="H65:M65"/>
    <mergeCell ref="H67:L67"/>
    <mergeCell ref="H69:K69"/>
    <mergeCell ref="H66:J66"/>
    <mergeCell ref="H68:L68"/>
    <mergeCell ref="H70:L70"/>
    <mergeCell ref="H71:M71"/>
    <mergeCell ref="H72:M72"/>
    <mergeCell ref="H73:L73"/>
    <mergeCell ref="H74:I74"/>
    <mergeCell ref="C61:H61"/>
    <mergeCell ref="F49:H49"/>
    <mergeCell ref="F50:I50"/>
    <mergeCell ref="F51:H51"/>
    <mergeCell ref="F52:H52"/>
    <mergeCell ref="C54:H54"/>
    <mergeCell ref="C55:H55"/>
    <mergeCell ref="C56:H56"/>
    <mergeCell ref="C57:H57"/>
    <mergeCell ref="C58:H58"/>
    <mergeCell ref="C59:H59"/>
    <mergeCell ref="C60:H60"/>
    <mergeCell ref="F48:H48"/>
    <mergeCell ref="C39:H39"/>
    <mergeCell ref="C40:J40"/>
    <mergeCell ref="C42:H42"/>
    <mergeCell ref="C43:H43"/>
    <mergeCell ref="C46:H46"/>
  </mergeCells>
  <conditionalFormatting sqref="N2:R4 N35:R36 N15:R19 R6 R8:R11 N22:R33">
    <cfRule type="expression" dxfId="142" priority="2">
      <formula>#REF!=5</formula>
    </cfRule>
  </conditionalFormatting>
  <conditionalFormatting sqref="N54:R54">
    <cfRule type="expression" dxfId="141" priority="1">
      <formula>#REF!=5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4A51-6FEF-432A-8C55-939638B7F9F9}">
  <dimension ref="A1:AW116"/>
  <sheetViews>
    <sheetView topLeftCell="A57" workbookViewId="0">
      <selection activeCell="Q51" sqref="Q51"/>
    </sheetView>
  </sheetViews>
  <sheetFormatPr defaultRowHeight="11.25"/>
  <cols>
    <col min="3" max="3" width="27.1640625" customWidth="1"/>
  </cols>
  <sheetData>
    <row r="1" spans="1:49" ht="15">
      <c r="A1" s="765" t="s">
        <v>283</v>
      </c>
      <c r="B1" s="765" t="s">
        <v>283</v>
      </c>
      <c r="C1" s="765" t="s">
        <v>283</v>
      </c>
      <c r="D1" s="765" t="s">
        <v>283</v>
      </c>
      <c r="E1" s="765" t="s">
        <v>283</v>
      </c>
      <c r="F1" s="765" t="s">
        <v>283</v>
      </c>
      <c r="G1" s="765" t="s">
        <v>283</v>
      </c>
      <c r="H1" s="765" t="s">
        <v>283</v>
      </c>
      <c r="I1" s="765" t="s">
        <v>283</v>
      </c>
      <c r="J1" s="765" t="s">
        <v>283</v>
      </c>
      <c r="K1" s="765" t="s">
        <v>283</v>
      </c>
      <c r="L1" s="765" t="s">
        <v>283</v>
      </c>
      <c r="M1" s="765" t="s">
        <v>283</v>
      </c>
      <c r="N1" s="765" t="s">
        <v>283</v>
      </c>
      <c r="O1" s="765" t="s">
        <v>283</v>
      </c>
      <c r="P1" s="765" t="s">
        <v>283</v>
      </c>
      <c r="Q1" s="765" t="s">
        <v>283</v>
      </c>
      <c r="R1" s="765" t="s">
        <v>283</v>
      </c>
      <c r="S1" s="765" t="s">
        <v>283</v>
      </c>
      <c r="T1" s="765" t="s">
        <v>283</v>
      </c>
      <c r="U1" s="765" t="s">
        <v>283</v>
      </c>
      <c r="V1" s="765" t="s">
        <v>283</v>
      </c>
      <c r="W1" s="765" t="s">
        <v>283</v>
      </c>
      <c r="X1" s="765" t="s">
        <v>283</v>
      </c>
      <c r="Y1" s="765" t="s">
        <v>283</v>
      </c>
      <c r="Z1" s="765" t="s">
        <v>283</v>
      </c>
      <c r="AA1" s="765" t="s">
        <v>283</v>
      </c>
      <c r="AB1" s="765" t="s">
        <v>283</v>
      </c>
      <c r="AC1" s="765" t="s">
        <v>283</v>
      </c>
      <c r="AD1" s="765" t="s">
        <v>283</v>
      </c>
      <c r="AE1" s="765" t="s">
        <v>283</v>
      </c>
      <c r="AF1" s="765" t="s">
        <v>283</v>
      </c>
      <c r="AG1" s="765" t="s">
        <v>283</v>
      </c>
      <c r="AH1" s="765" t="s">
        <v>283</v>
      </c>
      <c r="AI1" s="765" t="s">
        <v>283</v>
      </c>
      <c r="AJ1" s="765" t="s">
        <v>283</v>
      </c>
      <c r="AK1" s="765" t="s">
        <v>283</v>
      </c>
      <c r="AL1" s="765" t="s">
        <v>283</v>
      </c>
      <c r="AM1" s="765" t="s">
        <v>283</v>
      </c>
      <c r="AN1" s="765" t="s">
        <v>283</v>
      </c>
      <c r="AO1" s="765" t="s">
        <v>283</v>
      </c>
      <c r="AP1" s="765" t="s">
        <v>283</v>
      </c>
      <c r="AQ1" s="765" t="s">
        <v>283</v>
      </c>
      <c r="AR1" s="765" t="s">
        <v>283</v>
      </c>
      <c r="AS1" s="765" t="s">
        <v>283</v>
      </c>
      <c r="AT1" s="765" t="s">
        <v>283</v>
      </c>
      <c r="AU1" s="765" t="s">
        <v>283</v>
      </c>
      <c r="AV1" s="765" t="s">
        <v>283</v>
      </c>
      <c r="AW1" s="765" t="s">
        <v>283</v>
      </c>
    </row>
    <row r="2" spans="1:49" ht="15">
      <c r="A2" s="765" t="s">
        <v>283</v>
      </c>
      <c r="B2" s="766" t="s">
        <v>283</v>
      </c>
      <c r="C2" s="767" t="s">
        <v>283</v>
      </c>
      <c r="D2" s="767" t="s">
        <v>283</v>
      </c>
      <c r="E2" s="767" t="s">
        <v>283</v>
      </c>
      <c r="F2" s="767" t="s">
        <v>283</v>
      </c>
      <c r="G2" s="767" t="s">
        <v>283</v>
      </c>
      <c r="H2" s="767" t="s">
        <v>283</v>
      </c>
      <c r="I2" s="767" t="s">
        <v>283</v>
      </c>
      <c r="J2" s="767" t="s">
        <v>283</v>
      </c>
      <c r="K2" s="767" t="s">
        <v>283</v>
      </c>
      <c r="L2" s="767" t="s">
        <v>283</v>
      </c>
      <c r="M2" s="767" t="s">
        <v>283</v>
      </c>
      <c r="N2" s="767" t="s">
        <v>283</v>
      </c>
      <c r="O2" s="767" t="s">
        <v>283</v>
      </c>
      <c r="P2" s="767" t="s">
        <v>283</v>
      </c>
      <c r="Q2" s="767" t="s">
        <v>283</v>
      </c>
      <c r="R2" s="767" t="s">
        <v>283</v>
      </c>
      <c r="S2" s="767" t="s">
        <v>283</v>
      </c>
      <c r="T2" s="767" t="s">
        <v>283</v>
      </c>
      <c r="U2" s="767" t="s">
        <v>283</v>
      </c>
      <c r="V2" s="767" t="s">
        <v>283</v>
      </c>
      <c r="W2" s="767" t="s">
        <v>283</v>
      </c>
      <c r="X2" s="767" t="s">
        <v>283</v>
      </c>
      <c r="Y2" s="768" t="s">
        <v>283</v>
      </c>
      <c r="Z2" s="765" t="s">
        <v>283</v>
      </c>
      <c r="AA2" s="765" t="s">
        <v>283</v>
      </c>
      <c r="AB2" s="765" t="s">
        <v>283</v>
      </c>
      <c r="AC2" s="765" t="s">
        <v>283</v>
      </c>
      <c r="AD2" s="765" t="s">
        <v>283</v>
      </c>
      <c r="AE2" s="765" t="s">
        <v>283</v>
      </c>
      <c r="AF2" s="765" t="s">
        <v>283</v>
      </c>
      <c r="AG2" s="765" t="s">
        <v>283</v>
      </c>
      <c r="AH2" s="765" t="s">
        <v>283</v>
      </c>
      <c r="AI2" s="765" t="s">
        <v>283</v>
      </c>
      <c r="AJ2" s="765" t="s">
        <v>283</v>
      </c>
      <c r="AK2" s="765" t="s">
        <v>283</v>
      </c>
      <c r="AL2" s="765" t="s">
        <v>283</v>
      </c>
      <c r="AM2" s="765" t="s">
        <v>283</v>
      </c>
      <c r="AN2" s="765" t="s">
        <v>283</v>
      </c>
      <c r="AO2" s="765" t="s">
        <v>283</v>
      </c>
      <c r="AP2" s="765" t="s">
        <v>283</v>
      </c>
      <c r="AQ2" s="765" t="s">
        <v>283</v>
      </c>
      <c r="AR2" s="765" t="s">
        <v>283</v>
      </c>
      <c r="AS2" s="765" t="s">
        <v>283</v>
      </c>
      <c r="AT2" s="765" t="s">
        <v>283</v>
      </c>
      <c r="AU2" s="765" t="s">
        <v>283</v>
      </c>
      <c r="AV2" s="765" t="s">
        <v>283</v>
      </c>
      <c r="AW2" s="765" t="s">
        <v>283</v>
      </c>
    </row>
    <row r="3" spans="1:49" ht="21">
      <c r="A3" s="765" t="s">
        <v>283</v>
      </c>
      <c r="B3" s="769" t="s">
        <v>283</v>
      </c>
      <c r="C3" s="770" t="s">
        <v>284</v>
      </c>
      <c r="D3" s="771"/>
      <c r="E3" s="771"/>
      <c r="F3" s="771"/>
      <c r="G3" s="771"/>
      <c r="H3" s="771"/>
      <c r="I3" s="771"/>
      <c r="J3" s="771"/>
      <c r="K3" s="771"/>
      <c r="L3" s="771"/>
      <c r="M3" s="771"/>
      <c r="N3" s="771"/>
      <c r="O3" s="771"/>
      <c r="P3" s="771"/>
      <c r="Q3" s="771"/>
      <c r="R3" s="771"/>
      <c r="S3" s="771"/>
      <c r="T3" s="771"/>
      <c r="U3" s="771"/>
      <c r="V3" s="771"/>
      <c r="W3" s="771"/>
      <c r="X3" s="771"/>
      <c r="Y3" s="772" t="s">
        <v>283</v>
      </c>
      <c r="Z3" s="765" t="s">
        <v>283</v>
      </c>
      <c r="AA3" s="765" t="s">
        <v>283</v>
      </c>
      <c r="AB3" s="765" t="s">
        <v>283</v>
      </c>
      <c r="AC3" s="765" t="s">
        <v>283</v>
      </c>
      <c r="AD3" s="765" t="s">
        <v>283</v>
      </c>
      <c r="AE3" s="765" t="s">
        <v>283</v>
      </c>
      <c r="AF3" s="765" t="s">
        <v>283</v>
      </c>
      <c r="AG3" s="765" t="s">
        <v>283</v>
      </c>
      <c r="AH3" s="765" t="s">
        <v>283</v>
      </c>
      <c r="AI3" s="765" t="s">
        <v>283</v>
      </c>
      <c r="AJ3" s="765" t="s">
        <v>283</v>
      </c>
      <c r="AK3" s="765" t="s">
        <v>283</v>
      </c>
      <c r="AL3" s="765" t="s">
        <v>283</v>
      </c>
      <c r="AM3" s="765" t="s">
        <v>283</v>
      </c>
      <c r="AN3" s="765" t="s">
        <v>283</v>
      </c>
      <c r="AO3" s="765" t="s">
        <v>283</v>
      </c>
      <c r="AP3" s="765" t="s">
        <v>283</v>
      </c>
      <c r="AQ3" s="765" t="s">
        <v>283</v>
      </c>
      <c r="AR3" s="765" t="s">
        <v>283</v>
      </c>
      <c r="AS3" s="765" t="s">
        <v>283</v>
      </c>
      <c r="AT3" s="765" t="s">
        <v>283</v>
      </c>
      <c r="AU3" s="765" t="s">
        <v>283</v>
      </c>
      <c r="AV3" s="765" t="s">
        <v>283</v>
      </c>
      <c r="AW3" s="765" t="s">
        <v>283</v>
      </c>
    </row>
    <row r="4" spans="1:49" ht="11.25" customHeight="1">
      <c r="A4" s="765" t="s">
        <v>283</v>
      </c>
      <c r="B4" s="769" t="s">
        <v>283</v>
      </c>
      <c r="C4" s="773" t="s">
        <v>285</v>
      </c>
      <c r="D4" s="932" t="s">
        <v>286</v>
      </c>
      <c r="E4" s="932"/>
      <c r="F4" s="774" t="s">
        <v>283</v>
      </c>
      <c r="G4" s="774" t="s">
        <v>283</v>
      </c>
      <c r="H4" s="774" t="s">
        <v>283</v>
      </c>
      <c r="I4" s="774" t="s">
        <v>283</v>
      </c>
      <c r="J4" s="774" t="s">
        <v>283</v>
      </c>
      <c r="K4" s="774" t="s">
        <v>283</v>
      </c>
      <c r="L4" s="771"/>
      <c r="M4" s="771"/>
      <c r="N4" s="771"/>
      <c r="O4" s="771"/>
      <c r="P4" s="771"/>
      <c r="Q4" s="771"/>
      <c r="R4" s="771"/>
      <c r="S4" s="771"/>
      <c r="T4" s="771"/>
      <c r="U4" s="771"/>
      <c r="V4" s="771"/>
      <c r="W4" s="771"/>
      <c r="X4" s="771"/>
      <c r="Y4" s="772" t="s">
        <v>283</v>
      </c>
      <c r="Z4" s="765" t="s">
        <v>283</v>
      </c>
      <c r="AA4" s="765" t="s">
        <v>283</v>
      </c>
      <c r="AB4" s="765" t="s">
        <v>283</v>
      </c>
      <c r="AC4" s="765" t="s">
        <v>283</v>
      </c>
      <c r="AD4" s="765" t="s">
        <v>283</v>
      </c>
      <c r="AE4" s="765" t="s">
        <v>283</v>
      </c>
      <c r="AF4" s="765" t="s">
        <v>283</v>
      </c>
      <c r="AG4" s="765" t="s">
        <v>283</v>
      </c>
      <c r="AH4" s="765" t="s">
        <v>283</v>
      </c>
      <c r="AI4" s="765" t="s">
        <v>283</v>
      </c>
      <c r="AJ4" s="765" t="s">
        <v>283</v>
      </c>
      <c r="AK4" s="765" t="s">
        <v>283</v>
      </c>
      <c r="AL4" s="765" t="s">
        <v>283</v>
      </c>
      <c r="AM4" s="765" t="s">
        <v>283</v>
      </c>
      <c r="AN4" s="765" t="s">
        <v>283</v>
      </c>
      <c r="AO4" s="765" t="s">
        <v>283</v>
      </c>
      <c r="AP4" s="765" t="s">
        <v>283</v>
      </c>
      <c r="AQ4" s="765" t="s">
        <v>283</v>
      </c>
      <c r="AR4" s="765" t="s">
        <v>283</v>
      </c>
      <c r="AS4" s="765" t="s">
        <v>283</v>
      </c>
      <c r="AT4" s="765" t="s">
        <v>283</v>
      </c>
      <c r="AU4" s="765" t="s">
        <v>283</v>
      </c>
      <c r="AV4" s="765" t="s">
        <v>283</v>
      </c>
      <c r="AW4" s="765" t="s">
        <v>283</v>
      </c>
    </row>
    <row r="5" spans="1:49" ht="59.25">
      <c r="A5" s="765" t="s">
        <v>283</v>
      </c>
      <c r="B5" s="769" t="s">
        <v>283</v>
      </c>
      <c r="C5" s="773" t="s">
        <v>287</v>
      </c>
      <c r="D5" s="775" t="s">
        <v>288</v>
      </c>
      <c r="E5" s="775" t="s">
        <v>289</v>
      </c>
      <c r="F5" s="775" t="s">
        <v>290</v>
      </c>
      <c r="G5" s="775" t="s">
        <v>291</v>
      </c>
      <c r="H5" s="775" t="s">
        <v>292</v>
      </c>
      <c r="I5" s="775" t="s">
        <v>293</v>
      </c>
      <c r="J5" s="775" t="s">
        <v>294</v>
      </c>
      <c r="K5" s="775" t="s">
        <v>295</v>
      </c>
      <c r="L5" s="771"/>
      <c r="M5" s="776" t="s">
        <v>296</v>
      </c>
      <c r="N5" s="776" t="s">
        <v>297</v>
      </c>
      <c r="O5" s="776" t="s">
        <v>298</v>
      </c>
      <c r="P5" s="776" t="s">
        <v>299</v>
      </c>
      <c r="Q5" s="776" t="s">
        <v>300</v>
      </c>
      <c r="R5" s="776" t="s">
        <v>301</v>
      </c>
      <c r="S5" s="776" t="s">
        <v>302</v>
      </c>
      <c r="T5" s="776" t="s">
        <v>303</v>
      </c>
      <c r="U5" s="776" t="s">
        <v>304</v>
      </c>
      <c r="V5" s="776" t="s">
        <v>305</v>
      </c>
      <c r="W5" s="776" t="s">
        <v>306</v>
      </c>
      <c r="X5" s="776" t="s">
        <v>307</v>
      </c>
      <c r="Y5" s="772" t="s">
        <v>283</v>
      </c>
      <c r="Z5" s="765" t="s">
        <v>283</v>
      </c>
      <c r="AA5" s="765" t="s">
        <v>283</v>
      </c>
      <c r="AB5" s="765" t="s">
        <v>283</v>
      </c>
      <c r="AC5" s="765" t="s">
        <v>283</v>
      </c>
      <c r="AD5" s="765" t="s">
        <v>283</v>
      </c>
      <c r="AE5" s="765" t="s">
        <v>283</v>
      </c>
      <c r="AF5" s="765" t="s">
        <v>283</v>
      </c>
      <c r="AG5" s="765" t="s">
        <v>283</v>
      </c>
      <c r="AH5" s="765" t="s">
        <v>283</v>
      </c>
      <c r="AI5" s="765" t="s">
        <v>283</v>
      </c>
      <c r="AJ5" s="765" t="s">
        <v>283</v>
      </c>
      <c r="AK5" s="765" t="s">
        <v>283</v>
      </c>
      <c r="AL5" s="765" t="s">
        <v>283</v>
      </c>
      <c r="AM5" s="765" t="s">
        <v>283</v>
      </c>
      <c r="AN5" s="765" t="s">
        <v>283</v>
      </c>
      <c r="AO5" s="765" t="s">
        <v>283</v>
      </c>
      <c r="AP5" s="765" t="s">
        <v>283</v>
      </c>
      <c r="AQ5" s="765" t="s">
        <v>283</v>
      </c>
      <c r="AR5" s="765" t="s">
        <v>283</v>
      </c>
      <c r="AS5" s="765" t="s">
        <v>283</v>
      </c>
      <c r="AT5" s="765" t="s">
        <v>283</v>
      </c>
      <c r="AU5" s="765" t="s">
        <v>283</v>
      </c>
      <c r="AV5" s="765" t="s">
        <v>283</v>
      </c>
      <c r="AW5" s="765" t="s">
        <v>283</v>
      </c>
    </row>
    <row r="6" spans="1:49" ht="15">
      <c r="A6" s="765" t="s">
        <v>283</v>
      </c>
      <c r="B6" s="769" t="s">
        <v>283</v>
      </c>
      <c r="C6" s="771"/>
      <c r="D6" s="774" t="s">
        <v>283</v>
      </c>
      <c r="E6" s="774" t="s">
        <v>283</v>
      </c>
      <c r="F6" s="774" t="s">
        <v>283</v>
      </c>
      <c r="G6" s="774" t="s">
        <v>283</v>
      </c>
      <c r="H6" s="774" t="s">
        <v>283</v>
      </c>
      <c r="I6" s="774" t="s">
        <v>283</v>
      </c>
      <c r="J6" s="774" t="s">
        <v>283</v>
      </c>
      <c r="K6" s="774" t="s">
        <v>283</v>
      </c>
      <c r="L6" s="771"/>
      <c r="M6" s="773" t="s">
        <v>308</v>
      </c>
      <c r="N6" s="773" t="s">
        <v>309</v>
      </c>
      <c r="O6" s="773" t="s">
        <v>310</v>
      </c>
      <c r="P6" s="773" t="s">
        <v>311</v>
      </c>
      <c r="Q6" s="773" t="s">
        <v>312</v>
      </c>
      <c r="R6" s="773" t="s">
        <v>313</v>
      </c>
      <c r="S6" s="773" t="s">
        <v>314</v>
      </c>
      <c r="T6" s="773" t="s">
        <v>315</v>
      </c>
      <c r="U6" s="773" t="s">
        <v>316</v>
      </c>
      <c r="V6" s="773" t="s">
        <v>317</v>
      </c>
      <c r="W6" s="773" t="s">
        <v>318</v>
      </c>
      <c r="X6" s="773" t="s">
        <v>319</v>
      </c>
      <c r="Y6" s="772" t="s">
        <v>283</v>
      </c>
      <c r="Z6" s="765" t="s">
        <v>283</v>
      </c>
      <c r="AA6" s="765" t="s">
        <v>283</v>
      </c>
      <c r="AB6" s="765" t="s">
        <v>283</v>
      </c>
      <c r="AC6" s="765" t="s">
        <v>283</v>
      </c>
      <c r="AD6" s="765" t="s">
        <v>283</v>
      </c>
      <c r="AE6" s="765" t="s">
        <v>283</v>
      </c>
      <c r="AF6" s="765" t="s">
        <v>283</v>
      </c>
      <c r="AG6" s="765" t="s">
        <v>283</v>
      </c>
      <c r="AH6" s="765" t="s">
        <v>283</v>
      </c>
      <c r="AI6" s="765" t="s">
        <v>283</v>
      </c>
      <c r="AJ6" s="765" t="s">
        <v>283</v>
      </c>
      <c r="AK6" s="765" t="s">
        <v>283</v>
      </c>
      <c r="AL6" s="765" t="s">
        <v>283</v>
      </c>
      <c r="AM6" s="765" t="s">
        <v>283</v>
      </c>
      <c r="AN6" s="765" t="s">
        <v>283</v>
      </c>
      <c r="AO6" s="765" t="s">
        <v>283</v>
      </c>
      <c r="AP6" s="765" t="s">
        <v>283</v>
      </c>
      <c r="AQ6" s="765" t="s">
        <v>283</v>
      </c>
      <c r="AR6" s="765" t="s">
        <v>283</v>
      </c>
      <c r="AS6" s="765" t="s">
        <v>283</v>
      </c>
      <c r="AT6" s="765" t="s">
        <v>283</v>
      </c>
      <c r="AU6" s="765" t="s">
        <v>283</v>
      </c>
      <c r="AV6" s="765" t="s">
        <v>283</v>
      </c>
      <c r="AW6" s="765" t="s">
        <v>283</v>
      </c>
    </row>
    <row r="7" spans="1:49" ht="15">
      <c r="A7" s="765" t="s">
        <v>283</v>
      </c>
      <c r="B7" s="769" t="s">
        <v>283</v>
      </c>
      <c r="C7" s="773" t="s">
        <v>320</v>
      </c>
      <c r="D7" s="774" t="s">
        <v>283</v>
      </c>
      <c r="E7" s="774" t="s">
        <v>283</v>
      </c>
      <c r="F7" s="774" t="s">
        <v>283</v>
      </c>
      <c r="G7" s="774" t="s">
        <v>283</v>
      </c>
      <c r="H7" s="774" t="s">
        <v>283</v>
      </c>
      <c r="I7" s="774" t="s">
        <v>283</v>
      </c>
      <c r="J7" s="774" t="s">
        <v>283</v>
      </c>
      <c r="K7" s="774" t="s">
        <v>283</v>
      </c>
      <c r="L7" s="771"/>
      <c r="M7" s="773" t="s">
        <v>321</v>
      </c>
      <c r="N7" s="773" t="s">
        <v>321</v>
      </c>
      <c r="O7" s="773" t="s">
        <v>321</v>
      </c>
      <c r="P7" s="773" t="s">
        <v>322</v>
      </c>
      <c r="Q7" s="773" t="s">
        <v>323</v>
      </c>
      <c r="R7" s="773" t="s">
        <v>324</v>
      </c>
      <c r="S7" s="773" t="s">
        <v>325</v>
      </c>
      <c r="T7" s="777" t="s">
        <v>326</v>
      </c>
      <c r="U7" s="777" t="s">
        <v>326</v>
      </c>
      <c r="V7" s="777" t="s">
        <v>326</v>
      </c>
      <c r="W7" s="771"/>
      <c r="X7" s="771"/>
      <c r="Y7" s="772" t="s">
        <v>283</v>
      </c>
      <c r="Z7" s="765" t="s">
        <v>283</v>
      </c>
      <c r="AA7" s="765" t="s">
        <v>283</v>
      </c>
      <c r="AB7" s="765" t="s">
        <v>283</v>
      </c>
      <c r="AC7" s="765" t="s">
        <v>283</v>
      </c>
      <c r="AD7" s="765" t="s">
        <v>283</v>
      </c>
      <c r="AE7" s="765" t="s">
        <v>283</v>
      </c>
      <c r="AF7" s="765" t="s">
        <v>283</v>
      </c>
      <c r="AG7" s="765" t="s">
        <v>283</v>
      </c>
      <c r="AH7" s="765" t="s">
        <v>283</v>
      </c>
      <c r="AI7" s="765" t="s">
        <v>283</v>
      </c>
      <c r="AJ7" s="765" t="s">
        <v>283</v>
      </c>
      <c r="AK7" s="765" t="s">
        <v>283</v>
      </c>
      <c r="AL7" s="765" t="s">
        <v>283</v>
      </c>
      <c r="AM7" s="765" t="s">
        <v>283</v>
      </c>
      <c r="AN7" s="765" t="s">
        <v>283</v>
      </c>
      <c r="AO7" s="765" t="s">
        <v>283</v>
      </c>
      <c r="AP7" s="765" t="s">
        <v>283</v>
      </c>
      <c r="AQ7" s="765" t="s">
        <v>283</v>
      </c>
      <c r="AR7" s="765" t="s">
        <v>283</v>
      </c>
      <c r="AS7" s="765" t="s">
        <v>283</v>
      </c>
      <c r="AT7" s="765" t="s">
        <v>283</v>
      </c>
      <c r="AU7" s="765" t="s">
        <v>283</v>
      </c>
      <c r="AV7" s="765" t="s">
        <v>283</v>
      </c>
      <c r="AW7" s="765" t="s">
        <v>283</v>
      </c>
    </row>
    <row r="8" spans="1:49" ht="15">
      <c r="A8" s="765" t="s">
        <v>283</v>
      </c>
      <c r="B8" s="769" t="s">
        <v>283</v>
      </c>
      <c r="C8" s="771"/>
      <c r="D8" s="774" t="s">
        <v>283</v>
      </c>
      <c r="E8" s="774" t="s">
        <v>283</v>
      </c>
      <c r="F8" s="774" t="s">
        <v>283</v>
      </c>
      <c r="G8" s="774" t="s">
        <v>283</v>
      </c>
      <c r="H8" s="774" t="s">
        <v>283</v>
      </c>
      <c r="I8" s="774" t="s">
        <v>283</v>
      </c>
      <c r="J8" s="774" t="s">
        <v>283</v>
      </c>
      <c r="K8" s="774" t="s">
        <v>283</v>
      </c>
      <c r="L8" s="771"/>
      <c r="M8" s="777" t="s">
        <v>327</v>
      </c>
      <c r="N8" s="777" t="s">
        <v>327</v>
      </c>
      <c r="O8" s="777" t="s">
        <v>327</v>
      </c>
      <c r="P8" s="777" t="s">
        <v>327</v>
      </c>
      <c r="Q8" s="777" t="s">
        <v>327</v>
      </c>
      <c r="R8" s="777" t="s">
        <v>327</v>
      </c>
      <c r="S8" s="777" t="s">
        <v>327</v>
      </c>
      <c r="T8" s="771"/>
      <c r="U8" s="771"/>
      <c r="V8" s="771"/>
      <c r="W8" s="771"/>
      <c r="X8" s="771"/>
      <c r="Y8" s="772" t="s">
        <v>283</v>
      </c>
      <c r="Z8" s="765" t="s">
        <v>283</v>
      </c>
      <c r="AA8" s="765" t="s">
        <v>283</v>
      </c>
      <c r="AB8" s="765" t="s">
        <v>283</v>
      </c>
      <c r="AC8" s="765" t="s">
        <v>283</v>
      </c>
      <c r="AD8" s="765" t="s">
        <v>283</v>
      </c>
      <c r="AE8" s="765" t="s">
        <v>283</v>
      </c>
      <c r="AF8" s="765" t="s">
        <v>283</v>
      </c>
      <c r="AG8" s="765" t="s">
        <v>283</v>
      </c>
      <c r="AH8" s="765" t="s">
        <v>283</v>
      </c>
      <c r="AI8" s="765" t="s">
        <v>283</v>
      </c>
      <c r="AJ8" s="765" t="s">
        <v>283</v>
      </c>
      <c r="AK8" s="765" t="s">
        <v>283</v>
      </c>
      <c r="AL8" s="765" t="s">
        <v>283</v>
      </c>
      <c r="AM8" s="765" t="s">
        <v>283</v>
      </c>
      <c r="AN8" s="765" t="s">
        <v>283</v>
      </c>
      <c r="AO8" s="765" t="s">
        <v>283</v>
      </c>
      <c r="AP8" s="765" t="s">
        <v>283</v>
      </c>
      <c r="AQ8" s="765" t="s">
        <v>283</v>
      </c>
      <c r="AR8" s="765" t="s">
        <v>283</v>
      </c>
      <c r="AS8" s="765" t="s">
        <v>283</v>
      </c>
      <c r="AT8" s="765" t="s">
        <v>283</v>
      </c>
      <c r="AU8" s="765" t="s">
        <v>283</v>
      </c>
      <c r="AV8" s="765" t="s">
        <v>283</v>
      </c>
      <c r="AW8" s="765" t="s">
        <v>283</v>
      </c>
    </row>
    <row r="9" spans="1:49" ht="15">
      <c r="A9" s="765" t="s">
        <v>283</v>
      </c>
      <c r="B9" s="769" t="s">
        <v>283</v>
      </c>
      <c r="C9" s="771"/>
      <c r="D9" s="774" t="s">
        <v>283</v>
      </c>
      <c r="E9" s="774" t="s">
        <v>283</v>
      </c>
      <c r="F9" s="774" t="s">
        <v>283</v>
      </c>
      <c r="G9" s="774" t="s">
        <v>283</v>
      </c>
      <c r="H9" s="774" t="s">
        <v>283</v>
      </c>
      <c r="I9" s="774" t="s">
        <v>283</v>
      </c>
      <c r="J9" s="774" t="s">
        <v>283</v>
      </c>
      <c r="K9" s="774" t="s">
        <v>283</v>
      </c>
      <c r="L9" s="771"/>
      <c r="M9" s="771"/>
      <c r="N9" s="771"/>
      <c r="O9" s="771"/>
      <c r="P9" s="771"/>
      <c r="Q9" s="771"/>
      <c r="R9" s="771"/>
      <c r="S9" s="771"/>
      <c r="T9" s="771"/>
      <c r="U9" s="771"/>
      <c r="V9" s="771"/>
      <c r="W9" s="771"/>
      <c r="X9" s="771"/>
      <c r="Y9" s="772" t="s">
        <v>283</v>
      </c>
      <c r="Z9" s="765" t="s">
        <v>283</v>
      </c>
      <c r="AA9" s="765" t="s">
        <v>283</v>
      </c>
      <c r="AB9" s="765" t="s">
        <v>283</v>
      </c>
      <c r="AC9" s="765" t="s">
        <v>283</v>
      </c>
      <c r="AD9" s="765" t="s">
        <v>283</v>
      </c>
      <c r="AE9" s="765" t="s">
        <v>283</v>
      </c>
      <c r="AF9" s="765" t="s">
        <v>283</v>
      </c>
      <c r="AG9" s="765" t="s">
        <v>283</v>
      </c>
      <c r="AH9" s="765" t="s">
        <v>283</v>
      </c>
      <c r="AI9" s="765" t="s">
        <v>283</v>
      </c>
      <c r="AJ9" s="765" t="s">
        <v>283</v>
      </c>
      <c r="AK9" s="765" t="s">
        <v>283</v>
      </c>
      <c r="AL9" s="765" t="s">
        <v>283</v>
      </c>
      <c r="AM9" s="765" t="s">
        <v>283</v>
      </c>
      <c r="AN9" s="765" t="s">
        <v>283</v>
      </c>
      <c r="AO9" s="765" t="s">
        <v>283</v>
      </c>
      <c r="AP9" s="765" t="s">
        <v>283</v>
      </c>
      <c r="AQ9" s="765" t="s">
        <v>283</v>
      </c>
      <c r="AR9" s="765" t="s">
        <v>283</v>
      </c>
      <c r="AS9" s="765" t="s">
        <v>283</v>
      </c>
      <c r="AT9" s="765" t="s">
        <v>283</v>
      </c>
      <c r="AU9" s="765" t="s">
        <v>283</v>
      </c>
      <c r="AV9" s="765" t="s">
        <v>283</v>
      </c>
      <c r="AW9" s="765" t="s">
        <v>283</v>
      </c>
    </row>
    <row r="10" spans="1:49" ht="15">
      <c r="A10" s="765" t="s">
        <v>283</v>
      </c>
      <c r="B10" s="769" t="s">
        <v>283</v>
      </c>
      <c r="C10" s="771"/>
      <c r="D10" s="774" t="s">
        <v>283</v>
      </c>
      <c r="E10" s="774" t="s">
        <v>283</v>
      </c>
      <c r="F10" s="774" t="s">
        <v>283</v>
      </c>
      <c r="G10" s="774" t="s">
        <v>283</v>
      </c>
      <c r="H10" s="774" t="s">
        <v>283</v>
      </c>
      <c r="I10" s="774" t="s">
        <v>283</v>
      </c>
      <c r="J10" s="774" t="s">
        <v>283</v>
      </c>
      <c r="K10" s="774" t="s">
        <v>283</v>
      </c>
      <c r="L10" s="771"/>
      <c r="M10" s="771"/>
      <c r="N10" s="771"/>
      <c r="O10" s="771"/>
      <c r="P10" s="771"/>
      <c r="Q10" s="771"/>
      <c r="R10" s="771"/>
      <c r="S10" s="771"/>
      <c r="T10" s="771"/>
      <c r="U10" s="771"/>
      <c r="V10" s="771"/>
      <c r="W10" s="771"/>
      <c r="X10" s="771"/>
      <c r="Y10" s="772" t="s">
        <v>283</v>
      </c>
      <c r="Z10" s="765" t="s">
        <v>283</v>
      </c>
      <c r="AA10" s="765" t="s">
        <v>283</v>
      </c>
      <c r="AB10" s="765" t="s">
        <v>283</v>
      </c>
      <c r="AC10" s="765" t="s">
        <v>283</v>
      </c>
      <c r="AD10" s="765" t="s">
        <v>283</v>
      </c>
      <c r="AE10" s="765" t="s">
        <v>283</v>
      </c>
      <c r="AF10" s="765" t="s">
        <v>283</v>
      </c>
      <c r="AG10" s="765" t="s">
        <v>283</v>
      </c>
      <c r="AH10" s="765" t="s">
        <v>283</v>
      </c>
      <c r="AI10" s="765" t="s">
        <v>283</v>
      </c>
      <c r="AJ10" s="765" t="s">
        <v>283</v>
      </c>
      <c r="AK10" s="765" t="s">
        <v>283</v>
      </c>
      <c r="AL10" s="765" t="s">
        <v>283</v>
      </c>
      <c r="AM10" s="765" t="s">
        <v>283</v>
      </c>
      <c r="AN10" s="765" t="s">
        <v>283</v>
      </c>
      <c r="AO10" s="765" t="s">
        <v>283</v>
      </c>
      <c r="AP10" s="765" t="s">
        <v>283</v>
      </c>
      <c r="AQ10" s="765" t="s">
        <v>283</v>
      </c>
      <c r="AR10" s="765" t="s">
        <v>283</v>
      </c>
      <c r="AS10" s="765" t="s">
        <v>283</v>
      </c>
      <c r="AT10" s="765" t="s">
        <v>283</v>
      </c>
      <c r="AU10" s="765" t="s">
        <v>283</v>
      </c>
      <c r="AV10" s="765" t="s">
        <v>283</v>
      </c>
      <c r="AW10" s="765" t="s">
        <v>283</v>
      </c>
    </row>
    <row r="11" spans="1:49" ht="15">
      <c r="A11" s="765" t="s">
        <v>283</v>
      </c>
      <c r="B11" s="769" t="s">
        <v>283</v>
      </c>
      <c r="C11" s="778" t="s">
        <v>27</v>
      </c>
      <c r="D11" s="774" t="s">
        <v>283</v>
      </c>
      <c r="E11" s="774" t="s">
        <v>283</v>
      </c>
      <c r="F11" s="774" t="s">
        <v>283</v>
      </c>
      <c r="G11" s="774" t="s">
        <v>283</v>
      </c>
      <c r="H11" s="774" t="s">
        <v>283</v>
      </c>
      <c r="I11" s="774" t="s">
        <v>283</v>
      </c>
      <c r="J11" s="774" t="s">
        <v>283</v>
      </c>
      <c r="K11" s="774" t="s">
        <v>283</v>
      </c>
      <c r="L11" s="774" t="s">
        <v>283</v>
      </c>
      <c r="M11" s="774" t="s">
        <v>283</v>
      </c>
      <c r="N11" s="774" t="s">
        <v>283</v>
      </c>
      <c r="O11" s="774" t="s">
        <v>283</v>
      </c>
      <c r="P11" s="774" t="s">
        <v>283</v>
      </c>
      <c r="Q11" s="774" t="s">
        <v>283</v>
      </c>
      <c r="R11" s="774" t="s">
        <v>283</v>
      </c>
      <c r="S11" s="774" t="s">
        <v>283</v>
      </c>
      <c r="T11" s="774" t="s">
        <v>283</v>
      </c>
      <c r="U11" s="774" t="s">
        <v>283</v>
      </c>
      <c r="V11" s="774" t="s">
        <v>283</v>
      </c>
      <c r="W11" s="774" t="s">
        <v>283</v>
      </c>
      <c r="X11" s="774" t="s">
        <v>283</v>
      </c>
      <c r="Y11" s="772" t="s">
        <v>283</v>
      </c>
      <c r="Z11" s="765" t="s">
        <v>283</v>
      </c>
      <c r="AA11" s="765" t="s">
        <v>283</v>
      </c>
      <c r="AB11" s="765" t="s">
        <v>283</v>
      </c>
      <c r="AC11" s="765" t="s">
        <v>283</v>
      </c>
      <c r="AD11" s="765" t="s">
        <v>283</v>
      </c>
      <c r="AE11" s="765" t="s">
        <v>283</v>
      </c>
      <c r="AF11" s="765" t="s">
        <v>283</v>
      </c>
      <c r="AG11" s="765" t="s">
        <v>283</v>
      </c>
      <c r="AH11" s="765" t="s">
        <v>283</v>
      </c>
      <c r="AI11" s="765" t="s">
        <v>283</v>
      </c>
      <c r="AJ11" s="765" t="s">
        <v>283</v>
      </c>
      <c r="AK11" s="765" t="s">
        <v>283</v>
      </c>
      <c r="AL11" s="765" t="s">
        <v>283</v>
      </c>
      <c r="AM11" s="765" t="s">
        <v>283</v>
      </c>
      <c r="AN11" s="765" t="s">
        <v>283</v>
      </c>
      <c r="AO11" s="765" t="s">
        <v>283</v>
      </c>
      <c r="AP11" s="765" t="s">
        <v>283</v>
      </c>
      <c r="AQ11" s="765" t="s">
        <v>283</v>
      </c>
      <c r="AR11" s="765" t="s">
        <v>283</v>
      </c>
      <c r="AS11" s="765" t="s">
        <v>283</v>
      </c>
      <c r="AT11" s="765" t="s">
        <v>283</v>
      </c>
      <c r="AU11" s="765" t="s">
        <v>283</v>
      </c>
      <c r="AV11" s="765" t="s">
        <v>283</v>
      </c>
      <c r="AW11" s="765" t="s">
        <v>283</v>
      </c>
    </row>
    <row r="12" spans="1:49" ht="15">
      <c r="A12" s="765" t="s">
        <v>283</v>
      </c>
      <c r="B12" s="769" t="s">
        <v>283</v>
      </c>
      <c r="C12" s="773" t="s">
        <v>328</v>
      </c>
      <c r="D12" s="774" t="s">
        <v>283</v>
      </c>
      <c r="E12" s="774" t="s">
        <v>283</v>
      </c>
      <c r="F12" s="774" t="s">
        <v>283</v>
      </c>
      <c r="G12" s="774" t="s">
        <v>283</v>
      </c>
      <c r="H12" s="774" t="s">
        <v>283</v>
      </c>
      <c r="I12" s="774" t="s">
        <v>283</v>
      </c>
      <c r="J12" s="774" t="s">
        <v>283</v>
      </c>
      <c r="K12" s="774" t="s">
        <v>283</v>
      </c>
      <c r="L12" s="771"/>
      <c r="M12" s="771"/>
      <c r="N12" s="771"/>
      <c r="O12" s="771"/>
      <c r="P12" s="771"/>
      <c r="Q12" s="771"/>
      <c r="R12" s="771"/>
      <c r="S12" s="771"/>
      <c r="T12" s="771"/>
      <c r="U12" s="771"/>
      <c r="V12" s="771"/>
      <c r="W12" s="771"/>
      <c r="X12" s="771"/>
      <c r="Y12" s="772" t="s">
        <v>283</v>
      </c>
      <c r="Z12" s="765" t="s">
        <v>283</v>
      </c>
      <c r="AA12" s="765" t="s">
        <v>283</v>
      </c>
      <c r="AB12" s="765" t="s">
        <v>283</v>
      </c>
      <c r="AC12" s="765" t="s">
        <v>283</v>
      </c>
      <c r="AD12" s="765" t="s">
        <v>283</v>
      </c>
      <c r="AE12" s="765" t="s">
        <v>283</v>
      </c>
      <c r="AF12" s="765" t="s">
        <v>283</v>
      </c>
      <c r="AG12" s="765" t="s">
        <v>283</v>
      </c>
      <c r="AH12" s="765" t="s">
        <v>283</v>
      </c>
      <c r="AI12" s="765" t="s">
        <v>283</v>
      </c>
      <c r="AJ12" s="765" t="s">
        <v>283</v>
      </c>
      <c r="AK12" s="765" t="s">
        <v>283</v>
      </c>
      <c r="AL12" s="765" t="s">
        <v>283</v>
      </c>
      <c r="AM12" s="765" t="s">
        <v>283</v>
      </c>
      <c r="AN12" s="765" t="s">
        <v>283</v>
      </c>
      <c r="AO12" s="765" t="s">
        <v>283</v>
      </c>
      <c r="AP12" s="765" t="s">
        <v>283</v>
      </c>
      <c r="AQ12" s="765" t="s">
        <v>283</v>
      </c>
      <c r="AR12" s="765" t="s">
        <v>283</v>
      </c>
      <c r="AS12" s="765" t="s">
        <v>283</v>
      </c>
      <c r="AT12" s="765" t="s">
        <v>283</v>
      </c>
      <c r="AU12" s="765" t="s">
        <v>283</v>
      </c>
      <c r="AV12" s="765" t="s">
        <v>283</v>
      </c>
      <c r="AW12" s="765" t="s">
        <v>283</v>
      </c>
    </row>
    <row r="13" spans="1:49" ht="15">
      <c r="A13" s="765" t="s">
        <v>283</v>
      </c>
      <c r="B13" s="769" t="s">
        <v>283</v>
      </c>
      <c r="C13" s="773" t="s">
        <v>329</v>
      </c>
      <c r="D13" s="780">
        <v>1433000</v>
      </c>
      <c r="E13" s="780">
        <v>1465429</v>
      </c>
      <c r="F13" s="782">
        <v>-845000</v>
      </c>
      <c r="G13" s="780">
        <v>3370000</v>
      </c>
      <c r="H13" s="780">
        <v>572000</v>
      </c>
      <c r="I13" s="780">
        <v>2578000</v>
      </c>
      <c r="J13" s="780">
        <v>1480750</v>
      </c>
      <c r="K13" s="779">
        <v>1.01</v>
      </c>
      <c r="L13" s="771"/>
      <c r="M13" s="783">
        <v>3370000</v>
      </c>
      <c r="N13" s="783">
        <v>2797000</v>
      </c>
      <c r="O13" s="783">
        <v>2359000</v>
      </c>
      <c r="P13" s="783">
        <v>1433000</v>
      </c>
      <c r="Q13" s="783">
        <v>675000</v>
      </c>
      <c r="R13" s="783">
        <v>469000</v>
      </c>
      <c r="S13" s="785">
        <v>-845000</v>
      </c>
      <c r="T13" s="773"/>
      <c r="U13" s="773"/>
      <c r="V13" s="773"/>
      <c r="W13" s="773"/>
      <c r="X13" s="773"/>
      <c r="Y13" s="772" t="s">
        <v>283</v>
      </c>
      <c r="Z13" s="765" t="s">
        <v>283</v>
      </c>
      <c r="AA13" s="765" t="s">
        <v>283</v>
      </c>
      <c r="AB13" s="765" t="s">
        <v>283</v>
      </c>
      <c r="AC13" s="765" t="s">
        <v>283</v>
      </c>
      <c r="AD13" s="765" t="s">
        <v>283</v>
      </c>
      <c r="AE13" s="765" t="s">
        <v>283</v>
      </c>
      <c r="AF13" s="765" t="s">
        <v>283</v>
      </c>
      <c r="AG13" s="765" t="s">
        <v>283</v>
      </c>
      <c r="AH13" s="765" t="s">
        <v>283</v>
      </c>
      <c r="AI13" s="765" t="s">
        <v>283</v>
      </c>
      <c r="AJ13" s="765" t="s">
        <v>283</v>
      </c>
      <c r="AK13" s="765" t="s">
        <v>283</v>
      </c>
      <c r="AL13" s="765" t="s">
        <v>283</v>
      </c>
      <c r="AM13" s="765" t="s">
        <v>283</v>
      </c>
      <c r="AN13" s="765" t="s">
        <v>283</v>
      </c>
      <c r="AO13" s="765" t="s">
        <v>283</v>
      </c>
      <c r="AP13" s="765" t="s">
        <v>283</v>
      </c>
      <c r="AQ13" s="765" t="s">
        <v>283</v>
      </c>
      <c r="AR13" s="765" t="s">
        <v>283</v>
      </c>
      <c r="AS13" s="765" t="s">
        <v>283</v>
      </c>
      <c r="AT13" s="765" t="s">
        <v>283</v>
      </c>
      <c r="AU13" s="765" t="s">
        <v>283</v>
      </c>
      <c r="AV13" s="765" t="s">
        <v>283</v>
      </c>
      <c r="AW13" s="765" t="s">
        <v>283</v>
      </c>
    </row>
    <row r="14" spans="1:49" ht="15">
      <c r="A14" s="765" t="s">
        <v>283</v>
      </c>
      <c r="B14" s="769" t="s">
        <v>283</v>
      </c>
      <c r="C14" s="776" t="s">
        <v>330</v>
      </c>
      <c r="D14" s="787">
        <v>254595</v>
      </c>
      <c r="E14" s="787">
        <v>861057</v>
      </c>
      <c r="F14" s="789">
        <v>-845000</v>
      </c>
      <c r="G14" s="787">
        <v>3370000</v>
      </c>
      <c r="H14" s="787">
        <v>3574</v>
      </c>
      <c r="I14" s="787">
        <v>1664500</v>
      </c>
      <c r="J14" s="787">
        <v>1324367</v>
      </c>
      <c r="K14" s="786">
        <v>1.54</v>
      </c>
      <c r="L14" s="790" t="s">
        <v>283</v>
      </c>
      <c r="M14" s="792">
        <v>3370000</v>
      </c>
      <c r="N14" s="792">
        <v>2797000</v>
      </c>
      <c r="O14" s="792">
        <v>2359000</v>
      </c>
      <c r="P14" s="792">
        <v>1433000</v>
      </c>
      <c r="Q14" s="792">
        <v>675000</v>
      </c>
      <c r="R14" s="792">
        <v>469000</v>
      </c>
      <c r="S14" s="794">
        <v>-845000</v>
      </c>
      <c r="T14" s="792">
        <v>40190</v>
      </c>
      <c r="U14" s="792">
        <v>3756</v>
      </c>
      <c r="V14" s="792">
        <v>27000</v>
      </c>
      <c r="W14" s="792">
        <v>3030</v>
      </c>
      <c r="X14" s="791">
        <v>713</v>
      </c>
      <c r="Y14" s="772" t="s">
        <v>283</v>
      </c>
      <c r="Z14" s="765" t="s">
        <v>283</v>
      </c>
      <c r="AA14" s="765" t="s">
        <v>283</v>
      </c>
      <c r="AB14" s="765" t="s">
        <v>283</v>
      </c>
      <c r="AC14" s="765" t="s">
        <v>283</v>
      </c>
      <c r="AD14" s="765" t="s">
        <v>283</v>
      </c>
      <c r="AE14" s="765" t="s">
        <v>283</v>
      </c>
      <c r="AF14" s="765" t="s">
        <v>283</v>
      </c>
      <c r="AG14" s="765" t="s">
        <v>283</v>
      </c>
      <c r="AH14" s="765" t="s">
        <v>283</v>
      </c>
      <c r="AI14" s="765" t="s">
        <v>283</v>
      </c>
      <c r="AJ14" s="765" t="s">
        <v>283</v>
      </c>
      <c r="AK14" s="765" t="s">
        <v>283</v>
      </c>
      <c r="AL14" s="765" t="s">
        <v>283</v>
      </c>
      <c r="AM14" s="765" t="s">
        <v>283</v>
      </c>
      <c r="AN14" s="765" t="s">
        <v>283</v>
      </c>
      <c r="AO14" s="765" t="s">
        <v>283</v>
      </c>
      <c r="AP14" s="765" t="s">
        <v>283</v>
      </c>
      <c r="AQ14" s="765" t="s">
        <v>283</v>
      </c>
      <c r="AR14" s="765" t="s">
        <v>283</v>
      </c>
      <c r="AS14" s="765" t="s">
        <v>283</v>
      </c>
      <c r="AT14" s="765" t="s">
        <v>283</v>
      </c>
      <c r="AU14" s="765" t="s">
        <v>283</v>
      </c>
      <c r="AV14" s="765" t="s">
        <v>283</v>
      </c>
      <c r="AW14" s="765" t="s">
        <v>283</v>
      </c>
    </row>
    <row r="15" spans="1:49" ht="15">
      <c r="A15" s="765" t="s">
        <v>283</v>
      </c>
      <c r="B15" s="769" t="s">
        <v>283</v>
      </c>
      <c r="C15" s="773" t="s">
        <v>331</v>
      </c>
      <c r="D15" s="780">
        <v>1356000</v>
      </c>
      <c r="E15" s="780">
        <v>1392143</v>
      </c>
      <c r="F15" s="780">
        <v>963000</v>
      </c>
      <c r="G15" s="780">
        <v>1914000</v>
      </c>
      <c r="H15" s="780">
        <v>1195000</v>
      </c>
      <c r="I15" s="780">
        <v>1561000</v>
      </c>
      <c r="J15" s="780">
        <v>324422</v>
      </c>
      <c r="K15" s="779">
        <v>0.23</v>
      </c>
      <c r="L15" s="771"/>
      <c r="M15" s="783">
        <v>1914000</v>
      </c>
      <c r="N15" s="783">
        <v>1623000</v>
      </c>
      <c r="O15" s="783">
        <v>1499000</v>
      </c>
      <c r="P15" s="783">
        <v>1356000</v>
      </c>
      <c r="Q15" s="783">
        <v>1070000</v>
      </c>
      <c r="R15" s="783">
        <v>963000</v>
      </c>
      <c r="S15" s="783">
        <v>1320000</v>
      </c>
      <c r="T15" s="773"/>
      <c r="U15" s="773"/>
      <c r="V15" s="773"/>
      <c r="W15" s="773"/>
      <c r="X15" s="773"/>
      <c r="Y15" s="772" t="s">
        <v>283</v>
      </c>
      <c r="Z15" s="765" t="s">
        <v>283</v>
      </c>
      <c r="AA15" s="765" t="s">
        <v>283</v>
      </c>
      <c r="AB15" s="765" t="s">
        <v>283</v>
      </c>
      <c r="AC15" s="765" t="s">
        <v>283</v>
      </c>
      <c r="AD15" s="765" t="s">
        <v>283</v>
      </c>
      <c r="AE15" s="765" t="s">
        <v>283</v>
      </c>
      <c r="AF15" s="765" t="s">
        <v>283</v>
      </c>
      <c r="AG15" s="765" t="s">
        <v>283</v>
      </c>
      <c r="AH15" s="765" t="s">
        <v>283</v>
      </c>
      <c r="AI15" s="765" t="s">
        <v>283</v>
      </c>
      <c r="AJ15" s="765" t="s">
        <v>283</v>
      </c>
      <c r="AK15" s="765" t="s">
        <v>283</v>
      </c>
      <c r="AL15" s="765" t="s">
        <v>283</v>
      </c>
      <c r="AM15" s="765" t="s">
        <v>283</v>
      </c>
      <c r="AN15" s="765" t="s">
        <v>283</v>
      </c>
      <c r="AO15" s="765" t="s">
        <v>283</v>
      </c>
      <c r="AP15" s="765" t="s">
        <v>283</v>
      </c>
      <c r="AQ15" s="765" t="s">
        <v>283</v>
      </c>
      <c r="AR15" s="765" t="s">
        <v>283</v>
      </c>
      <c r="AS15" s="765" t="s">
        <v>283</v>
      </c>
      <c r="AT15" s="765" t="s">
        <v>283</v>
      </c>
      <c r="AU15" s="765" t="s">
        <v>283</v>
      </c>
      <c r="AV15" s="765" t="s">
        <v>283</v>
      </c>
      <c r="AW15" s="765" t="s">
        <v>283</v>
      </c>
    </row>
    <row r="16" spans="1:49" ht="15">
      <c r="A16" s="765" t="s">
        <v>283</v>
      </c>
      <c r="B16" s="769" t="s">
        <v>283</v>
      </c>
      <c r="C16" s="776" t="s">
        <v>332</v>
      </c>
      <c r="D16" s="787">
        <v>77000</v>
      </c>
      <c r="E16" s="787">
        <v>73286</v>
      </c>
      <c r="F16" s="789">
        <v>-2165000</v>
      </c>
      <c r="G16" s="787">
        <v>1456000</v>
      </c>
      <c r="H16" s="789">
        <v>-444500</v>
      </c>
      <c r="I16" s="787">
        <v>1017000</v>
      </c>
      <c r="J16" s="787">
        <v>1244550</v>
      </c>
      <c r="K16" s="786">
        <v>16.98</v>
      </c>
      <c r="L16" s="790" t="s">
        <v>283</v>
      </c>
      <c r="M16" s="792">
        <v>1456000</v>
      </c>
      <c r="N16" s="792">
        <v>1174000</v>
      </c>
      <c r="O16" s="792">
        <v>860000</v>
      </c>
      <c r="P16" s="792">
        <v>77000</v>
      </c>
      <c r="Q16" s="794">
        <v>-395000</v>
      </c>
      <c r="R16" s="794">
        <v>-494000</v>
      </c>
      <c r="S16" s="794">
        <v>-2165000</v>
      </c>
      <c r="T16" s="791" t="s">
        <v>283</v>
      </c>
      <c r="U16" s="791" t="s">
        <v>283</v>
      </c>
      <c r="V16" s="791" t="s">
        <v>283</v>
      </c>
      <c r="W16" s="791" t="s">
        <v>283</v>
      </c>
      <c r="X16" s="791" t="s">
        <v>283</v>
      </c>
      <c r="Y16" s="772" t="s">
        <v>283</v>
      </c>
      <c r="Z16" s="765" t="s">
        <v>283</v>
      </c>
      <c r="AA16" s="765" t="s">
        <v>283</v>
      </c>
      <c r="AB16" s="765" t="s">
        <v>283</v>
      </c>
      <c r="AC16" s="765" t="s">
        <v>283</v>
      </c>
      <c r="AD16" s="765" t="s">
        <v>283</v>
      </c>
      <c r="AE16" s="765" t="s">
        <v>283</v>
      </c>
      <c r="AF16" s="765" t="s">
        <v>283</v>
      </c>
      <c r="AG16" s="765" t="s">
        <v>283</v>
      </c>
      <c r="AH16" s="765" t="s">
        <v>283</v>
      </c>
      <c r="AI16" s="765" t="s">
        <v>283</v>
      </c>
      <c r="AJ16" s="765" t="s">
        <v>283</v>
      </c>
      <c r="AK16" s="765" t="s">
        <v>283</v>
      </c>
      <c r="AL16" s="765" t="s">
        <v>283</v>
      </c>
      <c r="AM16" s="765" t="s">
        <v>283</v>
      </c>
      <c r="AN16" s="765" t="s">
        <v>283</v>
      </c>
      <c r="AO16" s="765" t="s">
        <v>283</v>
      </c>
      <c r="AP16" s="765" t="s">
        <v>283</v>
      </c>
      <c r="AQ16" s="765" t="s">
        <v>283</v>
      </c>
      <c r="AR16" s="765" t="s">
        <v>283</v>
      </c>
      <c r="AS16" s="765" t="s">
        <v>283</v>
      </c>
      <c r="AT16" s="765" t="s">
        <v>283</v>
      </c>
      <c r="AU16" s="765" t="s">
        <v>283</v>
      </c>
      <c r="AV16" s="765" t="s">
        <v>283</v>
      </c>
      <c r="AW16" s="765" t="s">
        <v>283</v>
      </c>
    </row>
    <row r="17" spans="1:49" ht="15">
      <c r="A17" s="765" t="s">
        <v>283</v>
      </c>
      <c r="B17" s="769" t="s">
        <v>283</v>
      </c>
      <c r="C17" s="778" t="s">
        <v>333</v>
      </c>
      <c r="D17" s="774" t="s">
        <v>283</v>
      </c>
      <c r="E17" s="774" t="s">
        <v>283</v>
      </c>
      <c r="F17" s="774" t="s">
        <v>283</v>
      </c>
      <c r="G17" s="774" t="s">
        <v>283</v>
      </c>
      <c r="H17" s="774" t="s">
        <v>283</v>
      </c>
      <c r="I17" s="774" t="s">
        <v>283</v>
      </c>
      <c r="J17" s="774" t="s">
        <v>283</v>
      </c>
      <c r="K17" s="774" t="s">
        <v>283</v>
      </c>
      <c r="L17" s="774" t="s">
        <v>283</v>
      </c>
      <c r="M17" s="774" t="s">
        <v>283</v>
      </c>
      <c r="N17" s="774" t="s">
        <v>283</v>
      </c>
      <c r="O17" s="774" t="s">
        <v>283</v>
      </c>
      <c r="P17" s="774" t="s">
        <v>283</v>
      </c>
      <c r="Q17" s="774" t="s">
        <v>283</v>
      </c>
      <c r="R17" s="774" t="s">
        <v>283</v>
      </c>
      <c r="S17" s="774" t="s">
        <v>283</v>
      </c>
      <c r="T17" s="774" t="s">
        <v>283</v>
      </c>
      <c r="U17" s="774" t="s">
        <v>283</v>
      </c>
      <c r="V17" s="774" t="s">
        <v>283</v>
      </c>
      <c r="W17" s="774" t="s">
        <v>283</v>
      </c>
      <c r="X17" s="774" t="s">
        <v>283</v>
      </c>
      <c r="Y17" s="772" t="s">
        <v>283</v>
      </c>
      <c r="Z17" s="765" t="s">
        <v>283</v>
      </c>
      <c r="AA17" s="765" t="s">
        <v>283</v>
      </c>
      <c r="AB17" s="765" t="s">
        <v>283</v>
      </c>
      <c r="AC17" s="765" t="s">
        <v>283</v>
      </c>
      <c r="AD17" s="765" t="s">
        <v>283</v>
      </c>
      <c r="AE17" s="765" t="s">
        <v>283</v>
      </c>
      <c r="AF17" s="765" t="s">
        <v>283</v>
      </c>
      <c r="AG17" s="765" t="s">
        <v>283</v>
      </c>
      <c r="AH17" s="765" t="s">
        <v>283</v>
      </c>
      <c r="AI17" s="765" t="s">
        <v>283</v>
      </c>
      <c r="AJ17" s="765" t="s">
        <v>283</v>
      </c>
      <c r="AK17" s="765" t="s">
        <v>283</v>
      </c>
      <c r="AL17" s="765" t="s">
        <v>283</v>
      </c>
      <c r="AM17" s="765" t="s">
        <v>283</v>
      </c>
      <c r="AN17" s="765" t="s">
        <v>283</v>
      </c>
      <c r="AO17" s="765" t="s">
        <v>283</v>
      </c>
      <c r="AP17" s="765" t="s">
        <v>283</v>
      </c>
      <c r="AQ17" s="765" t="s">
        <v>283</v>
      </c>
      <c r="AR17" s="765" t="s">
        <v>283</v>
      </c>
      <c r="AS17" s="765" t="s">
        <v>283</v>
      </c>
      <c r="AT17" s="765" t="s">
        <v>283</v>
      </c>
      <c r="AU17" s="765" t="s">
        <v>283</v>
      </c>
      <c r="AV17" s="765" t="s">
        <v>283</v>
      </c>
      <c r="AW17" s="765" t="s">
        <v>283</v>
      </c>
    </row>
    <row r="18" spans="1:49" ht="15">
      <c r="A18" s="765" t="s">
        <v>283</v>
      </c>
      <c r="B18" s="769" t="s">
        <v>283</v>
      </c>
      <c r="C18" s="773" t="s">
        <v>334</v>
      </c>
      <c r="D18" s="774" t="s">
        <v>283</v>
      </c>
      <c r="E18" s="774" t="s">
        <v>283</v>
      </c>
      <c r="F18" s="774" t="s">
        <v>283</v>
      </c>
      <c r="G18" s="774" t="s">
        <v>283</v>
      </c>
      <c r="H18" s="774" t="s">
        <v>283</v>
      </c>
      <c r="I18" s="774" t="s">
        <v>283</v>
      </c>
      <c r="J18" s="774" t="s">
        <v>283</v>
      </c>
      <c r="K18" s="774" t="s">
        <v>283</v>
      </c>
      <c r="L18" s="771"/>
      <c r="M18" s="771"/>
      <c r="N18" s="771"/>
      <c r="O18" s="771"/>
      <c r="P18" s="771"/>
      <c r="Q18" s="771"/>
      <c r="R18" s="771"/>
      <c r="S18" s="771"/>
      <c r="T18" s="771"/>
      <c r="U18" s="771"/>
      <c r="V18" s="771"/>
      <c r="W18" s="771"/>
      <c r="X18" s="771"/>
      <c r="Y18" s="772" t="s">
        <v>283</v>
      </c>
      <c r="Z18" s="765" t="s">
        <v>283</v>
      </c>
      <c r="AA18" s="765" t="s">
        <v>283</v>
      </c>
      <c r="AB18" s="765" t="s">
        <v>283</v>
      </c>
      <c r="AC18" s="765" t="s">
        <v>283</v>
      </c>
      <c r="AD18" s="765" t="s">
        <v>283</v>
      </c>
      <c r="AE18" s="765" t="s">
        <v>283</v>
      </c>
      <c r="AF18" s="765" t="s">
        <v>283</v>
      </c>
      <c r="AG18" s="765" t="s">
        <v>283</v>
      </c>
      <c r="AH18" s="765" t="s">
        <v>283</v>
      </c>
      <c r="AI18" s="765" t="s">
        <v>283</v>
      </c>
      <c r="AJ18" s="765" t="s">
        <v>283</v>
      </c>
      <c r="AK18" s="765" t="s">
        <v>283</v>
      </c>
      <c r="AL18" s="765" t="s">
        <v>283</v>
      </c>
      <c r="AM18" s="765" t="s">
        <v>283</v>
      </c>
      <c r="AN18" s="765" t="s">
        <v>283</v>
      </c>
      <c r="AO18" s="765" t="s">
        <v>283</v>
      </c>
      <c r="AP18" s="765" t="s">
        <v>283</v>
      </c>
      <c r="AQ18" s="765" t="s">
        <v>283</v>
      </c>
      <c r="AR18" s="765" t="s">
        <v>283</v>
      </c>
      <c r="AS18" s="765" t="s">
        <v>283</v>
      </c>
      <c r="AT18" s="765" t="s">
        <v>283</v>
      </c>
      <c r="AU18" s="765" t="s">
        <v>283</v>
      </c>
      <c r="AV18" s="765" t="s">
        <v>283</v>
      </c>
      <c r="AW18" s="765" t="s">
        <v>283</v>
      </c>
    </row>
    <row r="19" spans="1:49" ht="15">
      <c r="A19" s="765" t="s">
        <v>283</v>
      </c>
      <c r="B19" s="769" t="s">
        <v>283</v>
      </c>
      <c r="C19" s="773" t="s">
        <v>335</v>
      </c>
      <c r="D19" s="780">
        <v>512000</v>
      </c>
      <c r="E19" s="780">
        <v>477286</v>
      </c>
      <c r="F19" s="780">
        <v>304000</v>
      </c>
      <c r="G19" s="780">
        <v>646000</v>
      </c>
      <c r="H19" s="780">
        <v>392500</v>
      </c>
      <c r="I19" s="780">
        <v>547000</v>
      </c>
      <c r="J19" s="780">
        <v>124269</v>
      </c>
      <c r="K19" s="779">
        <v>0.26</v>
      </c>
      <c r="L19" s="771"/>
      <c r="M19" s="783">
        <v>459000</v>
      </c>
      <c r="N19" s="783">
        <v>512000</v>
      </c>
      <c r="O19" s="783">
        <v>550000</v>
      </c>
      <c r="P19" s="783">
        <v>646000</v>
      </c>
      <c r="Q19" s="783">
        <v>544000</v>
      </c>
      <c r="R19" s="783">
        <v>326000</v>
      </c>
      <c r="S19" s="783">
        <v>304000</v>
      </c>
      <c r="T19" s="773"/>
      <c r="U19" s="773"/>
      <c r="V19" s="773"/>
      <c r="W19" s="773"/>
      <c r="X19" s="773"/>
      <c r="Y19" s="772" t="s">
        <v>283</v>
      </c>
      <c r="Z19" s="765" t="s">
        <v>283</v>
      </c>
      <c r="AA19" s="765" t="s">
        <v>283</v>
      </c>
      <c r="AB19" s="765" t="s">
        <v>283</v>
      </c>
      <c r="AC19" s="765" t="s">
        <v>283</v>
      </c>
      <c r="AD19" s="765" t="s">
        <v>283</v>
      </c>
      <c r="AE19" s="765" t="s">
        <v>283</v>
      </c>
      <c r="AF19" s="765" t="s">
        <v>283</v>
      </c>
      <c r="AG19" s="765" t="s">
        <v>283</v>
      </c>
      <c r="AH19" s="765" t="s">
        <v>283</v>
      </c>
      <c r="AI19" s="765" t="s">
        <v>283</v>
      </c>
      <c r="AJ19" s="765" t="s">
        <v>283</v>
      </c>
      <c r="AK19" s="765" t="s">
        <v>283</v>
      </c>
      <c r="AL19" s="765" t="s">
        <v>283</v>
      </c>
      <c r="AM19" s="765" t="s">
        <v>283</v>
      </c>
      <c r="AN19" s="765" t="s">
        <v>283</v>
      </c>
      <c r="AO19" s="765" t="s">
        <v>283</v>
      </c>
      <c r="AP19" s="765" t="s">
        <v>283</v>
      </c>
      <c r="AQ19" s="765" t="s">
        <v>283</v>
      </c>
      <c r="AR19" s="765" t="s">
        <v>283</v>
      </c>
      <c r="AS19" s="765" t="s">
        <v>283</v>
      </c>
      <c r="AT19" s="765" t="s">
        <v>283</v>
      </c>
      <c r="AU19" s="765" t="s">
        <v>283</v>
      </c>
      <c r="AV19" s="765" t="s">
        <v>283</v>
      </c>
      <c r="AW19" s="765" t="s">
        <v>283</v>
      </c>
    </row>
    <row r="20" spans="1:49" ht="15">
      <c r="A20" s="765" t="s">
        <v>283</v>
      </c>
      <c r="B20" s="769" t="s">
        <v>283</v>
      </c>
      <c r="C20" s="773" t="s">
        <v>336</v>
      </c>
      <c r="D20" s="780">
        <v>278000</v>
      </c>
      <c r="E20" s="780">
        <v>270286</v>
      </c>
      <c r="F20" s="780">
        <v>151000</v>
      </c>
      <c r="G20" s="780">
        <v>367000</v>
      </c>
      <c r="H20" s="780">
        <v>239500</v>
      </c>
      <c r="I20" s="780">
        <v>308500</v>
      </c>
      <c r="J20" s="780">
        <v>69454</v>
      </c>
      <c r="K20" s="779">
        <v>0.26</v>
      </c>
      <c r="L20" s="771"/>
      <c r="M20" s="783">
        <v>367000</v>
      </c>
      <c r="N20" s="783">
        <v>324000</v>
      </c>
      <c r="O20" s="783">
        <v>293000</v>
      </c>
      <c r="P20" s="783">
        <v>278000</v>
      </c>
      <c r="Q20" s="783">
        <v>241000</v>
      </c>
      <c r="R20" s="783">
        <v>151000</v>
      </c>
      <c r="S20" s="783">
        <v>238000</v>
      </c>
      <c r="T20" s="773"/>
      <c r="U20" s="773"/>
      <c r="V20" s="773"/>
      <c r="W20" s="773"/>
      <c r="X20" s="773"/>
      <c r="Y20" s="772" t="s">
        <v>283</v>
      </c>
      <c r="Z20" s="765" t="s">
        <v>283</v>
      </c>
      <c r="AA20" s="765" t="s">
        <v>283</v>
      </c>
      <c r="AB20" s="765" t="s">
        <v>283</v>
      </c>
      <c r="AC20" s="765" t="s">
        <v>283</v>
      </c>
      <c r="AD20" s="765" t="s">
        <v>283</v>
      </c>
      <c r="AE20" s="765" t="s">
        <v>283</v>
      </c>
      <c r="AF20" s="765" t="s">
        <v>283</v>
      </c>
      <c r="AG20" s="765" t="s">
        <v>283</v>
      </c>
      <c r="AH20" s="765" t="s">
        <v>283</v>
      </c>
      <c r="AI20" s="765" t="s">
        <v>283</v>
      </c>
      <c r="AJ20" s="765" t="s">
        <v>283</v>
      </c>
      <c r="AK20" s="765" t="s">
        <v>283</v>
      </c>
      <c r="AL20" s="765" t="s">
        <v>283</v>
      </c>
      <c r="AM20" s="765" t="s">
        <v>283</v>
      </c>
      <c r="AN20" s="765" t="s">
        <v>283</v>
      </c>
      <c r="AO20" s="765" t="s">
        <v>283</v>
      </c>
      <c r="AP20" s="765" t="s">
        <v>283</v>
      </c>
      <c r="AQ20" s="765" t="s">
        <v>283</v>
      </c>
      <c r="AR20" s="765" t="s">
        <v>283</v>
      </c>
      <c r="AS20" s="765" t="s">
        <v>283</v>
      </c>
      <c r="AT20" s="765" t="s">
        <v>283</v>
      </c>
      <c r="AU20" s="765" t="s">
        <v>283</v>
      </c>
      <c r="AV20" s="765" t="s">
        <v>283</v>
      </c>
      <c r="AW20" s="765" t="s">
        <v>283</v>
      </c>
    </row>
    <row r="21" spans="1:49" ht="15">
      <c r="A21" s="765" t="s">
        <v>283</v>
      </c>
      <c r="B21" s="769" t="s">
        <v>283</v>
      </c>
      <c r="C21" s="776" t="s">
        <v>337</v>
      </c>
      <c r="D21" s="787">
        <v>826000</v>
      </c>
      <c r="E21" s="787">
        <v>747571</v>
      </c>
      <c r="F21" s="787">
        <v>477000</v>
      </c>
      <c r="G21" s="787">
        <v>924000</v>
      </c>
      <c r="H21" s="787">
        <v>663500</v>
      </c>
      <c r="I21" s="787">
        <v>839500</v>
      </c>
      <c r="J21" s="787">
        <v>168856</v>
      </c>
      <c r="K21" s="786">
        <v>0.23</v>
      </c>
      <c r="L21" s="790" t="s">
        <v>283</v>
      </c>
      <c r="M21" s="792">
        <v>826000</v>
      </c>
      <c r="N21" s="792">
        <v>836000</v>
      </c>
      <c r="O21" s="792">
        <v>843000</v>
      </c>
      <c r="P21" s="792">
        <v>924000</v>
      </c>
      <c r="Q21" s="792">
        <v>785000</v>
      </c>
      <c r="R21" s="792">
        <v>477000</v>
      </c>
      <c r="S21" s="792">
        <v>542000</v>
      </c>
      <c r="T21" s="791" t="s">
        <v>283</v>
      </c>
      <c r="U21" s="791" t="s">
        <v>283</v>
      </c>
      <c r="V21" s="791" t="s">
        <v>283</v>
      </c>
      <c r="W21" s="791" t="s">
        <v>283</v>
      </c>
      <c r="X21" s="791" t="s">
        <v>283</v>
      </c>
      <c r="Y21" s="772" t="s">
        <v>283</v>
      </c>
      <c r="Z21" s="765" t="s">
        <v>283</v>
      </c>
      <c r="AA21" s="765" t="s">
        <v>283</v>
      </c>
      <c r="AB21" s="765" t="s">
        <v>283</v>
      </c>
      <c r="AC21" s="765" t="s">
        <v>283</v>
      </c>
      <c r="AD21" s="765" t="s">
        <v>283</v>
      </c>
      <c r="AE21" s="765" t="s">
        <v>283</v>
      </c>
      <c r="AF21" s="765" t="s">
        <v>283</v>
      </c>
      <c r="AG21" s="765" t="s">
        <v>283</v>
      </c>
      <c r="AH21" s="765" t="s">
        <v>283</v>
      </c>
      <c r="AI21" s="765" t="s">
        <v>283</v>
      </c>
      <c r="AJ21" s="765" t="s">
        <v>283</v>
      </c>
      <c r="AK21" s="765" t="s">
        <v>283</v>
      </c>
      <c r="AL21" s="765" t="s">
        <v>283</v>
      </c>
      <c r="AM21" s="765" t="s">
        <v>283</v>
      </c>
      <c r="AN21" s="765" t="s">
        <v>283</v>
      </c>
      <c r="AO21" s="765" t="s">
        <v>283</v>
      </c>
      <c r="AP21" s="765" t="s">
        <v>283</v>
      </c>
      <c r="AQ21" s="765" t="s">
        <v>283</v>
      </c>
      <c r="AR21" s="765" t="s">
        <v>283</v>
      </c>
      <c r="AS21" s="765" t="s">
        <v>283</v>
      </c>
      <c r="AT21" s="765" t="s">
        <v>283</v>
      </c>
      <c r="AU21" s="765" t="s">
        <v>283</v>
      </c>
      <c r="AV21" s="765" t="s">
        <v>283</v>
      </c>
      <c r="AW21" s="765" t="s">
        <v>283</v>
      </c>
    </row>
    <row r="22" spans="1:49" ht="15">
      <c r="A22" s="765" t="s">
        <v>283</v>
      </c>
      <c r="B22" s="769" t="s">
        <v>283</v>
      </c>
      <c r="C22" s="773" t="s">
        <v>338</v>
      </c>
      <c r="D22" s="780">
        <v>410000</v>
      </c>
      <c r="E22" s="780">
        <v>366857</v>
      </c>
      <c r="F22" s="780">
        <v>231000</v>
      </c>
      <c r="G22" s="780">
        <v>465000</v>
      </c>
      <c r="H22" s="780">
        <v>306500</v>
      </c>
      <c r="I22" s="780">
        <v>424500</v>
      </c>
      <c r="J22" s="780">
        <v>90191</v>
      </c>
      <c r="K22" s="779">
        <v>0.25</v>
      </c>
      <c r="L22" s="771"/>
      <c r="M22" s="783">
        <v>428000</v>
      </c>
      <c r="N22" s="783">
        <v>410000</v>
      </c>
      <c r="O22" s="783">
        <v>421000</v>
      </c>
      <c r="P22" s="783">
        <v>465000</v>
      </c>
      <c r="Q22" s="783">
        <v>356000</v>
      </c>
      <c r="R22" s="783">
        <v>257000</v>
      </c>
      <c r="S22" s="783">
        <v>231000</v>
      </c>
      <c r="T22" s="773"/>
      <c r="U22" s="773"/>
      <c r="V22" s="773"/>
      <c r="W22" s="773"/>
      <c r="X22" s="773"/>
      <c r="Y22" s="772" t="s">
        <v>283</v>
      </c>
      <c r="Z22" s="765" t="s">
        <v>283</v>
      </c>
      <c r="AA22" s="765" t="s">
        <v>283</v>
      </c>
      <c r="AB22" s="765" t="s">
        <v>283</v>
      </c>
      <c r="AC22" s="765" t="s">
        <v>283</v>
      </c>
      <c r="AD22" s="765" t="s">
        <v>283</v>
      </c>
      <c r="AE22" s="765" t="s">
        <v>283</v>
      </c>
      <c r="AF22" s="765" t="s">
        <v>283</v>
      </c>
      <c r="AG22" s="765" t="s">
        <v>283</v>
      </c>
      <c r="AH22" s="765" t="s">
        <v>283</v>
      </c>
      <c r="AI22" s="765" t="s">
        <v>283</v>
      </c>
      <c r="AJ22" s="765" t="s">
        <v>283</v>
      </c>
      <c r="AK22" s="765" t="s">
        <v>283</v>
      </c>
      <c r="AL22" s="765" t="s">
        <v>283</v>
      </c>
      <c r="AM22" s="765" t="s">
        <v>283</v>
      </c>
      <c r="AN22" s="765" t="s">
        <v>283</v>
      </c>
      <c r="AO22" s="765" t="s">
        <v>283</v>
      </c>
      <c r="AP22" s="765" t="s">
        <v>283</v>
      </c>
      <c r="AQ22" s="765" t="s">
        <v>283</v>
      </c>
      <c r="AR22" s="765" t="s">
        <v>283</v>
      </c>
      <c r="AS22" s="765" t="s">
        <v>283</v>
      </c>
      <c r="AT22" s="765" t="s">
        <v>283</v>
      </c>
      <c r="AU22" s="765" t="s">
        <v>283</v>
      </c>
      <c r="AV22" s="765" t="s">
        <v>283</v>
      </c>
      <c r="AW22" s="765" t="s">
        <v>283</v>
      </c>
    </row>
    <row r="23" spans="1:49" ht="15">
      <c r="A23" s="765" t="s">
        <v>283</v>
      </c>
      <c r="B23" s="769" t="s">
        <v>283</v>
      </c>
      <c r="C23" s="773" t="s">
        <v>339</v>
      </c>
      <c r="D23" s="774" t="s">
        <v>283</v>
      </c>
      <c r="E23" s="774" t="s">
        <v>283</v>
      </c>
      <c r="F23" s="774" t="s">
        <v>283</v>
      </c>
      <c r="G23" s="774" t="s">
        <v>283</v>
      </c>
      <c r="H23" s="774" t="s">
        <v>283</v>
      </c>
      <c r="I23" s="774" t="s">
        <v>283</v>
      </c>
      <c r="J23" s="774" t="s">
        <v>283</v>
      </c>
      <c r="K23" s="774" t="s">
        <v>283</v>
      </c>
      <c r="L23" s="771"/>
      <c r="M23" s="771"/>
      <c r="N23" s="771"/>
      <c r="O23" s="771"/>
      <c r="P23" s="771"/>
      <c r="Q23" s="771"/>
      <c r="R23" s="771"/>
      <c r="S23" s="771"/>
      <c r="T23" s="771"/>
      <c r="U23" s="771"/>
      <c r="V23" s="771"/>
      <c r="W23" s="771"/>
      <c r="X23" s="771"/>
      <c r="Y23" s="772" t="s">
        <v>283</v>
      </c>
      <c r="Z23" s="765" t="s">
        <v>283</v>
      </c>
      <c r="AA23" s="765" t="s">
        <v>283</v>
      </c>
      <c r="AB23" s="765" t="s">
        <v>283</v>
      </c>
      <c r="AC23" s="765" t="s">
        <v>283</v>
      </c>
      <c r="AD23" s="765" t="s">
        <v>283</v>
      </c>
      <c r="AE23" s="765" t="s">
        <v>283</v>
      </c>
      <c r="AF23" s="765" t="s">
        <v>283</v>
      </c>
      <c r="AG23" s="765" t="s">
        <v>283</v>
      </c>
      <c r="AH23" s="765" t="s">
        <v>283</v>
      </c>
      <c r="AI23" s="765" t="s">
        <v>283</v>
      </c>
      <c r="AJ23" s="765" t="s">
        <v>283</v>
      </c>
      <c r="AK23" s="765" t="s">
        <v>283</v>
      </c>
      <c r="AL23" s="765" t="s">
        <v>283</v>
      </c>
      <c r="AM23" s="765" t="s">
        <v>283</v>
      </c>
      <c r="AN23" s="765" t="s">
        <v>283</v>
      </c>
      <c r="AO23" s="765" t="s">
        <v>283</v>
      </c>
      <c r="AP23" s="765" t="s">
        <v>283</v>
      </c>
      <c r="AQ23" s="765" t="s">
        <v>283</v>
      </c>
      <c r="AR23" s="765" t="s">
        <v>283</v>
      </c>
      <c r="AS23" s="765" t="s">
        <v>283</v>
      </c>
      <c r="AT23" s="765" t="s">
        <v>283</v>
      </c>
      <c r="AU23" s="765" t="s">
        <v>283</v>
      </c>
      <c r="AV23" s="765" t="s">
        <v>283</v>
      </c>
      <c r="AW23" s="765" t="s">
        <v>283</v>
      </c>
    </row>
    <row r="24" spans="1:49" ht="15">
      <c r="A24" s="765" t="s">
        <v>283</v>
      </c>
      <c r="B24" s="769" t="s">
        <v>283</v>
      </c>
      <c r="C24" s="773" t="s">
        <v>340</v>
      </c>
      <c r="D24" s="782">
        <v>-7000</v>
      </c>
      <c r="E24" s="782">
        <v>-6800</v>
      </c>
      <c r="F24" s="782">
        <v>-18000</v>
      </c>
      <c r="G24" s="779">
        <v>0</v>
      </c>
      <c r="H24" s="782">
        <v>-8000</v>
      </c>
      <c r="I24" s="782">
        <v>-1000</v>
      </c>
      <c r="J24" s="780">
        <v>7190</v>
      </c>
      <c r="K24" s="781">
        <v>-1.06</v>
      </c>
      <c r="L24" s="771"/>
      <c r="M24" s="773"/>
      <c r="N24" s="773"/>
      <c r="O24" s="785">
        <v>-1000</v>
      </c>
      <c r="P24" s="785">
        <v>-7000</v>
      </c>
      <c r="Q24" s="785">
        <v>-8000</v>
      </c>
      <c r="R24" s="785">
        <v>-18000</v>
      </c>
      <c r="S24" s="773">
        <v>0</v>
      </c>
      <c r="T24" s="773"/>
      <c r="U24" s="773"/>
      <c r="V24" s="773"/>
      <c r="W24" s="773"/>
      <c r="X24" s="773"/>
      <c r="Y24" s="772" t="s">
        <v>283</v>
      </c>
      <c r="Z24" s="765" t="s">
        <v>283</v>
      </c>
      <c r="AA24" s="765" t="s">
        <v>283</v>
      </c>
      <c r="AB24" s="765" t="s">
        <v>283</v>
      </c>
      <c r="AC24" s="765" t="s">
        <v>283</v>
      </c>
      <c r="AD24" s="765" t="s">
        <v>283</v>
      </c>
      <c r="AE24" s="765" t="s">
        <v>283</v>
      </c>
      <c r="AF24" s="765" t="s">
        <v>283</v>
      </c>
      <c r="AG24" s="765" t="s">
        <v>283</v>
      </c>
      <c r="AH24" s="765" t="s">
        <v>283</v>
      </c>
      <c r="AI24" s="765" t="s">
        <v>283</v>
      </c>
      <c r="AJ24" s="765" t="s">
        <v>283</v>
      </c>
      <c r="AK24" s="765" t="s">
        <v>283</v>
      </c>
      <c r="AL24" s="765" t="s">
        <v>283</v>
      </c>
      <c r="AM24" s="765" t="s">
        <v>283</v>
      </c>
      <c r="AN24" s="765" t="s">
        <v>283</v>
      </c>
      <c r="AO24" s="765" t="s">
        <v>283</v>
      </c>
      <c r="AP24" s="765" t="s">
        <v>283</v>
      </c>
      <c r="AQ24" s="765" t="s">
        <v>283</v>
      </c>
      <c r="AR24" s="765" t="s">
        <v>283</v>
      </c>
      <c r="AS24" s="765" t="s">
        <v>283</v>
      </c>
      <c r="AT24" s="765" t="s">
        <v>283</v>
      </c>
      <c r="AU24" s="765" t="s">
        <v>283</v>
      </c>
      <c r="AV24" s="765" t="s">
        <v>283</v>
      </c>
      <c r="AW24" s="765" t="s">
        <v>283</v>
      </c>
    </row>
    <row r="25" spans="1:49" ht="15">
      <c r="A25" s="765" t="s">
        <v>283</v>
      </c>
      <c r="B25" s="769" t="s">
        <v>283</v>
      </c>
      <c r="C25" s="773" t="s">
        <v>341</v>
      </c>
      <c r="D25" s="782">
        <v>-15000</v>
      </c>
      <c r="E25" s="782">
        <v>-13714</v>
      </c>
      <c r="F25" s="782">
        <v>-20000</v>
      </c>
      <c r="G25" s="782">
        <v>-4000</v>
      </c>
      <c r="H25" s="782">
        <v>-16500</v>
      </c>
      <c r="I25" s="782">
        <v>-12000</v>
      </c>
      <c r="J25" s="780">
        <v>5251</v>
      </c>
      <c r="K25" s="781">
        <v>-0.38</v>
      </c>
      <c r="L25" s="771"/>
      <c r="M25" s="785">
        <v>-20000</v>
      </c>
      <c r="N25" s="785">
        <v>-17000</v>
      </c>
      <c r="O25" s="785">
        <v>-16000</v>
      </c>
      <c r="P25" s="785">
        <v>-10000</v>
      </c>
      <c r="Q25" s="785">
        <v>-4000</v>
      </c>
      <c r="R25" s="785">
        <v>-15000</v>
      </c>
      <c r="S25" s="785">
        <v>-14000</v>
      </c>
      <c r="T25" s="773"/>
      <c r="U25" s="773"/>
      <c r="V25" s="773"/>
      <c r="W25" s="773"/>
      <c r="X25" s="773"/>
      <c r="Y25" s="772" t="s">
        <v>283</v>
      </c>
      <c r="Z25" s="765" t="s">
        <v>283</v>
      </c>
      <c r="AA25" s="765" t="s">
        <v>283</v>
      </c>
      <c r="AB25" s="765" t="s">
        <v>283</v>
      </c>
      <c r="AC25" s="765" t="s">
        <v>283</v>
      </c>
      <c r="AD25" s="765" t="s">
        <v>283</v>
      </c>
      <c r="AE25" s="765" t="s">
        <v>283</v>
      </c>
      <c r="AF25" s="765" t="s">
        <v>283</v>
      </c>
      <c r="AG25" s="765" t="s">
        <v>283</v>
      </c>
      <c r="AH25" s="765" t="s">
        <v>283</v>
      </c>
      <c r="AI25" s="765" t="s">
        <v>283</v>
      </c>
      <c r="AJ25" s="765" t="s">
        <v>283</v>
      </c>
      <c r="AK25" s="765" t="s">
        <v>283</v>
      </c>
      <c r="AL25" s="765" t="s">
        <v>283</v>
      </c>
      <c r="AM25" s="765" t="s">
        <v>283</v>
      </c>
      <c r="AN25" s="765" t="s">
        <v>283</v>
      </c>
      <c r="AO25" s="765" t="s">
        <v>283</v>
      </c>
      <c r="AP25" s="765" t="s">
        <v>283</v>
      </c>
      <c r="AQ25" s="765" t="s">
        <v>283</v>
      </c>
      <c r="AR25" s="765" t="s">
        <v>283</v>
      </c>
      <c r="AS25" s="765" t="s">
        <v>283</v>
      </c>
      <c r="AT25" s="765" t="s">
        <v>283</v>
      </c>
      <c r="AU25" s="765" t="s">
        <v>283</v>
      </c>
      <c r="AV25" s="765" t="s">
        <v>283</v>
      </c>
      <c r="AW25" s="765" t="s">
        <v>283</v>
      </c>
    </row>
    <row r="26" spans="1:49" ht="15">
      <c r="A26" s="765" t="s">
        <v>283</v>
      </c>
      <c r="B26" s="769" t="s">
        <v>283</v>
      </c>
      <c r="C26" s="776" t="s">
        <v>342</v>
      </c>
      <c r="D26" s="789">
        <v>-17000</v>
      </c>
      <c r="E26" s="789">
        <v>-18571</v>
      </c>
      <c r="F26" s="789">
        <v>-33000</v>
      </c>
      <c r="G26" s="789">
        <v>-12000</v>
      </c>
      <c r="H26" s="789">
        <v>-18500</v>
      </c>
      <c r="I26" s="789">
        <v>-15500</v>
      </c>
      <c r="J26" s="787">
        <v>6852</v>
      </c>
      <c r="K26" s="788">
        <v>-0.37</v>
      </c>
      <c r="L26" s="790" t="s">
        <v>283</v>
      </c>
      <c r="M26" s="794">
        <v>-20000</v>
      </c>
      <c r="N26" s="794">
        <v>-17000</v>
      </c>
      <c r="O26" s="794">
        <v>-17000</v>
      </c>
      <c r="P26" s="794">
        <v>-17000</v>
      </c>
      <c r="Q26" s="794">
        <v>-12000</v>
      </c>
      <c r="R26" s="794">
        <v>-33000</v>
      </c>
      <c r="S26" s="794">
        <v>-14000</v>
      </c>
      <c r="T26" s="791" t="s">
        <v>283</v>
      </c>
      <c r="U26" s="791" t="s">
        <v>283</v>
      </c>
      <c r="V26" s="791" t="s">
        <v>283</v>
      </c>
      <c r="W26" s="791" t="s">
        <v>283</v>
      </c>
      <c r="X26" s="791" t="s">
        <v>283</v>
      </c>
      <c r="Y26" s="772" t="s">
        <v>283</v>
      </c>
      <c r="Z26" s="765" t="s">
        <v>283</v>
      </c>
      <c r="AA26" s="765" t="s">
        <v>283</v>
      </c>
      <c r="AB26" s="765" t="s">
        <v>283</v>
      </c>
      <c r="AC26" s="765" t="s">
        <v>283</v>
      </c>
      <c r="AD26" s="765" t="s">
        <v>283</v>
      </c>
      <c r="AE26" s="765" t="s">
        <v>283</v>
      </c>
      <c r="AF26" s="765" t="s">
        <v>283</v>
      </c>
      <c r="AG26" s="765" t="s">
        <v>283</v>
      </c>
      <c r="AH26" s="765" t="s">
        <v>283</v>
      </c>
      <c r="AI26" s="765" t="s">
        <v>283</v>
      </c>
      <c r="AJ26" s="765" t="s">
        <v>283</v>
      </c>
      <c r="AK26" s="765" t="s">
        <v>283</v>
      </c>
      <c r="AL26" s="765" t="s">
        <v>283</v>
      </c>
      <c r="AM26" s="765" t="s">
        <v>283</v>
      </c>
      <c r="AN26" s="765" t="s">
        <v>283</v>
      </c>
      <c r="AO26" s="765" t="s">
        <v>283</v>
      </c>
      <c r="AP26" s="765" t="s">
        <v>283</v>
      </c>
      <c r="AQ26" s="765" t="s">
        <v>283</v>
      </c>
      <c r="AR26" s="765" t="s">
        <v>283</v>
      </c>
      <c r="AS26" s="765" t="s">
        <v>283</v>
      </c>
      <c r="AT26" s="765" t="s">
        <v>283</v>
      </c>
      <c r="AU26" s="765" t="s">
        <v>283</v>
      </c>
      <c r="AV26" s="765" t="s">
        <v>283</v>
      </c>
      <c r="AW26" s="765" t="s">
        <v>283</v>
      </c>
    </row>
    <row r="27" spans="1:49" ht="15">
      <c r="A27" s="765" t="s">
        <v>283</v>
      </c>
      <c r="B27" s="769" t="s">
        <v>283</v>
      </c>
      <c r="C27" s="776" t="s">
        <v>343</v>
      </c>
      <c r="D27" s="787">
        <v>1229000</v>
      </c>
      <c r="E27" s="787">
        <v>1095857</v>
      </c>
      <c r="F27" s="787">
        <v>701000</v>
      </c>
      <c r="G27" s="787">
        <v>1372000</v>
      </c>
      <c r="H27" s="787">
        <v>944000</v>
      </c>
      <c r="I27" s="787">
        <v>1240500</v>
      </c>
      <c r="J27" s="787">
        <v>260254</v>
      </c>
      <c r="K27" s="786">
        <v>0.24</v>
      </c>
      <c r="L27" s="790" t="s">
        <v>283</v>
      </c>
      <c r="M27" s="792">
        <v>1234000</v>
      </c>
      <c r="N27" s="792">
        <v>1229000</v>
      </c>
      <c r="O27" s="792">
        <v>1247000</v>
      </c>
      <c r="P27" s="792">
        <v>1372000</v>
      </c>
      <c r="Q27" s="792">
        <v>1129000</v>
      </c>
      <c r="R27" s="792">
        <v>701000</v>
      </c>
      <c r="S27" s="792">
        <v>759000</v>
      </c>
      <c r="T27" s="791" t="s">
        <v>283</v>
      </c>
      <c r="U27" s="791" t="s">
        <v>283</v>
      </c>
      <c r="V27" s="791" t="s">
        <v>283</v>
      </c>
      <c r="W27" s="791" t="s">
        <v>283</v>
      </c>
      <c r="X27" s="791" t="s">
        <v>283</v>
      </c>
      <c r="Y27" s="772" t="s">
        <v>283</v>
      </c>
      <c r="Z27" s="765" t="s">
        <v>283</v>
      </c>
      <c r="AA27" s="765" t="s">
        <v>283</v>
      </c>
      <c r="AB27" s="765" t="s">
        <v>283</v>
      </c>
      <c r="AC27" s="765" t="s">
        <v>283</v>
      </c>
      <c r="AD27" s="765" t="s">
        <v>283</v>
      </c>
      <c r="AE27" s="765" t="s">
        <v>283</v>
      </c>
      <c r="AF27" s="765" t="s">
        <v>283</v>
      </c>
      <c r="AG27" s="765" t="s">
        <v>283</v>
      </c>
      <c r="AH27" s="765" t="s">
        <v>283</v>
      </c>
      <c r="AI27" s="765" t="s">
        <v>283</v>
      </c>
      <c r="AJ27" s="765" t="s">
        <v>283</v>
      </c>
      <c r="AK27" s="765" t="s">
        <v>283</v>
      </c>
      <c r="AL27" s="765" t="s">
        <v>283</v>
      </c>
      <c r="AM27" s="765" t="s">
        <v>283</v>
      </c>
      <c r="AN27" s="765" t="s">
        <v>283</v>
      </c>
      <c r="AO27" s="765" t="s">
        <v>283</v>
      </c>
      <c r="AP27" s="765" t="s">
        <v>283</v>
      </c>
      <c r="AQ27" s="765" t="s">
        <v>283</v>
      </c>
      <c r="AR27" s="765" t="s">
        <v>283</v>
      </c>
      <c r="AS27" s="765" t="s">
        <v>283</v>
      </c>
      <c r="AT27" s="765" t="s">
        <v>283</v>
      </c>
      <c r="AU27" s="765" t="s">
        <v>283</v>
      </c>
      <c r="AV27" s="765" t="s">
        <v>283</v>
      </c>
      <c r="AW27" s="765" t="s">
        <v>283</v>
      </c>
    </row>
    <row r="28" spans="1:49" ht="15">
      <c r="A28" s="765" t="s">
        <v>283</v>
      </c>
      <c r="B28" s="769" t="s">
        <v>283</v>
      </c>
      <c r="C28" s="776" t="s">
        <v>344</v>
      </c>
      <c r="D28" s="782">
        <v>-1195000</v>
      </c>
      <c r="E28" s="782">
        <v>-1022571</v>
      </c>
      <c r="F28" s="782">
        <v>-2924000</v>
      </c>
      <c r="G28" s="780">
        <v>222000</v>
      </c>
      <c r="H28" s="782">
        <v>-1409500</v>
      </c>
      <c r="I28" s="782">
        <v>-221000</v>
      </c>
      <c r="J28" s="780">
        <v>1069261</v>
      </c>
      <c r="K28" s="781">
        <v>-1.05</v>
      </c>
      <c r="L28" s="771"/>
      <c r="M28" s="783">
        <v>222000</v>
      </c>
      <c r="N28" s="785">
        <v>-55000</v>
      </c>
      <c r="O28" s="785">
        <v>-387000</v>
      </c>
      <c r="P28" s="785">
        <v>-1295000</v>
      </c>
      <c r="Q28" s="785">
        <v>-1524000</v>
      </c>
      <c r="R28" s="785">
        <v>-1195000</v>
      </c>
      <c r="S28" s="785">
        <v>-2924000</v>
      </c>
      <c r="T28" s="773"/>
      <c r="U28" s="773"/>
      <c r="V28" s="773"/>
      <c r="W28" s="773"/>
      <c r="X28" s="773"/>
      <c r="Y28" s="772" t="s">
        <v>283</v>
      </c>
      <c r="Z28" s="765" t="s">
        <v>283</v>
      </c>
      <c r="AA28" s="765" t="s">
        <v>283</v>
      </c>
      <c r="AB28" s="765" t="s">
        <v>283</v>
      </c>
      <c r="AC28" s="765" t="s">
        <v>283</v>
      </c>
      <c r="AD28" s="765" t="s">
        <v>283</v>
      </c>
      <c r="AE28" s="765" t="s">
        <v>283</v>
      </c>
      <c r="AF28" s="765" t="s">
        <v>283</v>
      </c>
      <c r="AG28" s="765" t="s">
        <v>283</v>
      </c>
      <c r="AH28" s="765" t="s">
        <v>283</v>
      </c>
      <c r="AI28" s="765" t="s">
        <v>283</v>
      </c>
      <c r="AJ28" s="765" t="s">
        <v>283</v>
      </c>
      <c r="AK28" s="765" t="s">
        <v>283</v>
      </c>
      <c r="AL28" s="765" t="s">
        <v>283</v>
      </c>
      <c r="AM28" s="765" t="s">
        <v>283</v>
      </c>
      <c r="AN28" s="765" t="s">
        <v>283</v>
      </c>
      <c r="AO28" s="765" t="s">
        <v>283</v>
      </c>
      <c r="AP28" s="765" t="s">
        <v>283</v>
      </c>
      <c r="AQ28" s="765" t="s">
        <v>283</v>
      </c>
      <c r="AR28" s="765" t="s">
        <v>283</v>
      </c>
      <c r="AS28" s="765" t="s">
        <v>283</v>
      </c>
      <c r="AT28" s="765" t="s">
        <v>283</v>
      </c>
      <c r="AU28" s="765" t="s">
        <v>283</v>
      </c>
      <c r="AV28" s="765" t="s">
        <v>283</v>
      </c>
      <c r="AW28" s="765" t="s">
        <v>283</v>
      </c>
    </row>
    <row r="29" spans="1:49" ht="15">
      <c r="A29" s="765" t="s">
        <v>283</v>
      </c>
      <c r="B29" s="769" t="s">
        <v>283</v>
      </c>
      <c r="C29" s="778" t="s">
        <v>345</v>
      </c>
      <c r="D29" s="774" t="s">
        <v>283</v>
      </c>
      <c r="E29" s="774" t="s">
        <v>283</v>
      </c>
      <c r="F29" s="774" t="s">
        <v>283</v>
      </c>
      <c r="G29" s="774" t="s">
        <v>283</v>
      </c>
      <c r="H29" s="774" t="s">
        <v>283</v>
      </c>
      <c r="I29" s="774" t="s">
        <v>283</v>
      </c>
      <c r="J29" s="774" t="s">
        <v>283</v>
      </c>
      <c r="K29" s="774" t="s">
        <v>283</v>
      </c>
      <c r="L29" s="774" t="s">
        <v>283</v>
      </c>
      <c r="M29" s="774" t="s">
        <v>283</v>
      </c>
      <c r="N29" s="774" t="s">
        <v>283</v>
      </c>
      <c r="O29" s="774" t="s">
        <v>283</v>
      </c>
      <c r="P29" s="774" t="s">
        <v>283</v>
      </c>
      <c r="Q29" s="774" t="s">
        <v>283</v>
      </c>
      <c r="R29" s="774" t="s">
        <v>283</v>
      </c>
      <c r="S29" s="774" t="s">
        <v>283</v>
      </c>
      <c r="T29" s="774" t="s">
        <v>283</v>
      </c>
      <c r="U29" s="774" t="s">
        <v>283</v>
      </c>
      <c r="V29" s="774" t="s">
        <v>283</v>
      </c>
      <c r="W29" s="774" t="s">
        <v>283</v>
      </c>
      <c r="X29" s="774" t="s">
        <v>283</v>
      </c>
      <c r="Y29" s="772" t="s">
        <v>283</v>
      </c>
      <c r="Z29" s="765" t="s">
        <v>283</v>
      </c>
      <c r="AA29" s="765" t="s">
        <v>283</v>
      </c>
      <c r="AB29" s="765" t="s">
        <v>283</v>
      </c>
      <c r="AC29" s="765" t="s">
        <v>283</v>
      </c>
      <c r="AD29" s="765" t="s">
        <v>283</v>
      </c>
      <c r="AE29" s="765" t="s">
        <v>283</v>
      </c>
      <c r="AF29" s="765" t="s">
        <v>283</v>
      </c>
      <c r="AG29" s="765" t="s">
        <v>283</v>
      </c>
      <c r="AH29" s="765" t="s">
        <v>283</v>
      </c>
      <c r="AI29" s="765" t="s">
        <v>283</v>
      </c>
      <c r="AJ29" s="765" t="s">
        <v>283</v>
      </c>
      <c r="AK29" s="765" t="s">
        <v>283</v>
      </c>
      <c r="AL29" s="765" t="s">
        <v>283</v>
      </c>
      <c r="AM29" s="765" t="s">
        <v>283</v>
      </c>
      <c r="AN29" s="765" t="s">
        <v>283</v>
      </c>
      <c r="AO29" s="765" t="s">
        <v>283</v>
      </c>
      <c r="AP29" s="765" t="s">
        <v>283</v>
      </c>
      <c r="AQ29" s="765" t="s">
        <v>283</v>
      </c>
      <c r="AR29" s="765" t="s">
        <v>283</v>
      </c>
      <c r="AS29" s="765" t="s">
        <v>283</v>
      </c>
      <c r="AT29" s="765" t="s">
        <v>283</v>
      </c>
      <c r="AU29" s="765" t="s">
        <v>283</v>
      </c>
      <c r="AV29" s="765" t="s">
        <v>283</v>
      </c>
      <c r="AW29" s="765" t="s">
        <v>283</v>
      </c>
    </row>
    <row r="30" spans="1:49" ht="15">
      <c r="A30" s="765" t="s">
        <v>283</v>
      </c>
      <c r="B30" s="769" t="s">
        <v>283</v>
      </c>
      <c r="C30" s="773" t="s">
        <v>346</v>
      </c>
      <c r="D30" s="774" t="s">
        <v>283</v>
      </c>
      <c r="E30" s="774" t="s">
        <v>283</v>
      </c>
      <c r="F30" s="774" t="s">
        <v>283</v>
      </c>
      <c r="G30" s="774" t="s">
        <v>283</v>
      </c>
      <c r="H30" s="774" t="s">
        <v>283</v>
      </c>
      <c r="I30" s="774" t="s">
        <v>283</v>
      </c>
      <c r="J30" s="774" t="s">
        <v>283</v>
      </c>
      <c r="K30" s="774" t="s">
        <v>283</v>
      </c>
      <c r="L30" s="771"/>
      <c r="M30" s="771"/>
      <c r="N30" s="771"/>
      <c r="O30" s="771"/>
      <c r="P30" s="771"/>
      <c r="Q30" s="771"/>
      <c r="R30" s="771"/>
      <c r="S30" s="771"/>
      <c r="T30" s="771"/>
      <c r="U30" s="771"/>
      <c r="V30" s="771"/>
      <c r="W30" s="771"/>
      <c r="X30" s="771"/>
      <c r="Y30" s="772" t="s">
        <v>283</v>
      </c>
      <c r="Z30" s="765" t="s">
        <v>283</v>
      </c>
      <c r="AA30" s="765" t="s">
        <v>283</v>
      </c>
      <c r="AB30" s="765" t="s">
        <v>283</v>
      </c>
      <c r="AC30" s="765" t="s">
        <v>283</v>
      </c>
      <c r="AD30" s="765" t="s">
        <v>283</v>
      </c>
      <c r="AE30" s="765" t="s">
        <v>283</v>
      </c>
      <c r="AF30" s="765" t="s">
        <v>283</v>
      </c>
      <c r="AG30" s="765" t="s">
        <v>283</v>
      </c>
      <c r="AH30" s="765" t="s">
        <v>283</v>
      </c>
      <c r="AI30" s="765" t="s">
        <v>283</v>
      </c>
      <c r="AJ30" s="765" t="s">
        <v>283</v>
      </c>
      <c r="AK30" s="765" t="s">
        <v>283</v>
      </c>
      <c r="AL30" s="765" t="s">
        <v>283</v>
      </c>
      <c r="AM30" s="765" t="s">
        <v>283</v>
      </c>
      <c r="AN30" s="765" t="s">
        <v>283</v>
      </c>
      <c r="AO30" s="765" t="s">
        <v>283</v>
      </c>
      <c r="AP30" s="765" t="s">
        <v>283</v>
      </c>
      <c r="AQ30" s="765" t="s">
        <v>283</v>
      </c>
      <c r="AR30" s="765" t="s">
        <v>283</v>
      </c>
      <c r="AS30" s="765" t="s">
        <v>283</v>
      </c>
      <c r="AT30" s="765" t="s">
        <v>283</v>
      </c>
      <c r="AU30" s="765" t="s">
        <v>283</v>
      </c>
      <c r="AV30" s="765" t="s">
        <v>283</v>
      </c>
      <c r="AW30" s="765" t="s">
        <v>283</v>
      </c>
    </row>
    <row r="31" spans="1:49" ht="15">
      <c r="A31" s="765" t="s">
        <v>283</v>
      </c>
      <c r="B31" s="769" t="s">
        <v>283</v>
      </c>
      <c r="C31" s="773" t="s">
        <v>347</v>
      </c>
      <c r="D31" s="774" t="s">
        <v>283</v>
      </c>
      <c r="E31" s="774" t="s">
        <v>283</v>
      </c>
      <c r="F31" s="774" t="s">
        <v>283</v>
      </c>
      <c r="G31" s="774" t="s">
        <v>283</v>
      </c>
      <c r="H31" s="774" t="s">
        <v>283</v>
      </c>
      <c r="I31" s="774" t="s">
        <v>283</v>
      </c>
      <c r="J31" s="774" t="s">
        <v>283</v>
      </c>
      <c r="K31" s="774" t="s">
        <v>283</v>
      </c>
      <c r="L31" s="771"/>
      <c r="M31" s="771"/>
      <c r="N31" s="771"/>
      <c r="O31" s="771"/>
      <c r="P31" s="771"/>
      <c r="Q31" s="771"/>
      <c r="R31" s="771"/>
      <c r="S31" s="771"/>
      <c r="T31" s="771"/>
      <c r="U31" s="771"/>
      <c r="V31" s="771"/>
      <c r="W31" s="771"/>
      <c r="X31" s="771"/>
      <c r="Y31" s="772" t="s">
        <v>283</v>
      </c>
      <c r="Z31" s="765" t="s">
        <v>283</v>
      </c>
      <c r="AA31" s="765" t="s">
        <v>283</v>
      </c>
      <c r="AB31" s="765" t="s">
        <v>283</v>
      </c>
      <c r="AC31" s="765" t="s">
        <v>283</v>
      </c>
      <c r="AD31" s="765" t="s">
        <v>283</v>
      </c>
      <c r="AE31" s="765" t="s">
        <v>283</v>
      </c>
      <c r="AF31" s="765" t="s">
        <v>283</v>
      </c>
      <c r="AG31" s="765" t="s">
        <v>283</v>
      </c>
      <c r="AH31" s="765" t="s">
        <v>283</v>
      </c>
      <c r="AI31" s="765" t="s">
        <v>283</v>
      </c>
      <c r="AJ31" s="765" t="s">
        <v>283</v>
      </c>
      <c r="AK31" s="765" t="s">
        <v>283</v>
      </c>
      <c r="AL31" s="765" t="s">
        <v>283</v>
      </c>
      <c r="AM31" s="765" t="s">
        <v>283</v>
      </c>
      <c r="AN31" s="765" t="s">
        <v>283</v>
      </c>
      <c r="AO31" s="765" t="s">
        <v>283</v>
      </c>
      <c r="AP31" s="765" t="s">
        <v>283</v>
      </c>
      <c r="AQ31" s="765" t="s">
        <v>283</v>
      </c>
      <c r="AR31" s="765" t="s">
        <v>283</v>
      </c>
      <c r="AS31" s="765" t="s">
        <v>283</v>
      </c>
      <c r="AT31" s="765" t="s">
        <v>283</v>
      </c>
      <c r="AU31" s="765" t="s">
        <v>283</v>
      </c>
      <c r="AV31" s="765" t="s">
        <v>283</v>
      </c>
      <c r="AW31" s="765" t="s">
        <v>283</v>
      </c>
    </row>
    <row r="32" spans="1:49" ht="15">
      <c r="A32" s="765" t="s">
        <v>283</v>
      </c>
      <c r="B32" s="769" t="s">
        <v>283</v>
      </c>
      <c r="C32" s="773" t="s">
        <v>348</v>
      </c>
      <c r="D32" s="780">
        <v>99000</v>
      </c>
      <c r="E32" s="780">
        <v>507791</v>
      </c>
      <c r="F32" s="780">
        <v>1234</v>
      </c>
      <c r="G32" s="780">
        <v>1701000</v>
      </c>
      <c r="H32" s="780">
        <v>41000</v>
      </c>
      <c r="I32" s="780">
        <v>1053000</v>
      </c>
      <c r="J32" s="780">
        <v>687279</v>
      </c>
      <c r="K32" s="779">
        <v>1.35</v>
      </c>
      <c r="L32" s="771"/>
      <c r="M32" s="783">
        <v>71000</v>
      </c>
      <c r="N32" s="783">
        <v>41000</v>
      </c>
      <c r="O32" s="783">
        <v>99000</v>
      </c>
      <c r="P32" s="783">
        <v>165000</v>
      </c>
      <c r="Q32" s="783">
        <v>1701000</v>
      </c>
      <c r="R32" s="783">
        <v>1433000</v>
      </c>
      <c r="S32" s="783">
        <v>1053000</v>
      </c>
      <c r="T32" s="783">
        <v>5885</v>
      </c>
      <c r="U32" s="783">
        <v>1234</v>
      </c>
      <c r="V32" s="773"/>
      <c r="W32" s="773"/>
      <c r="X32" s="773"/>
      <c r="Y32" s="772" t="s">
        <v>283</v>
      </c>
      <c r="Z32" s="765" t="s">
        <v>283</v>
      </c>
      <c r="AA32" s="765" t="s">
        <v>283</v>
      </c>
      <c r="AB32" s="765" t="s">
        <v>283</v>
      </c>
      <c r="AC32" s="765" t="s">
        <v>283</v>
      </c>
      <c r="AD32" s="765" t="s">
        <v>283</v>
      </c>
      <c r="AE32" s="765" t="s">
        <v>283</v>
      </c>
      <c r="AF32" s="765" t="s">
        <v>283</v>
      </c>
      <c r="AG32" s="765" t="s">
        <v>283</v>
      </c>
      <c r="AH32" s="765" t="s">
        <v>283</v>
      </c>
      <c r="AI32" s="765" t="s">
        <v>283</v>
      </c>
      <c r="AJ32" s="765" t="s">
        <v>283</v>
      </c>
      <c r="AK32" s="765" t="s">
        <v>283</v>
      </c>
      <c r="AL32" s="765" t="s">
        <v>283</v>
      </c>
      <c r="AM32" s="765" t="s">
        <v>283</v>
      </c>
      <c r="AN32" s="765" t="s">
        <v>283</v>
      </c>
      <c r="AO32" s="765" t="s">
        <v>283</v>
      </c>
      <c r="AP32" s="765" t="s">
        <v>283</v>
      </c>
      <c r="AQ32" s="765" t="s">
        <v>283</v>
      </c>
      <c r="AR32" s="765" t="s">
        <v>283</v>
      </c>
      <c r="AS32" s="765" t="s">
        <v>283</v>
      </c>
      <c r="AT32" s="765" t="s">
        <v>283</v>
      </c>
      <c r="AU32" s="765" t="s">
        <v>283</v>
      </c>
      <c r="AV32" s="765" t="s">
        <v>283</v>
      </c>
      <c r="AW32" s="765" t="s">
        <v>283</v>
      </c>
    </row>
    <row r="33" spans="1:49" ht="15">
      <c r="A33" s="765" t="s">
        <v>283</v>
      </c>
      <c r="B33" s="769" t="s">
        <v>283</v>
      </c>
      <c r="C33" s="773" t="s">
        <v>349</v>
      </c>
      <c r="D33" s="780">
        <v>137000</v>
      </c>
      <c r="E33" s="780">
        <v>126667</v>
      </c>
      <c r="F33" s="780">
        <v>26000</v>
      </c>
      <c r="G33" s="780">
        <v>197000</v>
      </c>
      <c r="H33" s="780">
        <v>83750</v>
      </c>
      <c r="I33" s="780">
        <v>182000</v>
      </c>
      <c r="J33" s="780">
        <v>68266</v>
      </c>
      <c r="K33" s="779">
        <v>0.54</v>
      </c>
      <c r="L33" s="771"/>
      <c r="M33" s="783">
        <v>167000</v>
      </c>
      <c r="N33" s="783">
        <v>187000</v>
      </c>
      <c r="O33" s="783">
        <v>197000</v>
      </c>
      <c r="P33" s="783">
        <v>107000</v>
      </c>
      <c r="Q33" s="783">
        <v>26000</v>
      </c>
      <c r="R33" s="773"/>
      <c r="S33" s="783">
        <v>76000</v>
      </c>
      <c r="T33" s="773"/>
      <c r="U33" s="773"/>
      <c r="V33" s="773"/>
      <c r="W33" s="773"/>
      <c r="X33" s="773"/>
      <c r="Y33" s="772" t="s">
        <v>283</v>
      </c>
      <c r="Z33" s="765" t="s">
        <v>283</v>
      </c>
      <c r="AA33" s="765" t="s">
        <v>283</v>
      </c>
      <c r="AB33" s="765" t="s">
        <v>283</v>
      </c>
      <c r="AC33" s="765" t="s">
        <v>283</v>
      </c>
      <c r="AD33" s="765" t="s">
        <v>283</v>
      </c>
      <c r="AE33" s="765" t="s">
        <v>283</v>
      </c>
      <c r="AF33" s="765" t="s">
        <v>283</v>
      </c>
      <c r="AG33" s="765" t="s">
        <v>283</v>
      </c>
      <c r="AH33" s="765" t="s">
        <v>283</v>
      </c>
      <c r="AI33" s="765" t="s">
        <v>283</v>
      </c>
      <c r="AJ33" s="765" t="s">
        <v>283</v>
      </c>
      <c r="AK33" s="765" t="s">
        <v>283</v>
      </c>
      <c r="AL33" s="765" t="s">
        <v>283</v>
      </c>
      <c r="AM33" s="765" t="s">
        <v>283</v>
      </c>
      <c r="AN33" s="765" t="s">
        <v>283</v>
      </c>
      <c r="AO33" s="765" t="s">
        <v>283</v>
      </c>
      <c r="AP33" s="765" t="s">
        <v>283</v>
      </c>
      <c r="AQ33" s="765" t="s">
        <v>283</v>
      </c>
      <c r="AR33" s="765" t="s">
        <v>283</v>
      </c>
      <c r="AS33" s="765" t="s">
        <v>283</v>
      </c>
      <c r="AT33" s="765" t="s">
        <v>283</v>
      </c>
      <c r="AU33" s="765" t="s">
        <v>283</v>
      </c>
      <c r="AV33" s="765" t="s">
        <v>283</v>
      </c>
      <c r="AW33" s="765" t="s">
        <v>283</v>
      </c>
    </row>
    <row r="34" spans="1:49" ht="15">
      <c r="A34" s="765" t="s">
        <v>283</v>
      </c>
      <c r="B34" s="769" t="s">
        <v>283</v>
      </c>
      <c r="C34" s="776" t="s">
        <v>350</v>
      </c>
      <c r="D34" s="789">
        <v>-1234</v>
      </c>
      <c r="E34" s="787">
        <v>421764</v>
      </c>
      <c r="F34" s="789">
        <v>-146000</v>
      </c>
      <c r="G34" s="787">
        <v>1675000</v>
      </c>
      <c r="H34" s="789">
        <v>-96000</v>
      </c>
      <c r="I34" s="787">
        <v>977000</v>
      </c>
      <c r="J34" s="787">
        <v>729401</v>
      </c>
      <c r="K34" s="786">
        <v>1.73</v>
      </c>
      <c r="L34" s="790" t="s">
        <v>283</v>
      </c>
      <c r="M34" s="794">
        <v>-96000</v>
      </c>
      <c r="N34" s="794">
        <v>-146000</v>
      </c>
      <c r="O34" s="794">
        <v>-98000</v>
      </c>
      <c r="P34" s="792">
        <v>58000</v>
      </c>
      <c r="Q34" s="792">
        <v>1675000</v>
      </c>
      <c r="R34" s="792">
        <v>1433000</v>
      </c>
      <c r="S34" s="792">
        <v>977000</v>
      </c>
      <c r="T34" s="794">
        <v>-5885</v>
      </c>
      <c r="U34" s="794">
        <v>-1234</v>
      </c>
      <c r="V34" s="791" t="s">
        <v>283</v>
      </c>
      <c r="W34" s="791" t="s">
        <v>283</v>
      </c>
      <c r="X34" s="791" t="s">
        <v>283</v>
      </c>
      <c r="Y34" s="772" t="s">
        <v>283</v>
      </c>
      <c r="Z34" s="765" t="s">
        <v>283</v>
      </c>
      <c r="AA34" s="765" t="s">
        <v>283</v>
      </c>
      <c r="AB34" s="765" t="s">
        <v>283</v>
      </c>
      <c r="AC34" s="765" t="s">
        <v>283</v>
      </c>
      <c r="AD34" s="765" t="s">
        <v>283</v>
      </c>
      <c r="AE34" s="765" t="s">
        <v>283</v>
      </c>
      <c r="AF34" s="765" t="s">
        <v>283</v>
      </c>
      <c r="AG34" s="765" t="s">
        <v>283</v>
      </c>
      <c r="AH34" s="765" t="s">
        <v>283</v>
      </c>
      <c r="AI34" s="765" t="s">
        <v>283</v>
      </c>
      <c r="AJ34" s="765" t="s">
        <v>283</v>
      </c>
      <c r="AK34" s="765" t="s">
        <v>283</v>
      </c>
      <c r="AL34" s="765" t="s">
        <v>283</v>
      </c>
      <c r="AM34" s="765" t="s">
        <v>283</v>
      </c>
      <c r="AN34" s="765" t="s">
        <v>283</v>
      </c>
      <c r="AO34" s="765" t="s">
        <v>283</v>
      </c>
      <c r="AP34" s="765" t="s">
        <v>283</v>
      </c>
      <c r="AQ34" s="765" t="s">
        <v>283</v>
      </c>
      <c r="AR34" s="765" t="s">
        <v>283</v>
      </c>
      <c r="AS34" s="765" t="s">
        <v>283</v>
      </c>
      <c r="AT34" s="765" t="s">
        <v>283</v>
      </c>
      <c r="AU34" s="765" t="s">
        <v>283</v>
      </c>
      <c r="AV34" s="765" t="s">
        <v>283</v>
      </c>
      <c r="AW34" s="765" t="s">
        <v>283</v>
      </c>
    </row>
    <row r="35" spans="1:49" ht="15">
      <c r="A35" s="765" t="s">
        <v>283</v>
      </c>
      <c r="B35" s="769" t="s">
        <v>283</v>
      </c>
      <c r="C35" s="773" t="s">
        <v>351</v>
      </c>
      <c r="D35" s="774" t="s">
        <v>283</v>
      </c>
      <c r="E35" s="774" t="s">
        <v>283</v>
      </c>
      <c r="F35" s="774" t="s">
        <v>283</v>
      </c>
      <c r="G35" s="774" t="s">
        <v>283</v>
      </c>
      <c r="H35" s="774" t="s">
        <v>283</v>
      </c>
      <c r="I35" s="774" t="s">
        <v>283</v>
      </c>
      <c r="J35" s="774" t="s">
        <v>283</v>
      </c>
      <c r="K35" s="774" t="s">
        <v>283</v>
      </c>
      <c r="L35" s="771"/>
      <c r="M35" s="771"/>
      <c r="N35" s="771"/>
      <c r="O35" s="771"/>
      <c r="P35" s="771"/>
      <c r="Q35" s="771"/>
      <c r="R35" s="771"/>
      <c r="S35" s="771"/>
      <c r="T35" s="771"/>
      <c r="U35" s="771"/>
      <c r="V35" s="771"/>
      <c r="W35" s="771"/>
      <c r="X35" s="771"/>
      <c r="Y35" s="772" t="s">
        <v>283</v>
      </c>
      <c r="Z35" s="765" t="s">
        <v>283</v>
      </c>
      <c r="AA35" s="765" t="s">
        <v>283</v>
      </c>
      <c r="AB35" s="765" t="s">
        <v>283</v>
      </c>
      <c r="AC35" s="765" t="s">
        <v>283</v>
      </c>
      <c r="AD35" s="765" t="s">
        <v>283</v>
      </c>
      <c r="AE35" s="765" t="s">
        <v>283</v>
      </c>
      <c r="AF35" s="765" t="s">
        <v>283</v>
      </c>
      <c r="AG35" s="765" t="s">
        <v>283</v>
      </c>
      <c r="AH35" s="765" t="s">
        <v>283</v>
      </c>
      <c r="AI35" s="765" t="s">
        <v>283</v>
      </c>
      <c r="AJ35" s="765" t="s">
        <v>283</v>
      </c>
      <c r="AK35" s="765" t="s">
        <v>283</v>
      </c>
      <c r="AL35" s="765" t="s">
        <v>283</v>
      </c>
      <c r="AM35" s="765" t="s">
        <v>283</v>
      </c>
      <c r="AN35" s="765" t="s">
        <v>283</v>
      </c>
      <c r="AO35" s="765" t="s">
        <v>283</v>
      </c>
      <c r="AP35" s="765" t="s">
        <v>283</v>
      </c>
      <c r="AQ35" s="765" t="s">
        <v>283</v>
      </c>
      <c r="AR35" s="765" t="s">
        <v>283</v>
      </c>
      <c r="AS35" s="765" t="s">
        <v>283</v>
      </c>
      <c r="AT35" s="765" t="s">
        <v>283</v>
      </c>
      <c r="AU35" s="765" t="s">
        <v>283</v>
      </c>
      <c r="AV35" s="765" t="s">
        <v>283</v>
      </c>
      <c r="AW35" s="765" t="s">
        <v>283</v>
      </c>
    </row>
    <row r="36" spans="1:49" ht="15">
      <c r="A36" s="765" t="s">
        <v>283</v>
      </c>
      <c r="B36" s="769" t="s">
        <v>283</v>
      </c>
      <c r="C36" s="773" t="s">
        <v>352</v>
      </c>
      <c r="D36" s="780">
        <v>31000</v>
      </c>
      <c r="E36" s="780">
        <v>31000</v>
      </c>
      <c r="F36" s="780">
        <v>31000</v>
      </c>
      <c r="G36" s="780">
        <v>31000</v>
      </c>
      <c r="H36" s="780">
        <v>31000</v>
      </c>
      <c r="I36" s="780">
        <v>31000</v>
      </c>
      <c r="J36" s="779" t="s">
        <v>283</v>
      </c>
      <c r="K36" s="779" t="s">
        <v>283</v>
      </c>
      <c r="L36" s="771"/>
      <c r="M36" s="783">
        <v>31000</v>
      </c>
      <c r="N36" s="773"/>
      <c r="O36" s="773"/>
      <c r="P36" s="773"/>
      <c r="Q36" s="773"/>
      <c r="R36" s="773"/>
      <c r="S36" s="773"/>
      <c r="T36" s="773"/>
      <c r="U36" s="773"/>
      <c r="V36" s="773"/>
      <c r="W36" s="773"/>
      <c r="X36" s="773"/>
      <c r="Y36" s="772" t="s">
        <v>283</v>
      </c>
      <c r="Z36" s="765" t="s">
        <v>283</v>
      </c>
      <c r="AA36" s="765" t="s">
        <v>283</v>
      </c>
      <c r="AB36" s="765" t="s">
        <v>283</v>
      </c>
      <c r="AC36" s="765" t="s">
        <v>283</v>
      </c>
      <c r="AD36" s="765" t="s">
        <v>283</v>
      </c>
      <c r="AE36" s="765" t="s">
        <v>283</v>
      </c>
      <c r="AF36" s="765" t="s">
        <v>283</v>
      </c>
      <c r="AG36" s="765" t="s">
        <v>283</v>
      </c>
      <c r="AH36" s="765" t="s">
        <v>283</v>
      </c>
      <c r="AI36" s="765" t="s">
        <v>283</v>
      </c>
      <c r="AJ36" s="765" t="s">
        <v>283</v>
      </c>
      <c r="AK36" s="765" t="s">
        <v>283</v>
      </c>
      <c r="AL36" s="765" t="s">
        <v>283</v>
      </c>
      <c r="AM36" s="765" t="s">
        <v>283</v>
      </c>
      <c r="AN36" s="765" t="s">
        <v>283</v>
      </c>
      <c r="AO36" s="765" t="s">
        <v>283</v>
      </c>
      <c r="AP36" s="765" t="s">
        <v>283</v>
      </c>
      <c r="AQ36" s="765" t="s">
        <v>283</v>
      </c>
      <c r="AR36" s="765" t="s">
        <v>283</v>
      </c>
      <c r="AS36" s="765" t="s">
        <v>283</v>
      </c>
      <c r="AT36" s="765" t="s">
        <v>283</v>
      </c>
      <c r="AU36" s="765" t="s">
        <v>283</v>
      </c>
      <c r="AV36" s="765" t="s">
        <v>283</v>
      </c>
      <c r="AW36" s="765" t="s">
        <v>283</v>
      </c>
    </row>
    <row r="37" spans="1:49" ht="15">
      <c r="A37" s="765" t="s">
        <v>283</v>
      </c>
      <c r="B37" s="769" t="s">
        <v>283</v>
      </c>
      <c r="C37" s="773" t="s">
        <v>353</v>
      </c>
      <c r="D37" s="779">
        <v>0</v>
      </c>
      <c r="E37" s="780">
        <v>117667</v>
      </c>
      <c r="F37" s="779">
        <v>0</v>
      </c>
      <c r="G37" s="780">
        <v>353000</v>
      </c>
      <c r="H37" s="779">
        <v>0</v>
      </c>
      <c r="I37" s="780">
        <v>176500</v>
      </c>
      <c r="J37" s="780">
        <v>203805</v>
      </c>
      <c r="K37" s="779">
        <v>1.73</v>
      </c>
      <c r="L37" s="771"/>
      <c r="M37" s="773"/>
      <c r="N37" s="773"/>
      <c r="O37" s="773"/>
      <c r="P37" s="773"/>
      <c r="Q37" s="783">
        <v>353000</v>
      </c>
      <c r="R37" s="773">
        <v>0</v>
      </c>
      <c r="S37" s="773">
        <v>0</v>
      </c>
      <c r="T37" s="773"/>
      <c r="U37" s="773"/>
      <c r="V37" s="773"/>
      <c r="W37" s="773"/>
      <c r="X37" s="773"/>
      <c r="Y37" s="772" t="s">
        <v>283</v>
      </c>
      <c r="Z37" s="765" t="s">
        <v>283</v>
      </c>
      <c r="AA37" s="765" t="s">
        <v>283</v>
      </c>
      <c r="AB37" s="765" t="s">
        <v>283</v>
      </c>
      <c r="AC37" s="765" t="s">
        <v>283</v>
      </c>
      <c r="AD37" s="765" t="s">
        <v>283</v>
      </c>
      <c r="AE37" s="765" t="s">
        <v>283</v>
      </c>
      <c r="AF37" s="765" t="s">
        <v>283</v>
      </c>
      <c r="AG37" s="765" t="s">
        <v>283</v>
      </c>
      <c r="AH37" s="765" t="s">
        <v>283</v>
      </c>
      <c r="AI37" s="765" t="s">
        <v>283</v>
      </c>
      <c r="AJ37" s="765" t="s">
        <v>283</v>
      </c>
      <c r="AK37" s="765" t="s">
        <v>283</v>
      </c>
      <c r="AL37" s="765" t="s">
        <v>283</v>
      </c>
      <c r="AM37" s="765" t="s">
        <v>283</v>
      </c>
      <c r="AN37" s="765" t="s">
        <v>283</v>
      </c>
      <c r="AO37" s="765" t="s">
        <v>283</v>
      </c>
      <c r="AP37" s="765" t="s">
        <v>283</v>
      </c>
      <c r="AQ37" s="765" t="s">
        <v>283</v>
      </c>
      <c r="AR37" s="765" t="s">
        <v>283</v>
      </c>
      <c r="AS37" s="765" t="s">
        <v>283</v>
      </c>
      <c r="AT37" s="765" t="s">
        <v>283</v>
      </c>
      <c r="AU37" s="765" t="s">
        <v>283</v>
      </c>
      <c r="AV37" s="765" t="s">
        <v>283</v>
      </c>
      <c r="AW37" s="765" t="s">
        <v>283</v>
      </c>
    </row>
    <row r="38" spans="1:49" ht="15">
      <c r="A38" s="765" t="s">
        <v>283</v>
      </c>
      <c r="B38" s="769" t="s">
        <v>283</v>
      </c>
      <c r="C38" s="776" t="s">
        <v>354</v>
      </c>
      <c r="D38" s="786">
        <v>0</v>
      </c>
      <c r="E38" s="787">
        <v>80500</v>
      </c>
      <c r="F38" s="789">
        <v>-31000</v>
      </c>
      <c r="G38" s="787">
        <v>353000</v>
      </c>
      <c r="H38" s="789">
        <v>-7750</v>
      </c>
      <c r="I38" s="787">
        <v>88250</v>
      </c>
      <c r="J38" s="787">
        <v>182253</v>
      </c>
      <c r="K38" s="786">
        <v>2.2599999999999998</v>
      </c>
      <c r="L38" s="790" t="s">
        <v>283</v>
      </c>
      <c r="M38" s="794">
        <v>-31000</v>
      </c>
      <c r="N38" s="791" t="s">
        <v>283</v>
      </c>
      <c r="O38" s="791" t="s">
        <v>283</v>
      </c>
      <c r="P38" s="791" t="s">
        <v>283</v>
      </c>
      <c r="Q38" s="792">
        <v>353000</v>
      </c>
      <c r="R38" s="791">
        <v>0</v>
      </c>
      <c r="S38" s="791">
        <v>0</v>
      </c>
      <c r="T38" s="791" t="s">
        <v>283</v>
      </c>
      <c r="U38" s="791" t="s">
        <v>283</v>
      </c>
      <c r="V38" s="791" t="s">
        <v>283</v>
      </c>
      <c r="W38" s="791" t="s">
        <v>283</v>
      </c>
      <c r="X38" s="791" t="s">
        <v>283</v>
      </c>
      <c r="Y38" s="772" t="s">
        <v>283</v>
      </c>
      <c r="Z38" s="765" t="s">
        <v>283</v>
      </c>
      <c r="AA38" s="765" t="s">
        <v>283</v>
      </c>
      <c r="AB38" s="765" t="s">
        <v>283</v>
      </c>
      <c r="AC38" s="765" t="s">
        <v>283</v>
      </c>
      <c r="AD38" s="765" t="s">
        <v>283</v>
      </c>
      <c r="AE38" s="765" t="s">
        <v>283</v>
      </c>
      <c r="AF38" s="765" t="s">
        <v>283</v>
      </c>
      <c r="AG38" s="765" t="s">
        <v>283</v>
      </c>
      <c r="AH38" s="765" t="s">
        <v>283</v>
      </c>
      <c r="AI38" s="765" t="s">
        <v>283</v>
      </c>
      <c r="AJ38" s="765" t="s">
        <v>283</v>
      </c>
      <c r="AK38" s="765" t="s">
        <v>283</v>
      </c>
      <c r="AL38" s="765" t="s">
        <v>283</v>
      </c>
      <c r="AM38" s="765" t="s">
        <v>283</v>
      </c>
      <c r="AN38" s="765" t="s">
        <v>283</v>
      </c>
      <c r="AO38" s="765" t="s">
        <v>283</v>
      </c>
      <c r="AP38" s="765" t="s">
        <v>283</v>
      </c>
      <c r="AQ38" s="765" t="s">
        <v>283</v>
      </c>
      <c r="AR38" s="765" t="s">
        <v>283</v>
      </c>
      <c r="AS38" s="765" t="s">
        <v>283</v>
      </c>
      <c r="AT38" s="765" t="s">
        <v>283</v>
      </c>
      <c r="AU38" s="765" t="s">
        <v>283</v>
      </c>
      <c r="AV38" s="765" t="s">
        <v>283</v>
      </c>
      <c r="AW38" s="765" t="s">
        <v>283</v>
      </c>
    </row>
    <row r="39" spans="1:49" ht="15">
      <c r="A39" s="765" t="s">
        <v>283</v>
      </c>
      <c r="B39" s="769" t="s">
        <v>283</v>
      </c>
      <c r="C39" s="776" t="s">
        <v>355</v>
      </c>
      <c r="D39" s="787">
        <v>58000</v>
      </c>
      <c r="E39" s="787">
        <v>589286</v>
      </c>
      <c r="F39" s="789">
        <v>-146000</v>
      </c>
      <c r="G39" s="787">
        <v>2028000</v>
      </c>
      <c r="H39" s="789">
        <v>-112500</v>
      </c>
      <c r="I39" s="787">
        <v>1205000</v>
      </c>
      <c r="J39" s="787">
        <v>888858</v>
      </c>
      <c r="K39" s="786">
        <v>1.51</v>
      </c>
      <c r="L39" s="790" t="s">
        <v>283</v>
      </c>
      <c r="M39" s="794">
        <v>-127000</v>
      </c>
      <c r="N39" s="794">
        <v>-146000</v>
      </c>
      <c r="O39" s="794">
        <v>-98000</v>
      </c>
      <c r="P39" s="792">
        <v>58000</v>
      </c>
      <c r="Q39" s="792">
        <v>2028000</v>
      </c>
      <c r="R39" s="792">
        <v>1433000</v>
      </c>
      <c r="S39" s="792">
        <v>977000</v>
      </c>
      <c r="T39" s="791" t="s">
        <v>283</v>
      </c>
      <c r="U39" s="791" t="s">
        <v>283</v>
      </c>
      <c r="V39" s="791" t="s">
        <v>283</v>
      </c>
      <c r="W39" s="791" t="s">
        <v>283</v>
      </c>
      <c r="X39" s="791" t="s">
        <v>283</v>
      </c>
      <c r="Y39" s="772" t="s">
        <v>283</v>
      </c>
      <c r="Z39" s="765" t="s">
        <v>283</v>
      </c>
      <c r="AA39" s="765" t="s">
        <v>283</v>
      </c>
      <c r="AB39" s="765" t="s">
        <v>283</v>
      </c>
      <c r="AC39" s="765" t="s">
        <v>283</v>
      </c>
      <c r="AD39" s="765" t="s">
        <v>283</v>
      </c>
      <c r="AE39" s="765" t="s">
        <v>283</v>
      </c>
      <c r="AF39" s="765" t="s">
        <v>283</v>
      </c>
      <c r="AG39" s="765" t="s">
        <v>283</v>
      </c>
      <c r="AH39" s="765" t="s">
        <v>283</v>
      </c>
      <c r="AI39" s="765" t="s">
        <v>283</v>
      </c>
      <c r="AJ39" s="765" t="s">
        <v>283</v>
      </c>
      <c r="AK39" s="765" t="s">
        <v>283</v>
      </c>
      <c r="AL39" s="765" t="s">
        <v>283</v>
      </c>
      <c r="AM39" s="765" t="s">
        <v>283</v>
      </c>
      <c r="AN39" s="765" t="s">
        <v>283</v>
      </c>
      <c r="AO39" s="765" t="s">
        <v>283</v>
      </c>
      <c r="AP39" s="765" t="s">
        <v>283</v>
      </c>
      <c r="AQ39" s="765" t="s">
        <v>283</v>
      </c>
      <c r="AR39" s="765" t="s">
        <v>283</v>
      </c>
      <c r="AS39" s="765" t="s">
        <v>283</v>
      </c>
      <c r="AT39" s="765" t="s">
        <v>283</v>
      </c>
      <c r="AU39" s="765" t="s">
        <v>283</v>
      </c>
      <c r="AV39" s="765" t="s">
        <v>283</v>
      </c>
      <c r="AW39" s="765" t="s">
        <v>283</v>
      </c>
    </row>
    <row r="40" spans="1:49" ht="15">
      <c r="A40" s="765" t="s">
        <v>283</v>
      </c>
      <c r="B40" s="769" t="s">
        <v>283</v>
      </c>
      <c r="C40" s="773" t="s">
        <v>356</v>
      </c>
      <c r="D40" s="774" t="s">
        <v>283</v>
      </c>
      <c r="E40" s="774" t="s">
        <v>283</v>
      </c>
      <c r="F40" s="774" t="s">
        <v>283</v>
      </c>
      <c r="G40" s="774" t="s">
        <v>283</v>
      </c>
      <c r="H40" s="774" t="s">
        <v>283</v>
      </c>
      <c r="I40" s="774" t="s">
        <v>283</v>
      </c>
      <c r="J40" s="774" t="s">
        <v>283</v>
      </c>
      <c r="K40" s="774" t="s">
        <v>283</v>
      </c>
      <c r="L40" s="771"/>
      <c r="M40" s="771"/>
      <c r="N40" s="771"/>
      <c r="O40" s="771"/>
      <c r="P40" s="771"/>
      <c r="Q40" s="771"/>
      <c r="R40" s="771"/>
      <c r="S40" s="771"/>
      <c r="T40" s="771"/>
      <c r="U40" s="771"/>
      <c r="V40" s="771"/>
      <c r="W40" s="771"/>
      <c r="X40" s="771"/>
      <c r="Y40" s="772" t="s">
        <v>283</v>
      </c>
      <c r="Z40" s="765" t="s">
        <v>283</v>
      </c>
      <c r="AA40" s="765" t="s">
        <v>283</v>
      </c>
      <c r="AB40" s="765" t="s">
        <v>283</v>
      </c>
      <c r="AC40" s="765" t="s">
        <v>283</v>
      </c>
      <c r="AD40" s="765" t="s">
        <v>283</v>
      </c>
      <c r="AE40" s="765" t="s">
        <v>283</v>
      </c>
      <c r="AF40" s="765" t="s">
        <v>283</v>
      </c>
      <c r="AG40" s="765" t="s">
        <v>283</v>
      </c>
      <c r="AH40" s="765" t="s">
        <v>283</v>
      </c>
      <c r="AI40" s="765" t="s">
        <v>283</v>
      </c>
      <c r="AJ40" s="765" t="s">
        <v>283</v>
      </c>
      <c r="AK40" s="765" t="s">
        <v>283</v>
      </c>
      <c r="AL40" s="765" t="s">
        <v>283</v>
      </c>
      <c r="AM40" s="765" t="s">
        <v>283</v>
      </c>
      <c r="AN40" s="765" t="s">
        <v>283</v>
      </c>
      <c r="AO40" s="765" t="s">
        <v>283</v>
      </c>
      <c r="AP40" s="765" t="s">
        <v>283</v>
      </c>
      <c r="AQ40" s="765" t="s">
        <v>283</v>
      </c>
      <c r="AR40" s="765" t="s">
        <v>283</v>
      </c>
      <c r="AS40" s="765" t="s">
        <v>283</v>
      </c>
      <c r="AT40" s="765" t="s">
        <v>283</v>
      </c>
      <c r="AU40" s="765" t="s">
        <v>283</v>
      </c>
      <c r="AV40" s="765" t="s">
        <v>283</v>
      </c>
      <c r="AW40" s="765" t="s">
        <v>283</v>
      </c>
    </row>
    <row r="41" spans="1:49" ht="15">
      <c r="A41" s="765" t="s">
        <v>283</v>
      </c>
      <c r="B41" s="769" t="s">
        <v>283</v>
      </c>
      <c r="C41" s="773" t="s">
        <v>357</v>
      </c>
      <c r="D41" s="782">
        <v>-1500</v>
      </c>
      <c r="E41" s="782">
        <v>-44167</v>
      </c>
      <c r="F41" s="782">
        <v>-294000</v>
      </c>
      <c r="G41" s="780">
        <v>37000</v>
      </c>
      <c r="H41" s="782">
        <v>-30000</v>
      </c>
      <c r="I41" s="780">
        <v>25500</v>
      </c>
      <c r="J41" s="780">
        <v>125528</v>
      </c>
      <c r="K41" s="781">
        <v>-2.84</v>
      </c>
      <c r="L41" s="771"/>
      <c r="M41" s="783">
        <v>34000</v>
      </c>
      <c r="N41" s="773"/>
      <c r="O41" s="785">
        <v>-39000</v>
      </c>
      <c r="P41" s="785">
        <v>-294000</v>
      </c>
      <c r="Q41" s="783">
        <v>37000</v>
      </c>
      <c r="R41" s="773">
        <v>0</v>
      </c>
      <c r="S41" s="785">
        <v>-3000</v>
      </c>
      <c r="T41" s="773"/>
      <c r="U41" s="773"/>
      <c r="V41" s="773"/>
      <c r="W41" s="773"/>
      <c r="X41" s="773"/>
      <c r="Y41" s="772" t="s">
        <v>283</v>
      </c>
      <c r="Z41" s="765" t="s">
        <v>283</v>
      </c>
      <c r="AA41" s="765" t="s">
        <v>283</v>
      </c>
      <c r="AB41" s="765" t="s">
        <v>283</v>
      </c>
      <c r="AC41" s="765" t="s">
        <v>283</v>
      </c>
      <c r="AD41" s="765" t="s">
        <v>283</v>
      </c>
      <c r="AE41" s="765" t="s">
        <v>283</v>
      </c>
      <c r="AF41" s="765" t="s">
        <v>283</v>
      </c>
      <c r="AG41" s="765" t="s">
        <v>283</v>
      </c>
      <c r="AH41" s="765" t="s">
        <v>283</v>
      </c>
      <c r="AI41" s="765" t="s">
        <v>283</v>
      </c>
      <c r="AJ41" s="765" t="s">
        <v>283</v>
      </c>
      <c r="AK41" s="765" t="s">
        <v>283</v>
      </c>
      <c r="AL41" s="765" t="s">
        <v>283</v>
      </c>
      <c r="AM41" s="765" t="s">
        <v>283</v>
      </c>
      <c r="AN41" s="765" t="s">
        <v>283</v>
      </c>
      <c r="AO41" s="765" t="s">
        <v>283</v>
      </c>
      <c r="AP41" s="765" t="s">
        <v>283</v>
      </c>
      <c r="AQ41" s="765" t="s">
        <v>283</v>
      </c>
      <c r="AR41" s="765" t="s">
        <v>283</v>
      </c>
      <c r="AS41" s="765" t="s">
        <v>283</v>
      </c>
      <c r="AT41" s="765" t="s">
        <v>283</v>
      </c>
      <c r="AU41" s="765" t="s">
        <v>283</v>
      </c>
      <c r="AV41" s="765" t="s">
        <v>283</v>
      </c>
      <c r="AW41" s="765" t="s">
        <v>283</v>
      </c>
    </row>
    <row r="42" spans="1:49" ht="15">
      <c r="A42" s="765" t="s">
        <v>283</v>
      </c>
      <c r="B42" s="769" t="s">
        <v>283</v>
      </c>
      <c r="C42" s="773" t="s">
        <v>358</v>
      </c>
      <c r="D42" s="782">
        <v>-8000</v>
      </c>
      <c r="E42" s="782">
        <v>-6333</v>
      </c>
      <c r="F42" s="782">
        <v>-8000</v>
      </c>
      <c r="G42" s="780">
        <v>1000</v>
      </c>
      <c r="H42" s="782">
        <v>-8000</v>
      </c>
      <c r="I42" s="782">
        <v>-7250</v>
      </c>
      <c r="J42" s="780">
        <v>3615</v>
      </c>
      <c r="K42" s="781">
        <v>-0.56999999999999995</v>
      </c>
      <c r="L42" s="771"/>
      <c r="M42" s="783">
        <v>1000</v>
      </c>
      <c r="N42" s="785">
        <v>-8000</v>
      </c>
      <c r="O42" s="785">
        <v>-7000</v>
      </c>
      <c r="P42" s="785">
        <v>-8000</v>
      </c>
      <c r="Q42" s="785">
        <v>-8000</v>
      </c>
      <c r="R42" s="785">
        <v>-8000</v>
      </c>
      <c r="S42" s="773"/>
      <c r="T42" s="773"/>
      <c r="U42" s="773"/>
      <c r="V42" s="773"/>
      <c r="W42" s="773"/>
      <c r="X42" s="773"/>
      <c r="Y42" s="772" t="s">
        <v>283</v>
      </c>
      <c r="Z42" s="765" t="s">
        <v>283</v>
      </c>
      <c r="AA42" s="765" t="s">
        <v>283</v>
      </c>
      <c r="AB42" s="765" t="s">
        <v>283</v>
      </c>
      <c r="AC42" s="765" t="s">
        <v>283</v>
      </c>
      <c r="AD42" s="765" t="s">
        <v>283</v>
      </c>
      <c r="AE42" s="765" t="s">
        <v>283</v>
      </c>
      <c r="AF42" s="765" t="s">
        <v>283</v>
      </c>
      <c r="AG42" s="765" t="s">
        <v>283</v>
      </c>
      <c r="AH42" s="765" t="s">
        <v>283</v>
      </c>
      <c r="AI42" s="765" t="s">
        <v>283</v>
      </c>
      <c r="AJ42" s="765" t="s">
        <v>283</v>
      </c>
      <c r="AK42" s="765" t="s">
        <v>283</v>
      </c>
      <c r="AL42" s="765" t="s">
        <v>283</v>
      </c>
      <c r="AM42" s="765" t="s">
        <v>283</v>
      </c>
      <c r="AN42" s="765" t="s">
        <v>283</v>
      </c>
      <c r="AO42" s="765" t="s">
        <v>283</v>
      </c>
      <c r="AP42" s="765" t="s">
        <v>283</v>
      </c>
      <c r="AQ42" s="765" t="s">
        <v>283</v>
      </c>
      <c r="AR42" s="765" t="s">
        <v>283</v>
      </c>
      <c r="AS42" s="765" t="s">
        <v>283</v>
      </c>
      <c r="AT42" s="765" t="s">
        <v>283</v>
      </c>
      <c r="AU42" s="765" t="s">
        <v>283</v>
      </c>
      <c r="AV42" s="765" t="s">
        <v>283</v>
      </c>
      <c r="AW42" s="765" t="s">
        <v>283</v>
      </c>
    </row>
    <row r="43" spans="1:49" ht="15">
      <c r="A43" s="765" t="s">
        <v>283</v>
      </c>
      <c r="B43" s="769" t="s">
        <v>283</v>
      </c>
      <c r="C43" s="773" t="s">
        <v>359</v>
      </c>
      <c r="D43" s="780">
        <v>2000</v>
      </c>
      <c r="E43" s="781">
        <v>-143</v>
      </c>
      <c r="F43" s="782">
        <v>-65000</v>
      </c>
      <c r="G43" s="780">
        <v>42000</v>
      </c>
      <c r="H43" s="779">
        <v>0</v>
      </c>
      <c r="I43" s="780">
        <v>10000</v>
      </c>
      <c r="J43" s="780">
        <v>32137</v>
      </c>
      <c r="K43" s="781">
        <v>-224.96</v>
      </c>
      <c r="L43" s="771"/>
      <c r="M43" s="783">
        <v>42000</v>
      </c>
      <c r="N43" s="785">
        <v>-65000</v>
      </c>
      <c r="O43" s="783">
        <v>1000</v>
      </c>
      <c r="P43" s="785">
        <v>-1000</v>
      </c>
      <c r="Q43" s="783">
        <v>2000</v>
      </c>
      <c r="R43" s="783">
        <v>11000</v>
      </c>
      <c r="S43" s="783">
        <v>9000</v>
      </c>
      <c r="T43" s="773"/>
      <c r="U43" s="773"/>
      <c r="V43" s="773"/>
      <c r="W43" s="773"/>
      <c r="X43" s="773"/>
      <c r="Y43" s="772" t="s">
        <v>283</v>
      </c>
      <c r="Z43" s="765" t="s">
        <v>283</v>
      </c>
      <c r="AA43" s="765" t="s">
        <v>283</v>
      </c>
      <c r="AB43" s="765" t="s">
        <v>283</v>
      </c>
      <c r="AC43" s="765" t="s">
        <v>283</v>
      </c>
      <c r="AD43" s="765" t="s">
        <v>283</v>
      </c>
      <c r="AE43" s="765" t="s">
        <v>283</v>
      </c>
      <c r="AF43" s="765" t="s">
        <v>283</v>
      </c>
      <c r="AG43" s="765" t="s">
        <v>283</v>
      </c>
      <c r="AH43" s="765" t="s">
        <v>283</v>
      </c>
      <c r="AI43" s="765" t="s">
        <v>283</v>
      </c>
      <c r="AJ43" s="765" t="s">
        <v>283</v>
      </c>
      <c r="AK43" s="765" t="s">
        <v>283</v>
      </c>
      <c r="AL43" s="765" t="s">
        <v>283</v>
      </c>
      <c r="AM43" s="765" t="s">
        <v>283</v>
      </c>
      <c r="AN43" s="765" t="s">
        <v>283</v>
      </c>
      <c r="AO43" s="765" t="s">
        <v>283</v>
      </c>
      <c r="AP43" s="765" t="s">
        <v>283</v>
      </c>
      <c r="AQ43" s="765" t="s">
        <v>283</v>
      </c>
      <c r="AR43" s="765" t="s">
        <v>283</v>
      </c>
      <c r="AS43" s="765" t="s">
        <v>283</v>
      </c>
      <c r="AT43" s="765" t="s">
        <v>283</v>
      </c>
      <c r="AU43" s="765" t="s">
        <v>283</v>
      </c>
      <c r="AV43" s="765" t="s">
        <v>283</v>
      </c>
      <c r="AW43" s="765" t="s">
        <v>283</v>
      </c>
    </row>
    <row r="44" spans="1:49" ht="15">
      <c r="A44" s="765" t="s">
        <v>283</v>
      </c>
      <c r="B44" s="769" t="s">
        <v>283</v>
      </c>
      <c r="C44" s="776" t="s">
        <v>360</v>
      </c>
      <c r="D44" s="787">
        <v>3000</v>
      </c>
      <c r="E44" s="789">
        <v>-43429</v>
      </c>
      <c r="F44" s="789">
        <v>-303000</v>
      </c>
      <c r="G44" s="787">
        <v>77000</v>
      </c>
      <c r="H44" s="789">
        <v>-59000</v>
      </c>
      <c r="I44" s="787">
        <v>18500</v>
      </c>
      <c r="J44" s="787">
        <v>124429</v>
      </c>
      <c r="K44" s="788">
        <v>-2.87</v>
      </c>
      <c r="L44" s="790" t="s">
        <v>283</v>
      </c>
      <c r="M44" s="792">
        <v>77000</v>
      </c>
      <c r="N44" s="794">
        <v>-73000</v>
      </c>
      <c r="O44" s="794">
        <v>-45000</v>
      </c>
      <c r="P44" s="794">
        <v>-303000</v>
      </c>
      <c r="Q44" s="792">
        <v>31000</v>
      </c>
      <c r="R44" s="792">
        <v>3000</v>
      </c>
      <c r="S44" s="792">
        <v>6000</v>
      </c>
      <c r="T44" s="791" t="s">
        <v>283</v>
      </c>
      <c r="U44" s="791" t="s">
        <v>283</v>
      </c>
      <c r="V44" s="791" t="s">
        <v>283</v>
      </c>
      <c r="W44" s="791" t="s">
        <v>283</v>
      </c>
      <c r="X44" s="791" t="s">
        <v>283</v>
      </c>
      <c r="Y44" s="772" t="s">
        <v>283</v>
      </c>
      <c r="Z44" s="765" t="s">
        <v>283</v>
      </c>
      <c r="AA44" s="765" t="s">
        <v>283</v>
      </c>
      <c r="AB44" s="765" t="s">
        <v>283</v>
      </c>
      <c r="AC44" s="765" t="s">
        <v>283</v>
      </c>
      <c r="AD44" s="765" t="s">
        <v>283</v>
      </c>
      <c r="AE44" s="765" t="s">
        <v>283</v>
      </c>
      <c r="AF44" s="765" t="s">
        <v>283</v>
      </c>
      <c r="AG44" s="765" t="s">
        <v>283</v>
      </c>
      <c r="AH44" s="765" t="s">
        <v>283</v>
      </c>
      <c r="AI44" s="765" t="s">
        <v>283</v>
      </c>
      <c r="AJ44" s="765" t="s">
        <v>283</v>
      </c>
      <c r="AK44" s="765" t="s">
        <v>283</v>
      </c>
      <c r="AL44" s="765" t="s">
        <v>283</v>
      </c>
      <c r="AM44" s="765" t="s">
        <v>283</v>
      </c>
      <c r="AN44" s="765" t="s">
        <v>283</v>
      </c>
      <c r="AO44" s="765" t="s">
        <v>283</v>
      </c>
      <c r="AP44" s="765" t="s">
        <v>283</v>
      </c>
      <c r="AQ44" s="765" t="s">
        <v>283</v>
      </c>
      <c r="AR44" s="765" t="s">
        <v>283</v>
      </c>
      <c r="AS44" s="765" t="s">
        <v>283</v>
      </c>
      <c r="AT44" s="765" t="s">
        <v>283</v>
      </c>
      <c r="AU44" s="765" t="s">
        <v>283</v>
      </c>
      <c r="AV44" s="765" t="s">
        <v>283</v>
      </c>
      <c r="AW44" s="765" t="s">
        <v>283</v>
      </c>
    </row>
    <row r="45" spans="1:49" ht="15">
      <c r="A45" s="765" t="s">
        <v>283</v>
      </c>
      <c r="B45" s="769" t="s">
        <v>283</v>
      </c>
      <c r="C45" s="773" t="s">
        <v>361</v>
      </c>
      <c r="D45" s="774" t="s">
        <v>283</v>
      </c>
      <c r="E45" s="774" t="s">
        <v>283</v>
      </c>
      <c r="F45" s="774" t="s">
        <v>283</v>
      </c>
      <c r="G45" s="774" t="s">
        <v>283</v>
      </c>
      <c r="H45" s="774" t="s">
        <v>283</v>
      </c>
      <c r="I45" s="774" t="s">
        <v>283</v>
      </c>
      <c r="J45" s="774" t="s">
        <v>283</v>
      </c>
      <c r="K45" s="774" t="s">
        <v>283</v>
      </c>
      <c r="L45" s="771"/>
      <c r="M45" s="771"/>
      <c r="N45" s="771"/>
      <c r="O45" s="771"/>
      <c r="P45" s="771"/>
      <c r="Q45" s="771"/>
      <c r="R45" s="771"/>
      <c r="S45" s="771"/>
      <c r="T45" s="771"/>
      <c r="U45" s="771"/>
      <c r="V45" s="771"/>
      <c r="W45" s="771"/>
      <c r="X45" s="771"/>
      <c r="Y45" s="772" t="s">
        <v>283</v>
      </c>
      <c r="Z45" s="765" t="s">
        <v>283</v>
      </c>
      <c r="AA45" s="765" t="s">
        <v>283</v>
      </c>
      <c r="AB45" s="765" t="s">
        <v>283</v>
      </c>
      <c r="AC45" s="765" t="s">
        <v>283</v>
      </c>
      <c r="AD45" s="765" t="s">
        <v>283</v>
      </c>
      <c r="AE45" s="765" t="s">
        <v>283</v>
      </c>
      <c r="AF45" s="765" t="s">
        <v>283</v>
      </c>
      <c r="AG45" s="765" t="s">
        <v>283</v>
      </c>
      <c r="AH45" s="765" t="s">
        <v>283</v>
      </c>
      <c r="AI45" s="765" t="s">
        <v>283</v>
      </c>
      <c r="AJ45" s="765" t="s">
        <v>283</v>
      </c>
      <c r="AK45" s="765" t="s">
        <v>283</v>
      </c>
      <c r="AL45" s="765" t="s">
        <v>283</v>
      </c>
      <c r="AM45" s="765" t="s">
        <v>283</v>
      </c>
      <c r="AN45" s="765" t="s">
        <v>283</v>
      </c>
      <c r="AO45" s="765" t="s">
        <v>283</v>
      </c>
      <c r="AP45" s="765" t="s">
        <v>283</v>
      </c>
      <c r="AQ45" s="765" t="s">
        <v>283</v>
      </c>
      <c r="AR45" s="765" t="s">
        <v>283</v>
      </c>
      <c r="AS45" s="765" t="s">
        <v>283</v>
      </c>
      <c r="AT45" s="765" t="s">
        <v>283</v>
      </c>
      <c r="AU45" s="765" t="s">
        <v>283</v>
      </c>
      <c r="AV45" s="765" t="s">
        <v>283</v>
      </c>
      <c r="AW45" s="765" t="s">
        <v>283</v>
      </c>
    </row>
    <row r="46" spans="1:49" ht="15">
      <c r="A46" s="765" t="s">
        <v>283</v>
      </c>
      <c r="B46" s="769" t="s">
        <v>283</v>
      </c>
      <c r="C46" s="773" t="s">
        <v>362</v>
      </c>
      <c r="D46" s="780">
        <v>18000</v>
      </c>
      <c r="E46" s="780">
        <v>16750</v>
      </c>
      <c r="F46" s="780">
        <v>3000</v>
      </c>
      <c r="G46" s="780">
        <v>28000</v>
      </c>
      <c r="H46" s="780">
        <v>6750</v>
      </c>
      <c r="I46" s="780">
        <v>28000</v>
      </c>
      <c r="J46" s="780">
        <v>13150</v>
      </c>
      <c r="K46" s="779">
        <v>0.79</v>
      </c>
      <c r="L46" s="771"/>
      <c r="M46" s="773"/>
      <c r="N46" s="773"/>
      <c r="O46" s="773"/>
      <c r="P46" s="783">
        <v>3000</v>
      </c>
      <c r="Q46" s="783">
        <v>8000</v>
      </c>
      <c r="R46" s="783">
        <v>28000</v>
      </c>
      <c r="S46" s="783">
        <v>28000</v>
      </c>
      <c r="T46" s="773"/>
      <c r="U46" s="773"/>
      <c r="V46" s="773"/>
      <c r="W46" s="773"/>
      <c r="X46" s="773"/>
      <c r="Y46" s="772" t="s">
        <v>283</v>
      </c>
      <c r="Z46" s="765" t="s">
        <v>283</v>
      </c>
      <c r="AA46" s="765" t="s">
        <v>283</v>
      </c>
      <c r="AB46" s="765" t="s">
        <v>283</v>
      </c>
      <c r="AC46" s="765" t="s">
        <v>283</v>
      </c>
      <c r="AD46" s="765" t="s">
        <v>283</v>
      </c>
      <c r="AE46" s="765" t="s">
        <v>283</v>
      </c>
      <c r="AF46" s="765" t="s">
        <v>283</v>
      </c>
      <c r="AG46" s="765" t="s">
        <v>283</v>
      </c>
      <c r="AH46" s="765" t="s">
        <v>283</v>
      </c>
      <c r="AI46" s="765" t="s">
        <v>283</v>
      </c>
      <c r="AJ46" s="765" t="s">
        <v>283</v>
      </c>
      <c r="AK46" s="765" t="s">
        <v>283</v>
      </c>
      <c r="AL46" s="765" t="s">
        <v>283</v>
      </c>
      <c r="AM46" s="765" t="s">
        <v>283</v>
      </c>
      <c r="AN46" s="765" t="s">
        <v>283</v>
      </c>
      <c r="AO46" s="765" t="s">
        <v>283</v>
      </c>
      <c r="AP46" s="765" t="s">
        <v>283</v>
      </c>
      <c r="AQ46" s="765" t="s">
        <v>283</v>
      </c>
      <c r="AR46" s="765" t="s">
        <v>283</v>
      </c>
      <c r="AS46" s="765" t="s">
        <v>283</v>
      </c>
      <c r="AT46" s="765" t="s">
        <v>283</v>
      </c>
      <c r="AU46" s="765" t="s">
        <v>283</v>
      </c>
      <c r="AV46" s="765" t="s">
        <v>283</v>
      </c>
      <c r="AW46" s="765" t="s">
        <v>283</v>
      </c>
    </row>
    <row r="47" spans="1:49" ht="15">
      <c r="A47" s="765" t="s">
        <v>283</v>
      </c>
      <c r="B47" s="769" t="s">
        <v>283</v>
      </c>
      <c r="C47" s="773" t="s">
        <v>363</v>
      </c>
      <c r="D47" s="780">
        <v>72000</v>
      </c>
      <c r="E47" s="780">
        <v>74000</v>
      </c>
      <c r="F47" s="780">
        <v>19000</v>
      </c>
      <c r="G47" s="780">
        <v>140000</v>
      </c>
      <c r="H47" s="780">
        <v>57000</v>
      </c>
      <c r="I47" s="780">
        <v>86500</v>
      </c>
      <c r="J47" s="780">
        <v>37466</v>
      </c>
      <c r="K47" s="779">
        <v>0.51</v>
      </c>
      <c r="L47" s="771"/>
      <c r="M47" s="783">
        <v>140000</v>
      </c>
      <c r="N47" s="783">
        <v>95000</v>
      </c>
      <c r="O47" s="783">
        <v>72000</v>
      </c>
      <c r="P47" s="783">
        <v>58000</v>
      </c>
      <c r="Q47" s="783">
        <v>19000</v>
      </c>
      <c r="R47" s="783">
        <v>78000</v>
      </c>
      <c r="S47" s="783">
        <v>56000</v>
      </c>
      <c r="T47" s="773"/>
      <c r="U47" s="773"/>
      <c r="V47" s="773"/>
      <c r="W47" s="773"/>
      <c r="X47" s="773"/>
      <c r="Y47" s="772" t="s">
        <v>283</v>
      </c>
      <c r="Z47" s="765" t="s">
        <v>283</v>
      </c>
      <c r="AA47" s="765" t="s">
        <v>283</v>
      </c>
      <c r="AB47" s="765" t="s">
        <v>283</v>
      </c>
      <c r="AC47" s="765" t="s">
        <v>283</v>
      </c>
      <c r="AD47" s="765" t="s">
        <v>283</v>
      </c>
      <c r="AE47" s="765" t="s">
        <v>283</v>
      </c>
      <c r="AF47" s="765" t="s">
        <v>283</v>
      </c>
      <c r="AG47" s="765" t="s">
        <v>283</v>
      </c>
      <c r="AH47" s="765" t="s">
        <v>283</v>
      </c>
      <c r="AI47" s="765" t="s">
        <v>283</v>
      </c>
      <c r="AJ47" s="765" t="s">
        <v>283</v>
      </c>
      <c r="AK47" s="765" t="s">
        <v>283</v>
      </c>
      <c r="AL47" s="765" t="s">
        <v>283</v>
      </c>
      <c r="AM47" s="765" t="s">
        <v>283</v>
      </c>
      <c r="AN47" s="765" t="s">
        <v>283</v>
      </c>
      <c r="AO47" s="765" t="s">
        <v>283</v>
      </c>
      <c r="AP47" s="765" t="s">
        <v>283</v>
      </c>
      <c r="AQ47" s="765" t="s">
        <v>283</v>
      </c>
      <c r="AR47" s="765" t="s">
        <v>283</v>
      </c>
      <c r="AS47" s="765" t="s">
        <v>283</v>
      </c>
      <c r="AT47" s="765" t="s">
        <v>283</v>
      </c>
      <c r="AU47" s="765" t="s">
        <v>283</v>
      </c>
      <c r="AV47" s="765" t="s">
        <v>283</v>
      </c>
      <c r="AW47" s="765" t="s">
        <v>283</v>
      </c>
    </row>
    <row r="48" spans="1:49" ht="15">
      <c r="A48" s="765" t="s">
        <v>283</v>
      </c>
      <c r="B48" s="769" t="s">
        <v>283</v>
      </c>
      <c r="C48" s="773" t="s">
        <v>364</v>
      </c>
      <c r="D48" s="780">
        <v>12000</v>
      </c>
      <c r="E48" s="780">
        <v>18200</v>
      </c>
      <c r="F48" s="780">
        <v>1000</v>
      </c>
      <c r="G48" s="780">
        <v>56000</v>
      </c>
      <c r="H48" s="780">
        <v>8000</v>
      </c>
      <c r="I48" s="780">
        <v>14000</v>
      </c>
      <c r="J48" s="780">
        <v>21707</v>
      </c>
      <c r="K48" s="779">
        <v>1.19</v>
      </c>
      <c r="L48" s="771"/>
      <c r="M48" s="783">
        <v>12000</v>
      </c>
      <c r="N48" s="783">
        <v>14000</v>
      </c>
      <c r="O48" s="783">
        <v>56000</v>
      </c>
      <c r="P48" s="783">
        <v>8000</v>
      </c>
      <c r="Q48" s="783">
        <v>1000</v>
      </c>
      <c r="R48" s="773"/>
      <c r="S48" s="773"/>
      <c r="T48" s="773"/>
      <c r="U48" s="773"/>
      <c r="V48" s="773"/>
      <c r="W48" s="773"/>
      <c r="X48" s="773"/>
      <c r="Y48" s="772" t="s">
        <v>283</v>
      </c>
      <c r="Z48" s="765" t="s">
        <v>283</v>
      </c>
      <c r="AA48" s="765" t="s">
        <v>283</v>
      </c>
      <c r="AB48" s="765" t="s">
        <v>283</v>
      </c>
      <c r="AC48" s="765" t="s">
        <v>283</v>
      </c>
      <c r="AD48" s="765" t="s">
        <v>283</v>
      </c>
      <c r="AE48" s="765" t="s">
        <v>283</v>
      </c>
      <c r="AF48" s="765" t="s">
        <v>283</v>
      </c>
      <c r="AG48" s="765" t="s">
        <v>283</v>
      </c>
      <c r="AH48" s="765" t="s">
        <v>283</v>
      </c>
      <c r="AI48" s="765" t="s">
        <v>283</v>
      </c>
      <c r="AJ48" s="765" t="s">
        <v>283</v>
      </c>
      <c r="AK48" s="765" t="s">
        <v>283</v>
      </c>
      <c r="AL48" s="765" t="s">
        <v>283</v>
      </c>
      <c r="AM48" s="765" t="s">
        <v>283</v>
      </c>
      <c r="AN48" s="765" t="s">
        <v>283</v>
      </c>
      <c r="AO48" s="765" t="s">
        <v>283</v>
      </c>
      <c r="AP48" s="765" t="s">
        <v>283</v>
      </c>
      <c r="AQ48" s="765" t="s">
        <v>283</v>
      </c>
      <c r="AR48" s="765" t="s">
        <v>283</v>
      </c>
      <c r="AS48" s="765" t="s">
        <v>283</v>
      </c>
      <c r="AT48" s="765" t="s">
        <v>283</v>
      </c>
      <c r="AU48" s="765" t="s">
        <v>283</v>
      </c>
      <c r="AV48" s="765" t="s">
        <v>283</v>
      </c>
      <c r="AW48" s="765" t="s">
        <v>283</v>
      </c>
    </row>
    <row r="49" spans="1:49" ht="15">
      <c r="A49" s="765" t="s">
        <v>283</v>
      </c>
      <c r="B49" s="769" t="s">
        <v>283</v>
      </c>
      <c r="C49" s="776" t="s">
        <v>365</v>
      </c>
      <c r="D49" s="787">
        <v>106000</v>
      </c>
      <c r="E49" s="787">
        <v>96571</v>
      </c>
      <c r="F49" s="787">
        <v>28000</v>
      </c>
      <c r="G49" s="787">
        <v>152000</v>
      </c>
      <c r="H49" s="787">
        <v>76500</v>
      </c>
      <c r="I49" s="787">
        <v>118500</v>
      </c>
      <c r="J49" s="787">
        <v>40669</v>
      </c>
      <c r="K49" s="786">
        <v>0.42</v>
      </c>
      <c r="L49" s="790" t="s">
        <v>283</v>
      </c>
      <c r="M49" s="792">
        <v>152000</v>
      </c>
      <c r="N49" s="792">
        <v>109000</v>
      </c>
      <c r="O49" s="792">
        <v>128000</v>
      </c>
      <c r="P49" s="792">
        <v>69000</v>
      </c>
      <c r="Q49" s="792">
        <v>28000</v>
      </c>
      <c r="R49" s="792">
        <v>106000</v>
      </c>
      <c r="S49" s="792">
        <v>84000</v>
      </c>
      <c r="T49" s="791" t="s">
        <v>283</v>
      </c>
      <c r="U49" s="791" t="s">
        <v>283</v>
      </c>
      <c r="V49" s="791" t="s">
        <v>283</v>
      </c>
      <c r="W49" s="791" t="s">
        <v>283</v>
      </c>
      <c r="X49" s="791" t="s">
        <v>283</v>
      </c>
      <c r="Y49" s="772" t="s">
        <v>283</v>
      </c>
      <c r="Z49" s="765" t="s">
        <v>283</v>
      </c>
      <c r="AA49" s="765" t="s">
        <v>283</v>
      </c>
      <c r="AB49" s="765" t="s">
        <v>283</v>
      </c>
      <c r="AC49" s="765" t="s">
        <v>283</v>
      </c>
      <c r="AD49" s="765" t="s">
        <v>283</v>
      </c>
      <c r="AE49" s="765" t="s">
        <v>283</v>
      </c>
      <c r="AF49" s="765" t="s">
        <v>283</v>
      </c>
      <c r="AG49" s="765" t="s">
        <v>283</v>
      </c>
      <c r="AH49" s="765" t="s">
        <v>283</v>
      </c>
      <c r="AI49" s="765" t="s">
        <v>283</v>
      </c>
      <c r="AJ49" s="765" t="s">
        <v>283</v>
      </c>
      <c r="AK49" s="765" t="s">
        <v>283</v>
      </c>
      <c r="AL49" s="765" t="s">
        <v>283</v>
      </c>
      <c r="AM49" s="765" t="s">
        <v>283</v>
      </c>
      <c r="AN49" s="765" t="s">
        <v>283</v>
      </c>
      <c r="AO49" s="765" t="s">
        <v>283</v>
      </c>
      <c r="AP49" s="765" t="s">
        <v>283</v>
      </c>
      <c r="AQ49" s="765" t="s">
        <v>283</v>
      </c>
      <c r="AR49" s="765" t="s">
        <v>283</v>
      </c>
      <c r="AS49" s="765" t="s">
        <v>283</v>
      </c>
      <c r="AT49" s="765" t="s">
        <v>283</v>
      </c>
      <c r="AU49" s="765" t="s">
        <v>283</v>
      </c>
      <c r="AV49" s="765" t="s">
        <v>283</v>
      </c>
      <c r="AW49" s="765" t="s">
        <v>283</v>
      </c>
    </row>
    <row r="50" spans="1:49" ht="15">
      <c r="A50" s="765" t="s">
        <v>283</v>
      </c>
      <c r="B50" s="769" t="s">
        <v>283</v>
      </c>
      <c r="C50" s="773" t="s">
        <v>366</v>
      </c>
      <c r="D50" s="782">
        <v>-4000</v>
      </c>
      <c r="E50" s="782">
        <v>-5571</v>
      </c>
      <c r="F50" s="782">
        <v>-12000</v>
      </c>
      <c r="G50" s="782">
        <v>-2000</v>
      </c>
      <c r="H50" s="782">
        <v>-7000</v>
      </c>
      <c r="I50" s="782">
        <v>-3500</v>
      </c>
      <c r="J50" s="780">
        <v>3599</v>
      </c>
      <c r="K50" s="781">
        <v>-0.65</v>
      </c>
      <c r="L50" s="771"/>
      <c r="M50" s="785">
        <v>-5000</v>
      </c>
      <c r="N50" s="785">
        <v>-4000</v>
      </c>
      <c r="O50" s="785">
        <v>-4000</v>
      </c>
      <c r="P50" s="785">
        <v>-9000</v>
      </c>
      <c r="Q50" s="785">
        <v>-3000</v>
      </c>
      <c r="R50" s="785">
        <v>-12000</v>
      </c>
      <c r="S50" s="785">
        <v>-2000</v>
      </c>
      <c r="T50" s="773"/>
      <c r="U50" s="773"/>
      <c r="V50" s="773"/>
      <c r="W50" s="773"/>
      <c r="X50" s="773"/>
      <c r="Y50" s="772" t="s">
        <v>283</v>
      </c>
      <c r="Z50" s="765" t="s">
        <v>283</v>
      </c>
      <c r="AA50" s="765" t="s">
        <v>283</v>
      </c>
      <c r="AB50" s="765" t="s">
        <v>283</v>
      </c>
      <c r="AC50" s="765" t="s">
        <v>283</v>
      </c>
      <c r="AD50" s="765" t="s">
        <v>283</v>
      </c>
      <c r="AE50" s="765" t="s">
        <v>283</v>
      </c>
      <c r="AF50" s="765" t="s">
        <v>283</v>
      </c>
      <c r="AG50" s="765" t="s">
        <v>283</v>
      </c>
      <c r="AH50" s="765" t="s">
        <v>283</v>
      </c>
      <c r="AI50" s="765" t="s">
        <v>283</v>
      </c>
      <c r="AJ50" s="765" t="s">
        <v>283</v>
      </c>
      <c r="AK50" s="765" t="s">
        <v>283</v>
      </c>
      <c r="AL50" s="765" t="s">
        <v>283</v>
      </c>
      <c r="AM50" s="765" t="s">
        <v>283</v>
      </c>
      <c r="AN50" s="765" t="s">
        <v>283</v>
      </c>
      <c r="AO50" s="765" t="s">
        <v>283</v>
      </c>
      <c r="AP50" s="765" t="s">
        <v>283</v>
      </c>
      <c r="AQ50" s="765" t="s">
        <v>283</v>
      </c>
      <c r="AR50" s="765" t="s">
        <v>283</v>
      </c>
      <c r="AS50" s="765" t="s">
        <v>283</v>
      </c>
      <c r="AT50" s="765" t="s">
        <v>283</v>
      </c>
      <c r="AU50" s="765" t="s">
        <v>283</v>
      </c>
      <c r="AV50" s="765" t="s">
        <v>283</v>
      </c>
      <c r="AW50" s="765" t="s">
        <v>283</v>
      </c>
    </row>
    <row r="51" spans="1:49" ht="15">
      <c r="A51" s="765" t="s">
        <v>283</v>
      </c>
      <c r="B51" s="769" t="s">
        <v>283</v>
      </c>
      <c r="C51" s="776" t="s">
        <v>367</v>
      </c>
      <c r="D51" s="789">
        <v>-439000</v>
      </c>
      <c r="E51" s="789">
        <v>-734857</v>
      </c>
      <c r="F51" s="789">
        <v>-2028000</v>
      </c>
      <c r="G51" s="787">
        <v>47000</v>
      </c>
      <c r="H51" s="789">
        <v>-1302500</v>
      </c>
      <c r="I51" s="789">
        <v>-59500</v>
      </c>
      <c r="J51" s="787">
        <v>821483</v>
      </c>
      <c r="K51" s="788">
        <v>-1.1200000000000001</v>
      </c>
      <c r="L51" s="790" t="s">
        <v>283</v>
      </c>
      <c r="M51" s="792">
        <v>47000</v>
      </c>
      <c r="N51" s="794">
        <v>-40000</v>
      </c>
      <c r="O51" s="794">
        <v>-79000</v>
      </c>
      <c r="P51" s="794">
        <v>-439000</v>
      </c>
      <c r="Q51" s="794">
        <v>-2028000</v>
      </c>
      <c r="R51" s="794">
        <v>-1548000</v>
      </c>
      <c r="S51" s="794">
        <v>-1057000</v>
      </c>
      <c r="T51" s="791" t="s">
        <v>283</v>
      </c>
      <c r="U51" s="791" t="s">
        <v>283</v>
      </c>
      <c r="V51" s="791" t="s">
        <v>283</v>
      </c>
      <c r="W51" s="791" t="s">
        <v>283</v>
      </c>
      <c r="X51" s="791" t="s">
        <v>283</v>
      </c>
      <c r="Y51" s="772" t="s">
        <v>283</v>
      </c>
      <c r="Z51" s="765" t="s">
        <v>283</v>
      </c>
      <c r="AA51" s="765" t="s">
        <v>283</v>
      </c>
      <c r="AB51" s="765" t="s">
        <v>283</v>
      </c>
      <c r="AC51" s="765" t="s">
        <v>283</v>
      </c>
      <c r="AD51" s="765" t="s">
        <v>283</v>
      </c>
      <c r="AE51" s="765" t="s">
        <v>283</v>
      </c>
      <c r="AF51" s="765" t="s">
        <v>283</v>
      </c>
      <c r="AG51" s="765" t="s">
        <v>283</v>
      </c>
      <c r="AH51" s="765" t="s">
        <v>283</v>
      </c>
      <c r="AI51" s="765" t="s">
        <v>283</v>
      </c>
      <c r="AJ51" s="765" t="s">
        <v>283</v>
      </c>
      <c r="AK51" s="765" t="s">
        <v>283</v>
      </c>
      <c r="AL51" s="765" t="s">
        <v>283</v>
      </c>
      <c r="AM51" s="765" t="s">
        <v>283</v>
      </c>
      <c r="AN51" s="765" t="s">
        <v>283</v>
      </c>
      <c r="AO51" s="765" t="s">
        <v>283</v>
      </c>
      <c r="AP51" s="765" t="s">
        <v>283</v>
      </c>
      <c r="AQ51" s="765" t="s">
        <v>283</v>
      </c>
      <c r="AR51" s="765" t="s">
        <v>283</v>
      </c>
      <c r="AS51" s="765" t="s">
        <v>283</v>
      </c>
      <c r="AT51" s="765" t="s">
        <v>283</v>
      </c>
      <c r="AU51" s="765" t="s">
        <v>283</v>
      </c>
      <c r="AV51" s="765" t="s">
        <v>283</v>
      </c>
      <c r="AW51" s="765" t="s">
        <v>283</v>
      </c>
    </row>
    <row r="52" spans="1:49" ht="15">
      <c r="A52" s="765" t="s">
        <v>283</v>
      </c>
      <c r="B52" s="769" t="s">
        <v>283</v>
      </c>
      <c r="C52" s="776" t="s">
        <v>368</v>
      </c>
      <c r="D52" s="782">
        <v>-466000</v>
      </c>
      <c r="E52" s="782">
        <v>-1388777</v>
      </c>
      <c r="F52" s="782">
        <v>-3981000</v>
      </c>
      <c r="G52" s="780">
        <v>269000</v>
      </c>
      <c r="H52" s="782">
        <v>-2743000</v>
      </c>
      <c r="I52" s="782">
        <v>-95000</v>
      </c>
      <c r="J52" s="780">
        <v>1657135</v>
      </c>
      <c r="K52" s="781">
        <v>-1.19</v>
      </c>
      <c r="L52" s="771"/>
      <c r="M52" s="783">
        <v>269000</v>
      </c>
      <c r="N52" s="785">
        <v>-95000</v>
      </c>
      <c r="O52" s="785">
        <v>-466000</v>
      </c>
      <c r="P52" s="785">
        <v>-1734000</v>
      </c>
      <c r="Q52" s="785">
        <v>-3552000</v>
      </c>
      <c r="R52" s="785">
        <v>-2743000</v>
      </c>
      <c r="S52" s="785">
        <v>-3981000</v>
      </c>
      <c r="T52" s="785">
        <v>-180001</v>
      </c>
      <c r="U52" s="785">
        <v>-16994</v>
      </c>
      <c r="V52" s="773"/>
      <c r="W52" s="773"/>
      <c r="X52" s="773"/>
      <c r="Y52" s="772" t="s">
        <v>283</v>
      </c>
      <c r="Z52" s="765" t="s">
        <v>283</v>
      </c>
      <c r="AA52" s="765" t="s">
        <v>283</v>
      </c>
      <c r="AB52" s="765" t="s">
        <v>283</v>
      </c>
      <c r="AC52" s="765" t="s">
        <v>283</v>
      </c>
      <c r="AD52" s="765" t="s">
        <v>283</v>
      </c>
      <c r="AE52" s="765" t="s">
        <v>283</v>
      </c>
      <c r="AF52" s="765" t="s">
        <v>283</v>
      </c>
      <c r="AG52" s="765" t="s">
        <v>283</v>
      </c>
      <c r="AH52" s="765" t="s">
        <v>283</v>
      </c>
      <c r="AI52" s="765" t="s">
        <v>283</v>
      </c>
      <c r="AJ52" s="765" t="s">
        <v>283</v>
      </c>
      <c r="AK52" s="765" t="s">
        <v>283</v>
      </c>
      <c r="AL52" s="765" t="s">
        <v>283</v>
      </c>
      <c r="AM52" s="765" t="s">
        <v>283</v>
      </c>
      <c r="AN52" s="765" t="s">
        <v>283</v>
      </c>
      <c r="AO52" s="765" t="s">
        <v>283</v>
      </c>
      <c r="AP52" s="765" t="s">
        <v>283</v>
      </c>
      <c r="AQ52" s="765" t="s">
        <v>283</v>
      </c>
      <c r="AR52" s="765" t="s">
        <v>283</v>
      </c>
      <c r="AS52" s="765" t="s">
        <v>283</v>
      </c>
      <c r="AT52" s="765" t="s">
        <v>283</v>
      </c>
      <c r="AU52" s="765" t="s">
        <v>283</v>
      </c>
      <c r="AV52" s="765" t="s">
        <v>283</v>
      </c>
      <c r="AW52" s="765" t="s">
        <v>283</v>
      </c>
    </row>
    <row r="53" spans="1:49" ht="15">
      <c r="A53" s="765" t="s">
        <v>283</v>
      </c>
      <c r="B53" s="769" t="s">
        <v>283</v>
      </c>
      <c r="C53" s="776" t="s">
        <v>369</v>
      </c>
      <c r="D53" s="780">
        <v>7000</v>
      </c>
      <c r="E53" s="780">
        <v>24143</v>
      </c>
      <c r="F53" s="780">
        <v>2000</v>
      </c>
      <c r="G53" s="780">
        <v>69000</v>
      </c>
      <c r="H53" s="780">
        <v>4500</v>
      </c>
      <c r="I53" s="780">
        <v>41000</v>
      </c>
      <c r="J53" s="780">
        <v>29180</v>
      </c>
      <c r="K53" s="779">
        <v>1.21</v>
      </c>
      <c r="L53" s="771"/>
      <c r="M53" s="783">
        <v>69000</v>
      </c>
      <c r="N53" s="783">
        <v>63000</v>
      </c>
      <c r="O53" s="783">
        <v>19000</v>
      </c>
      <c r="P53" s="783">
        <v>6000</v>
      </c>
      <c r="Q53" s="783">
        <v>3000</v>
      </c>
      <c r="R53" s="783">
        <v>2000</v>
      </c>
      <c r="S53" s="783">
        <v>7000</v>
      </c>
      <c r="T53" s="773"/>
      <c r="U53" s="773"/>
      <c r="V53" s="773"/>
      <c r="W53" s="773"/>
      <c r="X53" s="773"/>
      <c r="Y53" s="772" t="s">
        <v>283</v>
      </c>
      <c r="Z53" s="765" t="s">
        <v>283</v>
      </c>
      <c r="AA53" s="765" t="s">
        <v>283</v>
      </c>
      <c r="AB53" s="765" t="s">
        <v>283</v>
      </c>
      <c r="AC53" s="765" t="s">
        <v>283</v>
      </c>
      <c r="AD53" s="765" t="s">
        <v>283</v>
      </c>
      <c r="AE53" s="765" t="s">
        <v>283</v>
      </c>
      <c r="AF53" s="765" t="s">
        <v>283</v>
      </c>
      <c r="AG53" s="765" t="s">
        <v>283</v>
      </c>
      <c r="AH53" s="765" t="s">
        <v>283</v>
      </c>
      <c r="AI53" s="765" t="s">
        <v>283</v>
      </c>
      <c r="AJ53" s="765" t="s">
        <v>283</v>
      </c>
      <c r="AK53" s="765" t="s">
        <v>283</v>
      </c>
      <c r="AL53" s="765" t="s">
        <v>283</v>
      </c>
      <c r="AM53" s="765" t="s">
        <v>283</v>
      </c>
      <c r="AN53" s="765" t="s">
        <v>283</v>
      </c>
      <c r="AO53" s="765" t="s">
        <v>283</v>
      </c>
      <c r="AP53" s="765" t="s">
        <v>283</v>
      </c>
      <c r="AQ53" s="765" t="s">
        <v>283</v>
      </c>
      <c r="AR53" s="765" t="s">
        <v>283</v>
      </c>
      <c r="AS53" s="765" t="s">
        <v>283</v>
      </c>
      <c r="AT53" s="765" t="s">
        <v>283</v>
      </c>
      <c r="AU53" s="765" t="s">
        <v>283</v>
      </c>
      <c r="AV53" s="765" t="s">
        <v>283</v>
      </c>
      <c r="AW53" s="765" t="s">
        <v>283</v>
      </c>
    </row>
    <row r="54" spans="1:49" ht="15">
      <c r="A54" s="765" t="s">
        <v>283</v>
      </c>
      <c r="B54" s="769" t="s">
        <v>283</v>
      </c>
      <c r="C54" s="776" t="s">
        <v>370</v>
      </c>
      <c r="D54" s="782">
        <v>-1740000</v>
      </c>
      <c r="E54" s="782">
        <v>-1781571</v>
      </c>
      <c r="F54" s="782">
        <v>-3988000</v>
      </c>
      <c r="G54" s="780">
        <v>200000</v>
      </c>
      <c r="H54" s="782">
        <v>-3150000</v>
      </c>
      <c r="I54" s="782">
        <v>-321500</v>
      </c>
      <c r="J54" s="780">
        <v>1692484</v>
      </c>
      <c r="K54" s="781">
        <v>-0.95</v>
      </c>
      <c r="L54" s="771"/>
      <c r="M54" s="783">
        <v>200000</v>
      </c>
      <c r="N54" s="785">
        <v>-158000</v>
      </c>
      <c r="O54" s="785">
        <v>-485000</v>
      </c>
      <c r="P54" s="785">
        <v>-1740000</v>
      </c>
      <c r="Q54" s="785">
        <v>-3555000</v>
      </c>
      <c r="R54" s="785">
        <v>-2745000</v>
      </c>
      <c r="S54" s="785">
        <v>-3988000</v>
      </c>
      <c r="T54" s="773"/>
      <c r="U54" s="773"/>
      <c r="V54" s="773"/>
      <c r="W54" s="773"/>
      <c r="X54" s="773"/>
      <c r="Y54" s="772" t="s">
        <v>283</v>
      </c>
      <c r="Z54" s="765" t="s">
        <v>283</v>
      </c>
      <c r="AA54" s="765" t="s">
        <v>283</v>
      </c>
      <c r="AB54" s="765" t="s">
        <v>283</v>
      </c>
      <c r="AC54" s="765" t="s">
        <v>283</v>
      </c>
      <c r="AD54" s="765" t="s">
        <v>283</v>
      </c>
      <c r="AE54" s="765" t="s">
        <v>283</v>
      </c>
      <c r="AF54" s="765" t="s">
        <v>283</v>
      </c>
      <c r="AG54" s="765" t="s">
        <v>283</v>
      </c>
      <c r="AH54" s="765" t="s">
        <v>283</v>
      </c>
      <c r="AI54" s="765" t="s">
        <v>283</v>
      </c>
      <c r="AJ54" s="765" t="s">
        <v>283</v>
      </c>
      <c r="AK54" s="765" t="s">
        <v>283</v>
      </c>
      <c r="AL54" s="765" t="s">
        <v>283</v>
      </c>
      <c r="AM54" s="765" t="s">
        <v>283</v>
      </c>
      <c r="AN54" s="765" t="s">
        <v>283</v>
      </c>
      <c r="AO54" s="765" t="s">
        <v>283</v>
      </c>
      <c r="AP54" s="765" t="s">
        <v>283</v>
      </c>
      <c r="AQ54" s="765" t="s">
        <v>283</v>
      </c>
      <c r="AR54" s="765" t="s">
        <v>283</v>
      </c>
      <c r="AS54" s="765" t="s">
        <v>283</v>
      </c>
      <c r="AT54" s="765" t="s">
        <v>283</v>
      </c>
      <c r="AU54" s="765" t="s">
        <v>283</v>
      </c>
      <c r="AV54" s="765" t="s">
        <v>283</v>
      </c>
      <c r="AW54" s="765" t="s">
        <v>283</v>
      </c>
    </row>
    <row r="55" spans="1:49" ht="15">
      <c r="A55" s="765" t="s">
        <v>283</v>
      </c>
      <c r="B55" s="769" t="s">
        <v>283</v>
      </c>
      <c r="C55" s="776" t="s">
        <v>371</v>
      </c>
      <c r="D55" s="782">
        <v>-1740000</v>
      </c>
      <c r="E55" s="782">
        <v>-1781571</v>
      </c>
      <c r="F55" s="782">
        <v>-3988000</v>
      </c>
      <c r="G55" s="780">
        <v>200000</v>
      </c>
      <c r="H55" s="782">
        <v>-3150000</v>
      </c>
      <c r="I55" s="782">
        <v>-321500</v>
      </c>
      <c r="J55" s="780">
        <v>1692484</v>
      </c>
      <c r="K55" s="781">
        <v>-0.95</v>
      </c>
      <c r="L55" s="771"/>
      <c r="M55" s="783">
        <v>200000</v>
      </c>
      <c r="N55" s="785">
        <v>-158000</v>
      </c>
      <c r="O55" s="785">
        <v>-485000</v>
      </c>
      <c r="P55" s="785">
        <v>-1740000</v>
      </c>
      <c r="Q55" s="785">
        <v>-3555000</v>
      </c>
      <c r="R55" s="785">
        <v>-2745000</v>
      </c>
      <c r="S55" s="785">
        <v>-3988000</v>
      </c>
      <c r="T55" s="773"/>
      <c r="U55" s="773"/>
      <c r="V55" s="773"/>
      <c r="W55" s="773"/>
      <c r="X55" s="773"/>
      <c r="Y55" s="772" t="s">
        <v>283</v>
      </c>
      <c r="Z55" s="765" t="s">
        <v>283</v>
      </c>
      <c r="AA55" s="765" t="s">
        <v>283</v>
      </c>
      <c r="AB55" s="765" t="s">
        <v>283</v>
      </c>
      <c r="AC55" s="765" t="s">
        <v>283</v>
      </c>
      <c r="AD55" s="765" t="s">
        <v>283</v>
      </c>
      <c r="AE55" s="765" t="s">
        <v>283</v>
      </c>
      <c r="AF55" s="765" t="s">
        <v>283</v>
      </c>
      <c r="AG55" s="765" t="s">
        <v>283</v>
      </c>
      <c r="AH55" s="765" t="s">
        <v>283</v>
      </c>
      <c r="AI55" s="765" t="s">
        <v>283</v>
      </c>
      <c r="AJ55" s="765" t="s">
        <v>283</v>
      </c>
      <c r="AK55" s="765" t="s">
        <v>283</v>
      </c>
      <c r="AL55" s="765" t="s">
        <v>283</v>
      </c>
      <c r="AM55" s="765" t="s">
        <v>283</v>
      </c>
      <c r="AN55" s="765" t="s">
        <v>283</v>
      </c>
      <c r="AO55" s="765" t="s">
        <v>283</v>
      </c>
      <c r="AP55" s="765" t="s">
        <v>283</v>
      </c>
      <c r="AQ55" s="765" t="s">
        <v>283</v>
      </c>
      <c r="AR55" s="765" t="s">
        <v>283</v>
      </c>
      <c r="AS55" s="765" t="s">
        <v>283</v>
      </c>
      <c r="AT55" s="765" t="s">
        <v>283</v>
      </c>
      <c r="AU55" s="765" t="s">
        <v>283</v>
      </c>
      <c r="AV55" s="765" t="s">
        <v>283</v>
      </c>
      <c r="AW55" s="765" t="s">
        <v>283</v>
      </c>
    </row>
    <row r="56" spans="1:49" ht="15">
      <c r="A56" s="765" t="s">
        <v>283</v>
      </c>
      <c r="B56" s="769" t="s">
        <v>283</v>
      </c>
      <c r="C56" s="776" t="s">
        <v>56</v>
      </c>
      <c r="D56" s="782">
        <v>-68000</v>
      </c>
      <c r="E56" s="782">
        <v>-101857</v>
      </c>
      <c r="F56" s="782">
        <v>-241000</v>
      </c>
      <c r="G56" s="782">
        <v>-51000</v>
      </c>
      <c r="H56" s="782">
        <v>-121500</v>
      </c>
      <c r="I56" s="782">
        <v>-55000</v>
      </c>
      <c r="J56" s="780">
        <v>69216</v>
      </c>
      <c r="K56" s="781">
        <v>-0.68</v>
      </c>
      <c r="L56" s="771"/>
      <c r="M56" s="785">
        <v>-68000</v>
      </c>
      <c r="N56" s="785">
        <v>-53000</v>
      </c>
      <c r="O56" s="785">
        <v>-51000</v>
      </c>
      <c r="P56" s="785">
        <v>-57000</v>
      </c>
      <c r="Q56" s="785">
        <v>-106000</v>
      </c>
      <c r="R56" s="785">
        <v>-137000</v>
      </c>
      <c r="S56" s="785">
        <v>-241000</v>
      </c>
      <c r="T56" s="773"/>
      <c r="U56" s="773"/>
      <c r="V56" s="773"/>
      <c r="W56" s="773"/>
      <c r="X56" s="773"/>
      <c r="Y56" s="772" t="s">
        <v>283</v>
      </c>
      <c r="Z56" s="765" t="s">
        <v>283</v>
      </c>
      <c r="AA56" s="765" t="s">
        <v>283</v>
      </c>
      <c r="AB56" s="765" t="s">
        <v>283</v>
      </c>
      <c r="AC56" s="765" t="s">
        <v>283</v>
      </c>
      <c r="AD56" s="765" t="s">
        <v>283</v>
      </c>
      <c r="AE56" s="765" t="s">
        <v>283</v>
      </c>
      <c r="AF56" s="765" t="s">
        <v>283</v>
      </c>
      <c r="AG56" s="765" t="s">
        <v>283</v>
      </c>
      <c r="AH56" s="765" t="s">
        <v>283</v>
      </c>
      <c r="AI56" s="765" t="s">
        <v>283</v>
      </c>
      <c r="AJ56" s="765" t="s">
        <v>283</v>
      </c>
      <c r="AK56" s="765" t="s">
        <v>283</v>
      </c>
      <c r="AL56" s="765" t="s">
        <v>283</v>
      </c>
      <c r="AM56" s="765" t="s">
        <v>283</v>
      </c>
      <c r="AN56" s="765" t="s">
        <v>283</v>
      </c>
      <c r="AO56" s="765" t="s">
        <v>283</v>
      </c>
      <c r="AP56" s="765" t="s">
        <v>283</v>
      </c>
      <c r="AQ56" s="765" t="s">
        <v>283</v>
      </c>
      <c r="AR56" s="765" t="s">
        <v>283</v>
      </c>
      <c r="AS56" s="765" t="s">
        <v>283</v>
      </c>
      <c r="AT56" s="765" t="s">
        <v>283</v>
      </c>
      <c r="AU56" s="765" t="s">
        <v>283</v>
      </c>
      <c r="AV56" s="765" t="s">
        <v>283</v>
      </c>
      <c r="AW56" s="765" t="s">
        <v>283</v>
      </c>
    </row>
    <row r="57" spans="1:49" ht="15">
      <c r="A57" s="765" t="s">
        <v>283</v>
      </c>
      <c r="B57" s="769" t="s">
        <v>283</v>
      </c>
      <c r="C57" s="776" t="s">
        <v>372</v>
      </c>
      <c r="D57" s="782">
        <v>-1683000</v>
      </c>
      <c r="E57" s="782">
        <v>-1679714</v>
      </c>
      <c r="F57" s="782">
        <v>-3747000</v>
      </c>
      <c r="G57" s="780">
        <v>268000</v>
      </c>
      <c r="H57" s="782">
        <v>-3028500</v>
      </c>
      <c r="I57" s="782">
        <v>-269500</v>
      </c>
      <c r="J57" s="780">
        <v>1637625</v>
      </c>
      <c r="K57" s="781">
        <v>-0.97</v>
      </c>
      <c r="L57" s="771"/>
      <c r="M57" s="783">
        <v>268000</v>
      </c>
      <c r="N57" s="785">
        <v>-105000</v>
      </c>
      <c r="O57" s="785">
        <v>-434000</v>
      </c>
      <c r="P57" s="785">
        <v>-1683000</v>
      </c>
      <c r="Q57" s="785">
        <v>-3449000</v>
      </c>
      <c r="R57" s="785">
        <v>-2608000</v>
      </c>
      <c r="S57" s="785">
        <v>-3747000</v>
      </c>
      <c r="T57" s="773"/>
      <c r="U57" s="773"/>
      <c r="V57" s="773"/>
      <c r="W57" s="773"/>
      <c r="X57" s="773"/>
      <c r="Y57" s="772" t="s">
        <v>283</v>
      </c>
      <c r="Z57" s="765" t="s">
        <v>283</v>
      </c>
      <c r="AA57" s="765" t="s">
        <v>283</v>
      </c>
      <c r="AB57" s="765" t="s">
        <v>283</v>
      </c>
      <c r="AC57" s="765" t="s">
        <v>283</v>
      </c>
      <c r="AD57" s="765" t="s">
        <v>283</v>
      </c>
      <c r="AE57" s="765" t="s">
        <v>283</v>
      </c>
      <c r="AF57" s="765" t="s">
        <v>283</v>
      </c>
      <c r="AG57" s="765" t="s">
        <v>283</v>
      </c>
      <c r="AH57" s="765" t="s">
        <v>283</v>
      </c>
      <c r="AI57" s="765" t="s">
        <v>283</v>
      </c>
      <c r="AJ57" s="765" t="s">
        <v>283</v>
      </c>
      <c r="AK57" s="765" t="s">
        <v>283</v>
      </c>
      <c r="AL57" s="765" t="s">
        <v>283</v>
      </c>
      <c r="AM57" s="765" t="s">
        <v>283</v>
      </c>
      <c r="AN57" s="765" t="s">
        <v>283</v>
      </c>
      <c r="AO57" s="765" t="s">
        <v>283</v>
      </c>
      <c r="AP57" s="765" t="s">
        <v>283</v>
      </c>
      <c r="AQ57" s="765" t="s">
        <v>283</v>
      </c>
      <c r="AR57" s="765" t="s">
        <v>283</v>
      </c>
      <c r="AS57" s="765" t="s">
        <v>283</v>
      </c>
      <c r="AT57" s="765" t="s">
        <v>283</v>
      </c>
      <c r="AU57" s="765" t="s">
        <v>283</v>
      </c>
      <c r="AV57" s="765" t="s">
        <v>283</v>
      </c>
      <c r="AW57" s="765" t="s">
        <v>283</v>
      </c>
    </row>
    <row r="58" spans="1:49" ht="15">
      <c r="A58" s="765" t="s">
        <v>283</v>
      </c>
      <c r="B58" s="769" t="s">
        <v>283</v>
      </c>
      <c r="C58" s="776" t="s">
        <v>373</v>
      </c>
      <c r="D58" s="782">
        <v>-434000</v>
      </c>
      <c r="E58" s="782">
        <v>-1328421</v>
      </c>
      <c r="F58" s="782">
        <v>-3747000</v>
      </c>
      <c r="G58" s="780">
        <v>268000</v>
      </c>
      <c r="H58" s="782">
        <v>-2608000</v>
      </c>
      <c r="I58" s="782">
        <v>-105000</v>
      </c>
      <c r="J58" s="780">
        <v>1580808</v>
      </c>
      <c r="K58" s="781">
        <v>-1.19</v>
      </c>
      <c r="L58" s="771"/>
      <c r="M58" s="783">
        <v>268000</v>
      </c>
      <c r="N58" s="785">
        <v>-105000</v>
      </c>
      <c r="O58" s="785">
        <v>-434000</v>
      </c>
      <c r="P58" s="785">
        <v>-1683000</v>
      </c>
      <c r="Q58" s="785">
        <v>-3449000</v>
      </c>
      <c r="R58" s="785">
        <v>-2608000</v>
      </c>
      <c r="S58" s="785">
        <v>-3747000</v>
      </c>
      <c r="T58" s="785">
        <v>-180795</v>
      </c>
      <c r="U58" s="785">
        <v>-16994</v>
      </c>
      <c r="V58" s="773"/>
      <c r="W58" s="773"/>
      <c r="X58" s="773"/>
      <c r="Y58" s="772" t="s">
        <v>283</v>
      </c>
      <c r="Z58" s="765" t="s">
        <v>283</v>
      </c>
      <c r="AA58" s="765" t="s">
        <v>283</v>
      </c>
      <c r="AB58" s="765" t="s">
        <v>283</v>
      </c>
      <c r="AC58" s="765" t="s">
        <v>283</v>
      </c>
      <c r="AD58" s="765" t="s">
        <v>283</v>
      </c>
      <c r="AE58" s="765" t="s">
        <v>283</v>
      </c>
      <c r="AF58" s="765" t="s">
        <v>283</v>
      </c>
      <c r="AG58" s="765" t="s">
        <v>283</v>
      </c>
      <c r="AH58" s="765" t="s">
        <v>283</v>
      </c>
      <c r="AI58" s="765" t="s">
        <v>283</v>
      </c>
      <c r="AJ58" s="765" t="s">
        <v>283</v>
      </c>
      <c r="AK58" s="765" t="s">
        <v>283</v>
      </c>
      <c r="AL58" s="765" t="s">
        <v>283</v>
      </c>
      <c r="AM58" s="765" t="s">
        <v>283</v>
      </c>
      <c r="AN58" s="765" t="s">
        <v>283</v>
      </c>
      <c r="AO58" s="765" t="s">
        <v>283</v>
      </c>
      <c r="AP58" s="765" t="s">
        <v>283</v>
      </c>
      <c r="AQ58" s="765" t="s">
        <v>283</v>
      </c>
      <c r="AR58" s="765" t="s">
        <v>283</v>
      </c>
      <c r="AS58" s="765" t="s">
        <v>283</v>
      </c>
      <c r="AT58" s="765" t="s">
        <v>283</v>
      </c>
      <c r="AU58" s="765" t="s">
        <v>283</v>
      </c>
      <c r="AV58" s="765" t="s">
        <v>283</v>
      </c>
      <c r="AW58" s="765" t="s">
        <v>283</v>
      </c>
    </row>
    <row r="59" spans="1:49" ht="15">
      <c r="A59" s="765" t="s">
        <v>283</v>
      </c>
      <c r="B59" s="769" t="s">
        <v>283</v>
      </c>
      <c r="C59" s="776" t="s">
        <v>374</v>
      </c>
      <c r="D59" s="782">
        <v>-1683000</v>
      </c>
      <c r="E59" s="782">
        <v>-1679714</v>
      </c>
      <c r="F59" s="782">
        <v>-3747000</v>
      </c>
      <c r="G59" s="780">
        <v>268000</v>
      </c>
      <c r="H59" s="782">
        <v>-3028500</v>
      </c>
      <c r="I59" s="782">
        <v>-269500</v>
      </c>
      <c r="J59" s="780">
        <v>1637625</v>
      </c>
      <c r="K59" s="781">
        <v>-0.97</v>
      </c>
      <c r="L59" s="771"/>
      <c r="M59" s="783">
        <v>268000</v>
      </c>
      <c r="N59" s="785">
        <v>-105000</v>
      </c>
      <c r="O59" s="785">
        <v>-434000</v>
      </c>
      <c r="P59" s="785">
        <v>-1683000</v>
      </c>
      <c r="Q59" s="785">
        <v>-3449000</v>
      </c>
      <c r="R59" s="785">
        <v>-2608000</v>
      </c>
      <c r="S59" s="785">
        <v>-3747000</v>
      </c>
      <c r="T59" s="773"/>
      <c r="U59" s="773"/>
      <c r="V59" s="773"/>
      <c r="W59" s="773"/>
      <c r="X59" s="773"/>
      <c r="Y59" s="772" t="s">
        <v>283</v>
      </c>
      <c r="Z59" s="765" t="s">
        <v>283</v>
      </c>
      <c r="AA59" s="765" t="s">
        <v>283</v>
      </c>
      <c r="AB59" s="765" t="s">
        <v>283</v>
      </c>
      <c r="AC59" s="765" t="s">
        <v>283</v>
      </c>
      <c r="AD59" s="765" t="s">
        <v>283</v>
      </c>
      <c r="AE59" s="765" t="s">
        <v>283</v>
      </c>
      <c r="AF59" s="765" t="s">
        <v>283</v>
      </c>
      <c r="AG59" s="765" t="s">
        <v>283</v>
      </c>
      <c r="AH59" s="765" t="s">
        <v>283</v>
      </c>
      <c r="AI59" s="765" t="s">
        <v>283</v>
      </c>
      <c r="AJ59" s="765" t="s">
        <v>283</v>
      </c>
      <c r="AK59" s="765" t="s">
        <v>283</v>
      </c>
      <c r="AL59" s="765" t="s">
        <v>283</v>
      </c>
      <c r="AM59" s="765" t="s">
        <v>283</v>
      </c>
      <c r="AN59" s="765" t="s">
        <v>283</v>
      </c>
      <c r="AO59" s="765" t="s">
        <v>283</v>
      </c>
      <c r="AP59" s="765" t="s">
        <v>283</v>
      </c>
      <c r="AQ59" s="765" t="s">
        <v>283</v>
      </c>
      <c r="AR59" s="765" t="s">
        <v>283</v>
      </c>
      <c r="AS59" s="765" t="s">
        <v>283</v>
      </c>
      <c r="AT59" s="765" t="s">
        <v>283</v>
      </c>
      <c r="AU59" s="765" t="s">
        <v>283</v>
      </c>
      <c r="AV59" s="765" t="s">
        <v>283</v>
      </c>
      <c r="AW59" s="765" t="s">
        <v>283</v>
      </c>
    </row>
    <row r="60" spans="1:49" ht="15">
      <c r="A60" s="765" t="s">
        <v>283</v>
      </c>
      <c r="B60" s="769" t="s">
        <v>283</v>
      </c>
      <c r="C60" s="778" t="s">
        <v>375</v>
      </c>
      <c r="D60" s="774" t="s">
        <v>283</v>
      </c>
      <c r="E60" s="774" t="s">
        <v>283</v>
      </c>
      <c r="F60" s="774" t="s">
        <v>283</v>
      </c>
      <c r="G60" s="774" t="s">
        <v>283</v>
      </c>
      <c r="H60" s="774" t="s">
        <v>283</v>
      </c>
      <c r="I60" s="774" t="s">
        <v>283</v>
      </c>
      <c r="J60" s="774" t="s">
        <v>283</v>
      </c>
      <c r="K60" s="774" t="s">
        <v>283</v>
      </c>
      <c r="L60" s="774" t="s">
        <v>283</v>
      </c>
      <c r="M60" s="774" t="s">
        <v>283</v>
      </c>
      <c r="N60" s="774" t="s">
        <v>283</v>
      </c>
      <c r="O60" s="774" t="s">
        <v>283</v>
      </c>
      <c r="P60" s="774" t="s">
        <v>283</v>
      </c>
      <c r="Q60" s="774" t="s">
        <v>283</v>
      </c>
      <c r="R60" s="774" t="s">
        <v>283</v>
      </c>
      <c r="S60" s="774" t="s">
        <v>283</v>
      </c>
      <c r="T60" s="774" t="s">
        <v>283</v>
      </c>
      <c r="U60" s="774" t="s">
        <v>283</v>
      </c>
      <c r="V60" s="774" t="s">
        <v>283</v>
      </c>
      <c r="W60" s="774" t="s">
        <v>283</v>
      </c>
      <c r="X60" s="774" t="s">
        <v>283</v>
      </c>
      <c r="Y60" s="772" t="s">
        <v>283</v>
      </c>
      <c r="Z60" s="765" t="s">
        <v>283</v>
      </c>
      <c r="AA60" s="765" t="s">
        <v>283</v>
      </c>
      <c r="AB60" s="765" t="s">
        <v>283</v>
      </c>
      <c r="AC60" s="765" t="s">
        <v>283</v>
      </c>
      <c r="AD60" s="765" t="s">
        <v>283</v>
      </c>
      <c r="AE60" s="765" t="s">
        <v>283</v>
      </c>
      <c r="AF60" s="765" t="s">
        <v>283</v>
      </c>
      <c r="AG60" s="765" t="s">
        <v>283</v>
      </c>
      <c r="AH60" s="765" t="s">
        <v>283</v>
      </c>
      <c r="AI60" s="765" t="s">
        <v>283</v>
      </c>
      <c r="AJ60" s="765" t="s">
        <v>283</v>
      </c>
      <c r="AK60" s="765" t="s">
        <v>283</v>
      </c>
      <c r="AL60" s="765" t="s">
        <v>283</v>
      </c>
      <c r="AM60" s="765" t="s">
        <v>283</v>
      </c>
      <c r="AN60" s="765" t="s">
        <v>283</v>
      </c>
      <c r="AO60" s="765" t="s">
        <v>283</v>
      </c>
      <c r="AP60" s="765" t="s">
        <v>283</v>
      </c>
      <c r="AQ60" s="765" t="s">
        <v>283</v>
      </c>
      <c r="AR60" s="765" t="s">
        <v>283</v>
      </c>
      <c r="AS60" s="765" t="s">
        <v>283</v>
      </c>
      <c r="AT60" s="765" t="s">
        <v>283</v>
      </c>
      <c r="AU60" s="765" t="s">
        <v>283</v>
      </c>
      <c r="AV60" s="765" t="s">
        <v>283</v>
      </c>
      <c r="AW60" s="765" t="s">
        <v>283</v>
      </c>
    </row>
    <row r="61" spans="1:49" ht="15">
      <c r="A61" s="765" t="s">
        <v>283</v>
      </c>
      <c r="B61" s="769" t="s">
        <v>283</v>
      </c>
      <c r="C61" s="773" t="s">
        <v>376</v>
      </c>
      <c r="D61" s="781">
        <v>-0.28000000000000003</v>
      </c>
      <c r="E61" s="781">
        <v>-1.26</v>
      </c>
      <c r="F61" s="781">
        <v>-6.39</v>
      </c>
      <c r="G61" s="779">
        <v>7.0000000000000007E-2</v>
      </c>
      <c r="H61" s="781">
        <v>-0.61</v>
      </c>
      <c r="I61" s="781">
        <v>-0.05</v>
      </c>
      <c r="J61" s="779">
        <v>2.5299999999999998</v>
      </c>
      <c r="K61" s="781">
        <v>-2.0099999999999998</v>
      </c>
      <c r="L61" s="771"/>
      <c r="M61" s="773">
        <v>7.0000000000000007E-2</v>
      </c>
      <c r="N61" s="784">
        <v>-0.03</v>
      </c>
      <c r="O61" s="784">
        <v>-0.11</v>
      </c>
      <c r="P61" s="784">
        <v>-0.44</v>
      </c>
      <c r="Q61" s="784">
        <v>-6.39</v>
      </c>
      <c r="R61" s="784">
        <v>-0.66</v>
      </c>
      <c r="S61" s="773"/>
      <c r="T61" s="773"/>
      <c r="U61" s="773"/>
      <c r="V61" s="773"/>
      <c r="W61" s="773"/>
      <c r="X61" s="773"/>
      <c r="Y61" s="772" t="s">
        <v>283</v>
      </c>
      <c r="Z61" s="765" t="s">
        <v>283</v>
      </c>
      <c r="AA61" s="765" t="s">
        <v>283</v>
      </c>
      <c r="AB61" s="765" t="s">
        <v>283</v>
      </c>
      <c r="AC61" s="765" t="s">
        <v>283</v>
      </c>
      <c r="AD61" s="765" t="s">
        <v>283</v>
      </c>
      <c r="AE61" s="765" t="s">
        <v>283</v>
      </c>
      <c r="AF61" s="765" t="s">
        <v>283</v>
      </c>
      <c r="AG61" s="765" t="s">
        <v>283</v>
      </c>
      <c r="AH61" s="765" t="s">
        <v>283</v>
      </c>
      <c r="AI61" s="765" t="s">
        <v>283</v>
      </c>
      <c r="AJ61" s="765" t="s">
        <v>283</v>
      </c>
      <c r="AK61" s="765" t="s">
        <v>283</v>
      </c>
      <c r="AL61" s="765" t="s">
        <v>283</v>
      </c>
      <c r="AM61" s="765" t="s">
        <v>283</v>
      </c>
      <c r="AN61" s="765" t="s">
        <v>283</v>
      </c>
      <c r="AO61" s="765" t="s">
        <v>283</v>
      </c>
      <c r="AP61" s="765" t="s">
        <v>283</v>
      </c>
      <c r="AQ61" s="765" t="s">
        <v>283</v>
      </c>
      <c r="AR61" s="765" t="s">
        <v>283</v>
      </c>
      <c r="AS61" s="765" t="s">
        <v>283</v>
      </c>
      <c r="AT61" s="765" t="s">
        <v>283</v>
      </c>
      <c r="AU61" s="765" t="s">
        <v>283</v>
      </c>
      <c r="AV61" s="765" t="s">
        <v>283</v>
      </c>
      <c r="AW61" s="765" t="s">
        <v>283</v>
      </c>
    </row>
    <row r="62" spans="1:49" ht="15">
      <c r="A62" s="765" t="s">
        <v>283</v>
      </c>
      <c r="B62" s="769" t="s">
        <v>283</v>
      </c>
      <c r="C62" s="776" t="s">
        <v>377</v>
      </c>
      <c r="D62" s="788">
        <v>-0.28000000000000003</v>
      </c>
      <c r="E62" s="788">
        <v>-1.26</v>
      </c>
      <c r="F62" s="788">
        <v>-6.39</v>
      </c>
      <c r="G62" s="786">
        <v>7.0000000000000007E-2</v>
      </c>
      <c r="H62" s="788">
        <v>-0.61</v>
      </c>
      <c r="I62" s="788">
        <v>-0.05</v>
      </c>
      <c r="J62" s="786">
        <v>2.5299999999999998</v>
      </c>
      <c r="K62" s="788">
        <v>-2.0099999999999998</v>
      </c>
      <c r="L62" s="790" t="s">
        <v>283</v>
      </c>
      <c r="M62" s="791">
        <v>7.0000000000000007E-2</v>
      </c>
      <c r="N62" s="793">
        <v>-0.03</v>
      </c>
      <c r="O62" s="793">
        <v>-0.11</v>
      </c>
      <c r="P62" s="793">
        <v>-0.44</v>
      </c>
      <c r="Q62" s="793">
        <v>-6.39</v>
      </c>
      <c r="R62" s="793">
        <v>-0.66</v>
      </c>
      <c r="S62" s="791" t="s">
        <v>283</v>
      </c>
      <c r="T62" s="791" t="s">
        <v>283</v>
      </c>
      <c r="U62" s="791" t="s">
        <v>283</v>
      </c>
      <c r="V62" s="791" t="s">
        <v>283</v>
      </c>
      <c r="W62" s="791" t="s">
        <v>283</v>
      </c>
      <c r="X62" s="791" t="s">
        <v>283</v>
      </c>
      <c r="Y62" s="772" t="s">
        <v>283</v>
      </c>
      <c r="Z62" s="765" t="s">
        <v>283</v>
      </c>
      <c r="AA62" s="765" t="s">
        <v>283</v>
      </c>
      <c r="AB62" s="765" t="s">
        <v>283</v>
      </c>
      <c r="AC62" s="765" t="s">
        <v>283</v>
      </c>
      <c r="AD62" s="765" t="s">
        <v>283</v>
      </c>
      <c r="AE62" s="765" t="s">
        <v>283</v>
      </c>
      <c r="AF62" s="765" t="s">
        <v>283</v>
      </c>
      <c r="AG62" s="765" t="s">
        <v>283</v>
      </c>
      <c r="AH62" s="765" t="s">
        <v>283</v>
      </c>
      <c r="AI62" s="765" t="s">
        <v>283</v>
      </c>
      <c r="AJ62" s="765" t="s">
        <v>283</v>
      </c>
      <c r="AK62" s="765" t="s">
        <v>283</v>
      </c>
      <c r="AL62" s="765" t="s">
        <v>283</v>
      </c>
      <c r="AM62" s="765" t="s">
        <v>283</v>
      </c>
      <c r="AN62" s="765" t="s">
        <v>283</v>
      </c>
      <c r="AO62" s="765" t="s">
        <v>283</v>
      </c>
      <c r="AP62" s="765" t="s">
        <v>283</v>
      </c>
      <c r="AQ62" s="765" t="s">
        <v>283</v>
      </c>
      <c r="AR62" s="765" t="s">
        <v>283</v>
      </c>
      <c r="AS62" s="765" t="s">
        <v>283</v>
      </c>
      <c r="AT62" s="765" t="s">
        <v>283</v>
      </c>
      <c r="AU62" s="765" t="s">
        <v>283</v>
      </c>
      <c r="AV62" s="765" t="s">
        <v>283</v>
      </c>
      <c r="AW62" s="765" t="s">
        <v>283</v>
      </c>
    </row>
    <row r="63" spans="1:49" ht="15">
      <c r="A63" s="765" t="s">
        <v>283</v>
      </c>
      <c r="B63" s="769" t="s">
        <v>283</v>
      </c>
      <c r="C63" s="778" t="s">
        <v>378</v>
      </c>
      <c r="D63" s="774" t="s">
        <v>283</v>
      </c>
      <c r="E63" s="774" t="s">
        <v>283</v>
      </c>
      <c r="F63" s="774" t="s">
        <v>283</v>
      </c>
      <c r="G63" s="774" t="s">
        <v>283</v>
      </c>
      <c r="H63" s="774" t="s">
        <v>283</v>
      </c>
      <c r="I63" s="774" t="s">
        <v>283</v>
      </c>
      <c r="J63" s="774" t="s">
        <v>283</v>
      </c>
      <c r="K63" s="774" t="s">
        <v>283</v>
      </c>
      <c r="L63" s="774" t="s">
        <v>283</v>
      </c>
      <c r="M63" s="774" t="s">
        <v>283</v>
      </c>
      <c r="N63" s="774" t="s">
        <v>283</v>
      </c>
      <c r="O63" s="774" t="s">
        <v>283</v>
      </c>
      <c r="P63" s="774" t="s">
        <v>283</v>
      </c>
      <c r="Q63" s="774" t="s">
        <v>283</v>
      </c>
      <c r="R63" s="774" t="s">
        <v>283</v>
      </c>
      <c r="S63" s="774" t="s">
        <v>283</v>
      </c>
      <c r="T63" s="774" t="s">
        <v>283</v>
      </c>
      <c r="U63" s="774" t="s">
        <v>283</v>
      </c>
      <c r="V63" s="774" t="s">
        <v>283</v>
      </c>
      <c r="W63" s="774" t="s">
        <v>283</v>
      </c>
      <c r="X63" s="774" t="s">
        <v>283</v>
      </c>
      <c r="Y63" s="772" t="s">
        <v>283</v>
      </c>
      <c r="Z63" s="765" t="s">
        <v>283</v>
      </c>
      <c r="AA63" s="765" t="s">
        <v>283</v>
      </c>
      <c r="AB63" s="765" t="s">
        <v>283</v>
      </c>
      <c r="AC63" s="765" t="s">
        <v>283</v>
      </c>
      <c r="AD63" s="765" t="s">
        <v>283</v>
      </c>
      <c r="AE63" s="765" t="s">
        <v>283</v>
      </c>
      <c r="AF63" s="765" t="s">
        <v>283</v>
      </c>
      <c r="AG63" s="765" t="s">
        <v>283</v>
      </c>
      <c r="AH63" s="765" t="s">
        <v>283</v>
      </c>
      <c r="AI63" s="765" t="s">
        <v>283</v>
      </c>
      <c r="AJ63" s="765" t="s">
        <v>283</v>
      </c>
      <c r="AK63" s="765" t="s">
        <v>283</v>
      </c>
      <c r="AL63" s="765" t="s">
        <v>283</v>
      </c>
      <c r="AM63" s="765" t="s">
        <v>283</v>
      </c>
      <c r="AN63" s="765" t="s">
        <v>283</v>
      </c>
      <c r="AO63" s="765" t="s">
        <v>283</v>
      </c>
      <c r="AP63" s="765" t="s">
        <v>283</v>
      </c>
      <c r="AQ63" s="765" t="s">
        <v>283</v>
      </c>
      <c r="AR63" s="765" t="s">
        <v>283</v>
      </c>
      <c r="AS63" s="765" t="s">
        <v>283</v>
      </c>
      <c r="AT63" s="765" t="s">
        <v>283</v>
      </c>
      <c r="AU63" s="765" t="s">
        <v>283</v>
      </c>
      <c r="AV63" s="765" t="s">
        <v>283</v>
      </c>
      <c r="AW63" s="765" t="s">
        <v>283</v>
      </c>
    </row>
    <row r="64" spans="1:49" ht="15">
      <c r="A64" s="765" t="s">
        <v>283</v>
      </c>
      <c r="B64" s="769" t="s">
        <v>283</v>
      </c>
      <c r="C64" s="773" t="s">
        <v>379</v>
      </c>
      <c r="D64" s="781">
        <v>-0.28000000000000003</v>
      </c>
      <c r="E64" s="781">
        <v>-1.26</v>
      </c>
      <c r="F64" s="781">
        <v>-6.39</v>
      </c>
      <c r="G64" s="779">
        <v>0.06</v>
      </c>
      <c r="H64" s="781">
        <v>-0.61</v>
      </c>
      <c r="I64" s="781">
        <v>-0.05</v>
      </c>
      <c r="J64" s="779">
        <v>2.5299999999999998</v>
      </c>
      <c r="K64" s="781">
        <v>-2</v>
      </c>
      <c r="L64" s="771"/>
      <c r="M64" s="773">
        <v>0.06</v>
      </c>
      <c r="N64" s="784">
        <v>-0.03</v>
      </c>
      <c r="O64" s="784">
        <v>-0.11</v>
      </c>
      <c r="P64" s="784">
        <v>-0.44</v>
      </c>
      <c r="Q64" s="784">
        <v>-6.39</v>
      </c>
      <c r="R64" s="784">
        <v>-0.66</v>
      </c>
      <c r="S64" s="773"/>
      <c r="T64" s="773"/>
      <c r="U64" s="773"/>
      <c r="V64" s="773"/>
      <c r="W64" s="773"/>
      <c r="X64" s="773"/>
      <c r="Y64" s="772" t="s">
        <v>283</v>
      </c>
      <c r="Z64" s="765" t="s">
        <v>283</v>
      </c>
      <c r="AA64" s="765" t="s">
        <v>283</v>
      </c>
      <c r="AB64" s="765" t="s">
        <v>283</v>
      </c>
      <c r="AC64" s="765" t="s">
        <v>283</v>
      </c>
      <c r="AD64" s="765" t="s">
        <v>283</v>
      </c>
      <c r="AE64" s="765" t="s">
        <v>283</v>
      </c>
      <c r="AF64" s="765" t="s">
        <v>283</v>
      </c>
      <c r="AG64" s="765" t="s">
        <v>283</v>
      </c>
      <c r="AH64" s="765" t="s">
        <v>283</v>
      </c>
      <c r="AI64" s="765" t="s">
        <v>283</v>
      </c>
      <c r="AJ64" s="765" t="s">
        <v>283</v>
      </c>
      <c r="AK64" s="765" t="s">
        <v>283</v>
      </c>
      <c r="AL64" s="765" t="s">
        <v>283</v>
      </c>
      <c r="AM64" s="765" t="s">
        <v>283</v>
      </c>
      <c r="AN64" s="765" t="s">
        <v>283</v>
      </c>
      <c r="AO64" s="765" t="s">
        <v>283</v>
      </c>
      <c r="AP64" s="765" t="s">
        <v>283</v>
      </c>
      <c r="AQ64" s="765" t="s">
        <v>283</v>
      </c>
      <c r="AR64" s="765" t="s">
        <v>283</v>
      </c>
      <c r="AS64" s="765" t="s">
        <v>283</v>
      </c>
      <c r="AT64" s="765" t="s">
        <v>283</v>
      </c>
      <c r="AU64" s="765" t="s">
        <v>283</v>
      </c>
      <c r="AV64" s="765" t="s">
        <v>283</v>
      </c>
      <c r="AW64" s="765" t="s">
        <v>283</v>
      </c>
    </row>
    <row r="65" spans="1:49" ht="15">
      <c r="A65" s="765" t="s">
        <v>283</v>
      </c>
      <c r="B65" s="769" t="s">
        <v>283</v>
      </c>
      <c r="C65" s="776" t="s">
        <v>380</v>
      </c>
      <c r="D65" s="788">
        <v>-0.28000000000000003</v>
      </c>
      <c r="E65" s="788">
        <v>-1.26</v>
      </c>
      <c r="F65" s="788">
        <v>-6.39</v>
      </c>
      <c r="G65" s="786">
        <v>0.06</v>
      </c>
      <c r="H65" s="788">
        <v>-0.61</v>
      </c>
      <c r="I65" s="788">
        <v>-0.05</v>
      </c>
      <c r="J65" s="786">
        <v>2.5299999999999998</v>
      </c>
      <c r="K65" s="788">
        <v>-2</v>
      </c>
      <c r="L65" s="790" t="s">
        <v>283</v>
      </c>
      <c r="M65" s="791">
        <v>0.06</v>
      </c>
      <c r="N65" s="793">
        <v>-0.03</v>
      </c>
      <c r="O65" s="793">
        <v>-0.11</v>
      </c>
      <c r="P65" s="793">
        <v>-0.44</v>
      </c>
      <c r="Q65" s="793">
        <v>-6.39</v>
      </c>
      <c r="R65" s="793">
        <v>-0.66</v>
      </c>
      <c r="S65" s="791" t="s">
        <v>283</v>
      </c>
      <c r="T65" s="791" t="s">
        <v>283</v>
      </c>
      <c r="U65" s="791" t="s">
        <v>283</v>
      </c>
      <c r="V65" s="791" t="s">
        <v>283</v>
      </c>
      <c r="W65" s="791" t="s">
        <v>283</v>
      </c>
      <c r="X65" s="791" t="s">
        <v>283</v>
      </c>
      <c r="Y65" s="772" t="s">
        <v>283</v>
      </c>
      <c r="Z65" s="765" t="s">
        <v>283</v>
      </c>
      <c r="AA65" s="765" t="s">
        <v>283</v>
      </c>
      <c r="AB65" s="765" t="s">
        <v>283</v>
      </c>
      <c r="AC65" s="765" t="s">
        <v>283</v>
      </c>
      <c r="AD65" s="765" t="s">
        <v>283</v>
      </c>
      <c r="AE65" s="765" t="s">
        <v>283</v>
      </c>
      <c r="AF65" s="765" t="s">
        <v>283</v>
      </c>
      <c r="AG65" s="765" t="s">
        <v>283</v>
      </c>
      <c r="AH65" s="765" t="s">
        <v>283</v>
      </c>
      <c r="AI65" s="765" t="s">
        <v>283</v>
      </c>
      <c r="AJ65" s="765" t="s">
        <v>283</v>
      </c>
      <c r="AK65" s="765" t="s">
        <v>283</v>
      </c>
      <c r="AL65" s="765" t="s">
        <v>283</v>
      </c>
      <c r="AM65" s="765" t="s">
        <v>283</v>
      </c>
      <c r="AN65" s="765" t="s">
        <v>283</v>
      </c>
      <c r="AO65" s="765" t="s">
        <v>283</v>
      </c>
      <c r="AP65" s="765" t="s">
        <v>283</v>
      </c>
      <c r="AQ65" s="765" t="s">
        <v>283</v>
      </c>
      <c r="AR65" s="765" t="s">
        <v>283</v>
      </c>
      <c r="AS65" s="765" t="s">
        <v>283</v>
      </c>
      <c r="AT65" s="765" t="s">
        <v>283</v>
      </c>
      <c r="AU65" s="765" t="s">
        <v>283</v>
      </c>
      <c r="AV65" s="765" t="s">
        <v>283</v>
      </c>
      <c r="AW65" s="765" t="s">
        <v>283</v>
      </c>
    </row>
    <row r="66" spans="1:49" ht="15">
      <c r="A66" s="765" t="s">
        <v>283</v>
      </c>
      <c r="B66" s="769" t="s">
        <v>283</v>
      </c>
      <c r="C66" s="776" t="s">
        <v>381</v>
      </c>
      <c r="D66" s="780">
        <v>3922004612</v>
      </c>
      <c r="E66" s="780">
        <v>3380972704</v>
      </c>
      <c r="F66" s="780">
        <v>539947000</v>
      </c>
      <c r="G66" s="780">
        <v>4092151000</v>
      </c>
      <c r="H66" s="780">
        <v>3834550000</v>
      </c>
      <c r="I66" s="780">
        <v>3983749056</v>
      </c>
      <c r="J66" s="780">
        <v>1394946647</v>
      </c>
      <c r="K66" s="779">
        <v>0.41</v>
      </c>
      <c r="L66" s="771"/>
      <c r="M66" s="783">
        <v>4092151000</v>
      </c>
      <c r="N66" s="783">
        <v>3995237000</v>
      </c>
      <c r="O66" s="783">
        <v>3894724000</v>
      </c>
      <c r="P66" s="783">
        <v>3814492000</v>
      </c>
      <c r="Q66" s="783">
        <v>539947000</v>
      </c>
      <c r="R66" s="783">
        <v>3949285223</v>
      </c>
      <c r="S66" s="773"/>
      <c r="T66" s="773"/>
      <c r="U66" s="773"/>
      <c r="V66" s="773"/>
      <c r="W66" s="773"/>
      <c r="X66" s="773"/>
      <c r="Y66" s="772" t="s">
        <v>283</v>
      </c>
      <c r="Z66" s="765" t="s">
        <v>283</v>
      </c>
      <c r="AA66" s="765" t="s">
        <v>283</v>
      </c>
      <c r="AB66" s="765" t="s">
        <v>283</v>
      </c>
      <c r="AC66" s="765" t="s">
        <v>283</v>
      </c>
      <c r="AD66" s="765" t="s">
        <v>283</v>
      </c>
      <c r="AE66" s="765" t="s">
        <v>283</v>
      </c>
      <c r="AF66" s="765" t="s">
        <v>283</v>
      </c>
      <c r="AG66" s="765" t="s">
        <v>283</v>
      </c>
      <c r="AH66" s="765" t="s">
        <v>283</v>
      </c>
      <c r="AI66" s="765" t="s">
        <v>283</v>
      </c>
      <c r="AJ66" s="765" t="s">
        <v>283</v>
      </c>
      <c r="AK66" s="765" t="s">
        <v>283</v>
      </c>
      <c r="AL66" s="765" t="s">
        <v>283</v>
      </c>
      <c r="AM66" s="765" t="s">
        <v>283</v>
      </c>
      <c r="AN66" s="765" t="s">
        <v>283</v>
      </c>
      <c r="AO66" s="765" t="s">
        <v>283</v>
      </c>
      <c r="AP66" s="765" t="s">
        <v>283</v>
      </c>
      <c r="AQ66" s="765" t="s">
        <v>283</v>
      </c>
      <c r="AR66" s="765" t="s">
        <v>283</v>
      </c>
      <c r="AS66" s="765" t="s">
        <v>283</v>
      </c>
      <c r="AT66" s="765" t="s">
        <v>283</v>
      </c>
      <c r="AU66" s="765" t="s">
        <v>283</v>
      </c>
      <c r="AV66" s="765" t="s">
        <v>283</v>
      </c>
      <c r="AW66" s="765" t="s">
        <v>283</v>
      </c>
    </row>
    <row r="67" spans="1:49" ht="15">
      <c r="A67" s="765" t="s">
        <v>283</v>
      </c>
      <c r="B67" s="769" t="s">
        <v>283</v>
      </c>
      <c r="C67" s="776" t="s">
        <v>382</v>
      </c>
      <c r="D67" s="780">
        <v>3922004612</v>
      </c>
      <c r="E67" s="780">
        <v>3443391982</v>
      </c>
      <c r="F67" s="780">
        <v>539947000</v>
      </c>
      <c r="G67" s="780">
        <v>4466666667</v>
      </c>
      <c r="H67" s="780">
        <v>3834550000</v>
      </c>
      <c r="I67" s="780">
        <v>3983749056</v>
      </c>
      <c r="J67" s="780">
        <v>1440760948</v>
      </c>
      <c r="K67" s="779">
        <v>0.42</v>
      </c>
      <c r="L67" s="771"/>
      <c r="M67" s="783">
        <v>4466666667</v>
      </c>
      <c r="N67" s="783">
        <v>3995237000</v>
      </c>
      <c r="O67" s="783">
        <v>3894724000</v>
      </c>
      <c r="P67" s="783">
        <v>3814492000</v>
      </c>
      <c r="Q67" s="783">
        <v>539947000</v>
      </c>
      <c r="R67" s="783">
        <v>3949285223</v>
      </c>
      <c r="S67" s="773"/>
      <c r="T67" s="773"/>
      <c r="U67" s="773"/>
      <c r="V67" s="773"/>
      <c r="W67" s="773"/>
      <c r="X67" s="773"/>
      <c r="Y67" s="772" t="s">
        <v>283</v>
      </c>
      <c r="Z67" s="765" t="s">
        <v>283</v>
      </c>
      <c r="AA67" s="765" t="s">
        <v>283</v>
      </c>
      <c r="AB67" s="765" t="s">
        <v>283</v>
      </c>
      <c r="AC67" s="765" t="s">
        <v>283</v>
      </c>
      <c r="AD67" s="765" t="s">
        <v>283</v>
      </c>
      <c r="AE67" s="765" t="s">
        <v>283</v>
      </c>
      <c r="AF67" s="765" t="s">
        <v>283</v>
      </c>
      <c r="AG67" s="765" t="s">
        <v>283</v>
      </c>
      <c r="AH67" s="765" t="s">
        <v>283</v>
      </c>
      <c r="AI67" s="765" t="s">
        <v>283</v>
      </c>
      <c r="AJ67" s="765" t="s">
        <v>283</v>
      </c>
      <c r="AK67" s="765" t="s">
        <v>283</v>
      </c>
      <c r="AL67" s="765" t="s">
        <v>283</v>
      </c>
      <c r="AM67" s="765" t="s">
        <v>283</v>
      </c>
      <c r="AN67" s="765" t="s">
        <v>283</v>
      </c>
      <c r="AO67" s="765" t="s">
        <v>283</v>
      </c>
      <c r="AP67" s="765" t="s">
        <v>283</v>
      </c>
      <c r="AQ67" s="765" t="s">
        <v>283</v>
      </c>
      <c r="AR67" s="765" t="s">
        <v>283</v>
      </c>
      <c r="AS67" s="765" t="s">
        <v>283</v>
      </c>
      <c r="AT67" s="765" t="s">
        <v>283</v>
      </c>
      <c r="AU67" s="765" t="s">
        <v>283</v>
      </c>
      <c r="AV67" s="765" t="s">
        <v>283</v>
      </c>
      <c r="AW67" s="765" t="s">
        <v>283</v>
      </c>
    </row>
    <row r="68" spans="1:49" ht="15">
      <c r="A68" s="765" t="s">
        <v>283</v>
      </c>
      <c r="B68" s="769" t="s">
        <v>283</v>
      </c>
      <c r="C68" s="778" t="s">
        <v>383</v>
      </c>
      <c r="D68" s="774" t="s">
        <v>283</v>
      </c>
      <c r="E68" s="774" t="s">
        <v>283</v>
      </c>
      <c r="F68" s="774" t="s">
        <v>283</v>
      </c>
      <c r="G68" s="774" t="s">
        <v>283</v>
      </c>
      <c r="H68" s="774" t="s">
        <v>283</v>
      </c>
      <c r="I68" s="774" t="s">
        <v>283</v>
      </c>
      <c r="J68" s="774" t="s">
        <v>283</v>
      </c>
      <c r="K68" s="774" t="s">
        <v>283</v>
      </c>
      <c r="L68" s="774" t="s">
        <v>283</v>
      </c>
      <c r="M68" s="774" t="s">
        <v>283</v>
      </c>
      <c r="N68" s="774" t="s">
        <v>283</v>
      </c>
      <c r="O68" s="774" t="s">
        <v>283</v>
      </c>
      <c r="P68" s="774" t="s">
        <v>283</v>
      </c>
      <c r="Q68" s="774" t="s">
        <v>283</v>
      </c>
      <c r="R68" s="774" t="s">
        <v>283</v>
      </c>
      <c r="S68" s="774" t="s">
        <v>283</v>
      </c>
      <c r="T68" s="774" t="s">
        <v>283</v>
      </c>
      <c r="U68" s="774" t="s">
        <v>283</v>
      </c>
      <c r="V68" s="774" t="s">
        <v>283</v>
      </c>
      <c r="W68" s="774" t="s">
        <v>283</v>
      </c>
      <c r="X68" s="774" t="s">
        <v>283</v>
      </c>
      <c r="Y68" s="772" t="s">
        <v>283</v>
      </c>
      <c r="Z68" s="765" t="s">
        <v>283</v>
      </c>
      <c r="AA68" s="765" t="s">
        <v>283</v>
      </c>
      <c r="AB68" s="765" t="s">
        <v>283</v>
      </c>
      <c r="AC68" s="765" t="s">
        <v>283</v>
      </c>
      <c r="AD68" s="765" t="s">
        <v>283</v>
      </c>
      <c r="AE68" s="765" t="s">
        <v>283</v>
      </c>
      <c r="AF68" s="765" t="s">
        <v>283</v>
      </c>
      <c r="AG68" s="765" t="s">
        <v>283</v>
      </c>
      <c r="AH68" s="765" t="s">
        <v>283</v>
      </c>
      <c r="AI68" s="765" t="s">
        <v>283</v>
      </c>
      <c r="AJ68" s="765" t="s">
        <v>283</v>
      </c>
      <c r="AK68" s="765" t="s">
        <v>283</v>
      </c>
      <c r="AL68" s="765" t="s">
        <v>283</v>
      </c>
      <c r="AM68" s="765" t="s">
        <v>283</v>
      </c>
      <c r="AN68" s="765" t="s">
        <v>283</v>
      </c>
      <c r="AO68" s="765" t="s">
        <v>283</v>
      </c>
      <c r="AP68" s="765" t="s">
        <v>283</v>
      </c>
      <c r="AQ68" s="765" t="s">
        <v>283</v>
      </c>
      <c r="AR68" s="765" t="s">
        <v>283</v>
      </c>
      <c r="AS68" s="765" t="s">
        <v>283</v>
      </c>
      <c r="AT68" s="765" t="s">
        <v>283</v>
      </c>
      <c r="AU68" s="765" t="s">
        <v>283</v>
      </c>
      <c r="AV68" s="765" t="s">
        <v>283</v>
      </c>
      <c r="AW68" s="765" t="s">
        <v>283</v>
      </c>
    </row>
    <row r="69" spans="1:49" ht="15">
      <c r="A69" s="765" t="s">
        <v>283</v>
      </c>
      <c r="B69" s="769" t="s">
        <v>283</v>
      </c>
      <c r="C69" s="773" t="s">
        <v>384</v>
      </c>
      <c r="D69" s="774" t="s">
        <v>283</v>
      </c>
      <c r="E69" s="774" t="s">
        <v>283</v>
      </c>
      <c r="F69" s="774" t="s">
        <v>283</v>
      </c>
      <c r="G69" s="774" t="s">
        <v>283</v>
      </c>
      <c r="H69" s="774" t="s">
        <v>283</v>
      </c>
      <c r="I69" s="774" t="s">
        <v>283</v>
      </c>
      <c r="J69" s="774" t="s">
        <v>283</v>
      </c>
      <c r="K69" s="774" t="s">
        <v>283</v>
      </c>
      <c r="L69" s="771"/>
      <c r="M69" s="771"/>
      <c r="N69" s="771"/>
      <c r="O69" s="771"/>
      <c r="P69" s="771"/>
      <c r="Q69" s="771"/>
      <c r="R69" s="771"/>
      <c r="S69" s="771"/>
      <c r="T69" s="771"/>
      <c r="U69" s="771"/>
      <c r="V69" s="771"/>
      <c r="W69" s="771"/>
      <c r="X69" s="771"/>
      <c r="Y69" s="772" t="s">
        <v>283</v>
      </c>
      <c r="Z69" s="765" t="s">
        <v>283</v>
      </c>
      <c r="AA69" s="765" t="s">
        <v>283</v>
      </c>
      <c r="AB69" s="765" t="s">
        <v>283</v>
      </c>
      <c r="AC69" s="765" t="s">
        <v>283</v>
      </c>
      <c r="AD69" s="765" t="s">
        <v>283</v>
      </c>
      <c r="AE69" s="765" t="s">
        <v>283</v>
      </c>
      <c r="AF69" s="765" t="s">
        <v>283</v>
      </c>
      <c r="AG69" s="765" t="s">
        <v>283</v>
      </c>
      <c r="AH69" s="765" t="s">
        <v>283</v>
      </c>
      <c r="AI69" s="765" t="s">
        <v>283</v>
      </c>
      <c r="AJ69" s="765" t="s">
        <v>283</v>
      </c>
      <c r="AK69" s="765" t="s">
        <v>283</v>
      </c>
      <c r="AL69" s="765" t="s">
        <v>283</v>
      </c>
      <c r="AM69" s="765" t="s">
        <v>283</v>
      </c>
      <c r="AN69" s="765" t="s">
        <v>283</v>
      </c>
      <c r="AO69" s="765" t="s">
        <v>283</v>
      </c>
      <c r="AP69" s="765" t="s">
        <v>283</v>
      </c>
      <c r="AQ69" s="765" t="s">
        <v>283</v>
      </c>
      <c r="AR69" s="765" t="s">
        <v>283</v>
      </c>
      <c r="AS69" s="765" t="s">
        <v>283</v>
      </c>
      <c r="AT69" s="765" t="s">
        <v>283</v>
      </c>
      <c r="AU69" s="765" t="s">
        <v>283</v>
      </c>
      <c r="AV69" s="765" t="s">
        <v>283</v>
      </c>
      <c r="AW69" s="765" t="s">
        <v>283</v>
      </c>
    </row>
    <row r="70" spans="1:49" ht="15">
      <c r="A70" s="765" t="s">
        <v>283</v>
      </c>
      <c r="B70" s="769" t="s">
        <v>283</v>
      </c>
      <c r="C70" s="773" t="s">
        <v>385</v>
      </c>
      <c r="D70" s="781">
        <v>-0.17</v>
      </c>
      <c r="E70" s="781">
        <v>-0.59</v>
      </c>
      <c r="F70" s="781">
        <v>-2.84</v>
      </c>
      <c r="G70" s="779">
        <v>0.08</v>
      </c>
      <c r="H70" s="781">
        <v>-0.36</v>
      </c>
      <c r="I70" s="781">
        <v>-0.04</v>
      </c>
      <c r="J70" s="779">
        <v>1.1100000000000001</v>
      </c>
      <c r="K70" s="781">
        <v>-1.9</v>
      </c>
      <c r="L70" s="771"/>
      <c r="M70" s="773">
        <v>0.08</v>
      </c>
      <c r="N70" s="784">
        <v>-0.02</v>
      </c>
      <c r="O70" s="784">
        <v>-0.11</v>
      </c>
      <c r="P70" s="784">
        <v>-0.4</v>
      </c>
      <c r="Q70" s="784">
        <v>-2.84</v>
      </c>
      <c r="R70" s="784">
        <v>-0.23</v>
      </c>
      <c r="S70" s="773"/>
      <c r="T70" s="773"/>
      <c r="U70" s="773"/>
      <c r="V70" s="773"/>
      <c r="W70" s="773"/>
      <c r="X70" s="773"/>
      <c r="Y70" s="772" t="s">
        <v>283</v>
      </c>
      <c r="Z70" s="765" t="s">
        <v>283</v>
      </c>
      <c r="AA70" s="765" t="s">
        <v>283</v>
      </c>
      <c r="AB70" s="765" t="s">
        <v>283</v>
      </c>
      <c r="AC70" s="765" t="s">
        <v>283</v>
      </c>
      <c r="AD70" s="765" t="s">
        <v>283</v>
      </c>
      <c r="AE70" s="765" t="s">
        <v>283</v>
      </c>
      <c r="AF70" s="765" t="s">
        <v>283</v>
      </c>
      <c r="AG70" s="765" t="s">
        <v>283</v>
      </c>
      <c r="AH70" s="765" t="s">
        <v>283</v>
      </c>
      <c r="AI70" s="765" t="s">
        <v>283</v>
      </c>
      <c r="AJ70" s="765" t="s">
        <v>283</v>
      </c>
      <c r="AK70" s="765" t="s">
        <v>283</v>
      </c>
      <c r="AL70" s="765" t="s">
        <v>283</v>
      </c>
      <c r="AM70" s="765" t="s">
        <v>283</v>
      </c>
      <c r="AN70" s="765" t="s">
        <v>283</v>
      </c>
      <c r="AO70" s="765" t="s">
        <v>283</v>
      </c>
      <c r="AP70" s="765" t="s">
        <v>283</v>
      </c>
      <c r="AQ70" s="765" t="s">
        <v>283</v>
      </c>
      <c r="AR70" s="765" t="s">
        <v>283</v>
      </c>
      <c r="AS70" s="765" t="s">
        <v>283</v>
      </c>
      <c r="AT70" s="765" t="s">
        <v>283</v>
      </c>
      <c r="AU70" s="765" t="s">
        <v>283</v>
      </c>
      <c r="AV70" s="765" t="s">
        <v>283</v>
      </c>
      <c r="AW70" s="765" t="s">
        <v>283</v>
      </c>
    </row>
    <row r="71" spans="1:49" ht="15">
      <c r="A71" s="765" t="s">
        <v>283</v>
      </c>
      <c r="B71" s="769" t="s">
        <v>283</v>
      </c>
      <c r="C71" s="773" t="s">
        <v>386</v>
      </c>
      <c r="D71" s="781">
        <v>-0.17</v>
      </c>
      <c r="E71" s="781">
        <v>-0.59</v>
      </c>
      <c r="F71" s="781">
        <v>-2.84</v>
      </c>
      <c r="G71" s="779">
        <v>0.08</v>
      </c>
      <c r="H71" s="781">
        <v>-0.36</v>
      </c>
      <c r="I71" s="781">
        <v>-0.04</v>
      </c>
      <c r="J71" s="779">
        <v>1.1100000000000001</v>
      </c>
      <c r="K71" s="781">
        <v>-1.9</v>
      </c>
      <c r="L71" s="771"/>
      <c r="M71" s="773">
        <v>0.08</v>
      </c>
      <c r="N71" s="784">
        <v>-0.02</v>
      </c>
      <c r="O71" s="784">
        <v>-0.11</v>
      </c>
      <c r="P71" s="784">
        <v>-0.4</v>
      </c>
      <c r="Q71" s="784">
        <v>-2.84</v>
      </c>
      <c r="R71" s="784">
        <v>-0.23</v>
      </c>
      <c r="S71" s="773"/>
      <c r="T71" s="773"/>
      <c r="U71" s="773"/>
      <c r="V71" s="773"/>
      <c r="W71" s="773"/>
      <c r="X71" s="773"/>
      <c r="Y71" s="772" t="s">
        <v>283</v>
      </c>
      <c r="Z71" s="765" t="s">
        <v>283</v>
      </c>
      <c r="AA71" s="765" t="s">
        <v>283</v>
      </c>
      <c r="AB71" s="765" t="s">
        <v>283</v>
      </c>
      <c r="AC71" s="765" t="s">
        <v>283</v>
      </c>
      <c r="AD71" s="765" t="s">
        <v>283</v>
      </c>
      <c r="AE71" s="765" t="s">
        <v>283</v>
      </c>
      <c r="AF71" s="765" t="s">
        <v>283</v>
      </c>
      <c r="AG71" s="765" t="s">
        <v>283</v>
      </c>
      <c r="AH71" s="765" t="s">
        <v>283</v>
      </c>
      <c r="AI71" s="765" t="s">
        <v>283</v>
      </c>
      <c r="AJ71" s="765" t="s">
        <v>283</v>
      </c>
      <c r="AK71" s="765" t="s">
        <v>283</v>
      </c>
      <c r="AL71" s="765" t="s">
        <v>283</v>
      </c>
      <c r="AM71" s="765" t="s">
        <v>283</v>
      </c>
      <c r="AN71" s="765" t="s">
        <v>283</v>
      </c>
      <c r="AO71" s="765" t="s">
        <v>283</v>
      </c>
      <c r="AP71" s="765" t="s">
        <v>283</v>
      </c>
      <c r="AQ71" s="765" t="s">
        <v>283</v>
      </c>
      <c r="AR71" s="765" t="s">
        <v>283</v>
      </c>
      <c r="AS71" s="765" t="s">
        <v>283</v>
      </c>
      <c r="AT71" s="765" t="s">
        <v>283</v>
      </c>
      <c r="AU71" s="765" t="s">
        <v>283</v>
      </c>
      <c r="AV71" s="765" t="s">
        <v>283</v>
      </c>
      <c r="AW71" s="765" t="s">
        <v>283</v>
      </c>
    </row>
    <row r="72" spans="1:49" ht="15">
      <c r="A72" s="765" t="s">
        <v>283</v>
      </c>
      <c r="B72" s="769" t="s">
        <v>283</v>
      </c>
      <c r="C72" s="773" t="s">
        <v>387</v>
      </c>
      <c r="D72" s="781">
        <v>-0.11</v>
      </c>
      <c r="E72" s="781">
        <v>-1.06</v>
      </c>
      <c r="F72" s="781">
        <v>-5.72</v>
      </c>
      <c r="G72" s="779">
        <v>0.14000000000000001</v>
      </c>
      <c r="H72" s="781">
        <v>-0.51</v>
      </c>
      <c r="I72" s="779">
        <v>0.05</v>
      </c>
      <c r="J72" s="779">
        <v>2.2999999999999998</v>
      </c>
      <c r="K72" s="781">
        <v>-2.17</v>
      </c>
      <c r="L72" s="771"/>
      <c r="M72" s="773">
        <v>0.14000000000000001</v>
      </c>
      <c r="N72" s="773">
        <v>0.06</v>
      </c>
      <c r="O72" s="773">
        <v>0.01</v>
      </c>
      <c r="P72" s="784">
        <v>-0.24</v>
      </c>
      <c r="Q72" s="784">
        <v>-5.72</v>
      </c>
      <c r="R72" s="784">
        <v>-0.6</v>
      </c>
      <c r="S72" s="773"/>
      <c r="T72" s="773"/>
      <c r="U72" s="773"/>
      <c r="V72" s="773"/>
      <c r="W72" s="773"/>
      <c r="X72" s="773"/>
      <c r="Y72" s="772" t="s">
        <v>283</v>
      </c>
      <c r="Z72" s="765" t="s">
        <v>283</v>
      </c>
      <c r="AA72" s="765" t="s">
        <v>283</v>
      </c>
      <c r="AB72" s="765" t="s">
        <v>283</v>
      </c>
      <c r="AC72" s="765" t="s">
        <v>283</v>
      </c>
      <c r="AD72" s="765" t="s">
        <v>283</v>
      </c>
      <c r="AE72" s="765" t="s">
        <v>283</v>
      </c>
      <c r="AF72" s="765" t="s">
        <v>283</v>
      </c>
      <c r="AG72" s="765" t="s">
        <v>283</v>
      </c>
      <c r="AH72" s="765" t="s">
        <v>283</v>
      </c>
      <c r="AI72" s="765" t="s">
        <v>283</v>
      </c>
      <c r="AJ72" s="765" t="s">
        <v>283</v>
      </c>
      <c r="AK72" s="765" t="s">
        <v>283</v>
      </c>
      <c r="AL72" s="765" t="s">
        <v>283</v>
      </c>
      <c r="AM72" s="765" t="s">
        <v>283</v>
      </c>
      <c r="AN72" s="765" t="s">
        <v>283</v>
      </c>
      <c r="AO72" s="765" t="s">
        <v>283</v>
      </c>
      <c r="AP72" s="765" t="s">
        <v>283</v>
      </c>
      <c r="AQ72" s="765" t="s">
        <v>283</v>
      </c>
      <c r="AR72" s="765" t="s">
        <v>283</v>
      </c>
      <c r="AS72" s="765" t="s">
        <v>283</v>
      </c>
      <c r="AT72" s="765" t="s">
        <v>283</v>
      </c>
      <c r="AU72" s="765" t="s">
        <v>283</v>
      </c>
      <c r="AV72" s="765" t="s">
        <v>283</v>
      </c>
      <c r="AW72" s="765" t="s">
        <v>283</v>
      </c>
    </row>
    <row r="73" spans="1:49" ht="15">
      <c r="A73" s="765" t="s">
        <v>283</v>
      </c>
      <c r="B73" s="769" t="s">
        <v>283</v>
      </c>
      <c r="C73" s="773" t="s">
        <v>388</v>
      </c>
      <c r="D73" s="781">
        <v>-0.11</v>
      </c>
      <c r="E73" s="781">
        <v>-1.06</v>
      </c>
      <c r="F73" s="781">
        <v>-5.72</v>
      </c>
      <c r="G73" s="779">
        <v>0.12</v>
      </c>
      <c r="H73" s="781">
        <v>-0.51</v>
      </c>
      <c r="I73" s="779">
        <v>0.05</v>
      </c>
      <c r="J73" s="779">
        <v>2.2999999999999998</v>
      </c>
      <c r="K73" s="781">
        <v>-2.17</v>
      </c>
      <c r="L73" s="771"/>
      <c r="M73" s="773">
        <v>0.12</v>
      </c>
      <c r="N73" s="773">
        <v>0.06</v>
      </c>
      <c r="O73" s="773">
        <v>0.01</v>
      </c>
      <c r="P73" s="784">
        <v>-0.24</v>
      </c>
      <c r="Q73" s="784">
        <v>-5.72</v>
      </c>
      <c r="R73" s="784">
        <v>-0.6</v>
      </c>
      <c r="S73" s="773"/>
      <c r="T73" s="773"/>
      <c r="U73" s="773"/>
      <c r="V73" s="773"/>
      <c r="W73" s="773"/>
      <c r="X73" s="773"/>
      <c r="Y73" s="772" t="s">
        <v>283</v>
      </c>
      <c r="Z73" s="765" t="s">
        <v>283</v>
      </c>
      <c r="AA73" s="765" t="s">
        <v>283</v>
      </c>
      <c r="AB73" s="765" t="s">
        <v>283</v>
      </c>
      <c r="AC73" s="765" t="s">
        <v>283</v>
      </c>
      <c r="AD73" s="765" t="s">
        <v>283</v>
      </c>
      <c r="AE73" s="765" t="s">
        <v>283</v>
      </c>
      <c r="AF73" s="765" t="s">
        <v>283</v>
      </c>
      <c r="AG73" s="765" t="s">
        <v>283</v>
      </c>
      <c r="AH73" s="765" t="s">
        <v>283</v>
      </c>
      <c r="AI73" s="765" t="s">
        <v>283</v>
      </c>
      <c r="AJ73" s="765" t="s">
        <v>283</v>
      </c>
      <c r="AK73" s="765" t="s">
        <v>283</v>
      </c>
      <c r="AL73" s="765" t="s">
        <v>283</v>
      </c>
      <c r="AM73" s="765" t="s">
        <v>283</v>
      </c>
      <c r="AN73" s="765" t="s">
        <v>283</v>
      </c>
      <c r="AO73" s="765" t="s">
        <v>283</v>
      </c>
      <c r="AP73" s="765" t="s">
        <v>283</v>
      </c>
      <c r="AQ73" s="765" t="s">
        <v>283</v>
      </c>
      <c r="AR73" s="765" t="s">
        <v>283</v>
      </c>
      <c r="AS73" s="765" t="s">
        <v>283</v>
      </c>
      <c r="AT73" s="765" t="s">
        <v>283</v>
      </c>
      <c r="AU73" s="765" t="s">
        <v>283</v>
      </c>
      <c r="AV73" s="765" t="s">
        <v>283</v>
      </c>
      <c r="AW73" s="765" t="s">
        <v>283</v>
      </c>
    </row>
    <row r="74" spans="1:49" ht="15">
      <c r="A74" s="765" t="s">
        <v>283</v>
      </c>
      <c r="B74" s="769" t="s">
        <v>283</v>
      </c>
      <c r="C74" s="773" t="s">
        <v>389</v>
      </c>
      <c r="D74" s="781">
        <v>-0.1</v>
      </c>
      <c r="E74" s="781">
        <v>-0.3</v>
      </c>
      <c r="F74" s="781">
        <v>-1.56</v>
      </c>
      <c r="G74" s="779">
        <v>0.11</v>
      </c>
      <c r="H74" s="781">
        <v>-0.21</v>
      </c>
      <c r="I74" s="779">
        <v>0.06</v>
      </c>
      <c r="J74" s="779">
        <v>0.63</v>
      </c>
      <c r="K74" s="781">
        <v>-2.13</v>
      </c>
      <c r="L74" s="771"/>
      <c r="M74" s="773">
        <v>0.11</v>
      </c>
      <c r="N74" s="773">
        <v>0.08</v>
      </c>
      <c r="O74" s="784">
        <v>-0.01</v>
      </c>
      <c r="P74" s="784">
        <v>-0.21</v>
      </c>
      <c r="Q74" s="784">
        <v>-1.56</v>
      </c>
      <c r="R74" s="784">
        <v>-0.2</v>
      </c>
      <c r="S74" s="773"/>
      <c r="T74" s="773"/>
      <c r="U74" s="773"/>
      <c r="V74" s="773"/>
      <c r="W74" s="773"/>
      <c r="X74" s="773"/>
      <c r="Y74" s="772" t="s">
        <v>283</v>
      </c>
      <c r="Z74" s="765" t="s">
        <v>283</v>
      </c>
      <c r="AA74" s="765" t="s">
        <v>283</v>
      </c>
      <c r="AB74" s="765" t="s">
        <v>283</v>
      </c>
      <c r="AC74" s="765" t="s">
        <v>283</v>
      </c>
      <c r="AD74" s="765" t="s">
        <v>283</v>
      </c>
      <c r="AE74" s="765" t="s">
        <v>283</v>
      </c>
      <c r="AF74" s="765" t="s">
        <v>283</v>
      </c>
      <c r="AG74" s="765" t="s">
        <v>283</v>
      </c>
      <c r="AH74" s="765" t="s">
        <v>283</v>
      </c>
      <c r="AI74" s="765" t="s">
        <v>283</v>
      </c>
      <c r="AJ74" s="765" t="s">
        <v>283</v>
      </c>
      <c r="AK74" s="765" t="s">
        <v>283</v>
      </c>
      <c r="AL74" s="765" t="s">
        <v>283</v>
      </c>
      <c r="AM74" s="765" t="s">
        <v>283</v>
      </c>
      <c r="AN74" s="765" t="s">
        <v>283</v>
      </c>
      <c r="AO74" s="765" t="s">
        <v>283</v>
      </c>
      <c r="AP74" s="765" t="s">
        <v>283</v>
      </c>
      <c r="AQ74" s="765" t="s">
        <v>283</v>
      </c>
      <c r="AR74" s="765" t="s">
        <v>283</v>
      </c>
      <c r="AS74" s="765" t="s">
        <v>283</v>
      </c>
      <c r="AT74" s="765" t="s">
        <v>283</v>
      </c>
      <c r="AU74" s="765" t="s">
        <v>283</v>
      </c>
      <c r="AV74" s="765" t="s">
        <v>283</v>
      </c>
      <c r="AW74" s="765" t="s">
        <v>283</v>
      </c>
    </row>
    <row r="75" spans="1:49" ht="15">
      <c r="A75" s="765" t="s">
        <v>283</v>
      </c>
      <c r="B75" s="769" t="s">
        <v>283</v>
      </c>
      <c r="C75" s="773" t="s">
        <v>390</v>
      </c>
      <c r="D75" s="781">
        <v>-0.08</v>
      </c>
      <c r="E75" s="781">
        <v>-0.38</v>
      </c>
      <c r="F75" s="781">
        <v>-2.17</v>
      </c>
      <c r="G75" s="779">
        <v>0.16</v>
      </c>
      <c r="H75" s="781">
        <v>-0.19</v>
      </c>
      <c r="I75" s="779">
        <v>0.06</v>
      </c>
      <c r="J75" s="779">
        <v>0.89</v>
      </c>
      <c r="K75" s="781">
        <v>-2.3199999999999998</v>
      </c>
      <c r="L75" s="771"/>
      <c r="M75" s="773">
        <v>0.16</v>
      </c>
      <c r="N75" s="773">
        <v>7.0000000000000007E-2</v>
      </c>
      <c r="O75" s="773">
        <v>0.01</v>
      </c>
      <c r="P75" s="784">
        <v>-0.2</v>
      </c>
      <c r="Q75" s="784">
        <v>-2.17</v>
      </c>
      <c r="R75" s="784">
        <v>-0.17</v>
      </c>
      <c r="S75" s="773"/>
      <c r="T75" s="773"/>
      <c r="U75" s="773"/>
      <c r="V75" s="773"/>
      <c r="W75" s="773"/>
      <c r="X75" s="773"/>
      <c r="Y75" s="772" t="s">
        <v>283</v>
      </c>
      <c r="Z75" s="765" t="s">
        <v>283</v>
      </c>
      <c r="AA75" s="765" t="s">
        <v>283</v>
      </c>
      <c r="AB75" s="765" t="s">
        <v>283</v>
      </c>
      <c r="AC75" s="765" t="s">
        <v>283</v>
      </c>
      <c r="AD75" s="765" t="s">
        <v>283</v>
      </c>
      <c r="AE75" s="765" t="s">
        <v>283</v>
      </c>
      <c r="AF75" s="765" t="s">
        <v>283</v>
      </c>
      <c r="AG75" s="765" t="s">
        <v>283</v>
      </c>
      <c r="AH75" s="765" t="s">
        <v>283</v>
      </c>
      <c r="AI75" s="765" t="s">
        <v>283</v>
      </c>
      <c r="AJ75" s="765" t="s">
        <v>283</v>
      </c>
      <c r="AK75" s="765" t="s">
        <v>283</v>
      </c>
      <c r="AL75" s="765" t="s">
        <v>283</v>
      </c>
      <c r="AM75" s="765" t="s">
        <v>283</v>
      </c>
      <c r="AN75" s="765" t="s">
        <v>283</v>
      </c>
      <c r="AO75" s="765" t="s">
        <v>283</v>
      </c>
      <c r="AP75" s="765" t="s">
        <v>283</v>
      </c>
      <c r="AQ75" s="765" t="s">
        <v>283</v>
      </c>
      <c r="AR75" s="765" t="s">
        <v>283</v>
      </c>
      <c r="AS75" s="765" t="s">
        <v>283</v>
      </c>
      <c r="AT75" s="765" t="s">
        <v>283</v>
      </c>
      <c r="AU75" s="765" t="s">
        <v>283</v>
      </c>
      <c r="AV75" s="765" t="s">
        <v>283</v>
      </c>
      <c r="AW75" s="765" t="s">
        <v>283</v>
      </c>
    </row>
    <row r="76" spans="1:49" ht="15">
      <c r="A76" s="765" t="s">
        <v>283</v>
      </c>
      <c r="B76" s="769" t="s">
        <v>283</v>
      </c>
      <c r="C76" s="773" t="s">
        <v>391</v>
      </c>
      <c r="D76" s="781">
        <v>-0.11</v>
      </c>
      <c r="E76" s="781">
        <v>-1.06</v>
      </c>
      <c r="F76" s="781">
        <v>-5.72</v>
      </c>
      <c r="G76" s="779">
        <v>0.14000000000000001</v>
      </c>
      <c r="H76" s="781">
        <v>-0.51</v>
      </c>
      <c r="I76" s="779">
        <v>0.05</v>
      </c>
      <c r="J76" s="779">
        <v>2.2999999999999998</v>
      </c>
      <c r="K76" s="781">
        <v>-2.17</v>
      </c>
      <c r="L76" s="771"/>
      <c r="M76" s="773">
        <v>0.14000000000000001</v>
      </c>
      <c r="N76" s="773">
        <v>0.06</v>
      </c>
      <c r="O76" s="773">
        <v>0.01</v>
      </c>
      <c r="P76" s="784">
        <v>-0.24</v>
      </c>
      <c r="Q76" s="784">
        <v>-5.72</v>
      </c>
      <c r="R76" s="784">
        <v>-0.6</v>
      </c>
      <c r="S76" s="773"/>
      <c r="T76" s="773"/>
      <c r="U76" s="773"/>
      <c r="V76" s="773"/>
      <c r="W76" s="773"/>
      <c r="X76" s="773"/>
      <c r="Y76" s="772" t="s">
        <v>283</v>
      </c>
      <c r="Z76" s="765" t="s">
        <v>283</v>
      </c>
      <c r="AA76" s="765" t="s">
        <v>283</v>
      </c>
      <c r="AB76" s="765" t="s">
        <v>283</v>
      </c>
      <c r="AC76" s="765" t="s">
        <v>283</v>
      </c>
      <c r="AD76" s="765" t="s">
        <v>283</v>
      </c>
      <c r="AE76" s="765" t="s">
        <v>283</v>
      </c>
      <c r="AF76" s="765" t="s">
        <v>283</v>
      </c>
      <c r="AG76" s="765" t="s">
        <v>283</v>
      </c>
      <c r="AH76" s="765" t="s">
        <v>283</v>
      </c>
      <c r="AI76" s="765" t="s">
        <v>283</v>
      </c>
      <c r="AJ76" s="765" t="s">
        <v>283</v>
      </c>
      <c r="AK76" s="765" t="s">
        <v>283</v>
      </c>
      <c r="AL76" s="765" t="s">
        <v>283</v>
      </c>
      <c r="AM76" s="765" t="s">
        <v>283</v>
      </c>
      <c r="AN76" s="765" t="s">
        <v>283</v>
      </c>
      <c r="AO76" s="765" t="s">
        <v>283</v>
      </c>
      <c r="AP76" s="765" t="s">
        <v>283</v>
      </c>
      <c r="AQ76" s="765" t="s">
        <v>283</v>
      </c>
      <c r="AR76" s="765" t="s">
        <v>283</v>
      </c>
      <c r="AS76" s="765" t="s">
        <v>283</v>
      </c>
      <c r="AT76" s="765" t="s">
        <v>283</v>
      </c>
      <c r="AU76" s="765" t="s">
        <v>283</v>
      </c>
      <c r="AV76" s="765" t="s">
        <v>283</v>
      </c>
      <c r="AW76" s="765" t="s">
        <v>283</v>
      </c>
    </row>
    <row r="77" spans="1:49" ht="15">
      <c r="A77" s="765" t="s">
        <v>283</v>
      </c>
      <c r="B77" s="769" t="s">
        <v>283</v>
      </c>
      <c r="C77" s="773" t="s">
        <v>392</v>
      </c>
      <c r="D77" s="781">
        <v>-0.11</v>
      </c>
      <c r="E77" s="781">
        <v>-1.06</v>
      </c>
      <c r="F77" s="781">
        <v>-5.72</v>
      </c>
      <c r="G77" s="779">
        <v>0.12</v>
      </c>
      <c r="H77" s="781">
        <v>-0.51</v>
      </c>
      <c r="I77" s="779">
        <v>0.05</v>
      </c>
      <c r="J77" s="779">
        <v>2.2999999999999998</v>
      </c>
      <c r="K77" s="781">
        <v>-2.17</v>
      </c>
      <c r="L77" s="771"/>
      <c r="M77" s="773">
        <v>0.12</v>
      </c>
      <c r="N77" s="773">
        <v>0.06</v>
      </c>
      <c r="O77" s="773">
        <v>0.01</v>
      </c>
      <c r="P77" s="784">
        <v>-0.24</v>
      </c>
      <c r="Q77" s="784">
        <v>-5.72</v>
      </c>
      <c r="R77" s="784">
        <v>-0.6</v>
      </c>
      <c r="S77" s="773"/>
      <c r="T77" s="773"/>
      <c r="U77" s="773"/>
      <c r="V77" s="773"/>
      <c r="W77" s="773"/>
      <c r="X77" s="773"/>
      <c r="Y77" s="772" t="s">
        <v>283</v>
      </c>
      <c r="Z77" s="765" t="s">
        <v>283</v>
      </c>
      <c r="AA77" s="765" t="s">
        <v>283</v>
      </c>
      <c r="AB77" s="765" t="s">
        <v>283</v>
      </c>
      <c r="AC77" s="765" t="s">
        <v>283</v>
      </c>
      <c r="AD77" s="765" t="s">
        <v>283</v>
      </c>
      <c r="AE77" s="765" t="s">
        <v>283</v>
      </c>
      <c r="AF77" s="765" t="s">
        <v>283</v>
      </c>
      <c r="AG77" s="765" t="s">
        <v>283</v>
      </c>
      <c r="AH77" s="765" t="s">
        <v>283</v>
      </c>
      <c r="AI77" s="765" t="s">
        <v>283</v>
      </c>
      <c r="AJ77" s="765" t="s">
        <v>283</v>
      </c>
      <c r="AK77" s="765" t="s">
        <v>283</v>
      </c>
      <c r="AL77" s="765" t="s">
        <v>283</v>
      </c>
      <c r="AM77" s="765" t="s">
        <v>283</v>
      </c>
      <c r="AN77" s="765" t="s">
        <v>283</v>
      </c>
      <c r="AO77" s="765" t="s">
        <v>283</v>
      </c>
      <c r="AP77" s="765" t="s">
        <v>283</v>
      </c>
      <c r="AQ77" s="765" t="s">
        <v>283</v>
      </c>
      <c r="AR77" s="765" t="s">
        <v>283</v>
      </c>
      <c r="AS77" s="765" t="s">
        <v>283</v>
      </c>
      <c r="AT77" s="765" t="s">
        <v>283</v>
      </c>
      <c r="AU77" s="765" t="s">
        <v>283</v>
      </c>
      <c r="AV77" s="765" t="s">
        <v>283</v>
      </c>
      <c r="AW77" s="765" t="s">
        <v>283</v>
      </c>
    </row>
    <row r="78" spans="1:49" ht="15">
      <c r="A78" s="765" t="s">
        <v>283</v>
      </c>
      <c r="B78" s="769" t="s">
        <v>283</v>
      </c>
      <c r="C78" s="773" t="s">
        <v>393</v>
      </c>
      <c r="D78" s="779">
        <v>0.65</v>
      </c>
      <c r="E78" s="779">
        <v>0.63</v>
      </c>
      <c r="F78" s="779">
        <v>0.12</v>
      </c>
      <c r="G78" s="779">
        <v>1.25</v>
      </c>
      <c r="H78" s="779">
        <v>0.43</v>
      </c>
      <c r="I78" s="779">
        <v>0.74</v>
      </c>
      <c r="J78" s="779">
        <v>0.38</v>
      </c>
      <c r="K78" s="779">
        <v>0.6</v>
      </c>
      <c r="L78" s="771"/>
      <c r="M78" s="773">
        <v>0.75</v>
      </c>
      <c r="N78" s="773">
        <v>0.7</v>
      </c>
      <c r="O78" s="773">
        <v>0.61</v>
      </c>
      <c r="P78" s="773">
        <v>0.38</v>
      </c>
      <c r="Q78" s="773">
        <v>1.25</v>
      </c>
      <c r="R78" s="773">
        <v>0.12</v>
      </c>
      <c r="S78" s="773"/>
      <c r="T78" s="773"/>
      <c r="U78" s="773"/>
      <c r="V78" s="773"/>
      <c r="W78" s="773"/>
      <c r="X78" s="773"/>
      <c r="Y78" s="772" t="s">
        <v>283</v>
      </c>
      <c r="Z78" s="765" t="s">
        <v>283</v>
      </c>
      <c r="AA78" s="765" t="s">
        <v>283</v>
      </c>
      <c r="AB78" s="765" t="s">
        <v>283</v>
      </c>
      <c r="AC78" s="765" t="s">
        <v>283</v>
      </c>
      <c r="AD78" s="765" t="s">
        <v>283</v>
      </c>
      <c r="AE78" s="765" t="s">
        <v>283</v>
      </c>
      <c r="AF78" s="765" t="s">
        <v>283</v>
      </c>
      <c r="AG78" s="765" t="s">
        <v>283</v>
      </c>
      <c r="AH78" s="765" t="s">
        <v>283</v>
      </c>
      <c r="AI78" s="765" t="s">
        <v>283</v>
      </c>
      <c r="AJ78" s="765" t="s">
        <v>283</v>
      </c>
      <c r="AK78" s="765" t="s">
        <v>283</v>
      </c>
      <c r="AL78" s="765" t="s">
        <v>283</v>
      </c>
      <c r="AM78" s="765" t="s">
        <v>283</v>
      </c>
      <c r="AN78" s="765" t="s">
        <v>283</v>
      </c>
      <c r="AO78" s="765" t="s">
        <v>283</v>
      </c>
      <c r="AP78" s="765" t="s">
        <v>283</v>
      </c>
      <c r="AQ78" s="765" t="s">
        <v>283</v>
      </c>
      <c r="AR78" s="765" t="s">
        <v>283</v>
      </c>
      <c r="AS78" s="765" t="s">
        <v>283</v>
      </c>
      <c r="AT78" s="765" t="s">
        <v>283</v>
      </c>
      <c r="AU78" s="765" t="s">
        <v>283</v>
      </c>
      <c r="AV78" s="765" t="s">
        <v>283</v>
      </c>
      <c r="AW78" s="765" t="s">
        <v>283</v>
      </c>
    </row>
    <row r="79" spans="1:49" ht="15">
      <c r="A79" s="765" t="s">
        <v>283</v>
      </c>
      <c r="B79" s="769" t="s">
        <v>283</v>
      </c>
      <c r="C79" s="773" t="s">
        <v>394</v>
      </c>
      <c r="D79" s="774" t="s">
        <v>283</v>
      </c>
      <c r="E79" s="774" t="s">
        <v>283</v>
      </c>
      <c r="F79" s="774" t="s">
        <v>283</v>
      </c>
      <c r="G79" s="774" t="s">
        <v>283</v>
      </c>
      <c r="H79" s="774" t="s">
        <v>283</v>
      </c>
      <c r="I79" s="774" t="s">
        <v>283</v>
      </c>
      <c r="J79" s="774" t="s">
        <v>283</v>
      </c>
      <c r="K79" s="774" t="s">
        <v>283</v>
      </c>
      <c r="L79" s="771"/>
      <c r="M79" s="771"/>
      <c r="N79" s="771"/>
      <c r="O79" s="771"/>
      <c r="P79" s="771"/>
      <c r="Q79" s="771"/>
      <c r="R79" s="771"/>
      <c r="S79" s="771"/>
      <c r="T79" s="771"/>
      <c r="U79" s="771"/>
      <c r="V79" s="771"/>
      <c r="W79" s="771"/>
      <c r="X79" s="771"/>
      <c r="Y79" s="772" t="s">
        <v>283</v>
      </c>
      <c r="Z79" s="765" t="s">
        <v>283</v>
      </c>
      <c r="AA79" s="765" t="s">
        <v>283</v>
      </c>
      <c r="AB79" s="765" t="s">
        <v>283</v>
      </c>
      <c r="AC79" s="765" t="s">
        <v>283</v>
      </c>
      <c r="AD79" s="765" t="s">
        <v>283</v>
      </c>
      <c r="AE79" s="765" t="s">
        <v>283</v>
      </c>
      <c r="AF79" s="765" t="s">
        <v>283</v>
      </c>
      <c r="AG79" s="765" t="s">
        <v>283</v>
      </c>
      <c r="AH79" s="765" t="s">
        <v>283</v>
      </c>
      <c r="AI79" s="765" t="s">
        <v>283</v>
      </c>
      <c r="AJ79" s="765" t="s">
        <v>283</v>
      </c>
      <c r="AK79" s="765" t="s">
        <v>283</v>
      </c>
      <c r="AL79" s="765" t="s">
        <v>283</v>
      </c>
      <c r="AM79" s="765" t="s">
        <v>283</v>
      </c>
      <c r="AN79" s="765" t="s">
        <v>283</v>
      </c>
      <c r="AO79" s="765" t="s">
        <v>283</v>
      </c>
      <c r="AP79" s="765" t="s">
        <v>283</v>
      </c>
      <c r="AQ79" s="765" t="s">
        <v>283</v>
      </c>
      <c r="AR79" s="765" t="s">
        <v>283</v>
      </c>
      <c r="AS79" s="765" t="s">
        <v>283</v>
      </c>
      <c r="AT79" s="765" t="s">
        <v>283</v>
      </c>
      <c r="AU79" s="765" t="s">
        <v>283</v>
      </c>
      <c r="AV79" s="765" t="s">
        <v>283</v>
      </c>
      <c r="AW79" s="765" t="s">
        <v>283</v>
      </c>
    </row>
    <row r="80" spans="1:49" ht="15">
      <c r="A80" s="765" t="s">
        <v>283</v>
      </c>
      <c r="B80" s="769" t="s">
        <v>283</v>
      </c>
      <c r="C80" s="773" t="s">
        <v>395</v>
      </c>
      <c r="D80" s="780">
        <v>1433000</v>
      </c>
      <c r="E80" s="780">
        <v>1465429</v>
      </c>
      <c r="F80" s="782">
        <v>-845000</v>
      </c>
      <c r="G80" s="780">
        <v>3370000</v>
      </c>
      <c r="H80" s="780">
        <v>572000</v>
      </c>
      <c r="I80" s="780">
        <v>2578000</v>
      </c>
      <c r="J80" s="780">
        <v>1480750</v>
      </c>
      <c r="K80" s="779">
        <v>1.01</v>
      </c>
      <c r="L80" s="771"/>
      <c r="M80" s="783">
        <v>3370000</v>
      </c>
      <c r="N80" s="783">
        <v>2797000</v>
      </c>
      <c r="O80" s="783">
        <v>2359000</v>
      </c>
      <c r="P80" s="783">
        <v>1433000</v>
      </c>
      <c r="Q80" s="783">
        <v>675000</v>
      </c>
      <c r="R80" s="783">
        <v>469000</v>
      </c>
      <c r="S80" s="785">
        <v>-845000</v>
      </c>
      <c r="T80" s="773"/>
      <c r="U80" s="773"/>
      <c r="V80" s="773"/>
      <c r="W80" s="773"/>
      <c r="X80" s="773"/>
      <c r="Y80" s="772" t="s">
        <v>283</v>
      </c>
      <c r="Z80" s="765" t="s">
        <v>283</v>
      </c>
      <c r="AA80" s="765" t="s">
        <v>283</v>
      </c>
      <c r="AB80" s="765" t="s">
        <v>283</v>
      </c>
      <c r="AC80" s="765" t="s">
        <v>283</v>
      </c>
      <c r="AD80" s="765" t="s">
        <v>283</v>
      </c>
      <c r="AE80" s="765" t="s">
        <v>283</v>
      </c>
      <c r="AF80" s="765" t="s">
        <v>283</v>
      </c>
      <c r="AG80" s="765" t="s">
        <v>283</v>
      </c>
      <c r="AH80" s="765" t="s">
        <v>283</v>
      </c>
      <c r="AI80" s="765" t="s">
        <v>283</v>
      </c>
      <c r="AJ80" s="765" t="s">
        <v>283</v>
      </c>
      <c r="AK80" s="765" t="s">
        <v>283</v>
      </c>
      <c r="AL80" s="765" t="s">
        <v>283</v>
      </c>
      <c r="AM80" s="765" t="s">
        <v>283</v>
      </c>
      <c r="AN80" s="765" t="s">
        <v>283</v>
      </c>
      <c r="AO80" s="765" t="s">
        <v>283</v>
      </c>
      <c r="AP80" s="765" t="s">
        <v>283</v>
      </c>
      <c r="AQ80" s="765" t="s">
        <v>283</v>
      </c>
      <c r="AR80" s="765" t="s">
        <v>283</v>
      </c>
      <c r="AS80" s="765" t="s">
        <v>283</v>
      </c>
      <c r="AT80" s="765" t="s">
        <v>283</v>
      </c>
      <c r="AU80" s="765" t="s">
        <v>283</v>
      </c>
      <c r="AV80" s="765" t="s">
        <v>283</v>
      </c>
      <c r="AW80" s="765" t="s">
        <v>283</v>
      </c>
    </row>
    <row r="81" spans="1:49" ht="15">
      <c r="A81" s="765" t="s">
        <v>283</v>
      </c>
      <c r="B81" s="769" t="s">
        <v>283</v>
      </c>
      <c r="C81" s="773" t="s">
        <v>396</v>
      </c>
      <c r="D81" s="782">
        <v>-1298000</v>
      </c>
      <c r="E81" s="782">
        <v>-1122571</v>
      </c>
      <c r="F81" s="782">
        <v>-3010000</v>
      </c>
      <c r="G81" s="780">
        <v>65000</v>
      </c>
      <c r="H81" s="782">
        <v>-1464000</v>
      </c>
      <c r="I81" s="782">
        <v>-343500</v>
      </c>
      <c r="J81" s="780">
        <v>1043128</v>
      </c>
      <c r="K81" s="781">
        <v>-0.93</v>
      </c>
      <c r="L81" s="771"/>
      <c r="M81" s="783">
        <v>65000</v>
      </c>
      <c r="N81" s="785">
        <v>-168000</v>
      </c>
      <c r="O81" s="785">
        <v>-519000</v>
      </c>
      <c r="P81" s="785">
        <v>-1373000</v>
      </c>
      <c r="Q81" s="785">
        <v>-1555000</v>
      </c>
      <c r="R81" s="785">
        <v>-1298000</v>
      </c>
      <c r="S81" s="785">
        <v>-3010000</v>
      </c>
      <c r="T81" s="773"/>
      <c r="U81" s="773"/>
      <c r="V81" s="773"/>
      <c r="W81" s="773"/>
      <c r="X81" s="773"/>
      <c r="Y81" s="772" t="s">
        <v>283</v>
      </c>
      <c r="Z81" s="765" t="s">
        <v>283</v>
      </c>
      <c r="AA81" s="765" t="s">
        <v>283</v>
      </c>
      <c r="AB81" s="765" t="s">
        <v>283</v>
      </c>
      <c r="AC81" s="765" t="s">
        <v>283</v>
      </c>
      <c r="AD81" s="765" t="s">
        <v>283</v>
      </c>
      <c r="AE81" s="765" t="s">
        <v>283</v>
      </c>
      <c r="AF81" s="765" t="s">
        <v>283</v>
      </c>
      <c r="AG81" s="765" t="s">
        <v>283</v>
      </c>
      <c r="AH81" s="765" t="s">
        <v>283</v>
      </c>
      <c r="AI81" s="765" t="s">
        <v>283</v>
      </c>
      <c r="AJ81" s="765" t="s">
        <v>283</v>
      </c>
      <c r="AK81" s="765" t="s">
        <v>283</v>
      </c>
      <c r="AL81" s="765" t="s">
        <v>283</v>
      </c>
      <c r="AM81" s="765" t="s">
        <v>283</v>
      </c>
      <c r="AN81" s="765" t="s">
        <v>283</v>
      </c>
      <c r="AO81" s="765" t="s">
        <v>283</v>
      </c>
      <c r="AP81" s="765" t="s">
        <v>283</v>
      </c>
      <c r="AQ81" s="765" t="s">
        <v>283</v>
      </c>
      <c r="AR81" s="765" t="s">
        <v>283</v>
      </c>
      <c r="AS81" s="765" t="s">
        <v>283</v>
      </c>
      <c r="AT81" s="765" t="s">
        <v>283</v>
      </c>
      <c r="AU81" s="765" t="s">
        <v>283</v>
      </c>
      <c r="AV81" s="765" t="s">
        <v>283</v>
      </c>
      <c r="AW81" s="765" t="s">
        <v>283</v>
      </c>
    </row>
    <row r="82" spans="1:49" ht="15">
      <c r="A82" s="765" t="s">
        <v>283</v>
      </c>
      <c r="B82" s="769" t="s">
        <v>283</v>
      </c>
      <c r="C82" s="773" t="s">
        <v>397</v>
      </c>
      <c r="D82" s="782">
        <v>-780000</v>
      </c>
      <c r="E82" s="782">
        <v>-454000</v>
      </c>
      <c r="F82" s="782">
        <v>-1554000</v>
      </c>
      <c r="G82" s="780">
        <v>500000</v>
      </c>
      <c r="H82" s="782">
        <v>-817500</v>
      </c>
      <c r="I82" s="780">
        <v>145500</v>
      </c>
      <c r="J82" s="780">
        <v>737876</v>
      </c>
      <c r="K82" s="781">
        <v>-1.63</v>
      </c>
      <c r="L82" s="771"/>
      <c r="M82" s="783">
        <v>500000</v>
      </c>
      <c r="N82" s="783">
        <v>313000</v>
      </c>
      <c r="O82" s="785">
        <v>-22000</v>
      </c>
      <c r="P82" s="785">
        <v>-793000</v>
      </c>
      <c r="Q82" s="785">
        <v>-842000</v>
      </c>
      <c r="R82" s="785">
        <v>-780000</v>
      </c>
      <c r="S82" s="785">
        <v>-1554000</v>
      </c>
      <c r="T82" s="773"/>
      <c r="U82" s="773"/>
      <c r="V82" s="773"/>
      <c r="W82" s="773"/>
      <c r="X82" s="773"/>
      <c r="Y82" s="772" t="s">
        <v>283</v>
      </c>
      <c r="Z82" s="765" t="s">
        <v>283</v>
      </c>
      <c r="AA82" s="765" t="s">
        <v>283</v>
      </c>
      <c r="AB82" s="765" t="s">
        <v>283</v>
      </c>
      <c r="AC82" s="765" t="s">
        <v>283</v>
      </c>
      <c r="AD82" s="765" t="s">
        <v>283</v>
      </c>
      <c r="AE82" s="765" t="s">
        <v>283</v>
      </c>
      <c r="AF82" s="765" t="s">
        <v>283</v>
      </c>
      <c r="AG82" s="765" t="s">
        <v>283</v>
      </c>
      <c r="AH82" s="765" t="s">
        <v>283</v>
      </c>
      <c r="AI82" s="765" t="s">
        <v>283</v>
      </c>
      <c r="AJ82" s="765" t="s">
        <v>283</v>
      </c>
      <c r="AK82" s="765" t="s">
        <v>283</v>
      </c>
      <c r="AL82" s="765" t="s">
        <v>283</v>
      </c>
      <c r="AM82" s="765" t="s">
        <v>283</v>
      </c>
      <c r="AN82" s="765" t="s">
        <v>283</v>
      </c>
      <c r="AO82" s="765" t="s">
        <v>283</v>
      </c>
      <c r="AP82" s="765" t="s">
        <v>283</v>
      </c>
      <c r="AQ82" s="765" t="s">
        <v>283</v>
      </c>
      <c r="AR82" s="765" t="s">
        <v>283</v>
      </c>
      <c r="AS82" s="765" t="s">
        <v>283</v>
      </c>
      <c r="AT82" s="765" t="s">
        <v>283</v>
      </c>
      <c r="AU82" s="765" t="s">
        <v>283</v>
      </c>
      <c r="AV82" s="765" t="s">
        <v>283</v>
      </c>
      <c r="AW82" s="765" t="s">
        <v>283</v>
      </c>
    </row>
    <row r="83" spans="1:49" ht="15">
      <c r="A83" s="765" t="s">
        <v>283</v>
      </c>
      <c r="B83" s="769" t="s">
        <v>283</v>
      </c>
      <c r="C83" s="778" t="s">
        <v>398</v>
      </c>
      <c r="D83" s="774" t="s">
        <v>283</v>
      </c>
      <c r="E83" s="774" t="s">
        <v>283</v>
      </c>
      <c r="F83" s="774" t="s">
        <v>283</v>
      </c>
      <c r="G83" s="774" t="s">
        <v>283</v>
      </c>
      <c r="H83" s="774" t="s">
        <v>283</v>
      </c>
      <c r="I83" s="774" t="s">
        <v>283</v>
      </c>
      <c r="J83" s="774" t="s">
        <v>283</v>
      </c>
      <c r="K83" s="774" t="s">
        <v>283</v>
      </c>
      <c r="L83" s="774" t="s">
        <v>283</v>
      </c>
      <c r="M83" s="774" t="s">
        <v>283</v>
      </c>
      <c r="N83" s="774" t="s">
        <v>283</v>
      </c>
      <c r="O83" s="774" t="s">
        <v>283</v>
      </c>
      <c r="P83" s="774" t="s">
        <v>283</v>
      </c>
      <c r="Q83" s="774" t="s">
        <v>283</v>
      </c>
      <c r="R83" s="774" t="s">
        <v>283</v>
      </c>
      <c r="S83" s="774" t="s">
        <v>283</v>
      </c>
      <c r="T83" s="774" t="s">
        <v>283</v>
      </c>
      <c r="U83" s="774" t="s">
        <v>283</v>
      </c>
      <c r="V83" s="774" t="s">
        <v>283</v>
      </c>
      <c r="W83" s="774" t="s">
        <v>283</v>
      </c>
      <c r="X83" s="774" t="s">
        <v>283</v>
      </c>
      <c r="Y83" s="772" t="s">
        <v>283</v>
      </c>
      <c r="Z83" s="765" t="s">
        <v>283</v>
      </c>
      <c r="AA83" s="765" t="s">
        <v>283</v>
      </c>
      <c r="AB83" s="765" t="s">
        <v>283</v>
      </c>
      <c r="AC83" s="765" t="s">
        <v>283</v>
      </c>
      <c r="AD83" s="765" t="s">
        <v>283</v>
      </c>
      <c r="AE83" s="765" t="s">
        <v>283</v>
      </c>
      <c r="AF83" s="765" t="s">
        <v>283</v>
      </c>
      <c r="AG83" s="765" t="s">
        <v>283</v>
      </c>
      <c r="AH83" s="765" t="s">
        <v>283</v>
      </c>
      <c r="AI83" s="765" t="s">
        <v>283</v>
      </c>
      <c r="AJ83" s="765" t="s">
        <v>283</v>
      </c>
      <c r="AK83" s="765" t="s">
        <v>283</v>
      </c>
      <c r="AL83" s="765" t="s">
        <v>283</v>
      </c>
      <c r="AM83" s="765" t="s">
        <v>283</v>
      </c>
      <c r="AN83" s="765" t="s">
        <v>283</v>
      </c>
      <c r="AO83" s="765" t="s">
        <v>283</v>
      </c>
      <c r="AP83" s="765" t="s">
        <v>283</v>
      </c>
      <c r="AQ83" s="765" t="s">
        <v>283</v>
      </c>
      <c r="AR83" s="765" t="s">
        <v>283</v>
      </c>
      <c r="AS83" s="765" t="s">
        <v>283</v>
      </c>
      <c r="AT83" s="765" t="s">
        <v>283</v>
      </c>
      <c r="AU83" s="765" t="s">
        <v>283</v>
      </c>
      <c r="AV83" s="765" t="s">
        <v>283</v>
      </c>
      <c r="AW83" s="765" t="s">
        <v>283</v>
      </c>
    </row>
    <row r="84" spans="1:49" ht="15">
      <c r="A84" s="765" t="s">
        <v>283</v>
      </c>
      <c r="B84" s="769" t="s">
        <v>283</v>
      </c>
      <c r="C84" s="773" t="s">
        <v>399</v>
      </c>
      <c r="D84" s="774" t="s">
        <v>283</v>
      </c>
      <c r="E84" s="774" t="s">
        <v>283</v>
      </c>
      <c r="F84" s="774" t="s">
        <v>283</v>
      </c>
      <c r="G84" s="774" t="s">
        <v>283</v>
      </c>
      <c r="H84" s="774" t="s">
        <v>283</v>
      </c>
      <c r="I84" s="774" t="s">
        <v>283</v>
      </c>
      <c r="J84" s="774" t="s">
        <v>283</v>
      </c>
      <c r="K84" s="774" t="s">
        <v>283</v>
      </c>
      <c r="L84" s="771"/>
      <c r="M84" s="771"/>
      <c r="N84" s="771"/>
      <c r="O84" s="771"/>
      <c r="P84" s="771"/>
      <c r="Q84" s="771"/>
      <c r="R84" s="771"/>
      <c r="S84" s="771"/>
      <c r="T84" s="771"/>
      <c r="U84" s="771"/>
      <c r="V84" s="771"/>
      <c r="W84" s="771"/>
      <c r="X84" s="771"/>
      <c r="Y84" s="772" t="s">
        <v>283</v>
      </c>
      <c r="Z84" s="765" t="s">
        <v>283</v>
      </c>
      <c r="AA84" s="765" t="s">
        <v>283</v>
      </c>
      <c r="AB84" s="765" t="s">
        <v>283</v>
      </c>
      <c r="AC84" s="765" t="s">
        <v>283</v>
      </c>
      <c r="AD84" s="765" t="s">
        <v>283</v>
      </c>
      <c r="AE84" s="765" t="s">
        <v>283</v>
      </c>
      <c r="AF84" s="765" t="s">
        <v>283</v>
      </c>
      <c r="AG84" s="765" t="s">
        <v>283</v>
      </c>
      <c r="AH84" s="765" t="s">
        <v>283</v>
      </c>
      <c r="AI84" s="765" t="s">
        <v>283</v>
      </c>
      <c r="AJ84" s="765" t="s">
        <v>283</v>
      </c>
      <c r="AK84" s="765" t="s">
        <v>283</v>
      </c>
      <c r="AL84" s="765" t="s">
        <v>283</v>
      </c>
      <c r="AM84" s="765" t="s">
        <v>283</v>
      </c>
      <c r="AN84" s="765" t="s">
        <v>283</v>
      </c>
      <c r="AO84" s="765" t="s">
        <v>283</v>
      </c>
      <c r="AP84" s="765" t="s">
        <v>283</v>
      </c>
      <c r="AQ84" s="765" t="s">
        <v>283</v>
      </c>
      <c r="AR84" s="765" t="s">
        <v>283</v>
      </c>
      <c r="AS84" s="765" t="s">
        <v>283</v>
      </c>
      <c r="AT84" s="765" t="s">
        <v>283</v>
      </c>
      <c r="AU84" s="765" t="s">
        <v>283</v>
      </c>
      <c r="AV84" s="765" t="s">
        <v>283</v>
      </c>
      <c r="AW84" s="765" t="s">
        <v>283</v>
      </c>
    </row>
    <row r="85" spans="1:49" ht="15">
      <c r="A85" s="765" t="s">
        <v>283</v>
      </c>
      <c r="B85" s="769" t="s">
        <v>283</v>
      </c>
      <c r="C85" s="773" t="s">
        <v>400</v>
      </c>
      <c r="D85" s="782">
        <v>-923000</v>
      </c>
      <c r="E85" s="782">
        <v>-928714</v>
      </c>
      <c r="F85" s="782">
        <v>-2357000</v>
      </c>
      <c r="G85" s="780">
        <v>350000</v>
      </c>
      <c r="H85" s="782">
        <v>-1529000</v>
      </c>
      <c r="I85" s="782">
        <v>-256500</v>
      </c>
      <c r="J85" s="780">
        <v>944493</v>
      </c>
      <c r="K85" s="781">
        <v>-1.02</v>
      </c>
      <c r="L85" s="771"/>
      <c r="M85" s="783">
        <v>350000</v>
      </c>
      <c r="N85" s="785">
        <v>-94000</v>
      </c>
      <c r="O85" s="785">
        <v>-419000</v>
      </c>
      <c r="P85" s="785">
        <v>-1526000</v>
      </c>
      <c r="Q85" s="785">
        <v>-1532000</v>
      </c>
      <c r="R85" s="785">
        <v>-923000</v>
      </c>
      <c r="S85" s="785">
        <v>-2357000</v>
      </c>
      <c r="T85" s="773"/>
      <c r="U85" s="773"/>
      <c r="V85" s="773"/>
      <c r="W85" s="773"/>
      <c r="X85" s="773"/>
      <c r="Y85" s="772" t="s">
        <v>283</v>
      </c>
      <c r="Z85" s="765" t="s">
        <v>283</v>
      </c>
      <c r="AA85" s="765" t="s">
        <v>283</v>
      </c>
      <c r="AB85" s="765" t="s">
        <v>283</v>
      </c>
      <c r="AC85" s="765" t="s">
        <v>283</v>
      </c>
      <c r="AD85" s="765" t="s">
        <v>283</v>
      </c>
      <c r="AE85" s="765" t="s">
        <v>283</v>
      </c>
      <c r="AF85" s="765" t="s">
        <v>283</v>
      </c>
      <c r="AG85" s="765" t="s">
        <v>283</v>
      </c>
      <c r="AH85" s="765" t="s">
        <v>283</v>
      </c>
      <c r="AI85" s="765" t="s">
        <v>283</v>
      </c>
      <c r="AJ85" s="765" t="s">
        <v>283</v>
      </c>
      <c r="AK85" s="765" t="s">
        <v>283</v>
      </c>
      <c r="AL85" s="765" t="s">
        <v>283</v>
      </c>
      <c r="AM85" s="765" t="s">
        <v>283</v>
      </c>
      <c r="AN85" s="765" t="s">
        <v>283</v>
      </c>
      <c r="AO85" s="765" t="s">
        <v>283</v>
      </c>
      <c r="AP85" s="765" t="s">
        <v>283</v>
      </c>
      <c r="AQ85" s="765" t="s">
        <v>283</v>
      </c>
      <c r="AR85" s="765" t="s">
        <v>283</v>
      </c>
      <c r="AS85" s="765" t="s">
        <v>283</v>
      </c>
      <c r="AT85" s="765" t="s">
        <v>283</v>
      </c>
      <c r="AU85" s="765" t="s">
        <v>283</v>
      </c>
      <c r="AV85" s="765" t="s">
        <v>283</v>
      </c>
      <c r="AW85" s="765" t="s">
        <v>283</v>
      </c>
    </row>
    <row r="86" spans="1:49" ht="15">
      <c r="A86" s="765" t="s">
        <v>283</v>
      </c>
      <c r="B86" s="769" t="s">
        <v>283</v>
      </c>
      <c r="C86" s="773" t="s">
        <v>401</v>
      </c>
      <c r="D86" s="782">
        <v>-1049000</v>
      </c>
      <c r="E86" s="782">
        <v>-1052714</v>
      </c>
      <c r="F86" s="782">
        <v>-2466000</v>
      </c>
      <c r="G86" s="780">
        <v>205000</v>
      </c>
      <c r="H86" s="782">
        <v>-1648000</v>
      </c>
      <c r="I86" s="782">
        <v>-381500</v>
      </c>
      <c r="J86" s="780">
        <v>934871</v>
      </c>
      <c r="K86" s="781">
        <v>-0.89</v>
      </c>
      <c r="L86" s="771"/>
      <c r="M86" s="783">
        <v>205000</v>
      </c>
      <c r="N86" s="785">
        <v>-216000</v>
      </c>
      <c r="O86" s="785">
        <v>-547000</v>
      </c>
      <c r="P86" s="785">
        <v>-1655000</v>
      </c>
      <c r="Q86" s="785">
        <v>-1641000</v>
      </c>
      <c r="R86" s="785">
        <v>-1049000</v>
      </c>
      <c r="S86" s="785">
        <v>-2466000</v>
      </c>
      <c r="T86" s="773"/>
      <c r="U86" s="773"/>
      <c r="V86" s="773"/>
      <c r="W86" s="773"/>
      <c r="X86" s="773"/>
      <c r="Y86" s="772" t="s">
        <v>283</v>
      </c>
      <c r="Z86" s="765" t="s">
        <v>283</v>
      </c>
      <c r="AA86" s="765" t="s">
        <v>283</v>
      </c>
      <c r="AB86" s="765" t="s">
        <v>283</v>
      </c>
      <c r="AC86" s="765" t="s">
        <v>283</v>
      </c>
      <c r="AD86" s="765" t="s">
        <v>283</v>
      </c>
      <c r="AE86" s="765" t="s">
        <v>283</v>
      </c>
      <c r="AF86" s="765" t="s">
        <v>283</v>
      </c>
      <c r="AG86" s="765" t="s">
        <v>283</v>
      </c>
      <c r="AH86" s="765" t="s">
        <v>283</v>
      </c>
      <c r="AI86" s="765" t="s">
        <v>283</v>
      </c>
      <c r="AJ86" s="765" t="s">
        <v>283</v>
      </c>
      <c r="AK86" s="765" t="s">
        <v>283</v>
      </c>
      <c r="AL86" s="765" t="s">
        <v>283</v>
      </c>
      <c r="AM86" s="765" t="s">
        <v>283</v>
      </c>
      <c r="AN86" s="765" t="s">
        <v>283</v>
      </c>
      <c r="AO86" s="765" t="s">
        <v>283</v>
      </c>
      <c r="AP86" s="765" t="s">
        <v>283</v>
      </c>
      <c r="AQ86" s="765" t="s">
        <v>283</v>
      </c>
      <c r="AR86" s="765" t="s">
        <v>283</v>
      </c>
      <c r="AS86" s="765" t="s">
        <v>283</v>
      </c>
      <c r="AT86" s="765" t="s">
        <v>283</v>
      </c>
      <c r="AU86" s="765" t="s">
        <v>283</v>
      </c>
      <c r="AV86" s="765" t="s">
        <v>283</v>
      </c>
      <c r="AW86" s="765" t="s">
        <v>283</v>
      </c>
    </row>
    <row r="87" spans="1:49" ht="15">
      <c r="A87" s="765" t="s">
        <v>283</v>
      </c>
      <c r="B87" s="769" t="s">
        <v>283</v>
      </c>
      <c r="C87" s="773" t="s">
        <v>402</v>
      </c>
      <c r="D87" s="782">
        <v>-564000</v>
      </c>
      <c r="E87" s="782">
        <v>-965431</v>
      </c>
      <c r="F87" s="782">
        <v>-3004000</v>
      </c>
      <c r="G87" s="780">
        <v>173000</v>
      </c>
      <c r="H87" s="782">
        <v>-1676000</v>
      </c>
      <c r="I87" s="782">
        <v>-174116</v>
      </c>
      <c r="J87" s="780">
        <v>1067730</v>
      </c>
      <c r="K87" s="781">
        <v>-1.1100000000000001</v>
      </c>
      <c r="L87" s="771"/>
      <c r="M87" s="783">
        <v>173000</v>
      </c>
      <c r="N87" s="785">
        <v>-241000</v>
      </c>
      <c r="O87" s="785">
        <v>-564000</v>
      </c>
      <c r="P87" s="785">
        <v>-1676000</v>
      </c>
      <c r="Q87" s="785">
        <v>-1877000</v>
      </c>
      <c r="R87" s="785">
        <v>-1310000</v>
      </c>
      <c r="S87" s="785">
        <v>-3004000</v>
      </c>
      <c r="T87" s="785">
        <v>-174116</v>
      </c>
      <c r="U87" s="785">
        <v>-15760</v>
      </c>
      <c r="V87" s="773"/>
      <c r="W87" s="773"/>
      <c r="X87" s="773"/>
      <c r="Y87" s="772" t="s">
        <v>283</v>
      </c>
      <c r="Z87" s="765" t="s">
        <v>283</v>
      </c>
      <c r="AA87" s="765" t="s">
        <v>283</v>
      </c>
      <c r="AB87" s="765" t="s">
        <v>283</v>
      </c>
      <c r="AC87" s="765" t="s">
        <v>283</v>
      </c>
      <c r="AD87" s="765" t="s">
        <v>283</v>
      </c>
      <c r="AE87" s="765" t="s">
        <v>283</v>
      </c>
      <c r="AF87" s="765" t="s">
        <v>283</v>
      </c>
      <c r="AG87" s="765" t="s">
        <v>283</v>
      </c>
      <c r="AH87" s="765" t="s">
        <v>283</v>
      </c>
      <c r="AI87" s="765" t="s">
        <v>283</v>
      </c>
      <c r="AJ87" s="765" t="s">
        <v>283</v>
      </c>
      <c r="AK87" s="765" t="s">
        <v>283</v>
      </c>
      <c r="AL87" s="765" t="s">
        <v>283</v>
      </c>
      <c r="AM87" s="765" t="s">
        <v>283</v>
      </c>
      <c r="AN87" s="765" t="s">
        <v>283</v>
      </c>
      <c r="AO87" s="765" t="s">
        <v>283</v>
      </c>
      <c r="AP87" s="765" t="s">
        <v>283</v>
      </c>
      <c r="AQ87" s="765" t="s">
        <v>283</v>
      </c>
      <c r="AR87" s="765" t="s">
        <v>283</v>
      </c>
      <c r="AS87" s="765" t="s">
        <v>283</v>
      </c>
      <c r="AT87" s="765" t="s">
        <v>283</v>
      </c>
      <c r="AU87" s="765" t="s">
        <v>283</v>
      </c>
      <c r="AV87" s="765" t="s">
        <v>283</v>
      </c>
      <c r="AW87" s="765" t="s">
        <v>283</v>
      </c>
    </row>
    <row r="88" spans="1:49" ht="15">
      <c r="A88" s="765" t="s">
        <v>283</v>
      </c>
      <c r="B88" s="769" t="s">
        <v>283</v>
      </c>
      <c r="C88" s="773" t="s">
        <v>403</v>
      </c>
      <c r="D88" s="782">
        <v>-923000</v>
      </c>
      <c r="E88" s="782">
        <v>-928714</v>
      </c>
      <c r="F88" s="782">
        <v>-2357000</v>
      </c>
      <c r="G88" s="780">
        <v>350000</v>
      </c>
      <c r="H88" s="782">
        <v>-1529000</v>
      </c>
      <c r="I88" s="782">
        <v>-256500</v>
      </c>
      <c r="J88" s="780">
        <v>944493</v>
      </c>
      <c r="K88" s="781">
        <v>-1.02</v>
      </c>
      <c r="L88" s="771"/>
      <c r="M88" s="783">
        <v>350000</v>
      </c>
      <c r="N88" s="785">
        <v>-94000</v>
      </c>
      <c r="O88" s="785">
        <v>-419000</v>
      </c>
      <c r="P88" s="785">
        <v>-1526000</v>
      </c>
      <c r="Q88" s="785">
        <v>-1532000</v>
      </c>
      <c r="R88" s="785">
        <v>-923000</v>
      </c>
      <c r="S88" s="785">
        <v>-2357000</v>
      </c>
      <c r="T88" s="773"/>
      <c r="U88" s="773"/>
      <c r="V88" s="773"/>
      <c r="W88" s="773"/>
      <c r="X88" s="773"/>
      <c r="Y88" s="772" t="s">
        <v>283</v>
      </c>
      <c r="Z88" s="765" t="s">
        <v>283</v>
      </c>
      <c r="AA88" s="765" t="s">
        <v>283</v>
      </c>
      <c r="AB88" s="765" t="s">
        <v>283</v>
      </c>
      <c r="AC88" s="765" t="s">
        <v>283</v>
      </c>
      <c r="AD88" s="765" t="s">
        <v>283</v>
      </c>
      <c r="AE88" s="765" t="s">
        <v>283</v>
      </c>
      <c r="AF88" s="765" t="s">
        <v>283</v>
      </c>
      <c r="AG88" s="765" t="s">
        <v>283</v>
      </c>
      <c r="AH88" s="765" t="s">
        <v>283</v>
      </c>
      <c r="AI88" s="765" t="s">
        <v>283</v>
      </c>
      <c r="AJ88" s="765" t="s">
        <v>283</v>
      </c>
      <c r="AK88" s="765" t="s">
        <v>283</v>
      </c>
      <c r="AL88" s="765" t="s">
        <v>283</v>
      </c>
      <c r="AM88" s="765" t="s">
        <v>283</v>
      </c>
      <c r="AN88" s="765" t="s">
        <v>283</v>
      </c>
      <c r="AO88" s="765" t="s">
        <v>283</v>
      </c>
      <c r="AP88" s="765" t="s">
        <v>283</v>
      </c>
      <c r="AQ88" s="765" t="s">
        <v>283</v>
      </c>
      <c r="AR88" s="765" t="s">
        <v>283</v>
      </c>
      <c r="AS88" s="765" t="s">
        <v>283</v>
      </c>
      <c r="AT88" s="765" t="s">
        <v>283</v>
      </c>
      <c r="AU88" s="765" t="s">
        <v>283</v>
      </c>
      <c r="AV88" s="765" t="s">
        <v>283</v>
      </c>
      <c r="AW88" s="765" t="s">
        <v>283</v>
      </c>
    </row>
    <row r="89" spans="1:49" ht="15">
      <c r="A89" s="765" t="s">
        <v>283</v>
      </c>
      <c r="B89" s="769" t="s">
        <v>283</v>
      </c>
      <c r="C89" s="773" t="s">
        <v>404</v>
      </c>
      <c r="D89" s="780">
        <v>137000</v>
      </c>
      <c r="E89" s="780">
        <v>126667</v>
      </c>
      <c r="F89" s="780">
        <v>26000</v>
      </c>
      <c r="G89" s="780">
        <v>197000</v>
      </c>
      <c r="H89" s="780">
        <v>83750</v>
      </c>
      <c r="I89" s="780">
        <v>182000</v>
      </c>
      <c r="J89" s="780">
        <v>68266</v>
      </c>
      <c r="K89" s="779">
        <v>0.54</v>
      </c>
      <c r="L89" s="771"/>
      <c r="M89" s="783">
        <v>167000</v>
      </c>
      <c r="N89" s="783">
        <v>187000</v>
      </c>
      <c r="O89" s="783">
        <v>197000</v>
      </c>
      <c r="P89" s="783">
        <v>107000</v>
      </c>
      <c r="Q89" s="783">
        <v>26000</v>
      </c>
      <c r="R89" s="773"/>
      <c r="S89" s="783">
        <v>76000</v>
      </c>
      <c r="T89" s="773"/>
      <c r="U89" s="773"/>
      <c r="V89" s="773"/>
      <c r="W89" s="773"/>
      <c r="X89" s="773"/>
      <c r="Y89" s="772" t="s">
        <v>283</v>
      </c>
      <c r="Z89" s="765" t="s">
        <v>283</v>
      </c>
      <c r="AA89" s="765" t="s">
        <v>283</v>
      </c>
      <c r="AB89" s="765" t="s">
        <v>283</v>
      </c>
      <c r="AC89" s="765" t="s">
        <v>283</v>
      </c>
      <c r="AD89" s="765" t="s">
        <v>283</v>
      </c>
      <c r="AE89" s="765" t="s">
        <v>283</v>
      </c>
      <c r="AF89" s="765" t="s">
        <v>283</v>
      </c>
      <c r="AG89" s="765" t="s">
        <v>283</v>
      </c>
      <c r="AH89" s="765" t="s">
        <v>283</v>
      </c>
      <c r="AI89" s="765" t="s">
        <v>283</v>
      </c>
      <c r="AJ89" s="765" t="s">
        <v>283</v>
      </c>
      <c r="AK89" s="765" t="s">
        <v>283</v>
      </c>
      <c r="AL89" s="765" t="s">
        <v>283</v>
      </c>
      <c r="AM89" s="765" t="s">
        <v>283</v>
      </c>
      <c r="AN89" s="765" t="s">
        <v>283</v>
      </c>
      <c r="AO89" s="765" t="s">
        <v>283</v>
      </c>
      <c r="AP89" s="765" t="s">
        <v>283</v>
      </c>
      <c r="AQ89" s="765" t="s">
        <v>283</v>
      </c>
      <c r="AR89" s="765" t="s">
        <v>283</v>
      </c>
      <c r="AS89" s="765" t="s">
        <v>283</v>
      </c>
      <c r="AT89" s="765" t="s">
        <v>283</v>
      </c>
      <c r="AU89" s="765" t="s">
        <v>283</v>
      </c>
      <c r="AV89" s="765" t="s">
        <v>283</v>
      </c>
      <c r="AW89" s="765" t="s">
        <v>283</v>
      </c>
    </row>
    <row r="90" spans="1:49" ht="15">
      <c r="A90" s="765" t="s">
        <v>283</v>
      </c>
      <c r="B90" s="769" t="s">
        <v>283</v>
      </c>
      <c r="C90" s="773" t="s">
        <v>405</v>
      </c>
      <c r="D90" s="779">
        <v>0</v>
      </c>
      <c r="E90" s="780">
        <v>7695</v>
      </c>
      <c r="F90" s="779">
        <v>0</v>
      </c>
      <c r="G90" s="780">
        <v>92342</v>
      </c>
      <c r="H90" s="779">
        <v>0</v>
      </c>
      <c r="I90" s="779">
        <v>0</v>
      </c>
      <c r="J90" s="780">
        <v>26657</v>
      </c>
      <c r="K90" s="779">
        <v>3.46</v>
      </c>
      <c r="L90" s="771"/>
      <c r="M90" s="783">
        <v>92342</v>
      </c>
      <c r="N90" s="773">
        <v>0</v>
      </c>
      <c r="O90" s="773">
        <v>0</v>
      </c>
      <c r="P90" s="773">
        <v>0</v>
      </c>
      <c r="Q90" s="773">
        <v>0</v>
      </c>
      <c r="R90" s="773">
        <v>0</v>
      </c>
      <c r="S90" s="773">
        <v>0</v>
      </c>
      <c r="T90" s="773">
        <v>0</v>
      </c>
      <c r="U90" s="773">
        <v>0</v>
      </c>
      <c r="V90" s="773">
        <v>0</v>
      </c>
      <c r="W90" s="773">
        <v>0</v>
      </c>
      <c r="X90" s="773">
        <v>0</v>
      </c>
      <c r="Y90" s="772" t="s">
        <v>283</v>
      </c>
      <c r="Z90" s="765" t="s">
        <v>283</v>
      </c>
      <c r="AA90" s="765" t="s">
        <v>283</v>
      </c>
      <c r="AB90" s="765" t="s">
        <v>283</v>
      </c>
      <c r="AC90" s="765" t="s">
        <v>283</v>
      </c>
      <c r="AD90" s="765" t="s">
        <v>283</v>
      </c>
      <c r="AE90" s="765" t="s">
        <v>283</v>
      </c>
      <c r="AF90" s="765" t="s">
        <v>283</v>
      </c>
      <c r="AG90" s="765" t="s">
        <v>283</v>
      </c>
      <c r="AH90" s="765" t="s">
        <v>283</v>
      </c>
      <c r="AI90" s="765" t="s">
        <v>283</v>
      </c>
      <c r="AJ90" s="765" t="s">
        <v>283</v>
      </c>
      <c r="AK90" s="765" t="s">
        <v>283</v>
      </c>
      <c r="AL90" s="765" t="s">
        <v>283</v>
      </c>
      <c r="AM90" s="765" t="s">
        <v>283</v>
      </c>
      <c r="AN90" s="765" t="s">
        <v>283</v>
      </c>
      <c r="AO90" s="765" t="s">
        <v>283</v>
      </c>
      <c r="AP90" s="765" t="s">
        <v>283</v>
      </c>
      <c r="AQ90" s="765" t="s">
        <v>283</v>
      </c>
      <c r="AR90" s="765" t="s">
        <v>283</v>
      </c>
      <c r="AS90" s="765" t="s">
        <v>283</v>
      </c>
      <c r="AT90" s="765" t="s">
        <v>283</v>
      </c>
      <c r="AU90" s="765" t="s">
        <v>283</v>
      </c>
      <c r="AV90" s="765" t="s">
        <v>283</v>
      </c>
      <c r="AW90" s="765" t="s">
        <v>283</v>
      </c>
    </row>
    <row r="91" spans="1:49" ht="15">
      <c r="A91" s="765" t="s">
        <v>283</v>
      </c>
      <c r="B91" s="769" t="s">
        <v>283</v>
      </c>
      <c r="C91" s="773" t="s">
        <v>406</v>
      </c>
      <c r="D91" s="780">
        <v>218500</v>
      </c>
      <c r="E91" s="780">
        <v>230917</v>
      </c>
      <c r="F91" s="779">
        <v>0</v>
      </c>
      <c r="G91" s="780">
        <v>776000</v>
      </c>
      <c r="H91" s="779">
        <v>0</v>
      </c>
      <c r="I91" s="780">
        <v>364500</v>
      </c>
      <c r="J91" s="780">
        <v>247532</v>
      </c>
      <c r="K91" s="779">
        <v>1.07</v>
      </c>
      <c r="L91" s="771"/>
      <c r="M91" s="783">
        <v>360000</v>
      </c>
      <c r="N91" s="783">
        <v>378000</v>
      </c>
      <c r="O91" s="783">
        <v>460000</v>
      </c>
      <c r="P91" s="783">
        <v>776000</v>
      </c>
      <c r="Q91" s="783">
        <v>360000</v>
      </c>
      <c r="R91" s="783">
        <v>254000</v>
      </c>
      <c r="S91" s="783">
        <v>183000</v>
      </c>
      <c r="T91" s="773">
        <v>0</v>
      </c>
      <c r="U91" s="773">
        <v>0</v>
      </c>
      <c r="V91" s="773">
        <v>0</v>
      </c>
      <c r="W91" s="773">
        <v>0</v>
      </c>
      <c r="X91" s="773">
        <v>0</v>
      </c>
      <c r="Y91" s="772" t="s">
        <v>283</v>
      </c>
      <c r="Z91" s="765" t="s">
        <v>283</v>
      </c>
      <c r="AA91" s="765" t="s">
        <v>283</v>
      </c>
      <c r="AB91" s="765" t="s">
        <v>283</v>
      </c>
      <c r="AC91" s="765" t="s">
        <v>283</v>
      </c>
      <c r="AD91" s="765" t="s">
        <v>283</v>
      </c>
      <c r="AE91" s="765" t="s">
        <v>283</v>
      </c>
      <c r="AF91" s="765" t="s">
        <v>283</v>
      </c>
      <c r="AG91" s="765" t="s">
        <v>283</v>
      </c>
      <c r="AH91" s="765" t="s">
        <v>283</v>
      </c>
      <c r="AI91" s="765" t="s">
        <v>283</v>
      </c>
      <c r="AJ91" s="765" t="s">
        <v>283</v>
      </c>
      <c r="AK91" s="765" t="s">
        <v>283</v>
      </c>
      <c r="AL91" s="765" t="s">
        <v>283</v>
      </c>
      <c r="AM91" s="765" t="s">
        <v>283</v>
      </c>
      <c r="AN91" s="765" t="s">
        <v>283</v>
      </c>
      <c r="AO91" s="765" t="s">
        <v>283</v>
      </c>
      <c r="AP91" s="765" t="s">
        <v>283</v>
      </c>
      <c r="AQ91" s="765" t="s">
        <v>283</v>
      </c>
      <c r="AR91" s="765" t="s">
        <v>283</v>
      </c>
      <c r="AS91" s="765" t="s">
        <v>283</v>
      </c>
      <c r="AT91" s="765" t="s">
        <v>283</v>
      </c>
      <c r="AU91" s="765" t="s">
        <v>283</v>
      </c>
      <c r="AV91" s="765" t="s">
        <v>283</v>
      </c>
      <c r="AW91" s="765" t="s">
        <v>283</v>
      </c>
    </row>
    <row r="92" spans="1:49" ht="15">
      <c r="A92" s="765" t="s">
        <v>283</v>
      </c>
      <c r="B92" s="769" t="s">
        <v>283</v>
      </c>
      <c r="C92" s="773" t="s">
        <v>407</v>
      </c>
      <c r="D92" s="780">
        <v>190500</v>
      </c>
      <c r="E92" s="780">
        <v>225333</v>
      </c>
      <c r="F92" s="779">
        <v>0</v>
      </c>
      <c r="G92" s="780">
        <v>773000</v>
      </c>
      <c r="H92" s="779">
        <v>0</v>
      </c>
      <c r="I92" s="780">
        <v>364500</v>
      </c>
      <c r="J92" s="780">
        <v>247040</v>
      </c>
      <c r="K92" s="779">
        <v>1.1000000000000001</v>
      </c>
      <c r="L92" s="771"/>
      <c r="M92" s="783">
        <v>360000</v>
      </c>
      <c r="N92" s="783">
        <v>378000</v>
      </c>
      <c r="O92" s="783">
        <v>460000</v>
      </c>
      <c r="P92" s="783">
        <v>773000</v>
      </c>
      <c r="Q92" s="783">
        <v>352000</v>
      </c>
      <c r="R92" s="783">
        <v>226000</v>
      </c>
      <c r="S92" s="783">
        <v>155000</v>
      </c>
      <c r="T92" s="773">
        <v>0</v>
      </c>
      <c r="U92" s="773">
        <v>0</v>
      </c>
      <c r="V92" s="773">
        <v>0</v>
      </c>
      <c r="W92" s="773">
        <v>0</v>
      </c>
      <c r="X92" s="773">
        <v>0</v>
      </c>
      <c r="Y92" s="772" t="s">
        <v>283</v>
      </c>
      <c r="Z92" s="765" t="s">
        <v>283</v>
      </c>
      <c r="AA92" s="765" t="s">
        <v>283</v>
      </c>
      <c r="AB92" s="765" t="s">
        <v>283</v>
      </c>
      <c r="AC92" s="765" t="s">
        <v>283</v>
      </c>
      <c r="AD92" s="765" t="s">
        <v>283</v>
      </c>
      <c r="AE92" s="765" t="s">
        <v>283</v>
      </c>
      <c r="AF92" s="765" t="s">
        <v>283</v>
      </c>
      <c r="AG92" s="765" t="s">
        <v>283</v>
      </c>
      <c r="AH92" s="765" t="s">
        <v>283</v>
      </c>
      <c r="AI92" s="765" t="s">
        <v>283</v>
      </c>
      <c r="AJ92" s="765" t="s">
        <v>283</v>
      </c>
      <c r="AK92" s="765" t="s">
        <v>283</v>
      </c>
      <c r="AL92" s="765" t="s">
        <v>283</v>
      </c>
      <c r="AM92" s="765" t="s">
        <v>283</v>
      </c>
      <c r="AN92" s="765" t="s">
        <v>283</v>
      </c>
      <c r="AO92" s="765" t="s">
        <v>283</v>
      </c>
      <c r="AP92" s="765" t="s">
        <v>283</v>
      </c>
      <c r="AQ92" s="765" t="s">
        <v>283</v>
      </c>
      <c r="AR92" s="765" t="s">
        <v>283</v>
      </c>
      <c r="AS92" s="765" t="s">
        <v>283</v>
      </c>
      <c r="AT92" s="765" t="s">
        <v>283</v>
      </c>
      <c r="AU92" s="765" t="s">
        <v>283</v>
      </c>
      <c r="AV92" s="765" t="s">
        <v>283</v>
      </c>
      <c r="AW92" s="765" t="s">
        <v>283</v>
      </c>
    </row>
    <row r="93" spans="1:49" ht="15">
      <c r="A93" s="765" t="s">
        <v>283</v>
      </c>
      <c r="B93" s="769" t="s">
        <v>283</v>
      </c>
      <c r="C93" s="773" t="s">
        <v>408</v>
      </c>
      <c r="D93" s="780">
        <v>2745000</v>
      </c>
      <c r="E93" s="780">
        <v>2506571</v>
      </c>
      <c r="F93" s="780">
        <v>1697000</v>
      </c>
      <c r="G93" s="780">
        <v>3168000</v>
      </c>
      <c r="H93" s="780">
        <v>2152000</v>
      </c>
      <c r="I93" s="780">
        <v>2816000</v>
      </c>
      <c r="J93" s="780">
        <v>517245</v>
      </c>
      <c r="K93" s="779">
        <v>0.21</v>
      </c>
      <c r="L93" s="771"/>
      <c r="M93" s="783">
        <v>3168000</v>
      </c>
      <c r="N93" s="783">
        <v>2869000</v>
      </c>
      <c r="O93" s="783">
        <v>2763000</v>
      </c>
      <c r="P93" s="783">
        <v>2745000</v>
      </c>
      <c r="Q93" s="783">
        <v>2211000</v>
      </c>
      <c r="R93" s="783">
        <v>1697000</v>
      </c>
      <c r="S93" s="783">
        <v>2093000</v>
      </c>
      <c r="T93" s="773"/>
      <c r="U93" s="773"/>
      <c r="V93" s="773"/>
      <c r="W93" s="773"/>
      <c r="X93" s="773"/>
      <c r="Y93" s="772" t="s">
        <v>283</v>
      </c>
      <c r="Z93" s="765" t="s">
        <v>283</v>
      </c>
      <c r="AA93" s="765" t="s">
        <v>283</v>
      </c>
      <c r="AB93" s="765" t="s">
        <v>283</v>
      </c>
      <c r="AC93" s="765" t="s">
        <v>283</v>
      </c>
      <c r="AD93" s="765" t="s">
        <v>283</v>
      </c>
      <c r="AE93" s="765" t="s">
        <v>283</v>
      </c>
      <c r="AF93" s="765" t="s">
        <v>283</v>
      </c>
      <c r="AG93" s="765" t="s">
        <v>283</v>
      </c>
      <c r="AH93" s="765" t="s">
        <v>283</v>
      </c>
      <c r="AI93" s="765" t="s">
        <v>283</v>
      </c>
      <c r="AJ93" s="765" t="s">
        <v>283</v>
      </c>
      <c r="AK93" s="765" t="s">
        <v>283</v>
      </c>
      <c r="AL93" s="765" t="s">
        <v>283</v>
      </c>
      <c r="AM93" s="765" t="s">
        <v>283</v>
      </c>
      <c r="AN93" s="765" t="s">
        <v>283</v>
      </c>
      <c r="AO93" s="765" t="s">
        <v>283</v>
      </c>
      <c r="AP93" s="765" t="s">
        <v>283</v>
      </c>
      <c r="AQ93" s="765" t="s">
        <v>283</v>
      </c>
      <c r="AR93" s="765" t="s">
        <v>283</v>
      </c>
      <c r="AS93" s="765" t="s">
        <v>283</v>
      </c>
      <c r="AT93" s="765" t="s">
        <v>283</v>
      </c>
      <c r="AU93" s="765" t="s">
        <v>283</v>
      </c>
      <c r="AV93" s="765" t="s">
        <v>283</v>
      </c>
      <c r="AW93" s="765" t="s">
        <v>283</v>
      </c>
    </row>
    <row r="94" spans="1:49" ht="15">
      <c r="A94" s="765" t="s">
        <v>283</v>
      </c>
      <c r="B94" s="769" t="s">
        <v>283</v>
      </c>
      <c r="C94" s="773" t="s">
        <v>409</v>
      </c>
      <c r="D94" s="782">
        <v>-1312000</v>
      </c>
      <c r="E94" s="782">
        <v>-1234768</v>
      </c>
      <c r="F94" s="782">
        <v>-3011000</v>
      </c>
      <c r="G94" s="780">
        <v>128625</v>
      </c>
      <c r="H94" s="782">
        <v>-1781000</v>
      </c>
      <c r="I94" s="782">
        <v>-443500</v>
      </c>
      <c r="J94" s="780">
        <v>1074498</v>
      </c>
      <c r="K94" s="781">
        <v>-0.87</v>
      </c>
      <c r="L94" s="771"/>
      <c r="M94" s="783">
        <v>128625</v>
      </c>
      <c r="N94" s="785">
        <v>-304000</v>
      </c>
      <c r="O94" s="785">
        <v>-583000</v>
      </c>
      <c r="P94" s="785">
        <v>-1682000</v>
      </c>
      <c r="Q94" s="785">
        <v>-1880000</v>
      </c>
      <c r="R94" s="785">
        <v>-1312000</v>
      </c>
      <c r="S94" s="785">
        <v>-3011000</v>
      </c>
      <c r="T94" s="773"/>
      <c r="U94" s="773"/>
      <c r="V94" s="773"/>
      <c r="W94" s="773"/>
      <c r="X94" s="773"/>
      <c r="Y94" s="772" t="s">
        <v>283</v>
      </c>
      <c r="Z94" s="765" t="s">
        <v>283</v>
      </c>
      <c r="AA94" s="765" t="s">
        <v>283</v>
      </c>
      <c r="AB94" s="765" t="s">
        <v>283</v>
      </c>
      <c r="AC94" s="765" t="s">
        <v>283</v>
      </c>
      <c r="AD94" s="765" t="s">
        <v>283</v>
      </c>
      <c r="AE94" s="765" t="s">
        <v>283</v>
      </c>
      <c r="AF94" s="765" t="s">
        <v>283</v>
      </c>
      <c r="AG94" s="765" t="s">
        <v>283</v>
      </c>
      <c r="AH94" s="765" t="s">
        <v>283</v>
      </c>
      <c r="AI94" s="765" t="s">
        <v>283</v>
      </c>
      <c r="AJ94" s="765" t="s">
        <v>283</v>
      </c>
      <c r="AK94" s="765" t="s">
        <v>283</v>
      </c>
      <c r="AL94" s="765" t="s">
        <v>283</v>
      </c>
      <c r="AM94" s="765" t="s">
        <v>283</v>
      </c>
      <c r="AN94" s="765" t="s">
        <v>283</v>
      </c>
      <c r="AO94" s="765" t="s">
        <v>283</v>
      </c>
      <c r="AP94" s="765" t="s">
        <v>283</v>
      </c>
      <c r="AQ94" s="765" t="s">
        <v>283</v>
      </c>
      <c r="AR94" s="765" t="s">
        <v>283</v>
      </c>
      <c r="AS94" s="765" t="s">
        <v>283</v>
      </c>
      <c r="AT94" s="765" t="s">
        <v>283</v>
      </c>
      <c r="AU94" s="765" t="s">
        <v>283</v>
      </c>
      <c r="AV94" s="765" t="s">
        <v>283</v>
      </c>
      <c r="AW94" s="765" t="s">
        <v>283</v>
      </c>
    </row>
    <row r="95" spans="1:49" ht="15">
      <c r="A95" s="765" t="s">
        <v>283</v>
      </c>
      <c r="B95" s="769" t="s">
        <v>283</v>
      </c>
      <c r="C95" s="773" t="s">
        <v>410</v>
      </c>
      <c r="D95" s="782">
        <v>-485000</v>
      </c>
      <c r="E95" s="782">
        <v>-1407643</v>
      </c>
      <c r="F95" s="782">
        <v>-3988000</v>
      </c>
      <c r="G95" s="780">
        <v>200000</v>
      </c>
      <c r="H95" s="782">
        <v>-2745000</v>
      </c>
      <c r="I95" s="782">
        <v>-158000</v>
      </c>
      <c r="J95" s="780">
        <v>1643351</v>
      </c>
      <c r="K95" s="781">
        <v>-1.17</v>
      </c>
      <c r="L95" s="771"/>
      <c r="M95" s="783">
        <v>200000</v>
      </c>
      <c r="N95" s="785">
        <v>-158000</v>
      </c>
      <c r="O95" s="785">
        <v>-485000</v>
      </c>
      <c r="P95" s="785">
        <v>-1740000</v>
      </c>
      <c r="Q95" s="785">
        <v>-3555000</v>
      </c>
      <c r="R95" s="785">
        <v>-2745000</v>
      </c>
      <c r="S95" s="785">
        <v>-3988000</v>
      </c>
      <c r="T95" s="785">
        <v>-180795</v>
      </c>
      <c r="U95" s="785">
        <v>-16994</v>
      </c>
      <c r="V95" s="773"/>
      <c r="W95" s="773"/>
      <c r="X95" s="773"/>
      <c r="Y95" s="772" t="s">
        <v>283</v>
      </c>
      <c r="Z95" s="765" t="s">
        <v>283</v>
      </c>
      <c r="AA95" s="765" t="s">
        <v>283</v>
      </c>
      <c r="AB95" s="765" t="s">
        <v>283</v>
      </c>
      <c r="AC95" s="765" t="s">
        <v>283</v>
      </c>
      <c r="AD95" s="765" t="s">
        <v>283</v>
      </c>
      <c r="AE95" s="765" t="s">
        <v>283</v>
      </c>
      <c r="AF95" s="765" t="s">
        <v>283</v>
      </c>
      <c r="AG95" s="765" t="s">
        <v>283</v>
      </c>
      <c r="AH95" s="765" t="s">
        <v>283</v>
      </c>
      <c r="AI95" s="765" t="s">
        <v>283</v>
      </c>
      <c r="AJ95" s="765" t="s">
        <v>283</v>
      </c>
      <c r="AK95" s="765" t="s">
        <v>283</v>
      </c>
      <c r="AL95" s="765" t="s">
        <v>283</v>
      </c>
      <c r="AM95" s="765" t="s">
        <v>283</v>
      </c>
      <c r="AN95" s="765" t="s">
        <v>283</v>
      </c>
      <c r="AO95" s="765" t="s">
        <v>283</v>
      </c>
      <c r="AP95" s="765" t="s">
        <v>283</v>
      </c>
      <c r="AQ95" s="765" t="s">
        <v>283</v>
      </c>
      <c r="AR95" s="765" t="s">
        <v>283</v>
      </c>
      <c r="AS95" s="765" t="s">
        <v>283</v>
      </c>
      <c r="AT95" s="765" t="s">
        <v>283</v>
      </c>
      <c r="AU95" s="765" t="s">
        <v>283</v>
      </c>
      <c r="AV95" s="765" t="s">
        <v>283</v>
      </c>
      <c r="AW95" s="765" t="s">
        <v>283</v>
      </c>
    </row>
    <row r="96" spans="1:49" ht="15">
      <c r="A96" s="765" t="s">
        <v>283</v>
      </c>
      <c r="B96" s="769" t="s">
        <v>283</v>
      </c>
      <c r="C96" s="773" t="s">
        <v>411</v>
      </c>
      <c r="D96" s="774" t="s">
        <v>283</v>
      </c>
      <c r="E96" s="774" t="s">
        <v>283</v>
      </c>
      <c r="F96" s="774" t="s">
        <v>283</v>
      </c>
      <c r="G96" s="774" t="s">
        <v>283</v>
      </c>
      <c r="H96" s="774" t="s">
        <v>283</v>
      </c>
      <c r="I96" s="774" t="s">
        <v>283</v>
      </c>
      <c r="J96" s="774" t="s">
        <v>283</v>
      </c>
      <c r="K96" s="774" t="s">
        <v>283</v>
      </c>
      <c r="L96" s="771"/>
      <c r="M96" s="771"/>
      <c r="N96" s="771"/>
      <c r="O96" s="771"/>
      <c r="P96" s="771"/>
      <c r="Q96" s="771"/>
      <c r="R96" s="771"/>
      <c r="S96" s="771"/>
      <c r="T96" s="771"/>
      <c r="U96" s="771"/>
      <c r="V96" s="771"/>
      <c r="W96" s="771"/>
      <c r="X96" s="771"/>
      <c r="Y96" s="772" t="s">
        <v>283</v>
      </c>
      <c r="Z96" s="765" t="s">
        <v>283</v>
      </c>
      <c r="AA96" s="765" t="s">
        <v>283</v>
      </c>
      <c r="AB96" s="765" t="s">
        <v>283</v>
      </c>
      <c r="AC96" s="765" t="s">
        <v>283</v>
      </c>
      <c r="AD96" s="765" t="s">
        <v>283</v>
      </c>
      <c r="AE96" s="765" t="s">
        <v>283</v>
      </c>
      <c r="AF96" s="765" t="s">
        <v>283</v>
      </c>
      <c r="AG96" s="765" t="s">
        <v>283</v>
      </c>
      <c r="AH96" s="765" t="s">
        <v>283</v>
      </c>
      <c r="AI96" s="765" t="s">
        <v>283</v>
      </c>
      <c r="AJ96" s="765" t="s">
        <v>283</v>
      </c>
      <c r="AK96" s="765" t="s">
        <v>283</v>
      </c>
      <c r="AL96" s="765" t="s">
        <v>283</v>
      </c>
      <c r="AM96" s="765" t="s">
        <v>283</v>
      </c>
      <c r="AN96" s="765" t="s">
        <v>283</v>
      </c>
      <c r="AO96" s="765" t="s">
        <v>283</v>
      </c>
      <c r="AP96" s="765" t="s">
        <v>283</v>
      </c>
      <c r="AQ96" s="765" t="s">
        <v>283</v>
      </c>
      <c r="AR96" s="765" t="s">
        <v>283</v>
      </c>
      <c r="AS96" s="765" t="s">
        <v>283</v>
      </c>
      <c r="AT96" s="765" t="s">
        <v>283</v>
      </c>
      <c r="AU96" s="765" t="s">
        <v>283</v>
      </c>
      <c r="AV96" s="765" t="s">
        <v>283</v>
      </c>
      <c r="AW96" s="765" t="s">
        <v>283</v>
      </c>
    </row>
    <row r="97" spans="1:49" ht="15">
      <c r="A97" s="765" t="s">
        <v>283</v>
      </c>
      <c r="B97" s="769" t="s">
        <v>283</v>
      </c>
      <c r="C97" s="773" t="s">
        <v>412</v>
      </c>
      <c r="D97" s="782">
        <v>-780000</v>
      </c>
      <c r="E97" s="782">
        <v>-454000</v>
      </c>
      <c r="F97" s="782">
        <v>-1554000</v>
      </c>
      <c r="G97" s="780">
        <v>500000</v>
      </c>
      <c r="H97" s="782">
        <v>-817500</v>
      </c>
      <c r="I97" s="780">
        <v>145500</v>
      </c>
      <c r="J97" s="780">
        <v>737876</v>
      </c>
      <c r="K97" s="781">
        <v>-1.63</v>
      </c>
      <c r="L97" s="771"/>
      <c r="M97" s="783">
        <v>500000</v>
      </c>
      <c r="N97" s="783">
        <v>313000</v>
      </c>
      <c r="O97" s="785">
        <v>-22000</v>
      </c>
      <c r="P97" s="785">
        <v>-793000</v>
      </c>
      <c r="Q97" s="785">
        <v>-842000</v>
      </c>
      <c r="R97" s="785">
        <v>-780000</v>
      </c>
      <c r="S97" s="785">
        <v>-1554000</v>
      </c>
      <c r="T97" s="773"/>
      <c r="U97" s="773"/>
      <c r="V97" s="773"/>
      <c r="W97" s="773"/>
      <c r="X97" s="773"/>
      <c r="Y97" s="772" t="s">
        <v>283</v>
      </c>
      <c r="Z97" s="765" t="s">
        <v>283</v>
      </c>
      <c r="AA97" s="765" t="s">
        <v>283</v>
      </c>
      <c r="AB97" s="765" t="s">
        <v>283</v>
      </c>
      <c r="AC97" s="765" t="s">
        <v>283</v>
      </c>
      <c r="AD97" s="765" t="s">
        <v>283</v>
      </c>
      <c r="AE97" s="765" t="s">
        <v>283</v>
      </c>
      <c r="AF97" s="765" t="s">
        <v>283</v>
      </c>
      <c r="AG97" s="765" t="s">
        <v>283</v>
      </c>
      <c r="AH97" s="765" t="s">
        <v>283</v>
      </c>
      <c r="AI97" s="765" t="s">
        <v>283</v>
      </c>
      <c r="AJ97" s="765" t="s">
        <v>283</v>
      </c>
      <c r="AK97" s="765" t="s">
        <v>283</v>
      </c>
      <c r="AL97" s="765" t="s">
        <v>283</v>
      </c>
      <c r="AM97" s="765" t="s">
        <v>283</v>
      </c>
      <c r="AN97" s="765" t="s">
        <v>283</v>
      </c>
      <c r="AO97" s="765" t="s">
        <v>283</v>
      </c>
      <c r="AP97" s="765" t="s">
        <v>283</v>
      </c>
      <c r="AQ97" s="765" t="s">
        <v>283</v>
      </c>
      <c r="AR97" s="765" t="s">
        <v>283</v>
      </c>
      <c r="AS97" s="765" t="s">
        <v>283</v>
      </c>
      <c r="AT97" s="765" t="s">
        <v>283</v>
      </c>
      <c r="AU97" s="765" t="s">
        <v>283</v>
      </c>
      <c r="AV97" s="765" t="s">
        <v>283</v>
      </c>
      <c r="AW97" s="765" t="s">
        <v>283</v>
      </c>
    </row>
    <row r="98" spans="1:49" ht="15">
      <c r="A98" s="765" t="s">
        <v>283</v>
      </c>
      <c r="B98" s="769" t="s">
        <v>283</v>
      </c>
      <c r="C98" s="773" t="s">
        <v>413</v>
      </c>
      <c r="D98" s="782">
        <v>-174116</v>
      </c>
      <c r="E98" s="782">
        <v>-657542</v>
      </c>
      <c r="F98" s="782">
        <v>-2821000</v>
      </c>
      <c r="G98" s="780">
        <v>533000</v>
      </c>
      <c r="H98" s="782">
        <v>-1056000</v>
      </c>
      <c r="I98" s="782">
        <v>-15760</v>
      </c>
      <c r="J98" s="780">
        <v>1039077</v>
      </c>
      <c r="K98" s="781">
        <v>-1.58</v>
      </c>
      <c r="L98" s="771"/>
      <c r="M98" s="783">
        <v>533000</v>
      </c>
      <c r="N98" s="783">
        <v>137000</v>
      </c>
      <c r="O98" s="785">
        <v>-104000</v>
      </c>
      <c r="P98" s="785">
        <v>-900000</v>
      </c>
      <c r="Q98" s="785">
        <v>-1517000</v>
      </c>
      <c r="R98" s="785">
        <v>-1056000</v>
      </c>
      <c r="S98" s="785">
        <v>-2821000</v>
      </c>
      <c r="T98" s="785">
        <v>-174116</v>
      </c>
      <c r="U98" s="785">
        <v>-15760</v>
      </c>
      <c r="V98" s="773"/>
      <c r="W98" s="773"/>
      <c r="X98" s="773"/>
      <c r="Y98" s="772" t="s">
        <v>283</v>
      </c>
      <c r="Z98" s="765" t="s">
        <v>283</v>
      </c>
      <c r="AA98" s="765" t="s">
        <v>283</v>
      </c>
      <c r="AB98" s="765" t="s">
        <v>283</v>
      </c>
      <c r="AC98" s="765" t="s">
        <v>283</v>
      </c>
      <c r="AD98" s="765" t="s">
        <v>283</v>
      </c>
      <c r="AE98" s="765" t="s">
        <v>283</v>
      </c>
      <c r="AF98" s="765" t="s">
        <v>283</v>
      </c>
      <c r="AG98" s="765" t="s">
        <v>283</v>
      </c>
      <c r="AH98" s="765" t="s">
        <v>283</v>
      </c>
      <c r="AI98" s="765" t="s">
        <v>283</v>
      </c>
      <c r="AJ98" s="765" t="s">
        <v>283</v>
      </c>
      <c r="AK98" s="765" t="s">
        <v>283</v>
      </c>
      <c r="AL98" s="765" t="s">
        <v>283</v>
      </c>
      <c r="AM98" s="765" t="s">
        <v>283</v>
      </c>
      <c r="AN98" s="765" t="s">
        <v>283</v>
      </c>
      <c r="AO98" s="765" t="s">
        <v>283</v>
      </c>
      <c r="AP98" s="765" t="s">
        <v>283</v>
      </c>
      <c r="AQ98" s="765" t="s">
        <v>283</v>
      </c>
      <c r="AR98" s="765" t="s">
        <v>283</v>
      </c>
      <c r="AS98" s="765" t="s">
        <v>283</v>
      </c>
      <c r="AT98" s="765" t="s">
        <v>283</v>
      </c>
      <c r="AU98" s="765" t="s">
        <v>283</v>
      </c>
      <c r="AV98" s="765" t="s">
        <v>283</v>
      </c>
      <c r="AW98" s="765" t="s">
        <v>283</v>
      </c>
    </row>
    <row r="99" spans="1:49" ht="15">
      <c r="A99" s="765" t="s">
        <v>283</v>
      </c>
      <c r="B99" s="769" t="s">
        <v>283</v>
      </c>
      <c r="C99" s="773" t="s">
        <v>414</v>
      </c>
      <c r="D99" s="782">
        <v>-669000</v>
      </c>
      <c r="E99" s="782">
        <v>-532857</v>
      </c>
      <c r="F99" s="782">
        <v>-2174000</v>
      </c>
      <c r="G99" s="780">
        <v>710000</v>
      </c>
      <c r="H99" s="782">
        <v>-961000</v>
      </c>
      <c r="I99" s="780">
        <v>162500</v>
      </c>
      <c r="J99" s="780">
        <v>975432</v>
      </c>
      <c r="K99" s="781">
        <v>-1.83</v>
      </c>
      <c r="L99" s="771"/>
      <c r="M99" s="783">
        <v>710000</v>
      </c>
      <c r="N99" s="783">
        <v>284000</v>
      </c>
      <c r="O99" s="783">
        <v>41000</v>
      </c>
      <c r="P99" s="785">
        <v>-750000</v>
      </c>
      <c r="Q99" s="785">
        <v>-1172000</v>
      </c>
      <c r="R99" s="785">
        <v>-669000</v>
      </c>
      <c r="S99" s="785">
        <v>-2174000</v>
      </c>
      <c r="T99" s="773"/>
      <c r="U99" s="773"/>
      <c r="V99" s="773"/>
      <c r="W99" s="773"/>
      <c r="X99" s="773"/>
      <c r="Y99" s="772" t="s">
        <v>283</v>
      </c>
      <c r="Z99" s="765" t="s">
        <v>283</v>
      </c>
      <c r="AA99" s="765" t="s">
        <v>283</v>
      </c>
      <c r="AB99" s="765" t="s">
        <v>283</v>
      </c>
      <c r="AC99" s="765" t="s">
        <v>283</v>
      </c>
      <c r="AD99" s="765" t="s">
        <v>283</v>
      </c>
      <c r="AE99" s="765" t="s">
        <v>283</v>
      </c>
      <c r="AF99" s="765" t="s">
        <v>283</v>
      </c>
      <c r="AG99" s="765" t="s">
        <v>283</v>
      </c>
      <c r="AH99" s="765" t="s">
        <v>283</v>
      </c>
      <c r="AI99" s="765" t="s">
        <v>283</v>
      </c>
      <c r="AJ99" s="765" t="s">
        <v>283</v>
      </c>
      <c r="AK99" s="765" t="s">
        <v>283</v>
      </c>
      <c r="AL99" s="765" t="s">
        <v>283</v>
      </c>
      <c r="AM99" s="765" t="s">
        <v>283</v>
      </c>
      <c r="AN99" s="765" t="s">
        <v>283</v>
      </c>
      <c r="AO99" s="765" t="s">
        <v>283</v>
      </c>
      <c r="AP99" s="765" t="s">
        <v>283</v>
      </c>
      <c r="AQ99" s="765" t="s">
        <v>283</v>
      </c>
      <c r="AR99" s="765" t="s">
        <v>283</v>
      </c>
      <c r="AS99" s="765" t="s">
        <v>283</v>
      </c>
      <c r="AT99" s="765" t="s">
        <v>283</v>
      </c>
      <c r="AU99" s="765" t="s">
        <v>283</v>
      </c>
      <c r="AV99" s="765" t="s">
        <v>283</v>
      </c>
      <c r="AW99" s="765" t="s">
        <v>283</v>
      </c>
    </row>
    <row r="100" spans="1:49" ht="15">
      <c r="A100" s="765" t="s">
        <v>283</v>
      </c>
      <c r="B100" s="769" t="s">
        <v>283</v>
      </c>
      <c r="C100" s="773" t="s">
        <v>415</v>
      </c>
      <c r="D100" s="782">
        <v>-964000</v>
      </c>
      <c r="E100" s="782">
        <v>-1398906</v>
      </c>
      <c r="F100" s="782">
        <v>-3805000</v>
      </c>
      <c r="G100" s="780">
        <v>467658</v>
      </c>
      <c r="H100" s="782">
        <v>-2843000</v>
      </c>
      <c r="I100" s="780">
        <v>97500</v>
      </c>
      <c r="J100" s="780">
        <v>1750695</v>
      </c>
      <c r="K100" s="781">
        <v>-1.25</v>
      </c>
      <c r="L100" s="771"/>
      <c r="M100" s="783">
        <v>467658</v>
      </c>
      <c r="N100" s="783">
        <v>220000</v>
      </c>
      <c r="O100" s="785">
        <v>-25000</v>
      </c>
      <c r="P100" s="785">
        <v>-964000</v>
      </c>
      <c r="Q100" s="785">
        <v>-3195000</v>
      </c>
      <c r="R100" s="785">
        <v>-2491000</v>
      </c>
      <c r="S100" s="785">
        <v>-3805000</v>
      </c>
      <c r="T100" s="773"/>
      <c r="U100" s="773"/>
      <c r="V100" s="773"/>
      <c r="W100" s="773"/>
      <c r="X100" s="773"/>
      <c r="Y100" s="772" t="s">
        <v>283</v>
      </c>
      <c r="Z100" s="765" t="s">
        <v>283</v>
      </c>
      <c r="AA100" s="765" t="s">
        <v>283</v>
      </c>
      <c r="AB100" s="765" t="s">
        <v>283</v>
      </c>
      <c r="AC100" s="765" t="s">
        <v>283</v>
      </c>
      <c r="AD100" s="765" t="s">
        <v>283</v>
      </c>
      <c r="AE100" s="765" t="s">
        <v>283</v>
      </c>
      <c r="AF100" s="765" t="s">
        <v>283</v>
      </c>
      <c r="AG100" s="765" t="s">
        <v>283</v>
      </c>
      <c r="AH100" s="765" t="s">
        <v>283</v>
      </c>
      <c r="AI100" s="765" t="s">
        <v>283</v>
      </c>
      <c r="AJ100" s="765" t="s">
        <v>283</v>
      </c>
      <c r="AK100" s="765" t="s">
        <v>283</v>
      </c>
      <c r="AL100" s="765" t="s">
        <v>283</v>
      </c>
      <c r="AM100" s="765" t="s">
        <v>283</v>
      </c>
      <c r="AN100" s="765" t="s">
        <v>283</v>
      </c>
      <c r="AO100" s="765" t="s">
        <v>283</v>
      </c>
      <c r="AP100" s="765" t="s">
        <v>283</v>
      </c>
      <c r="AQ100" s="765" t="s">
        <v>283</v>
      </c>
      <c r="AR100" s="765" t="s">
        <v>283</v>
      </c>
      <c r="AS100" s="765" t="s">
        <v>283</v>
      </c>
      <c r="AT100" s="765" t="s">
        <v>283</v>
      </c>
      <c r="AU100" s="765" t="s">
        <v>283</v>
      </c>
      <c r="AV100" s="765" t="s">
        <v>283</v>
      </c>
      <c r="AW100" s="765" t="s">
        <v>283</v>
      </c>
    </row>
    <row r="101" spans="1:49" ht="15">
      <c r="A101" s="765" t="s">
        <v>283</v>
      </c>
      <c r="B101" s="769" t="s">
        <v>283</v>
      </c>
      <c r="C101" s="773" t="s">
        <v>416</v>
      </c>
      <c r="D101" s="774" t="s">
        <v>283</v>
      </c>
      <c r="E101" s="774" t="s">
        <v>283</v>
      </c>
      <c r="F101" s="774" t="s">
        <v>283</v>
      </c>
      <c r="G101" s="774" t="s">
        <v>283</v>
      </c>
      <c r="H101" s="774" t="s">
        <v>283</v>
      </c>
      <c r="I101" s="774" t="s">
        <v>283</v>
      </c>
      <c r="J101" s="774" t="s">
        <v>283</v>
      </c>
      <c r="K101" s="774" t="s">
        <v>283</v>
      </c>
      <c r="L101" s="771"/>
      <c r="M101" s="771"/>
      <c r="N101" s="771"/>
      <c r="O101" s="771"/>
      <c r="P101" s="771"/>
      <c r="Q101" s="771"/>
      <c r="R101" s="771"/>
      <c r="S101" s="771"/>
      <c r="T101" s="771"/>
      <c r="U101" s="771"/>
      <c r="V101" s="771"/>
      <c r="W101" s="771"/>
      <c r="X101" s="771"/>
      <c r="Y101" s="772" t="s">
        <v>283</v>
      </c>
      <c r="Z101" s="765" t="s">
        <v>283</v>
      </c>
      <c r="AA101" s="765" t="s">
        <v>283</v>
      </c>
      <c r="AB101" s="765" t="s">
        <v>283</v>
      </c>
      <c r="AC101" s="765" t="s">
        <v>283</v>
      </c>
      <c r="AD101" s="765" t="s">
        <v>283</v>
      </c>
      <c r="AE101" s="765" t="s">
        <v>283</v>
      </c>
      <c r="AF101" s="765" t="s">
        <v>283</v>
      </c>
      <c r="AG101" s="765" t="s">
        <v>283</v>
      </c>
      <c r="AH101" s="765" t="s">
        <v>283</v>
      </c>
      <c r="AI101" s="765" t="s">
        <v>283</v>
      </c>
      <c r="AJ101" s="765" t="s">
        <v>283</v>
      </c>
      <c r="AK101" s="765" t="s">
        <v>283</v>
      </c>
      <c r="AL101" s="765" t="s">
        <v>283</v>
      </c>
      <c r="AM101" s="765" t="s">
        <v>283</v>
      </c>
      <c r="AN101" s="765" t="s">
        <v>283</v>
      </c>
      <c r="AO101" s="765" t="s">
        <v>283</v>
      </c>
      <c r="AP101" s="765" t="s">
        <v>283</v>
      </c>
      <c r="AQ101" s="765" t="s">
        <v>283</v>
      </c>
      <c r="AR101" s="765" t="s">
        <v>283</v>
      </c>
      <c r="AS101" s="765" t="s">
        <v>283</v>
      </c>
      <c r="AT101" s="765" t="s">
        <v>283</v>
      </c>
      <c r="AU101" s="765" t="s">
        <v>283</v>
      </c>
      <c r="AV101" s="765" t="s">
        <v>283</v>
      </c>
      <c r="AW101" s="765" t="s">
        <v>283</v>
      </c>
    </row>
    <row r="102" spans="1:49" ht="15">
      <c r="A102" s="765" t="s">
        <v>283</v>
      </c>
      <c r="B102" s="769" t="s">
        <v>283</v>
      </c>
      <c r="C102" s="773" t="s">
        <v>417</v>
      </c>
      <c r="D102" s="780">
        <v>88000</v>
      </c>
      <c r="E102" s="782">
        <v>-10750</v>
      </c>
      <c r="F102" s="782">
        <v>-805000</v>
      </c>
      <c r="G102" s="780">
        <v>586000</v>
      </c>
      <c r="H102" s="782">
        <v>-210250</v>
      </c>
      <c r="I102" s="780">
        <v>287500</v>
      </c>
      <c r="J102" s="780">
        <v>584935</v>
      </c>
      <c r="K102" s="781">
        <v>-54.41</v>
      </c>
      <c r="L102" s="771"/>
      <c r="M102" s="783">
        <v>586000</v>
      </c>
      <c r="N102" s="783">
        <v>188000</v>
      </c>
      <c r="O102" s="785">
        <v>-12000</v>
      </c>
      <c r="P102" s="785">
        <v>-805000</v>
      </c>
      <c r="Q102" s="773"/>
      <c r="R102" s="773"/>
      <c r="S102" s="773"/>
      <c r="T102" s="773"/>
      <c r="U102" s="773"/>
      <c r="V102" s="773"/>
      <c r="W102" s="773"/>
      <c r="X102" s="773"/>
      <c r="Y102" s="772" t="s">
        <v>283</v>
      </c>
      <c r="Z102" s="765" t="s">
        <v>283</v>
      </c>
      <c r="AA102" s="765" t="s">
        <v>283</v>
      </c>
      <c r="AB102" s="765" t="s">
        <v>283</v>
      </c>
      <c r="AC102" s="765" t="s">
        <v>283</v>
      </c>
      <c r="AD102" s="765" t="s">
        <v>283</v>
      </c>
      <c r="AE102" s="765" t="s">
        <v>283</v>
      </c>
      <c r="AF102" s="765" t="s">
        <v>283</v>
      </c>
      <c r="AG102" s="765" t="s">
        <v>283</v>
      </c>
      <c r="AH102" s="765" t="s">
        <v>283</v>
      </c>
      <c r="AI102" s="765" t="s">
        <v>283</v>
      </c>
      <c r="AJ102" s="765" t="s">
        <v>283</v>
      </c>
      <c r="AK102" s="765" t="s">
        <v>283</v>
      </c>
      <c r="AL102" s="765" t="s">
        <v>283</v>
      </c>
      <c r="AM102" s="765" t="s">
        <v>283</v>
      </c>
      <c r="AN102" s="765" t="s">
        <v>283</v>
      </c>
      <c r="AO102" s="765" t="s">
        <v>283</v>
      </c>
      <c r="AP102" s="765" t="s">
        <v>283</v>
      </c>
      <c r="AQ102" s="765" t="s">
        <v>283</v>
      </c>
      <c r="AR102" s="765" t="s">
        <v>283</v>
      </c>
      <c r="AS102" s="765" t="s">
        <v>283</v>
      </c>
      <c r="AT102" s="765" t="s">
        <v>283</v>
      </c>
      <c r="AU102" s="765" t="s">
        <v>283</v>
      </c>
      <c r="AV102" s="765" t="s">
        <v>283</v>
      </c>
      <c r="AW102" s="765" t="s">
        <v>283</v>
      </c>
    </row>
    <row r="103" spans="1:49" ht="15">
      <c r="A103" s="765" t="s">
        <v>283</v>
      </c>
      <c r="B103" s="769" t="s">
        <v>283</v>
      </c>
      <c r="C103" s="773" t="s">
        <v>418</v>
      </c>
      <c r="D103" s="782">
        <v>-58000</v>
      </c>
      <c r="E103" s="782">
        <v>-165500</v>
      </c>
      <c r="F103" s="782">
        <v>-955000</v>
      </c>
      <c r="G103" s="780">
        <v>409000</v>
      </c>
      <c r="H103" s="782">
        <v>-356500</v>
      </c>
      <c r="I103" s="780">
        <v>133000</v>
      </c>
      <c r="J103" s="780">
        <v>576216</v>
      </c>
      <c r="K103" s="781">
        <v>-3.48</v>
      </c>
      <c r="L103" s="771"/>
      <c r="M103" s="783">
        <v>409000</v>
      </c>
      <c r="N103" s="783">
        <v>41000</v>
      </c>
      <c r="O103" s="785">
        <v>-157000</v>
      </c>
      <c r="P103" s="785">
        <v>-955000</v>
      </c>
      <c r="Q103" s="773"/>
      <c r="R103" s="773"/>
      <c r="S103" s="773"/>
      <c r="T103" s="773"/>
      <c r="U103" s="773"/>
      <c r="V103" s="773"/>
      <c r="W103" s="773"/>
      <c r="X103" s="773"/>
      <c r="Y103" s="772" t="s">
        <v>283</v>
      </c>
      <c r="Z103" s="765" t="s">
        <v>283</v>
      </c>
      <c r="AA103" s="765" t="s">
        <v>283</v>
      </c>
      <c r="AB103" s="765" t="s">
        <v>283</v>
      </c>
      <c r="AC103" s="765" t="s">
        <v>283</v>
      </c>
      <c r="AD103" s="765" t="s">
        <v>283</v>
      </c>
      <c r="AE103" s="765" t="s">
        <v>283</v>
      </c>
      <c r="AF103" s="765" t="s">
        <v>283</v>
      </c>
      <c r="AG103" s="765" t="s">
        <v>283</v>
      </c>
      <c r="AH103" s="765" t="s">
        <v>283</v>
      </c>
      <c r="AI103" s="765" t="s">
        <v>283</v>
      </c>
      <c r="AJ103" s="765" t="s">
        <v>283</v>
      </c>
      <c r="AK103" s="765" t="s">
        <v>283</v>
      </c>
      <c r="AL103" s="765" t="s">
        <v>283</v>
      </c>
      <c r="AM103" s="765" t="s">
        <v>283</v>
      </c>
      <c r="AN103" s="765" t="s">
        <v>283</v>
      </c>
      <c r="AO103" s="765" t="s">
        <v>283</v>
      </c>
      <c r="AP103" s="765" t="s">
        <v>283</v>
      </c>
      <c r="AQ103" s="765" t="s">
        <v>283</v>
      </c>
      <c r="AR103" s="765" t="s">
        <v>283</v>
      </c>
      <c r="AS103" s="765" t="s">
        <v>283</v>
      </c>
      <c r="AT103" s="765" t="s">
        <v>283</v>
      </c>
      <c r="AU103" s="765" t="s">
        <v>283</v>
      </c>
      <c r="AV103" s="765" t="s">
        <v>283</v>
      </c>
      <c r="AW103" s="765" t="s">
        <v>283</v>
      </c>
    </row>
    <row r="104" spans="1:49" ht="15">
      <c r="A104" s="765" t="s">
        <v>283</v>
      </c>
      <c r="B104" s="769" t="s">
        <v>283</v>
      </c>
      <c r="C104" s="773" t="s">
        <v>419</v>
      </c>
      <c r="D104" s="780">
        <v>75500</v>
      </c>
      <c r="E104" s="782">
        <v>-77000</v>
      </c>
      <c r="F104" s="782">
        <v>-962000</v>
      </c>
      <c r="G104" s="780">
        <v>503000</v>
      </c>
      <c r="H104" s="782">
        <v>-260750</v>
      </c>
      <c r="I104" s="780">
        <v>259250</v>
      </c>
      <c r="J104" s="780">
        <v>629060</v>
      </c>
      <c r="K104" s="781">
        <v>-8.17</v>
      </c>
      <c r="L104" s="771"/>
      <c r="M104" s="783">
        <v>503000</v>
      </c>
      <c r="N104" s="783">
        <v>178000</v>
      </c>
      <c r="O104" s="785">
        <v>-27000</v>
      </c>
      <c r="P104" s="785">
        <v>-962000</v>
      </c>
      <c r="Q104" s="773"/>
      <c r="R104" s="773"/>
      <c r="S104" s="773"/>
      <c r="T104" s="773"/>
      <c r="U104" s="773"/>
      <c r="V104" s="773"/>
      <c r="W104" s="773"/>
      <c r="X104" s="773"/>
      <c r="Y104" s="772" t="s">
        <v>283</v>
      </c>
      <c r="Z104" s="765" t="s">
        <v>283</v>
      </c>
      <c r="AA104" s="765" t="s">
        <v>283</v>
      </c>
      <c r="AB104" s="765" t="s">
        <v>283</v>
      </c>
      <c r="AC104" s="765" t="s">
        <v>283</v>
      </c>
      <c r="AD104" s="765" t="s">
        <v>283</v>
      </c>
      <c r="AE104" s="765" t="s">
        <v>283</v>
      </c>
      <c r="AF104" s="765" t="s">
        <v>283</v>
      </c>
      <c r="AG104" s="765" t="s">
        <v>283</v>
      </c>
      <c r="AH104" s="765" t="s">
        <v>283</v>
      </c>
      <c r="AI104" s="765" t="s">
        <v>283</v>
      </c>
      <c r="AJ104" s="765" t="s">
        <v>283</v>
      </c>
      <c r="AK104" s="765" t="s">
        <v>283</v>
      </c>
      <c r="AL104" s="765" t="s">
        <v>283</v>
      </c>
      <c r="AM104" s="765" t="s">
        <v>283</v>
      </c>
      <c r="AN104" s="765" t="s">
        <v>283</v>
      </c>
      <c r="AO104" s="765" t="s">
        <v>283</v>
      </c>
      <c r="AP104" s="765" t="s">
        <v>283</v>
      </c>
      <c r="AQ104" s="765" t="s">
        <v>283</v>
      </c>
      <c r="AR104" s="765" t="s">
        <v>283</v>
      </c>
      <c r="AS104" s="765" t="s">
        <v>283</v>
      </c>
      <c r="AT104" s="765" t="s">
        <v>283</v>
      </c>
      <c r="AU104" s="765" t="s">
        <v>283</v>
      </c>
      <c r="AV104" s="765" t="s">
        <v>283</v>
      </c>
      <c r="AW104" s="765" t="s">
        <v>283</v>
      </c>
    </row>
    <row r="105" spans="1:49" ht="15">
      <c r="A105" s="765" t="s">
        <v>283</v>
      </c>
      <c r="B105" s="769" t="s">
        <v>283</v>
      </c>
      <c r="C105" s="773" t="s">
        <v>420</v>
      </c>
      <c r="D105" s="779">
        <v>0.03</v>
      </c>
      <c r="E105" s="781">
        <v>-0.03</v>
      </c>
      <c r="F105" s="781">
        <v>-0.25</v>
      </c>
      <c r="G105" s="779">
        <v>0.09</v>
      </c>
      <c r="H105" s="781">
        <v>-0.06</v>
      </c>
      <c r="I105" s="779">
        <v>0.06</v>
      </c>
      <c r="J105" s="779">
        <v>0.15</v>
      </c>
      <c r="K105" s="781">
        <v>-5.42</v>
      </c>
      <c r="L105" s="771"/>
      <c r="M105" s="773">
        <v>0.09</v>
      </c>
      <c r="N105" s="773">
        <v>0.05</v>
      </c>
      <c r="O105" s="773">
        <v>0</v>
      </c>
      <c r="P105" s="784">
        <v>-0.25</v>
      </c>
      <c r="Q105" s="773"/>
      <c r="R105" s="773"/>
      <c r="S105" s="773"/>
      <c r="T105" s="773"/>
      <c r="U105" s="773"/>
      <c r="V105" s="773"/>
      <c r="W105" s="773"/>
      <c r="X105" s="773"/>
      <c r="Y105" s="772" t="s">
        <v>283</v>
      </c>
      <c r="Z105" s="765" t="s">
        <v>283</v>
      </c>
      <c r="AA105" s="765" t="s">
        <v>283</v>
      </c>
      <c r="AB105" s="765" t="s">
        <v>283</v>
      </c>
      <c r="AC105" s="765" t="s">
        <v>283</v>
      </c>
      <c r="AD105" s="765" t="s">
        <v>283</v>
      </c>
      <c r="AE105" s="765" t="s">
        <v>283</v>
      </c>
      <c r="AF105" s="765" t="s">
        <v>283</v>
      </c>
      <c r="AG105" s="765" t="s">
        <v>283</v>
      </c>
      <c r="AH105" s="765" t="s">
        <v>283</v>
      </c>
      <c r="AI105" s="765" t="s">
        <v>283</v>
      </c>
      <c r="AJ105" s="765" t="s">
        <v>283</v>
      </c>
      <c r="AK105" s="765" t="s">
        <v>283</v>
      </c>
      <c r="AL105" s="765" t="s">
        <v>283</v>
      </c>
      <c r="AM105" s="765" t="s">
        <v>283</v>
      </c>
      <c r="AN105" s="765" t="s">
        <v>283</v>
      </c>
      <c r="AO105" s="765" t="s">
        <v>283</v>
      </c>
      <c r="AP105" s="765" t="s">
        <v>283</v>
      </c>
      <c r="AQ105" s="765" t="s">
        <v>283</v>
      </c>
      <c r="AR105" s="765" t="s">
        <v>283</v>
      </c>
      <c r="AS105" s="765" t="s">
        <v>283</v>
      </c>
      <c r="AT105" s="765" t="s">
        <v>283</v>
      </c>
      <c r="AU105" s="765" t="s">
        <v>283</v>
      </c>
      <c r="AV105" s="765" t="s">
        <v>283</v>
      </c>
      <c r="AW105" s="765" t="s">
        <v>283</v>
      </c>
    </row>
    <row r="106" spans="1:49" ht="15">
      <c r="A106" s="765" t="s">
        <v>283</v>
      </c>
      <c r="B106" s="769" t="s">
        <v>283</v>
      </c>
      <c r="C106" s="778" t="s">
        <v>421</v>
      </c>
      <c r="D106" s="774" t="s">
        <v>283</v>
      </c>
      <c r="E106" s="774" t="s">
        <v>283</v>
      </c>
      <c r="F106" s="774" t="s">
        <v>283</v>
      </c>
      <c r="G106" s="774" t="s">
        <v>283</v>
      </c>
      <c r="H106" s="774" t="s">
        <v>283</v>
      </c>
      <c r="I106" s="774" t="s">
        <v>283</v>
      </c>
      <c r="J106" s="774" t="s">
        <v>283</v>
      </c>
      <c r="K106" s="774" t="s">
        <v>283</v>
      </c>
      <c r="L106" s="774" t="s">
        <v>283</v>
      </c>
      <c r="M106" s="774" t="s">
        <v>283</v>
      </c>
      <c r="N106" s="774" t="s">
        <v>283</v>
      </c>
      <c r="O106" s="774" t="s">
        <v>283</v>
      </c>
      <c r="P106" s="774" t="s">
        <v>283</v>
      </c>
      <c r="Q106" s="774" t="s">
        <v>283</v>
      </c>
      <c r="R106" s="774" t="s">
        <v>283</v>
      </c>
      <c r="S106" s="774" t="s">
        <v>283</v>
      </c>
      <c r="T106" s="774" t="s">
        <v>283</v>
      </c>
      <c r="U106" s="774" t="s">
        <v>283</v>
      </c>
      <c r="V106" s="774" t="s">
        <v>283</v>
      </c>
      <c r="W106" s="774" t="s">
        <v>283</v>
      </c>
      <c r="X106" s="774" t="s">
        <v>283</v>
      </c>
      <c r="Y106" s="772" t="s">
        <v>283</v>
      </c>
      <c r="Z106" s="765" t="s">
        <v>283</v>
      </c>
      <c r="AA106" s="765" t="s">
        <v>283</v>
      </c>
      <c r="AB106" s="765" t="s">
        <v>283</v>
      </c>
      <c r="AC106" s="765" t="s">
        <v>283</v>
      </c>
      <c r="AD106" s="765" t="s">
        <v>283</v>
      </c>
      <c r="AE106" s="765" t="s">
        <v>283</v>
      </c>
      <c r="AF106" s="765" t="s">
        <v>283</v>
      </c>
      <c r="AG106" s="765" t="s">
        <v>283</v>
      </c>
      <c r="AH106" s="765" t="s">
        <v>283</v>
      </c>
      <c r="AI106" s="765" t="s">
        <v>283</v>
      </c>
      <c r="AJ106" s="765" t="s">
        <v>283</v>
      </c>
      <c r="AK106" s="765" t="s">
        <v>283</v>
      </c>
      <c r="AL106" s="765" t="s">
        <v>283</v>
      </c>
      <c r="AM106" s="765" t="s">
        <v>283</v>
      </c>
      <c r="AN106" s="765" t="s">
        <v>283</v>
      </c>
      <c r="AO106" s="765" t="s">
        <v>283</v>
      </c>
      <c r="AP106" s="765" t="s">
        <v>283</v>
      </c>
      <c r="AQ106" s="765" t="s">
        <v>283</v>
      </c>
      <c r="AR106" s="765" t="s">
        <v>283</v>
      </c>
      <c r="AS106" s="765" t="s">
        <v>283</v>
      </c>
      <c r="AT106" s="765" t="s">
        <v>283</v>
      </c>
      <c r="AU106" s="765" t="s">
        <v>283</v>
      </c>
      <c r="AV106" s="765" t="s">
        <v>283</v>
      </c>
      <c r="AW106" s="765" t="s">
        <v>283</v>
      </c>
    </row>
    <row r="107" spans="1:49" ht="15">
      <c r="A107" s="765" t="s">
        <v>283</v>
      </c>
      <c r="B107" s="769" t="s">
        <v>283</v>
      </c>
      <c r="C107" s="773" t="s">
        <v>422</v>
      </c>
      <c r="D107" s="779" t="s">
        <v>283</v>
      </c>
      <c r="E107" s="779" t="s">
        <v>283</v>
      </c>
      <c r="F107" s="779" t="s">
        <v>283</v>
      </c>
      <c r="G107" s="779" t="s">
        <v>283</v>
      </c>
      <c r="H107" s="779" t="s">
        <v>283</v>
      </c>
      <c r="I107" s="779" t="s">
        <v>283</v>
      </c>
      <c r="J107" s="779" t="s">
        <v>283</v>
      </c>
      <c r="K107" s="779" t="s">
        <v>283</v>
      </c>
      <c r="L107" s="771"/>
      <c r="M107" s="773" t="s">
        <v>423</v>
      </c>
      <c r="N107" s="773" t="s">
        <v>423</v>
      </c>
      <c r="O107" s="773" t="s">
        <v>423</v>
      </c>
      <c r="P107" s="773" t="s">
        <v>423</v>
      </c>
      <c r="Q107" s="773" t="s">
        <v>423</v>
      </c>
      <c r="R107" s="773" t="s">
        <v>423</v>
      </c>
      <c r="S107" s="773" t="s">
        <v>423</v>
      </c>
      <c r="T107" s="773" t="s">
        <v>423</v>
      </c>
      <c r="U107" s="773" t="s">
        <v>423</v>
      </c>
      <c r="V107" s="773" t="s">
        <v>423</v>
      </c>
      <c r="W107" s="773" t="s">
        <v>423</v>
      </c>
      <c r="X107" s="773" t="s">
        <v>423</v>
      </c>
      <c r="Y107" s="772" t="s">
        <v>283</v>
      </c>
      <c r="Z107" s="765" t="s">
        <v>283</v>
      </c>
      <c r="AA107" s="765" t="s">
        <v>283</v>
      </c>
      <c r="AB107" s="765" t="s">
        <v>283</v>
      </c>
      <c r="AC107" s="765" t="s">
        <v>283</v>
      </c>
      <c r="AD107" s="765" t="s">
        <v>283</v>
      </c>
      <c r="AE107" s="765" t="s">
        <v>283</v>
      </c>
      <c r="AF107" s="765" t="s">
        <v>283</v>
      </c>
      <c r="AG107" s="765" t="s">
        <v>283</v>
      </c>
      <c r="AH107" s="765" t="s">
        <v>283</v>
      </c>
      <c r="AI107" s="765" t="s">
        <v>283</v>
      </c>
      <c r="AJ107" s="765" t="s">
        <v>283</v>
      </c>
      <c r="AK107" s="765" t="s">
        <v>283</v>
      </c>
      <c r="AL107" s="765" t="s">
        <v>283</v>
      </c>
      <c r="AM107" s="765" t="s">
        <v>283</v>
      </c>
      <c r="AN107" s="765" t="s">
        <v>283</v>
      </c>
      <c r="AO107" s="765" t="s">
        <v>283</v>
      </c>
      <c r="AP107" s="765" t="s">
        <v>283</v>
      </c>
      <c r="AQ107" s="765" t="s">
        <v>283</v>
      </c>
      <c r="AR107" s="765" t="s">
        <v>283</v>
      </c>
      <c r="AS107" s="765" t="s">
        <v>283</v>
      </c>
      <c r="AT107" s="765" t="s">
        <v>283</v>
      </c>
      <c r="AU107" s="765" t="s">
        <v>283</v>
      </c>
      <c r="AV107" s="765" t="s">
        <v>283</v>
      </c>
      <c r="AW107" s="765" t="s">
        <v>283</v>
      </c>
    </row>
    <row r="108" spans="1:49" ht="15">
      <c r="A108" s="765" t="s">
        <v>283</v>
      </c>
      <c r="B108" s="769" t="s">
        <v>283</v>
      </c>
      <c r="C108" s="773" t="s">
        <v>424</v>
      </c>
      <c r="D108" s="779" t="s">
        <v>283</v>
      </c>
      <c r="E108" s="779" t="s">
        <v>283</v>
      </c>
      <c r="F108" s="779" t="s">
        <v>283</v>
      </c>
      <c r="G108" s="779" t="s">
        <v>283</v>
      </c>
      <c r="H108" s="779" t="s">
        <v>283</v>
      </c>
      <c r="I108" s="779" t="s">
        <v>283</v>
      </c>
      <c r="J108" s="779" t="s">
        <v>283</v>
      </c>
      <c r="K108" s="779" t="s">
        <v>283</v>
      </c>
      <c r="L108" s="771"/>
      <c r="M108" s="773" t="s">
        <v>423</v>
      </c>
      <c r="N108" s="773" t="s">
        <v>423</v>
      </c>
      <c r="O108" s="773" t="s">
        <v>423</v>
      </c>
      <c r="P108" s="773" t="s">
        <v>423</v>
      </c>
      <c r="Q108" s="773" t="s">
        <v>423</v>
      </c>
      <c r="R108" s="773" t="s">
        <v>423</v>
      </c>
      <c r="S108" s="773" t="s">
        <v>423</v>
      </c>
      <c r="T108" s="773" t="s">
        <v>425</v>
      </c>
      <c r="U108" s="773" t="s">
        <v>425</v>
      </c>
      <c r="V108" s="773" t="s">
        <v>425</v>
      </c>
      <c r="W108" s="773" t="s">
        <v>425</v>
      </c>
      <c r="X108" s="773" t="s">
        <v>425</v>
      </c>
      <c r="Y108" s="772" t="s">
        <v>283</v>
      </c>
      <c r="Z108" s="765" t="s">
        <v>283</v>
      </c>
      <c r="AA108" s="765" t="s">
        <v>283</v>
      </c>
      <c r="AB108" s="765" t="s">
        <v>283</v>
      </c>
      <c r="AC108" s="765" t="s">
        <v>283</v>
      </c>
      <c r="AD108" s="765" t="s">
        <v>283</v>
      </c>
      <c r="AE108" s="765" t="s">
        <v>283</v>
      </c>
      <c r="AF108" s="765" t="s">
        <v>283</v>
      </c>
      <c r="AG108" s="765" t="s">
        <v>283</v>
      </c>
      <c r="AH108" s="765" t="s">
        <v>283</v>
      </c>
      <c r="AI108" s="765" t="s">
        <v>283</v>
      </c>
      <c r="AJ108" s="765" t="s">
        <v>283</v>
      </c>
      <c r="AK108" s="765" t="s">
        <v>283</v>
      </c>
      <c r="AL108" s="765" t="s">
        <v>283</v>
      </c>
      <c r="AM108" s="765" t="s">
        <v>283</v>
      </c>
      <c r="AN108" s="765" t="s">
        <v>283</v>
      </c>
      <c r="AO108" s="765" t="s">
        <v>283</v>
      </c>
      <c r="AP108" s="765" t="s">
        <v>283</v>
      </c>
      <c r="AQ108" s="765" t="s">
        <v>283</v>
      </c>
      <c r="AR108" s="765" t="s">
        <v>283</v>
      </c>
      <c r="AS108" s="765" t="s">
        <v>283</v>
      </c>
      <c r="AT108" s="765" t="s">
        <v>283</v>
      </c>
      <c r="AU108" s="765" t="s">
        <v>283</v>
      </c>
      <c r="AV108" s="765" t="s">
        <v>283</v>
      </c>
      <c r="AW108" s="765" t="s">
        <v>283</v>
      </c>
    </row>
    <row r="109" spans="1:49" ht="15">
      <c r="A109" s="765" t="s">
        <v>283</v>
      </c>
      <c r="B109" s="769" t="s">
        <v>283</v>
      </c>
      <c r="C109" s="773" t="s">
        <v>426</v>
      </c>
      <c r="D109" s="779" t="s">
        <v>283</v>
      </c>
      <c r="E109" s="779" t="s">
        <v>283</v>
      </c>
      <c r="F109" s="779" t="s">
        <v>283</v>
      </c>
      <c r="G109" s="779" t="s">
        <v>283</v>
      </c>
      <c r="H109" s="779" t="s">
        <v>283</v>
      </c>
      <c r="I109" s="779" t="s">
        <v>283</v>
      </c>
      <c r="J109" s="779" t="s">
        <v>283</v>
      </c>
      <c r="K109" s="779" t="s">
        <v>283</v>
      </c>
      <c r="L109" s="771"/>
      <c r="M109" s="773" t="s">
        <v>425</v>
      </c>
      <c r="N109" s="773" t="s">
        <v>425</v>
      </c>
      <c r="O109" s="773" t="s">
        <v>425</v>
      </c>
      <c r="P109" s="773" t="s">
        <v>425</v>
      </c>
      <c r="Q109" s="773" t="s">
        <v>425</v>
      </c>
      <c r="R109" s="773" t="s">
        <v>425</v>
      </c>
      <c r="S109" s="773" t="s">
        <v>425</v>
      </c>
      <c r="T109" s="773" t="s">
        <v>423</v>
      </c>
      <c r="U109" s="773" t="s">
        <v>423</v>
      </c>
      <c r="V109" s="773" t="s">
        <v>423</v>
      </c>
      <c r="W109" s="773" t="s">
        <v>423</v>
      </c>
      <c r="X109" s="773" t="s">
        <v>423</v>
      </c>
      <c r="Y109" s="772" t="s">
        <v>283</v>
      </c>
      <c r="Z109" s="765" t="s">
        <v>283</v>
      </c>
      <c r="AA109" s="765" t="s">
        <v>283</v>
      </c>
      <c r="AB109" s="765" t="s">
        <v>283</v>
      </c>
      <c r="AC109" s="765" t="s">
        <v>283</v>
      </c>
      <c r="AD109" s="765" t="s">
        <v>283</v>
      </c>
      <c r="AE109" s="765" t="s">
        <v>283</v>
      </c>
      <c r="AF109" s="765" t="s">
        <v>283</v>
      </c>
      <c r="AG109" s="765" t="s">
        <v>283</v>
      </c>
      <c r="AH109" s="765" t="s">
        <v>283</v>
      </c>
      <c r="AI109" s="765" t="s">
        <v>283</v>
      </c>
      <c r="AJ109" s="765" t="s">
        <v>283</v>
      </c>
      <c r="AK109" s="765" t="s">
        <v>283</v>
      </c>
      <c r="AL109" s="765" t="s">
        <v>283</v>
      </c>
      <c r="AM109" s="765" t="s">
        <v>283</v>
      </c>
      <c r="AN109" s="765" t="s">
        <v>283</v>
      </c>
      <c r="AO109" s="765" t="s">
        <v>283</v>
      </c>
      <c r="AP109" s="765" t="s">
        <v>283</v>
      </c>
      <c r="AQ109" s="765" t="s">
        <v>283</v>
      </c>
      <c r="AR109" s="765" t="s">
        <v>283</v>
      </c>
      <c r="AS109" s="765" t="s">
        <v>283</v>
      </c>
      <c r="AT109" s="765" t="s">
        <v>283</v>
      </c>
      <c r="AU109" s="765" t="s">
        <v>283</v>
      </c>
      <c r="AV109" s="765" t="s">
        <v>283</v>
      </c>
      <c r="AW109" s="765" t="s">
        <v>283</v>
      </c>
    </row>
    <row r="110" spans="1:49" ht="15">
      <c r="A110" s="765" t="s">
        <v>283</v>
      </c>
      <c r="B110" s="769" t="s">
        <v>283</v>
      </c>
      <c r="C110" s="773" t="s">
        <v>427</v>
      </c>
      <c r="D110" s="779" t="s">
        <v>283</v>
      </c>
      <c r="E110" s="779" t="s">
        <v>283</v>
      </c>
      <c r="F110" s="779" t="s">
        <v>283</v>
      </c>
      <c r="G110" s="779" t="s">
        <v>283</v>
      </c>
      <c r="H110" s="779" t="s">
        <v>283</v>
      </c>
      <c r="I110" s="779" t="s">
        <v>283</v>
      </c>
      <c r="J110" s="779" t="s">
        <v>283</v>
      </c>
      <c r="K110" s="779" t="s">
        <v>283</v>
      </c>
      <c r="L110" s="771"/>
      <c r="M110" s="773" t="s">
        <v>423</v>
      </c>
      <c r="N110" s="773" t="s">
        <v>423</v>
      </c>
      <c r="O110" s="773" t="s">
        <v>423</v>
      </c>
      <c r="P110" s="773" t="s">
        <v>423</v>
      </c>
      <c r="Q110" s="773" t="s">
        <v>423</v>
      </c>
      <c r="R110" s="773" t="s">
        <v>423</v>
      </c>
      <c r="S110" s="773" t="s">
        <v>423</v>
      </c>
      <c r="T110" s="773" t="s">
        <v>423</v>
      </c>
      <c r="U110" s="773" t="s">
        <v>423</v>
      </c>
      <c r="V110" s="773" t="s">
        <v>423</v>
      </c>
      <c r="W110" s="773" t="s">
        <v>423</v>
      </c>
      <c r="X110" s="773" t="s">
        <v>423</v>
      </c>
      <c r="Y110" s="772" t="s">
        <v>283</v>
      </c>
      <c r="Z110" s="765" t="s">
        <v>283</v>
      </c>
      <c r="AA110" s="765" t="s">
        <v>283</v>
      </c>
      <c r="AB110" s="765" t="s">
        <v>283</v>
      </c>
      <c r="AC110" s="765" t="s">
        <v>283</v>
      </c>
      <c r="AD110" s="765" t="s">
        <v>283</v>
      </c>
      <c r="AE110" s="765" t="s">
        <v>283</v>
      </c>
      <c r="AF110" s="765" t="s">
        <v>283</v>
      </c>
      <c r="AG110" s="765" t="s">
        <v>283</v>
      </c>
      <c r="AH110" s="765" t="s">
        <v>283</v>
      </c>
      <c r="AI110" s="765" t="s">
        <v>283</v>
      </c>
      <c r="AJ110" s="765" t="s">
        <v>283</v>
      </c>
      <c r="AK110" s="765" t="s">
        <v>283</v>
      </c>
      <c r="AL110" s="765" t="s">
        <v>283</v>
      </c>
      <c r="AM110" s="765" t="s">
        <v>283</v>
      </c>
      <c r="AN110" s="765" t="s">
        <v>283</v>
      </c>
      <c r="AO110" s="765" t="s">
        <v>283</v>
      </c>
      <c r="AP110" s="765" t="s">
        <v>283</v>
      </c>
      <c r="AQ110" s="765" t="s">
        <v>283</v>
      </c>
      <c r="AR110" s="765" t="s">
        <v>283</v>
      </c>
      <c r="AS110" s="765" t="s">
        <v>283</v>
      </c>
      <c r="AT110" s="765" t="s">
        <v>283</v>
      </c>
      <c r="AU110" s="765" t="s">
        <v>283</v>
      </c>
      <c r="AV110" s="765" t="s">
        <v>283</v>
      </c>
      <c r="AW110" s="765" t="s">
        <v>283</v>
      </c>
    </row>
    <row r="111" spans="1:49" ht="15">
      <c r="A111" s="765" t="s">
        <v>283</v>
      </c>
      <c r="B111" s="769" t="s">
        <v>283</v>
      </c>
      <c r="C111" s="771"/>
      <c r="D111" s="771"/>
      <c r="E111" s="771"/>
      <c r="F111" s="771"/>
      <c r="G111" s="771"/>
      <c r="H111" s="771"/>
      <c r="I111" s="771"/>
      <c r="J111" s="771"/>
      <c r="K111" s="771"/>
      <c r="L111" s="771"/>
      <c r="M111" s="771"/>
      <c r="N111" s="771"/>
      <c r="O111" s="771"/>
      <c r="P111" s="771"/>
      <c r="Q111" s="771"/>
      <c r="R111" s="771"/>
      <c r="S111" s="771"/>
      <c r="T111" s="771"/>
      <c r="U111" s="771"/>
      <c r="V111" s="771"/>
      <c r="W111" s="771"/>
      <c r="X111" s="771"/>
      <c r="Y111" s="772" t="s">
        <v>283</v>
      </c>
      <c r="Z111" s="765" t="s">
        <v>283</v>
      </c>
      <c r="AA111" s="765" t="s">
        <v>283</v>
      </c>
      <c r="AB111" s="765" t="s">
        <v>283</v>
      </c>
      <c r="AC111" s="765" t="s">
        <v>283</v>
      </c>
      <c r="AD111" s="765" t="s">
        <v>283</v>
      </c>
      <c r="AE111" s="765" t="s">
        <v>283</v>
      </c>
      <c r="AF111" s="765" t="s">
        <v>283</v>
      </c>
      <c r="AG111" s="765" t="s">
        <v>283</v>
      </c>
      <c r="AH111" s="765" t="s">
        <v>283</v>
      </c>
      <c r="AI111" s="765" t="s">
        <v>283</v>
      </c>
      <c r="AJ111" s="765" t="s">
        <v>283</v>
      </c>
      <c r="AK111" s="765" t="s">
        <v>283</v>
      </c>
      <c r="AL111" s="765" t="s">
        <v>283</v>
      </c>
      <c r="AM111" s="765" t="s">
        <v>283</v>
      </c>
      <c r="AN111" s="765" t="s">
        <v>283</v>
      </c>
      <c r="AO111" s="765" t="s">
        <v>283</v>
      </c>
      <c r="AP111" s="765" t="s">
        <v>283</v>
      </c>
      <c r="AQ111" s="765" t="s">
        <v>283</v>
      </c>
      <c r="AR111" s="765" t="s">
        <v>283</v>
      </c>
      <c r="AS111" s="765" t="s">
        <v>283</v>
      </c>
      <c r="AT111" s="765" t="s">
        <v>283</v>
      </c>
      <c r="AU111" s="765" t="s">
        <v>283</v>
      </c>
      <c r="AV111" s="765" t="s">
        <v>283</v>
      </c>
      <c r="AW111" s="765" t="s">
        <v>283</v>
      </c>
    </row>
    <row r="112" spans="1:49" ht="15">
      <c r="A112" s="765" t="s">
        <v>283</v>
      </c>
      <c r="B112" s="769" t="s">
        <v>283</v>
      </c>
      <c r="C112" s="771"/>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2" t="s">
        <v>283</v>
      </c>
      <c r="Z112" s="765" t="s">
        <v>283</v>
      </c>
      <c r="AA112" s="765" t="s">
        <v>283</v>
      </c>
      <c r="AB112" s="765" t="s">
        <v>283</v>
      </c>
      <c r="AC112" s="765" t="s">
        <v>283</v>
      </c>
      <c r="AD112" s="765" t="s">
        <v>283</v>
      </c>
      <c r="AE112" s="765" t="s">
        <v>283</v>
      </c>
      <c r="AF112" s="765" t="s">
        <v>283</v>
      </c>
      <c r="AG112" s="765" t="s">
        <v>283</v>
      </c>
      <c r="AH112" s="765" t="s">
        <v>283</v>
      </c>
      <c r="AI112" s="765" t="s">
        <v>283</v>
      </c>
      <c r="AJ112" s="765" t="s">
        <v>283</v>
      </c>
      <c r="AK112" s="765" t="s">
        <v>283</v>
      </c>
      <c r="AL112" s="765" t="s">
        <v>283</v>
      </c>
      <c r="AM112" s="765" t="s">
        <v>283</v>
      </c>
      <c r="AN112" s="765" t="s">
        <v>283</v>
      </c>
      <c r="AO112" s="765" t="s">
        <v>283</v>
      </c>
      <c r="AP112" s="765" t="s">
        <v>283</v>
      </c>
      <c r="AQ112" s="765" t="s">
        <v>283</v>
      </c>
      <c r="AR112" s="765" t="s">
        <v>283</v>
      </c>
      <c r="AS112" s="765" t="s">
        <v>283</v>
      </c>
      <c r="AT112" s="765" t="s">
        <v>283</v>
      </c>
      <c r="AU112" s="765" t="s">
        <v>283</v>
      </c>
      <c r="AV112" s="765" t="s">
        <v>283</v>
      </c>
      <c r="AW112" s="765" t="s">
        <v>283</v>
      </c>
    </row>
    <row r="113" spans="1:49" ht="15">
      <c r="A113" s="765" t="s">
        <v>283</v>
      </c>
      <c r="B113" s="769" t="s">
        <v>283</v>
      </c>
      <c r="C113" s="773" t="s">
        <v>428</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2" t="s">
        <v>283</v>
      </c>
      <c r="Z113" s="765" t="s">
        <v>283</v>
      </c>
      <c r="AA113" s="765" t="s">
        <v>283</v>
      </c>
      <c r="AB113" s="765" t="s">
        <v>283</v>
      </c>
      <c r="AC113" s="765" t="s">
        <v>283</v>
      </c>
      <c r="AD113" s="765" t="s">
        <v>283</v>
      </c>
      <c r="AE113" s="765" t="s">
        <v>283</v>
      </c>
      <c r="AF113" s="765" t="s">
        <v>283</v>
      </c>
      <c r="AG113" s="765" t="s">
        <v>283</v>
      </c>
      <c r="AH113" s="765" t="s">
        <v>283</v>
      </c>
      <c r="AI113" s="765" t="s">
        <v>283</v>
      </c>
      <c r="AJ113" s="765" t="s">
        <v>283</v>
      </c>
      <c r="AK113" s="765" t="s">
        <v>283</v>
      </c>
      <c r="AL113" s="765" t="s">
        <v>283</v>
      </c>
      <c r="AM113" s="765" t="s">
        <v>283</v>
      </c>
      <c r="AN113" s="765" t="s">
        <v>283</v>
      </c>
      <c r="AO113" s="765" t="s">
        <v>283</v>
      </c>
      <c r="AP113" s="765" t="s">
        <v>283</v>
      </c>
      <c r="AQ113" s="765" t="s">
        <v>283</v>
      </c>
      <c r="AR113" s="765" t="s">
        <v>283</v>
      </c>
      <c r="AS113" s="765" t="s">
        <v>283</v>
      </c>
      <c r="AT113" s="765" t="s">
        <v>283</v>
      </c>
      <c r="AU113" s="765" t="s">
        <v>283</v>
      </c>
      <c r="AV113" s="765" t="s">
        <v>283</v>
      </c>
      <c r="AW113" s="765" t="s">
        <v>283</v>
      </c>
    </row>
    <row r="114" spans="1:49" ht="15">
      <c r="A114" s="765" t="s">
        <v>283</v>
      </c>
      <c r="B114" s="769" t="s">
        <v>283</v>
      </c>
      <c r="C114" s="771"/>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2" t="s">
        <v>283</v>
      </c>
      <c r="Z114" s="765" t="s">
        <v>283</v>
      </c>
      <c r="AA114" s="765" t="s">
        <v>283</v>
      </c>
      <c r="AB114" s="765" t="s">
        <v>283</v>
      </c>
      <c r="AC114" s="765" t="s">
        <v>283</v>
      </c>
      <c r="AD114" s="765" t="s">
        <v>283</v>
      </c>
      <c r="AE114" s="765" t="s">
        <v>283</v>
      </c>
      <c r="AF114" s="765" t="s">
        <v>283</v>
      </c>
      <c r="AG114" s="765" t="s">
        <v>283</v>
      </c>
      <c r="AH114" s="765" t="s">
        <v>283</v>
      </c>
      <c r="AI114" s="765" t="s">
        <v>283</v>
      </c>
      <c r="AJ114" s="765" t="s">
        <v>283</v>
      </c>
      <c r="AK114" s="765" t="s">
        <v>283</v>
      </c>
      <c r="AL114" s="765" t="s">
        <v>283</v>
      </c>
      <c r="AM114" s="765" t="s">
        <v>283</v>
      </c>
      <c r="AN114" s="765" t="s">
        <v>283</v>
      </c>
      <c r="AO114" s="765" t="s">
        <v>283</v>
      </c>
      <c r="AP114" s="765" t="s">
        <v>283</v>
      </c>
      <c r="AQ114" s="765" t="s">
        <v>283</v>
      </c>
      <c r="AR114" s="765" t="s">
        <v>283</v>
      </c>
      <c r="AS114" s="765" t="s">
        <v>283</v>
      </c>
      <c r="AT114" s="765" t="s">
        <v>283</v>
      </c>
      <c r="AU114" s="765" t="s">
        <v>283</v>
      </c>
      <c r="AV114" s="765" t="s">
        <v>283</v>
      </c>
      <c r="AW114" s="765" t="s">
        <v>283</v>
      </c>
    </row>
    <row r="115" spans="1:49" ht="15">
      <c r="A115" s="765" t="s">
        <v>283</v>
      </c>
      <c r="B115" s="795" t="s">
        <v>283</v>
      </c>
      <c r="C115" s="796" t="s">
        <v>283</v>
      </c>
      <c r="D115" s="796" t="s">
        <v>283</v>
      </c>
      <c r="E115" s="796" t="s">
        <v>283</v>
      </c>
      <c r="F115" s="796" t="s">
        <v>283</v>
      </c>
      <c r="G115" s="796" t="s">
        <v>283</v>
      </c>
      <c r="H115" s="796" t="s">
        <v>283</v>
      </c>
      <c r="I115" s="796" t="s">
        <v>283</v>
      </c>
      <c r="J115" s="796" t="s">
        <v>283</v>
      </c>
      <c r="K115" s="796" t="s">
        <v>283</v>
      </c>
      <c r="L115" s="796" t="s">
        <v>283</v>
      </c>
      <c r="M115" s="796" t="s">
        <v>283</v>
      </c>
      <c r="N115" s="796" t="s">
        <v>283</v>
      </c>
      <c r="O115" s="796" t="s">
        <v>283</v>
      </c>
      <c r="P115" s="796" t="s">
        <v>283</v>
      </c>
      <c r="Q115" s="796" t="s">
        <v>283</v>
      </c>
      <c r="R115" s="796" t="s">
        <v>283</v>
      </c>
      <c r="S115" s="796" t="s">
        <v>283</v>
      </c>
      <c r="T115" s="796" t="s">
        <v>283</v>
      </c>
      <c r="U115" s="796" t="s">
        <v>283</v>
      </c>
      <c r="V115" s="796" t="s">
        <v>283</v>
      </c>
      <c r="W115" s="796" t="s">
        <v>283</v>
      </c>
      <c r="X115" s="796" t="s">
        <v>283</v>
      </c>
      <c r="Y115" s="797" t="s">
        <v>283</v>
      </c>
      <c r="Z115" s="765" t="s">
        <v>283</v>
      </c>
      <c r="AA115" s="765" t="s">
        <v>283</v>
      </c>
      <c r="AB115" s="765" t="s">
        <v>283</v>
      </c>
      <c r="AC115" s="765" t="s">
        <v>283</v>
      </c>
      <c r="AD115" s="765" t="s">
        <v>283</v>
      </c>
      <c r="AE115" s="765" t="s">
        <v>283</v>
      </c>
      <c r="AF115" s="765" t="s">
        <v>283</v>
      </c>
      <c r="AG115" s="765" t="s">
        <v>283</v>
      </c>
      <c r="AH115" s="765" t="s">
        <v>283</v>
      </c>
      <c r="AI115" s="765" t="s">
        <v>283</v>
      </c>
      <c r="AJ115" s="765" t="s">
        <v>283</v>
      </c>
      <c r="AK115" s="765" t="s">
        <v>283</v>
      </c>
      <c r="AL115" s="765" t="s">
        <v>283</v>
      </c>
      <c r="AM115" s="765" t="s">
        <v>283</v>
      </c>
      <c r="AN115" s="765" t="s">
        <v>283</v>
      </c>
      <c r="AO115" s="765" t="s">
        <v>283</v>
      </c>
      <c r="AP115" s="765" t="s">
        <v>283</v>
      </c>
      <c r="AQ115" s="765" t="s">
        <v>283</v>
      </c>
      <c r="AR115" s="765" t="s">
        <v>283</v>
      </c>
      <c r="AS115" s="765" t="s">
        <v>283</v>
      </c>
      <c r="AT115" s="765" t="s">
        <v>283</v>
      </c>
      <c r="AU115" s="765" t="s">
        <v>283</v>
      </c>
      <c r="AV115" s="765" t="s">
        <v>283</v>
      </c>
      <c r="AW115" s="765" t="s">
        <v>283</v>
      </c>
    </row>
    <row r="116" spans="1:49" ht="15">
      <c r="A116" s="765" t="s">
        <v>283</v>
      </c>
      <c r="B116" s="765" t="s">
        <v>283</v>
      </c>
      <c r="C116" s="765" t="s">
        <v>283</v>
      </c>
      <c r="D116" s="765" t="s">
        <v>283</v>
      </c>
      <c r="E116" s="765" t="s">
        <v>283</v>
      </c>
      <c r="F116" s="765" t="s">
        <v>283</v>
      </c>
      <c r="G116" s="765" t="s">
        <v>283</v>
      </c>
      <c r="H116" s="765" t="s">
        <v>283</v>
      </c>
      <c r="I116" s="765" t="s">
        <v>283</v>
      </c>
      <c r="J116" s="765" t="s">
        <v>283</v>
      </c>
      <c r="K116" s="765" t="s">
        <v>283</v>
      </c>
      <c r="L116" s="765" t="s">
        <v>283</v>
      </c>
      <c r="M116" s="765" t="s">
        <v>283</v>
      </c>
      <c r="N116" s="765" t="s">
        <v>283</v>
      </c>
      <c r="O116" s="765" t="s">
        <v>283</v>
      </c>
      <c r="P116" s="765" t="s">
        <v>283</v>
      </c>
      <c r="Q116" s="765" t="s">
        <v>283</v>
      </c>
      <c r="R116" s="765" t="s">
        <v>283</v>
      </c>
      <c r="S116" s="765" t="s">
        <v>283</v>
      </c>
      <c r="T116" s="765" t="s">
        <v>283</v>
      </c>
      <c r="U116" s="765" t="s">
        <v>283</v>
      </c>
      <c r="V116" s="765" t="s">
        <v>283</v>
      </c>
      <c r="W116" s="765" t="s">
        <v>283</v>
      </c>
      <c r="X116" s="765" t="s">
        <v>283</v>
      </c>
      <c r="Y116" s="765" t="s">
        <v>283</v>
      </c>
      <c r="Z116" s="765" t="s">
        <v>283</v>
      </c>
      <c r="AA116" s="765" t="s">
        <v>283</v>
      </c>
      <c r="AB116" s="765" t="s">
        <v>283</v>
      </c>
      <c r="AC116" s="765" t="s">
        <v>283</v>
      </c>
      <c r="AD116" s="765" t="s">
        <v>283</v>
      </c>
      <c r="AE116" s="765" t="s">
        <v>283</v>
      </c>
      <c r="AF116" s="765" t="s">
        <v>283</v>
      </c>
      <c r="AG116" s="765" t="s">
        <v>283</v>
      </c>
      <c r="AH116" s="765" t="s">
        <v>283</v>
      </c>
      <c r="AI116" s="765" t="s">
        <v>283</v>
      </c>
      <c r="AJ116" s="765" t="s">
        <v>283</v>
      </c>
      <c r="AK116" s="765" t="s">
        <v>283</v>
      </c>
      <c r="AL116" s="765" t="s">
        <v>283</v>
      </c>
      <c r="AM116" s="765" t="s">
        <v>283</v>
      </c>
      <c r="AN116" s="765" t="s">
        <v>283</v>
      </c>
      <c r="AO116" s="765" t="s">
        <v>283</v>
      </c>
      <c r="AP116" s="765" t="s">
        <v>283</v>
      </c>
      <c r="AQ116" s="765" t="s">
        <v>283</v>
      </c>
      <c r="AR116" s="765" t="s">
        <v>283</v>
      </c>
      <c r="AS116" s="765" t="s">
        <v>283</v>
      </c>
      <c r="AT116" s="765" t="s">
        <v>283</v>
      </c>
      <c r="AU116" s="765" t="s">
        <v>283</v>
      </c>
      <c r="AV116" s="765" t="s">
        <v>283</v>
      </c>
      <c r="AW116" s="765" t="s">
        <v>283</v>
      </c>
    </row>
  </sheetData>
  <mergeCells count="1">
    <mergeCell ref="D4:E4"/>
  </mergeCells>
  <hyperlinks>
    <hyperlink ref="T7" r:id="rId1" xr:uid="{0CAA100F-C88A-4C22-97F8-DB54E9B54B4B}"/>
    <hyperlink ref="U7" r:id="rId2" xr:uid="{40554D5E-3B3F-4997-80A0-CC5BA102ADF6}"/>
    <hyperlink ref="V7" r:id="rId3" xr:uid="{738981B0-60D4-4975-928B-8BDC21A7D0F8}"/>
    <hyperlink ref="M8" r:id="rId4" xr:uid="{10BB7414-651F-4065-836C-7329B06AC635}"/>
    <hyperlink ref="N8" r:id="rId5" xr:uid="{F822C258-335E-47DF-BCF9-E0B372A0C8E3}"/>
    <hyperlink ref="O8" r:id="rId6" xr:uid="{73CA538B-990B-48F5-9FD6-317DA03F8F72}"/>
    <hyperlink ref="P8" r:id="rId7" xr:uid="{223B5A79-53C7-41A7-B0A4-BE961CDEBF0A}"/>
    <hyperlink ref="Q8" r:id="rId8" xr:uid="{201AF0BF-31D8-421B-836E-3F47A5DCC304}"/>
    <hyperlink ref="R8" r:id="rId9" xr:uid="{CC18E499-CF3D-447B-AED0-CBB0C8BBCA03}"/>
    <hyperlink ref="S8" r:id="rId10" xr:uid="{1074BD68-E85A-4B2C-91B8-2CC31E90838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43AE-C802-43E1-8290-E26C49325ED8}">
  <dimension ref="A1:AT238"/>
  <sheetViews>
    <sheetView workbookViewId="0">
      <pane xSplit="3" topLeftCell="H42" activePane="topRight" state="frozen"/>
      <selection pane="topRight" activeCell="C49" sqref="A1:AT238"/>
    </sheetView>
  </sheetViews>
  <sheetFormatPr defaultRowHeight="11.25"/>
  <cols>
    <col min="1" max="2" width="1.83203125" bestFit="1" customWidth="1"/>
    <col min="3" max="3" width="57" customWidth="1"/>
    <col min="4" max="9" width="13.5" bestFit="1" customWidth="1"/>
    <col min="10" max="10" width="11.83203125" bestFit="1" customWidth="1"/>
    <col min="12" max="12" width="1.83203125" bestFit="1" customWidth="1"/>
    <col min="13" max="16" width="17.33203125" bestFit="1" customWidth="1"/>
    <col min="17" max="18" width="17" bestFit="1" customWidth="1"/>
    <col min="19" max="19" width="17.33203125" bestFit="1" customWidth="1"/>
    <col min="20" max="21" width="16.5" bestFit="1" customWidth="1"/>
    <col min="22" max="46" width="1.83203125" bestFit="1" customWidth="1"/>
  </cols>
  <sheetData>
    <row r="1" spans="1:46" ht="15">
      <c r="A1" s="765" t="s">
        <v>283</v>
      </c>
      <c r="B1" s="765" t="s">
        <v>283</v>
      </c>
      <c r="C1" s="765" t="s">
        <v>283</v>
      </c>
      <c r="D1" s="765" t="s">
        <v>283</v>
      </c>
      <c r="E1" s="765" t="s">
        <v>283</v>
      </c>
      <c r="F1" s="765" t="s">
        <v>283</v>
      </c>
      <c r="G1" s="765" t="s">
        <v>283</v>
      </c>
      <c r="H1" s="765" t="s">
        <v>283</v>
      </c>
      <c r="I1" s="765" t="s">
        <v>283</v>
      </c>
      <c r="J1" s="765" t="s">
        <v>283</v>
      </c>
      <c r="K1" s="765" t="s">
        <v>283</v>
      </c>
      <c r="L1" s="765" t="s">
        <v>283</v>
      </c>
      <c r="M1" s="765" t="s">
        <v>283</v>
      </c>
      <c r="N1" s="765" t="s">
        <v>283</v>
      </c>
      <c r="O1" s="765" t="s">
        <v>283</v>
      </c>
      <c r="P1" s="765" t="s">
        <v>283</v>
      </c>
      <c r="Q1" s="765" t="s">
        <v>283</v>
      </c>
      <c r="R1" s="765" t="s">
        <v>283</v>
      </c>
      <c r="S1" s="765" t="s">
        <v>283</v>
      </c>
      <c r="T1" s="765" t="s">
        <v>283</v>
      </c>
      <c r="U1" s="765" t="s">
        <v>283</v>
      </c>
      <c r="V1" s="765" t="s">
        <v>283</v>
      </c>
      <c r="W1" s="765" t="s">
        <v>283</v>
      </c>
      <c r="X1" s="765" t="s">
        <v>283</v>
      </c>
      <c r="Y1" s="765" t="s">
        <v>283</v>
      </c>
      <c r="Z1" s="765" t="s">
        <v>283</v>
      </c>
      <c r="AA1" s="765" t="s">
        <v>283</v>
      </c>
      <c r="AB1" s="765" t="s">
        <v>283</v>
      </c>
      <c r="AC1" s="765" t="s">
        <v>283</v>
      </c>
      <c r="AD1" s="765" t="s">
        <v>283</v>
      </c>
      <c r="AE1" s="765" t="s">
        <v>283</v>
      </c>
      <c r="AF1" s="765" t="s">
        <v>283</v>
      </c>
      <c r="AG1" s="765" t="s">
        <v>283</v>
      </c>
      <c r="AH1" s="765" t="s">
        <v>283</v>
      </c>
      <c r="AI1" s="765" t="s">
        <v>283</v>
      </c>
      <c r="AJ1" s="765" t="s">
        <v>283</v>
      </c>
      <c r="AK1" s="765" t="s">
        <v>283</v>
      </c>
      <c r="AL1" s="765" t="s">
        <v>283</v>
      </c>
      <c r="AM1" s="765" t="s">
        <v>283</v>
      </c>
      <c r="AN1" s="765" t="s">
        <v>283</v>
      </c>
      <c r="AO1" s="765" t="s">
        <v>283</v>
      </c>
      <c r="AP1" s="765" t="s">
        <v>283</v>
      </c>
      <c r="AQ1" s="765" t="s">
        <v>283</v>
      </c>
      <c r="AR1" s="765" t="s">
        <v>283</v>
      </c>
      <c r="AS1" s="765" t="s">
        <v>283</v>
      </c>
      <c r="AT1" s="765" t="s">
        <v>283</v>
      </c>
    </row>
    <row r="2" spans="1:46" ht="15">
      <c r="A2" s="765" t="s">
        <v>283</v>
      </c>
      <c r="B2" s="766" t="s">
        <v>283</v>
      </c>
      <c r="C2" s="767" t="s">
        <v>283</v>
      </c>
      <c r="D2" s="767" t="s">
        <v>283</v>
      </c>
      <c r="E2" s="767" t="s">
        <v>283</v>
      </c>
      <c r="F2" s="767" t="s">
        <v>283</v>
      </c>
      <c r="G2" s="767" t="s">
        <v>283</v>
      </c>
      <c r="H2" s="767" t="s">
        <v>283</v>
      </c>
      <c r="I2" s="767" t="s">
        <v>283</v>
      </c>
      <c r="J2" s="767" t="s">
        <v>283</v>
      </c>
      <c r="K2" s="767" t="s">
        <v>283</v>
      </c>
      <c r="L2" s="767" t="s">
        <v>283</v>
      </c>
      <c r="M2" s="767" t="s">
        <v>283</v>
      </c>
      <c r="N2" s="767" t="s">
        <v>283</v>
      </c>
      <c r="O2" s="767" t="s">
        <v>283</v>
      </c>
      <c r="P2" s="767" t="s">
        <v>283</v>
      </c>
      <c r="Q2" s="767" t="s">
        <v>283</v>
      </c>
      <c r="R2" s="767" t="s">
        <v>283</v>
      </c>
      <c r="S2" s="767" t="s">
        <v>283</v>
      </c>
      <c r="T2" s="767" t="s">
        <v>283</v>
      </c>
      <c r="U2" s="767" t="s">
        <v>283</v>
      </c>
      <c r="V2" s="768" t="s">
        <v>283</v>
      </c>
      <c r="W2" s="765" t="s">
        <v>283</v>
      </c>
      <c r="X2" s="765" t="s">
        <v>283</v>
      </c>
      <c r="Y2" s="765" t="s">
        <v>283</v>
      </c>
      <c r="Z2" s="765" t="s">
        <v>283</v>
      </c>
      <c r="AA2" s="765" t="s">
        <v>283</v>
      </c>
      <c r="AB2" s="765" t="s">
        <v>283</v>
      </c>
      <c r="AC2" s="765" t="s">
        <v>283</v>
      </c>
      <c r="AD2" s="765" t="s">
        <v>283</v>
      </c>
      <c r="AE2" s="765" t="s">
        <v>283</v>
      </c>
      <c r="AF2" s="765" t="s">
        <v>283</v>
      </c>
      <c r="AG2" s="765" t="s">
        <v>283</v>
      </c>
      <c r="AH2" s="765" t="s">
        <v>283</v>
      </c>
      <c r="AI2" s="765" t="s">
        <v>283</v>
      </c>
      <c r="AJ2" s="765" t="s">
        <v>283</v>
      </c>
      <c r="AK2" s="765" t="s">
        <v>283</v>
      </c>
      <c r="AL2" s="765" t="s">
        <v>283</v>
      </c>
      <c r="AM2" s="765" t="s">
        <v>283</v>
      </c>
      <c r="AN2" s="765" t="s">
        <v>283</v>
      </c>
      <c r="AO2" s="765" t="s">
        <v>283</v>
      </c>
      <c r="AP2" s="765" t="s">
        <v>283</v>
      </c>
      <c r="AQ2" s="765" t="s">
        <v>283</v>
      </c>
      <c r="AR2" s="765" t="s">
        <v>283</v>
      </c>
      <c r="AS2" s="765" t="s">
        <v>283</v>
      </c>
      <c r="AT2" s="765" t="s">
        <v>283</v>
      </c>
    </row>
    <row r="3" spans="1:46" ht="21">
      <c r="A3" s="765" t="s">
        <v>283</v>
      </c>
      <c r="B3" s="769" t="s">
        <v>283</v>
      </c>
      <c r="C3" s="770" t="s">
        <v>429</v>
      </c>
      <c r="D3" s="771"/>
      <c r="E3" s="771"/>
      <c r="F3" s="771"/>
      <c r="G3" s="771"/>
      <c r="H3" s="771"/>
      <c r="I3" s="771"/>
      <c r="J3" s="771"/>
      <c r="K3" s="771"/>
      <c r="L3" s="771"/>
      <c r="M3" s="771"/>
      <c r="N3" s="771"/>
      <c r="O3" s="771"/>
      <c r="P3" s="771"/>
      <c r="Q3" s="771"/>
      <c r="R3" s="771"/>
      <c r="S3" s="771"/>
      <c r="T3" s="771"/>
      <c r="U3" s="771"/>
      <c r="V3" s="772" t="s">
        <v>283</v>
      </c>
      <c r="W3" s="765" t="s">
        <v>283</v>
      </c>
      <c r="X3" s="765" t="s">
        <v>283</v>
      </c>
      <c r="Y3" s="765" t="s">
        <v>283</v>
      </c>
      <c r="Z3" s="765" t="s">
        <v>283</v>
      </c>
      <c r="AA3" s="765" t="s">
        <v>283</v>
      </c>
      <c r="AB3" s="765" t="s">
        <v>283</v>
      </c>
      <c r="AC3" s="765" t="s">
        <v>283</v>
      </c>
      <c r="AD3" s="765" t="s">
        <v>283</v>
      </c>
      <c r="AE3" s="765" t="s">
        <v>283</v>
      </c>
      <c r="AF3" s="765" t="s">
        <v>283</v>
      </c>
      <c r="AG3" s="765" t="s">
        <v>283</v>
      </c>
      <c r="AH3" s="765" t="s">
        <v>283</v>
      </c>
      <c r="AI3" s="765" t="s">
        <v>283</v>
      </c>
      <c r="AJ3" s="765" t="s">
        <v>283</v>
      </c>
      <c r="AK3" s="765" t="s">
        <v>283</v>
      </c>
      <c r="AL3" s="765" t="s">
        <v>283</v>
      </c>
      <c r="AM3" s="765" t="s">
        <v>283</v>
      </c>
      <c r="AN3" s="765" t="s">
        <v>283</v>
      </c>
      <c r="AO3" s="765" t="s">
        <v>283</v>
      </c>
      <c r="AP3" s="765" t="s">
        <v>283</v>
      </c>
      <c r="AQ3" s="765" t="s">
        <v>283</v>
      </c>
      <c r="AR3" s="765" t="s">
        <v>283</v>
      </c>
      <c r="AS3" s="765" t="s">
        <v>283</v>
      </c>
      <c r="AT3" s="765" t="s">
        <v>283</v>
      </c>
    </row>
    <row r="4" spans="1:46" ht="11.25" customHeight="1">
      <c r="A4" s="765" t="s">
        <v>283</v>
      </c>
      <c r="B4" s="769" t="s">
        <v>283</v>
      </c>
      <c r="C4" s="773" t="s">
        <v>285</v>
      </c>
      <c r="D4" s="932" t="s">
        <v>286</v>
      </c>
      <c r="E4" s="932"/>
      <c r="F4" s="774" t="s">
        <v>283</v>
      </c>
      <c r="G4" s="774" t="s">
        <v>283</v>
      </c>
      <c r="H4" s="774" t="s">
        <v>283</v>
      </c>
      <c r="I4" s="774" t="s">
        <v>283</v>
      </c>
      <c r="J4" s="774" t="s">
        <v>283</v>
      </c>
      <c r="K4" s="774" t="s">
        <v>283</v>
      </c>
      <c r="L4" s="771"/>
      <c r="M4" s="771"/>
      <c r="N4" s="771"/>
      <c r="O4" s="771"/>
      <c r="P4" s="771"/>
      <c r="Q4" s="771"/>
      <c r="R4" s="771"/>
      <c r="S4" s="771"/>
      <c r="T4" s="771"/>
      <c r="U4" s="771"/>
      <c r="V4" s="772" t="s">
        <v>283</v>
      </c>
      <c r="W4" s="765" t="s">
        <v>283</v>
      </c>
      <c r="X4" s="765" t="s">
        <v>283</v>
      </c>
      <c r="Y4" s="765" t="s">
        <v>283</v>
      </c>
      <c r="Z4" s="765" t="s">
        <v>283</v>
      </c>
      <c r="AA4" s="765" t="s">
        <v>283</v>
      </c>
      <c r="AB4" s="765" t="s">
        <v>283</v>
      </c>
      <c r="AC4" s="765" t="s">
        <v>283</v>
      </c>
      <c r="AD4" s="765" t="s">
        <v>283</v>
      </c>
      <c r="AE4" s="765" t="s">
        <v>283</v>
      </c>
      <c r="AF4" s="765" t="s">
        <v>283</v>
      </c>
      <c r="AG4" s="765" t="s">
        <v>283</v>
      </c>
      <c r="AH4" s="765" t="s">
        <v>283</v>
      </c>
      <c r="AI4" s="765" t="s">
        <v>283</v>
      </c>
      <c r="AJ4" s="765" t="s">
        <v>283</v>
      </c>
      <c r="AK4" s="765" t="s">
        <v>283</v>
      </c>
      <c r="AL4" s="765" t="s">
        <v>283</v>
      </c>
      <c r="AM4" s="765" t="s">
        <v>283</v>
      </c>
      <c r="AN4" s="765" t="s">
        <v>283</v>
      </c>
      <c r="AO4" s="765" t="s">
        <v>283</v>
      </c>
      <c r="AP4" s="765" t="s">
        <v>283</v>
      </c>
      <c r="AQ4" s="765" t="s">
        <v>283</v>
      </c>
      <c r="AR4" s="765" t="s">
        <v>283</v>
      </c>
      <c r="AS4" s="765" t="s">
        <v>283</v>
      </c>
      <c r="AT4" s="765" t="s">
        <v>283</v>
      </c>
    </row>
    <row r="5" spans="1:46" ht="59.25">
      <c r="A5" s="765" t="s">
        <v>283</v>
      </c>
      <c r="B5" s="769" t="s">
        <v>283</v>
      </c>
      <c r="C5" s="773" t="s">
        <v>287</v>
      </c>
      <c r="D5" s="775" t="s">
        <v>288</v>
      </c>
      <c r="E5" s="775" t="s">
        <v>289</v>
      </c>
      <c r="F5" s="775" t="s">
        <v>290</v>
      </c>
      <c r="G5" s="775" t="s">
        <v>291</v>
      </c>
      <c r="H5" s="775" t="s">
        <v>292</v>
      </c>
      <c r="I5" s="775" t="s">
        <v>293</v>
      </c>
      <c r="J5" s="775" t="s">
        <v>294</v>
      </c>
      <c r="K5" s="775" t="s">
        <v>295</v>
      </c>
      <c r="L5" s="771"/>
      <c r="M5" s="776" t="s">
        <v>296</v>
      </c>
      <c r="N5" s="776" t="s">
        <v>297</v>
      </c>
      <c r="O5" s="776" t="s">
        <v>298</v>
      </c>
      <c r="P5" s="776" t="s">
        <v>299</v>
      </c>
      <c r="Q5" s="776" t="s">
        <v>300</v>
      </c>
      <c r="R5" s="776" t="s">
        <v>301</v>
      </c>
      <c r="S5" s="776" t="s">
        <v>302</v>
      </c>
      <c r="T5" s="776" t="s">
        <v>303</v>
      </c>
      <c r="U5" s="776" t="s">
        <v>304</v>
      </c>
      <c r="V5" s="772" t="s">
        <v>283</v>
      </c>
      <c r="W5" s="765" t="s">
        <v>283</v>
      </c>
      <c r="X5" s="765" t="s">
        <v>283</v>
      </c>
      <c r="Y5" s="765" t="s">
        <v>283</v>
      </c>
      <c r="Z5" s="765" t="s">
        <v>283</v>
      </c>
      <c r="AA5" s="765" t="s">
        <v>283</v>
      </c>
      <c r="AB5" s="765" t="s">
        <v>283</v>
      </c>
      <c r="AC5" s="765" t="s">
        <v>283</v>
      </c>
      <c r="AD5" s="765" t="s">
        <v>283</v>
      </c>
      <c r="AE5" s="765" t="s">
        <v>283</v>
      </c>
      <c r="AF5" s="765" t="s">
        <v>283</v>
      </c>
      <c r="AG5" s="765" t="s">
        <v>283</v>
      </c>
      <c r="AH5" s="765" t="s">
        <v>283</v>
      </c>
      <c r="AI5" s="765" t="s">
        <v>283</v>
      </c>
      <c r="AJ5" s="765" t="s">
        <v>283</v>
      </c>
      <c r="AK5" s="765" t="s">
        <v>283</v>
      </c>
      <c r="AL5" s="765" t="s">
        <v>283</v>
      </c>
      <c r="AM5" s="765" t="s">
        <v>283</v>
      </c>
      <c r="AN5" s="765" t="s">
        <v>283</v>
      </c>
      <c r="AO5" s="765" t="s">
        <v>283</v>
      </c>
      <c r="AP5" s="765" t="s">
        <v>283</v>
      </c>
      <c r="AQ5" s="765" t="s">
        <v>283</v>
      </c>
      <c r="AR5" s="765" t="s">
        <v>283</v>
      </c>
      <c r="AS5" s="765" t="s">
        <v>283</v>
      </c>
      <c r="AT5" s="765" t="s">
        <v>283</v>
      </c>
    </row>
    <row r="6" spans="1:46" ht="15">
      <c r="A6" s="765" t="s">
        <v>283</v>
      </c>
      <c r="B6" s="769" t="s">
        <v>283</v>
      </c>
      <c r="C6" s="771"/>
      <c r="D6" s="774" t="s">
        <v>283</v>
      </c>
      <c r="E6" s="774" t="s">
        <v>283</v>
      </c>
      <c r="F6" s="774" t="s">
        <v>283</v>
      </c>
      <c r="G6" s="774" t="s">
        <v>283</v>
      </c>
      <c r="H6" s="774" t="s">
        <v>283</v>
      </c>
      <c r="I6" s="774" t="s">
        <v>283</v>
      </c>
      <c r="J6" s="774" t="s">
        <v>283</v>
      </c>
      <c r="K6" s="774" t="s">
        <v>283</v>
      </c>
      <c r="L6" s="771"/>
      <c r="M6" s="773" t="s">
        <v>308</v>
      </c>
      <c r="N6" s="773" t="s">
        <v>309</v>
      </c>
      <c r="O6" s="773" t="s">
        <v>310</v>
      </c>
      <c r="P6" s="773" t="s">
        <v>311</v>
      </c>
      <c r="Q6" s="773" t="s">
        <v>312</v>
      </c>
      <c r="R6" s="773" t="s">
        <v>313</v>
      </c>
      <c r="S6" s="773" t="s">
        <v>314</v>
      </c>
      <c r="T6" s="773" t="s">
        <v>315</v>
      </c>
      <c r="U6" s="773" t="s">
        <v>316</v>
      </c>
      <c r="V6" s="772" t="s">
        <v>283</v>
      </c>
      <c r="W6" s="765" t="s">
        <v>283</v>
      </c>
      <c r="X6" s="765" t="s">
        <v>283</v>
      </c>
      <c r="Y6" s="765" t="s">
        <v>283</v>
      </c>
      <c r="Z6" s="765" t="s">
        <v>283</v>
      </c>
      <c r="AA6" s="765" t="s">
        <v>283</v>
      </c>
      <c r="AB6" s="765" t="s">
        <v>283</v>
      </c>
      <c r="AC6" s="765" t="s">
        <v>283</v>
      </c>
      <c r="AD6" s="765" t="s">
        <v>283</v>
      </c>
      <c r="AE6" s="765" t="s">
        <v>283</v>
      </c>
      <c r="AF6" s="765" t="s">
        <v>283</v>
      </c>
      <c r="AG6" s="765" t="s">
        <v>283</v>
      </c>
      <c r="AH6" s="765" t="s">
        <v>283</v>
      </c>
      <c r="AI6" s="765" t="s">
        <v>283</v>
      </c>
      <c r="AJ6" s="765" t="s">
        <v>283</v>
      </c>
      <c r="AK6" s="765" t="s">
        <v>283</v>
      </c>
      <c r="AL6" s="765" t="s">
        <v>283</v>
      </c>
      <c r="AM6" s="765" t="s">
        <v>283</v>
      </c>
      <c r="AN6" s="765" t="s">
        <v>283</v>
      </c>
      <c r="AO6" s="765" t="s">
        <v>283</v>
      </c>
      <c r="AP6" s="765" t="s">
        <v>283</v>
      </c>
      <c r="AQ6" s="765" t="s">
        <v>283</v>
      </c>
      <c r="AR6" s="765" t="s">
        <v>283</v>
      </c>
      <c r="AS6" s="765" t="s">
        <v>283</v>
      </c>
      <c r="AT6" s="765" t="s">
        <v>283</v>
      </c>
    </row>
    <row r="7" spans="1:46" ht="15">
      <c r="A7" s="765" t="s">
        <v>283</v>
      </c>
      <c r="B7" s="769" t="s">
        <v>283</v>
      </c>
      <c r="C7" s="773" t="s">
        <v>320</v>
      </c>
      <c r="D7" s="774" t="s">
        <v>283</v>
      </c>
      <c r="E7" s="774" t="s">
        <v>283</v>
      </c>
      <c r="F7" s="774" t="s">
        <v>283</v>
      </c>
      <c r="G7" s="774" t="s">
        <v>283</v>
      </c>
      <c r="H7" s="774" t="s">
        <v>283</v>
      </c>
      <c r="I7" s="774" t="s">
        <v>283</v>
      </c>
      <c r="J7" s="774" t="s">
        <v>283</v>
      </c>
      <c r="K7" s="774" t="s">
        <v>283</v>
      </c>
      <c r="L7" s="771"/>
      <c r="M7" s="773" t="s">
        <v>321</v>
      </c>
      <c r="N7" s="773" t="s">
        <v>321</v>
      </c>
      <c r="O7" s="773" t="s">
        <v>322</v>
      </c>
      <c r="P7" s="773" t="s">
        <v>323</v>
      </c>
      <c r="Q7" s="773" t="s">
        <v>324</v>
      </c>
      <c r="R7" s="773" t="s">
        <v>325</v>
      </c>
      <c r="S7" s="773" t="s">
        <v>430</v>
      </c>
      <c r="T7" s="777" t="s">
        <v>326</v>
      </c>
      <c r="U7" s="777" t="s">
        <v>326</v>
      </c>
      <c r="V7" s="772" t="s">
        <v>283</v>
      </c>
      <c r="W7" s="765" t="s">
        <v>283</v>
      </c>
      <c r="X7" s="765" t="s">
        <v>283</v>
      </c>
      <c r="Y7" s="765" t="s">
        <v>283</v>
      </c>
      <c r="Z7" s="765" t="s">
        <v>283</v>
      </c>
      <c r="AA7" s="765" t="s">
        <v>283</v>
      </c>
      <c r="AB7" s="765" t="s">
        <v>283</v>
      </c>
      <c r="AC7" s="765" t="s">
        <v>283</v>
      </c>
      <c r="AD7" s="765" t="s">
        <v>283</v>
      </c>
      <c r="AE7" s="765" t="s">
        <v>283</v>
      </c>
      <c r="AF7" s="765" t="s">
        <v>283</v>
      </c>
      <c r="AG7" s="765" t="s">
        <v>283</v>
      </c>
      <c r="AH7" s="765" t="s">
        <v>283</v>
      </c>
      <c r="AI7" s="765" t="s">
        <v>283</v>
      </c>
      <c r="AJ7" s="765" t="s">
        <v>283</v>
      </c>
      <c r="AK7" s="765" t="s">
        <v>283</v>
      </c>
      <c r="AL7" s="765" t="s">
        <v>283</v>
      </c>
      <c r="AM7" s="765" t="s">
        <v>283</v>
      </c>
      <c r="AN7" s="765" t="s">
        <v>283</v>
      </c>
      <c r="AO7" s="765" t="s">
        <v>283</v>
      </c>
      <c r="AP7" s="765" t="s">
        <v>283</v>
      </c>
      <c r="AQ7" s="765" t="s">
        <v>283</v>
      </c>
      <c r="AR7" s="765" t="s">
        <v>283</v>
      </c>
      <c r="AS7" s="765" t="s">
        <v>283</v>
      </c>
      <c r="AT7" s="765" t="s">
        <v>283</v>
      </c>
    </row>
    <row r="8" spans="1:46" ht="15">
      <c r="A8" s="765" t="s">
        <v>283</v>
      </c>
      <c r="B8" s="769" t="s">
        <v>283</v>
      </c>
      <c r="C8" s="771"/>
      <c r="D8" s="774" t="s">
        <v>283</v>
      </c>
      <c r="E8" s="774" t="s">
        <v>283</v>
      </c>
      <c r="F8" s="774" t="s">
        <v>283</v>
      </c>
      <c r="G8" s="774" t="s">
        <v>283</v>
      </c>
      <c r="H8" s="774" t="s">
        <v>283</v>
      </c>
      <c r="I8" s="774" t="s">
        <v>283</v>
      </c>
      <c r="J8" s="774" t="s">
        <v>283</v>
      </c>
      <c r="K8" s="774" t="s">
        <v>283</v>
      </c>
      <c r="L8" s="771"/>
      <c r="M8" s="777" t="s">
        <v>327</v>
      </c>
      <c r="N8" s="777" t="s">
        <v>327</v>
      </c>
      <c r="O8" s="777" t="s">
        <v>327</v>
      </c>
      <c r="P8" s="777" t="s">
        <v>327</v>
      </c>
      <c r="Q8" s="777" t="s">
        <v>327</v>
      </c>
      <c r="R8" s="777" t="s">
        <v>327</v>
      </c>
      <c r="S8" s="777" t="s">
        <v>327</v>
      </c>
      <c r="T8" s="771"/>
      <c r="U8" s="771"/>
      <c r="V8" s="772" t="s">
        <v>283</v>
      </c>
      <c r="W8" s="765" t="s">
        <v>283</v>
      </c>
      <c r="X8" s="765" t="s">
        <v>283</v>
      </c>
      <c r="Y8" s="765" t="s">
        <v>283</v>
      </c>
      <c r="Z8" s="765" t="s">
        <v>283</v>
      </c>
      <c r="AA8" s="765" t="s">
        <v>283</v>
      </c>
      <c r="AB8" s="765" t="s">
        <v>283</v>
      </c>
      <c r="AC8" s="765" t="s">
        <v>283</v>
      </c>
      <c r="AD8" s="765" t="s">
        <v>283</v>
      </c>
      <c r="AE8" s="765" t="s">
        <v>283</v>
      </c>
      <c r="AF8" s="765" t="s">
        <v>283</v>
      </c>
      <c r="AG8" s="765" t="s">
        <v>283</v>
      </c>
      <c r="AH8" s="765" t="s">
        <v>283</v>
      </c>
      <c r="AI8" s="765" t="s">
        <v>283</v>
      </c>
      <c r="AJ8" s="765" t="s">
        <v>283</v>
      </c>
      <c r="AK8" s="765" t="s">
        <v>283</v>
      </c>
      <c r="AL8" s="765" t="s">
        <v>283</v>
      </c>
      <c r="AM8" s="765" t="s">
        <v>283</v>
      </c>
      <c r="AN8" s="765" t="s">
        <v>283</v>
      </c>
      <c r="AO8" s="765" t="s">
        <v>283</v>
      </c>
      <c r="AP8" s="765" t="s">
        <v>283</v>
      </c>
      <c r="AQ8" s="765" t="s">
        <v>283</v>
      </c>
      <c r="AR8" s="765" t="s">
        <v>283</v>
      </c>
      <c r="AS8" s="765" t="s">
        <v>283</v>
      </c>
      <c r="AT8" s="765" t="s">
        <v>283</v>
      </c>
    </row>
    <row r="9" spans="1:46" ht="15">
      <c r="A9" s="765" t="s">
        <v>283</v>
      </c>
      <c r="B9" s="769" t="s">
        <v>283</v>
      </c>
      <c r="C9" s="771"/>
      <c r="D9" s="774" t="s">
        <v>283</v>
      </c>
      <c r="E9" s="774" t="s">
        <v>283</v>
      </c>
      <c r="F9" s="774" t="s">
        <v>283</v>
      </c>
      <c r="G9" s="774" t="s">
        <v>283</v>
      </c>
      <c r="H9" s="774" t="s">
        <v>283</v>
      </c>
      <c r="I9" s="774" t="s">
        <v>283</v>
      </c>
      <c r="J9" s="774" t="s">
        <v>283</v>
      </c>
      <c r="K9" s="774" t="s">
        <v>283</v>
      </c>
      <c r="L9" s="771"/>
      <c r="M9" s="771"/>
      <c r="N9" s="771"/>
      <c r="O9" s="771"/>
      <c r="P9" s="771"/>
      <c r="Q9" s="771"/>
      <c r="R9" s="771"/>
      <c r="S9" s="771"/>
      <c r="T9" s="771"/>
      <c r="U9" s="771"/>
      <c r="V9" s="772" t="s">
        <v>283</v>
      </c>
      <c r="W9" s="765" t="s">
        <v>283</v>
      </c>
      <c r="X9" s="765" t="s">
        <v>283</v>
      </c>
      <c r="Y9" s="765" t="s">
        <v>283</v>
      </c>
      <c r="Z9" s="765" t="s">
        <v>283</v>
      </c>
      <c r="AA9" s="765" t="s">
        <v>283</v>
      </c>
      <c r="AB9" s="765" t="s">
        <v>283</v>
      </c>
      <c r="AC9" s="765" t="s">
        <v>283</v>
      </c>
      <c r="AD9" s="765" t="s">
        <v>283</v>
      </c>
      <c r="AE9" s="765" t="s">
        <v>283</v>
      </c>
      <c r="AF9" s="765" t="s">
        <v>283</v>
      </c>
      <c r="AG9" s="765" t="s">
        <v>283</v>
      </c>
      <c r="AH9" s="765" t="s">
        <v>283</v>
      </c>
      <c r="AI9" s="765" t="s">
        <v>283</v>
      </c>
      <c r="AJ9" s="765" t="s">
        <v>283</v>
      </c>
      <c r="AK9" s="765" t="s">
        <v>283</v>
      </c>
      <c r="AL9" s="765" t="s">
        <v>283</v>
      </c>
      <c r="AM9" s="765" t="s">
        <v>283</v>
      </c>
      <c r="AN9" s="765" t="s">
        <v>283</v>
      </c>
      <c r="AO9" s="765" t="s">
        <v>283</v>
      </c>
      <c r="AP9" s="765" t="s">
        <v>283</v>
      </c>
      <c r="AQ9" s="765" t="s">
        <v>283</v>
      </c>
      <c r="AR9" s="765" t="s">
        <v>283</v>
      </c>
      <c r="AS9" s="765" t="s">
        <v>283</v>
      </c>
      <c r="AT9" s="765" t="s">
        <v>283</v>
      </c>
    </row>
    <row r="10" spans="1:46" ht="15">
      <c r="A10" s="765" t="s">
        <v>283</v>
      </c>
      <c r="B10" s="769" t="s">
        <v>283</v>
      </c>
      <c r="C10" s="771"/>
      <c r="D10" s="774" t="s">
        <v>283</v>
      </c>
      <c r="E10" s="774" t="s">
        <v>283</v>
      </c>
      <c r="F10" s="774" t="s">
        <v>283</v>
      </c>
      <c r="G10" s="774" t="s">
        <v>283</v>
      </c>
      <c r="H10" s="774" t="s">
        <v>283</v>
      </c>
      <c r="I10" s="774" t="s">
        <v>283</v>
      </c>
      <c r="J10" s="774" t="s">
        <v>283</v>
      </c>
      <c r="K10" s="774" t="s">
        <v>283</v>
      </c>
      <c r="L10" s="771"/>
      <c r="M10" s="771"/>
      <c r="N10" s="771"/>
      <c r="O10" s="771"/>
      <c r="P10" s="771"/>
      <c r="Q10" s="771"/>
      <c r="R10" s="771"/>
      <c r="S10" s="771"/>
      <c r="T10" s="771"/>
      <c r="U10" s="771"/>
      <c r="V10" s="772" t="s">
        <v>283</v>
      </c>
      <c r="W10" s="765" t="s">
        <v>283</v>
      </c>
      <c r="X10" s="765" t="s">
        <v>283</v>
      </c>
      <c r="Y10" s="765" t="s">
        <v>283</v>
      </c>
      <c r="Z10" s="765" t="s">
        <v>283</v>
      </c>
      <c r="AA10" s="765" t="s">
        <v>283</v>
      </c>
      <c r="AB10" s="765" t="s">
        <v>283</v>
      </c>
      <c r="AC10" s="765" t="s">
        <v>283</v>
      </c>
      <c r="AD10" s="765" t="s">
        <v>283</v>
      </c>
      <c r="AE10" s="765" t="s">
        <v>283</v>
      </c>
      <c r="AF10" s="765" t="s">
        <v>283</v>
      </c>
      <c r="AG10" s="765" t="s">
        <v>283</v>
      </c>
      <c r="AH10" s="765" t="s">
        <v>283</v>
      </c>
      <c r="AI10" s="765" t="s">
        <v>283</v>
      </c>
      <c r="AJ10" s="765" t="s">
        <v>283</v>
      </c>
      <c r="AK10" s="765" t="s">
        <v>283</v>
      </c>
      <c r="AL10" s="765" t="s">
        <v>283</v>
      </c>
      <c r="AM10" s="765" t="s">
        <v>283</v>
      </c>
      <c r="AN10" s="765" t="s">
        <v>283</v>
      </c>
      <c r="AO10" s="765" t="s">
        <v>283</v>
      </c>
      <c r="AP10" s="765" t="s">
        <v>283</v>
      </c>
      <c r="AQ10" s="765" t="s">
        <v>283</v>
      </c>
      <c r="AR10" s="765" t="s">
        <v>283</v>
      </c>
      <c r="AS10" s="765" t="s">
        <v>283</v>
      </c>
      <c r="AT10" s="765" t="s">
        <v>283</v>
      </c>
    </row>
    <row r="11" spans="1:46" ht="15">
      <c r="A11" s="765" t="s">
        <v>283</v>
      </c>
      <c r="B11" s="769" t="s">
        <v>283</v>
      </c>
      <c r="C11" s="778" t="s">
        <v>431</v>
      </c>
      <c r="D11" s="774" t="s">
        <v>283</v>
      </c>
      <c r="E11" s="774" t="s">
        <v>283</v>
      </c>
      <c r="F11" s="774" t="s">
        <v>283</v>
      </c>
      <c r="G11" s="774" t="s">
        <v>283</v>
      </c>
      <c r="H11" s="774" t="s">
        <v>283</v>
      </c>
      <c r="I11" s="774" t="s">
        <v>283</v>
      </c>
      <c r="J11" s="774" t="s">
        <v>283</v>
      </c>
      <c r="K11" s="774" t="s">
        <v>283</v>
      </c>
      <c r="L11" s="774" t="s">
        <v>283</v>
      </c>
      <c r="M11" s="774" t="s">
        <v>283</v>
      </c>
      <c r="N11" s="774" t="s">
        <v>283</v>
      </c>
      <c r="O11" s="774" t="s">
        <v>283</v>
      </c>
      <c r="P11" s="774" t="s">
        <v>283</v>
      </c>
      <c r="Q11" s="774" t="s">
        <v>283</v>
      </c>
      <c r="R11" s="774" t="s">
        <v>283</v>
      </c>
      <c r="S11" s="774" t="s">
        <v>283</v>
      </c>
      <c r="T11" s="774" t="s">
        <v>283</v>
      </c>
      <c r="U11" s="774" t="s">
        <v>283</v>
      </c>
      <c r="V11" s="772" t="s">
        <v>283</v>
      </c>
      <c r="W11" s="765" t="s">
        <v>283</v>
      </c>
      <c r="X11" s="765" t="s">
        <v>283</v>
      </c>
      <c r="Y11" s="765" t="s">
        <v>283</v>
      </c>
      <c r="Z11" s="765" t="s">
        <v>283</v>
      </c>
      <c r="AA11" s="765" t="s">
        <v>283</v>
      </c>
      <c r="AB11" s="765" t="s">
        <v>283</v>
      </c>
      <c r="AC11" s="765" t="s">
        <v>283</v>
      </c>
      <c r="AD11" s="765" t="s">
        <v>283</v>
      </c>
      <c r="AE11" s="765" t="s">
        <v>283</v>
      </c>
      <c r="AF11" s="765" t="s">
        <v>283</v>
      </c>
      <c r="AG11" s="765" t="s">
        <v>283</v>
      </c>
      <c r="AH11" s="765" t="s">
        <v>283</v>
      </c>
      <c r="AI11" s="765" t="s">
        <v>283</v>
      </c>
      <c r="AJ11" s="765" t="s">
        <v>283</v>
      </c>
      <c r="AK11" s="765" t="s">
        <v>283</v>
      </c>
      <c r="AL11" s="765" t="s">
        <v>283</v>
      </c>
      <c r="AM11" s="765" t="s">
        <v>283</v>
      </c>
      <c r="AN11" s="765" t="s">
        <v>283</v>
      </c>
      <c r="AO11" s="765" t="s">
        <v>283</v>
      </c>
      <c r="AP11" s="765" t="s">
        <v>283</v>
      </c>
      <c r="AQ11" s="765" t="s">
        <v>283</v>
      </c>
      <c r="AR11" s="765" t="s">
        <v>283</v>
      </c>
      <c r="AS11" s="765" t="s">
        <v>283</v>
      </c>
      <c r="AT11" s="765" t="s">
        <v>283</v>
      </c>
    </row>
    <row r="12" spans="1:46" ht="15">
      <c r="A12" s="765" t="s">
        <v>283</v>
      </c>
      <c r="B12" s="769" t="s">
        <v>283</v>
      </c>
      <c r="C12" s="773" t="s">
        <v>432</v>
      </c>
      <c r="D12" s="774" t="s">
        <v>283</v>
      </c>
      <c r="E12" s="774" t="s">
        <v>283</v>
      </c>
      <c r="F12" s="774" t="s">
        <v>283</v>
      </c>
      <c r="G12" s="774" t="s">
        <v>283</v>
      </c>
      <c r="H12" s="774" t="s">
        <v>283</v>
      </c>
      <c r="I12" s="774" t="s">
        <v>283</v>
      </c>
      <c r="J12" s="774" t="s">
        <v>283</v>
      </c>
      <c r="K12" s="774" t="s">
        <v>283</v>
      </c>
      <c r="L12" s="771"/>
      <c r="M12" s="771"/>
      <c r="N12" s="771"/>
      <c r="O12" s="771"/>
      <c r="P12" s="771"/>
      <c r="Q12" s="771"/>
      <c r="R12" s="771"/>
      <c r="S12" s="771"/>
      <c r="T12" s="771"/>
      <c r="U12" s="771"/>
      <c r="V12" s="772" t="s">
        <v>283</v>
      </c>
      <c r="W12" s="765" t="s">
        <v>283</v>
      </c>
      <c r="X12" s="765" t="s">
        <v>283</v>
      </c>
      <c r="Y12" s="765" t="s">
        <v>283</v>
      </c>
      <c r="Z12" s="765" t="s">
        <v>283</v>
      </c>
      <c r="AA12" s="765" t="s">
        <v>283</v>
      </c>
      <c r="AB12" s="765" t="s">
        <v>283</v>
      </c>
      <c r="AC12" s="765" t="s">
        <v>283</v>
      </c>
      <c r="AD12" s="765" t="s">
        <v>283</v>
      </c>
      <c r="AE12" s="765" t="s">
        <v>283</v>
      </c>
      <c r="AF12" s="765" t="s">
        <v>283</v>
      </c>
      <c r="AG12" s="765" t="s">
        <v>283</v>
      </c>
      <c r="AH12" s="765" t="s">
        <v>283</v>
      </c>
      <c r="AI12" s="765" t="s">
        <v>283</v>
      </c>
      <c r="AJ12" s="765" t="s">
        <v>283</v>
      </c>
      <c r="AK12" s="765" t="s">
        <v>283</v>
      </c>
      <c r="AL12" s="765" t="s">
        <v>283</v>
      </c>
      <c r="AM12" s="765" t="s">
        <v>283</v>
      </c>
      <c r="AN12" s="765" t="s">
        <v>283</v>
      </c>
      <c r="AO12" s="765" t="s">
        <v>283</v>
      </c>
      <c r="AP12" s="765" t="s">
        <v>283</v>
      </c>
      <c r="AQ12" s="765" t="s">
        <v>283</v>
      </c>
      <c r="AR12" s="765" t="s">
        <v>283</v>
      </c>
      <c r="AS12" s="765" t="s">
        <v>283</v>
      </c>
      <c r="AT12" s="765" t="s">
        <v>283</v>
      </c>
    </row>
    <row r="13" spans="1:46" ht="15">
      <c r="A13" s="765" t="s">
        <v>283</v>
      </c>
      <c r="B13" s="769" t="s">
        <v>283</v>
      </c>
      <c r="C13" s="773" t="s">
        <v>433</v>
      </c>
      <c r="D13" s="774" t="s">
        <v>283</v>
      </c>
      <c r="E13" s="774" t="s">
        <v>283</v>
      </c>
      <c r="F13" s="774" t="s">
        <v>283</v>
      </c>
      <c r="G13" s="774" t="s">
        <v>283</v>
      </c>
      <c r="H13" s="774" t="s">
        <v>283</v>
      </c>
      <c r="I13" s="774" t="s">
        <v>283</v>
      </c>
      <c r="J13" s="774" t="s">
        <v>283</v>
      </c>
      <c r="K13" s="774" t="s">
        <v>283</v>
      </c>
      <c r="L13" s="771"/>
      <c r="M13" s="771"/>
      <c r="N13" s="771"/>
      <c r="O13" s="771"/>
      <c r="P13" s="771"/>
      <c r="Q13" s="771"/>
      <c r="R13" s="771"/>
      <c r="S13" s="771"/>
      <c r="T13" s="771"/>
      <c r="U13" s="771"/>
      <c r="V13" s="772" t="s">
        <v>283</v>
      </c>
      <c r="W13" s="765" t="s">
        <v>283</v>
      </c>
      <c r="X13" s="765" t="s">
        <v>283</v>
      </c>
      <c r="Y13" s="765" t="s">
        <v>283</v>
      </c>
      <c r="Z13" s="765" t="s">
        <v>283</v>
      </c>
      <c r="AA13" s="765" t="s">
        <v>283</v>
      </c>
      <c r="AB13" s="765" t="s">
        <v>283</v>
      </c>
      <c r="AC13" s="765" t="s">
        <v>283</v>
      </c>
      <c r="AD13" s="765" t="s">
        <v>283</v>
      </c>
      <c r="AE13" s="765" t="s">
        <v>283</v>
      </c>
      <c r="AF13" s="765" t="s">
        <v>283</v>
      </c>
      <c r="AG13" s="765" t="s">
        <v>283</v>
      </c>
      <c r="AH13" s="765" t="s">
        <v>283</v>
      </c>
      <c r="AI13" s="765" t="s">
        <v>283</v>
      </c>
      <c r="AJ13" s="765" t="s">
        <v>283</v>
      </c>
      <c r="AK13" s="765" t="s">
        <v>283</v>
      </c>
      <c r="AL13" s="765" t="s">
        <v>283</v>
      </c>
      <c r="AM13" s="765" t="s">
        <v>283</v>
      </c>
      <c r="AN13" s="765" t="s">
        <v>283</v>
      </c>
      <c r="AO13" s="765" t="s">
        <v>283</v>
      </c>
      <c r="AP13" s="765" t="s">
        <v>283</v>
      </c>
      <c r="AQ13" s="765" t="s">
        <v>283</v>
      </c>
      <c r="AR13" s="765" t="s">
        <v>283</v>
      </c>
      <c r="AS13" s="765" t="s">
        <v>283</v>
      </c>
      <c r="AT13" s="765" t="s">
        <v>283</v>
      </c>
    </row>
    <row r="14" spans="1:46" ht="15">
      <c r="A14" s="765" t="s">
        <v>283</v>
      </c>
      <c r="B14" s="769" t="s">
        <v>283</v>
      </c>
      <c r="C14" s="773" t="s">
        <v>434</v>
      </c>
      <c r="D14" s="774" t="s">
        <v>283</v>
      </c>
      <c r="E14" s="774" t="s">
        <v>283</v>
      </c>
      <c r="F14" s="774" t="s">
        <v>283</v>
      </c>
      <c r="G14" s="774" t="s">
        <v>283</v>
      </c>
      <c r="H14" s="774" t="s">
        <v>283</v>
      </c>
      <c r="I14" s="774" t="s">
        <v>283</v>
      </c>
      <c r="J14" s="774" t="s">
        <v>283</v>
      </c>
      <c r="K14" s="774" t="s">
        <v>283</v>
      </c>
      <c r="L14" s="771"/>
      <c r="M14" s="771"/>
      <c r="N14" s="771"/>
      <c r="O14" s="771"/>
      <c r="P14" s="771"/>
      <c r="Q14" s="771"/>
      <c r="R14" s="771"/>
      <c r="S14" s="771"/>
      <c r="T14" s="771"/>
      <c r="U14" s="771"/>
      <c r="V14" s="772" t="s">
        <v>283</v>
      </c>
      <c r="W14" s="765" t="s">
        <v>283</v>
      </c>
      <c r="X14" s="765" t="s">
        <v>283</v>
      </c>
      <c r="Y14" s="765" t="s">
        <v>283</v>
      </c>
      <c r="Z14" s="765" t="s">
        <v>283</v>
      </c>
      <c r="AA14" s="765" t="s">
        <v>283</v>
      </c>
      <c r="AB14" s="765" t="s">
        <v>283</v>
      </c>
      <c r="AC14" s="765" t="s">
        <v>283</v>
      </c>
      <c r="AD14" s="765" t="s">
        <v>283</v>
      </c>
      <c r="AE14" s="765" t="s">
        <v>283</v>
      </c>
      <c r="AF14" s="765" t="s">
        <v>283</v>
      </c>
      <c r="AG14" s="765" t="s">
        <v>283</v>
      </c>
      <c r="AH14" s="765" t="s">
        <v>283</v>
      </c>
      <c r="AI14" s="765" t="s">
        <v>283</v>
      </c>
      <c r="AJ14" s="765" t="s">
        <v>283</v>
      </c>
      <c r="AK14" s="765" t="s">
        <v>283</v>
      </c>
      <c r="AL14" s="765" t="s">
        <v>283</v>
      </c>
      <c r="AM14" s="765" t="s">
        <v>283</v>
      </c>
      <c r="AN14" s="765" t="s">
        <v>283</v>
      </c>
      <c r="AO14" s="765" t="s">
        <v>283</v>
      </c>
      <c r="AP14" s="765" t="s">
        <v>283</v>
      </c>
      <c r="AQ14" s="765" t="s">
        <v>283</v>
      </c>
      <c r="AR14" s="765" t="s">
        <v>283</v>
      </c>
      <c r="AS14" s="765" t="s">
        <v>283</v>
      </c>
      <c r="AT14" s="765" t="s">
        <v>283</v>
      </c>
    </row>
    <row r="15" spans="1:46" ht="15">
      <c r="A15" s="765" t="s">
        <v>283</v>
      </c>
      <c r="B15" s="769" t="s">
        <v>283</v>
      </c>
      <c r="C15" s="773" t="s">
        <v>435</v>
      </c>
      <c r="D15" s="780">
        <v>2295500</v>
      </c>
      <c r="E15" s="780">
        <v>2187750</v>
      </c>
      <c r="F15" s="780">
        <v>1448000</v>
      </c>
      <c r="G15" s="780">
        <v>2712000</v>
      </c>
      <c r="H15" s="780">
        <v>1939250</v>
      </c>
      <c r="I15" s="780">
        <v>2544000</v>
      </c>
      <c r="J15" s="780">
        <v>553595</v>
      </c>
      <c r="K15" s="779">
        <v>0.25</v>
      </c>
      <c r="L15" s="771"/>
      <c r="M15" s="783">
        <v>2712000</v>
      </c>
      <c r="N15" s="783">
        <v>2103000</v>
      </c>
      <c r="O15" s="783">
        <v>2488000</v>
      </c>
      <c r="P15" s="783">
        <v>1448000</v>
      </c>
      <c r="Q15" s="773"/>
      <c r="R15" s="773"/>
      <c r="S15" s="773"/>
      <c r="T15" s="773"/>
      <c r="U15" s="773"/>
      <c r="V15" s="772" t="s">
        <v>283</v>
      </c>
      <c r="W15" s="765" t="s">
        <v>283</v>
      </c>
      <c r="X15" s="765" t="s">
        <v>283</v>
      </c>
      <c r="Y15" s="765" t="s">
        <v>283</v>
      </c>
      <c r="Z15" s="765" t="s">
        <v>283</v>
      </c>
      <c r="AA15" s="765" t="s">
        <v>283</v>
      </c>
      <c r="AB15" s="765" t="s">
        <v>283</v>
      </c>
      <c r="AC15" s="765" t="s">
        <v>283</v>
      </c>
      <c r="AD15" s="765" t="s">
        <v>283</v>
      </c>
      <c r="AE15" s="765" t="s">
        <v>283</v>
      </c>
      <c r="AF15" s="765" t="s">
        <v>283</v>
      </c>
      <c r="AG15" s="765" t="s">
        <v>283</v>
      </c>
      <c r="AH15" s="765" t="s">
        <v>283</v>
      </c>
      <c r="AI15" s="765" t="s">
        <v>283</v>
      </c>
      <c r="AJ15" s="765" t="s">
        <v>283</v>
      </c>
      <c r="AK15" s="765" t="s">
        <v>283</v>
      </c>
      <c r="AL15" s="765" t="s">
        <v>283</v>
      </c>
      <c r="AM15" s="765" t="s">
        <v>283</v>
      </c>
      <c r="AN15" s="765" t="s">
        <v>283</v>
      </c>
      <c r="AO15" s="765" t="s">
        <v>283</v>
      </c>
      <c r="AP15" s="765" t="s">
        <v>283</v>
      </c>
      <c r="AQ15" s="765" t="s">
        <v>283</v>
      </c>
      <c r="AR15" s="765" t="s">
        <v>283</v>
      </c>
      <c r="AS15" s="765" t="s">
        <v>283</v>
      </c>
      <c r="AT15" s="765" t="s">
        <v>283</v>
      </c>
    </row>
    <row r="16" spans="1:46" ht="15">
      <c r="A16" s="765" t="s">
        <v>283</v>
      </c>
      <c r="B16" s="769" t="s">
        <v>283</v>
      </c>
      <c r="C16" s="773" t="s">
        <v>436</v>
      </c>
      <c r="D16" s="780">
        <v>685500</v>
      </c>
      <c r="E16" s="780">
        <v>684000</v>
      </c>
      <c r="F16" s="780">
        <v>504000</v>
      </c>
      <c r="G16" s="780">
        <v>861000</v>
      </c>
      <c r="H16" s="780">
        <v>613500</v>
      </c>
      <c r="I16" s="780">
        <v>756000</v>
      </c>
      <c r="J16" s="780">
        <v>148609</v>
      </c>
      <c r="K16" s="779">
        <v>0.22</v>
      </c>
      <c r="L16" s="771"/>
      <c r="M16" s="783">
        <v>721000</v>
      </c>
      <c r="N16" s="783">
        <v>861000</v>
      </c>
      <c r="O16" s="783">
        <v>650000</v>
      </c>
      <c r="P16" s="783">
        <v>504000</v>
      </c>
      <c r="Q16" s="773"/>
      <c r="R16" s="773"/>
      <c r="S16" s="773"/>
      <c r="T16" s="773"/>
      <c r="U16" s="773"/>
      <c r="V16" s="772" t="s">
        <v>283</v>
      </c>
      <c r="W16" s="765" t="s">
        <v>283</v>
      </c>
      <c r="X16" s="765" t="s">
        <v>283</v>
      </c>
      <c r="Y16" s="765" t="s">
        <v>283</v>
      </c>
      <c r="Z16" s="765" t="s">
        <v>283</v>
      </c>
      <c r="AA16" s="765" t="s">
        <v>283</v>
      </c>
      <c r="AB16" s="765" t="s">
        <v>283</v>
      </c>
      <c r="AC16" s="765" t="s">
        <v>283</v>
      </c>
      <c r="AD16" s="765" t="s">
        <v>283</v>
      </c>
      <c r="AE16" s="765" t="s">
        <v>283</v>
      </c>
      <c r="AF16" s="765" t="s">
        <v>283</v>
      </c>
      <c r="AG16" s="765" t="s">
        <v>283</v>
      </c>
      <c r="AH16" s="765" t="s">
        <v>283</v>
      </c>
      <c r="AI16" s="765" t="s">
        <v>283</v>
      </c>
      <c r="AJ16" s="765" t="s">
        <v>283</v>
      </c>
      <c r="AK16" s="765" t="s">
        <v>283</v>
      </c>
      <c r="AL16" s="765" t="s">
        <v>283</v>
      </c>
      <c r="AM16" s="765" t="s">
        <v>283</v>
      </c>
      <c r="AN16" s="765" t="s">
        <v>283</v>
      </c>
      <c r="AO16" s="765" t="s">
        <v>283</v>
      </c>
      <c r="AP16" s="765" t="s">
        <v>283</v>
      </c>
      <c r="AQ16" s="765" t="s">
        <v>283</v>
      </c>
      <c r="AR16" s="765" t="s">
        <v>283</v>
      </c>
      <c r="AS16" s="765" t="s">
        <v>283</v>
      </c>
      <c r="AT16" s="765" t="s">
        <v>283</v>
      </c>
    </row>
    <row r="17" spans="1:46" ht="15">
      <c r="A17" s="765" t="s">
        <v>283</v>
      </c>
      <c r="B17" s="769" t="s">
        <v>283</v>
      </c>
      <c r="C17" s="776" t="s">
        <v>437</v>
      </c>
      <c r="D17" s="787">
        <v>2964000</v>
      </c>
      <c r="E17" s="787">
        <v>2814429</v>
      </c>
      <c r="F17" s="787">
        <v>1372000</v>
      </c>
      <c r="G17" s="787">
        <v>4838000</v>
      </c>
      <c r="H17" s="787">
        <v>1978000</v>
      </c>
      <c r="I17" s="787">
        <v>3285500</v>
      </c>
      <c r="J17" s="787">
        <v>1160870</v>
      </c>
      <c r="K17" s="786">
        <v>0.41</v>
      </c>
      <c r="L17" s="790" t="s">
        <v>283</v>
      </c>
      <c r="M17" s="792">
        <v>3433000</v>
      </c>
      <c r="N17" s="792">
        <v>2964000</v>
      </c>
      <c r="O17" s="792">
        <v>3138000</v>
      </c>
      <c r="P17" s="792">
        <v>1952000</v>
      </c>
      <c r="Q17" s="792">
        <v>4838000</v>
      </c>
      <c r="R17" s="792">
        <v>2004000</v>
      </c>
      <c r="S17" s="792">
        <v>1372000</v>
      </c>
      <c r="T17" s="791" t="s">
        <v>283</v>
      </c>
      <c r="U17" s="791" t="s">
        <v>283</v>
      </c>
      <c r="V17" s="772" t="s">
        <v>283</v>
      </c>
      <c r="W17" s="765" t="s">
        <v>283</v>
      </c>
      <c r="X17" s="765" t="s">
        <v>283</v>
      </c>
      <c r="Y17" s="765" t="s">
        <v>283</v>
      </c>
      <c r="Z17" s="765" t="s">
        <v>283</v>
      </c>
      <c r="AA17" s="765" t="s">
        <v>283</v>
      </c>
      <c r="AB17" s="765" t="s">
        <v>283</v>
      </c>
      <c r="AC17" s="765" t="s">
        <v>283</v>
      </c>
      <c r="AD17" s="765" t="s">
        <v>283</v>
      </c>
      <c r="AE17" s="765" t="s">
        <v>283</v>
      </c>
      <c r="AF17" s="765" t="s">
        <v>283</v>
      </c>
      <c r="AG17" s="765" t="s">
        <v>283</v>
      </c>
      <c r="AH17" s="765" t="s">
        <v>283</v>
      </c>
      <c r="AI17" s="765" t="s">
        <v>283</v>
      </c>
      <c r="AJ17" s="765" t="s">
        <v>283</v>
      </c>
      <c r="AK17" s="765" t="s">
        <v>283</v>
      </c>
      <c r="AL17" s="765" t="s">
        <v>283</v>
      </c>
      <c r="AM17" s="765" t="s">
        <v>283</v>
      </c>
      <c r="AN17" s="765" t="s">
        <v>283</v>
      </c>
      <c r="AO17" s="765" t="s">
        <v>283</v>
      </c>
      <c r="AP17" s="765" t="s">
        <v>283</v>
      </c>
      <c r="AQ17" s="765" t="s">
        <v>283</v>
      </c>
      <c r="AR17" s="765" t="s">
        <v>283</v>
      </c>
      <c r="AS17" s="765" t="s">
        <v>283</v>
      </c>
      <c r="AT17" s="765" t="s">
        <v>283</v>
      </c>
    </row>
    <row r="18" spans="1:46" ht="15">
      <c r="A18" s="765" t="s">
        <v>283</v>
      </c>
      <c r="B18" s="769" t="s">
        <v>283</v>
      </c>
      <c r="C18" s="773" t="s">
        <v>438</v>
      </c>
      <c r="D18" s="774" t="s">
        <v>283</v>
      </c>
      <c r="E18" s="774" t="s">
        <v>283</v>
      </c>
      <c r="F18" s="774" t="s">
        <v>283</v>
      </c>
      <c r="G18" s="774" t="s">
        <v>283</v>
      </c>
      <c r="H18" s="774" t="s">
        <v>283</v>
      </c>
      <c r="I18" s="774" t="s">
        <v>283</v>
      </c>
      <c r="J18" s="774" t="s">
        <v>283</v>
      </c>
      <c r="K18" s="774" t="s">
        <v>283</v>
      </c>
      <c r="L18" s="771"/>
      <c r="M18" s="771"/>
      <c r="N18" s="771"/>
      <c r="O18" s="771"/>
      <c r="P18" s="771"/>
      <c r="Q18" s="771"/>
      <c r="R18" s="771"/>
      <c r="S18" s="771"/>
      <c r="T18" s="771"/>
      <c r="U18" s="771"/>
      <c r="V18" s="772" t="s">
        <v>283</v>
      </c>
      <c r="W18" s="765" t="s">
        <v>283</v>
      </c>
      <c r="X18" s="765" t="s">
        <v>283</v>
      </c>
      <c r="Y18" s="765" t="s">
        <v>283</v>
      </c>
      <c r="Z18" s="765" t="s">
        <v>283</v>
      </c>
      <c r="AA18" s="765" t="s">
        <v>283</v>
      </c>
      <c r="AB18" s="765" t="s">
        <v>283</v>
      </c>
      <c r="AC18" s="765" t="s">
        <v>283</v>
      </c>
      <c r="AD18" s="765" t="s">
        <v>283</v>
      </c>
      <c r="AE18" s="765" t="s">
        <v>283</v>
      </c>
      <c r="AF18" s="765" t="s">
        <v>283</v>
      </c>
      <c r="AG18" s="765" t="s">
        <v>283</v>
      </c>
      <c r="AH18" s="765" t="s">
        <v>283</v>
      </c>
      <c r="AI18" s="765" t="s">
        <v>283</v>
      </c>
      <c r="AJ18" s="765" t="s">
        <v>283</v>
      </c>
      <c r="AK18" s="765" t="s">
        <v>283</v>
      </c>
      <c r="AL18" s="765" t="s">
        <v>283</v>
      </c>
      <c r="AM18" s="765" t="s">
        <v>283</v>
      </c>
      <c r="AN18" s="765" t="s">
        <v>283</v>
      </c>
      <c r="AO18" s="765" t="s">
        <v>283</v>
      </c>
      <c r="AP18" s="765" t="s">
        <v>283</v>
      </c>
      <c r="AQ18" s="765" t="s">
        <v>283</v>
      </c>
      <c r="AR18" s="765" t="s">
        <v>283</v>
      </c>
      <c r="AS18" s="765" t="s">
        <v>283</v>
      </c>
      <c r="AT18" s="765" t="s">
        <v>283</v>
      </c>
    </row>
    <row r="19" spans="1:46" ht="15">
      <c r="A19" s="765" t="s">
        <v>283</v>
      </c>
      <c r="B19" s="769" t="s">
        <v>283</v>
      </c>
      <c r="C19" s="773" t="s">
        <v>439</v>
      </c>
      <c r="D19" s="780">
        <v>22000</v>
      </c>
      <c r="E19" s="780">
        <v>22000</v>
      </c>
      <c r="F19" s="780">
        <v>22000</v>
      </c>
      <c r="G19" s="780">
        <v>22000</v>
      </c>
      <c r="H19" s="780">
        <v>22000</v>
      </c>
      <c r="I19" s="780">
        <v>22000</v>
      </c>
      <c r="J19" s="779" t="s">
        <v>283</v>
      </c>
      <c r="K19" s="779" t="s">
        <v>283</v>
      </c>
      <c r="L19" s="771"/>
      <c r="M19" s="783">
        <v>22000</v>
      </c>
      <c r="N19" s="773"/>
      <c r="O19" s="773"/>
      <c r="P19" s="773"/>
      <c r="Q19" s="773"/>
      <c r="R19" s="773"/>
      <c r="S19" s="773"/>
      <c r="T19" s="773"/>
      <c r="U19" s="773"/>
      <c r="V19" s="772" t="s">
        <v>283</v>
      </c>
      <c r="W19" s="765" t="s">
        <v>283</v>
      </c>
      <c r="X19" s="765" t="s">
        <v>283</v>
      </c>
      <c r="Y19" s="765" t="s">
        <v>283</v>
      </c>
      <c r="Z19" s="765" t="s">
        <v>283</v>
      </c>
      <c r="AA19" s="765" t="s">
        <v>283</v>
      </c>
      <c r="AB19" s="765" t="s">
        <v>283</v>
      </c>
      <c r="AC19" s="765" t="s">
        <v>283</v>
      </c>
      <c r="AD19" s="765" t="s">
        <v>283</v>
      </c>
      <c r="AE19" s="765" t="s">
        <v>283</v>
      </c>
      <c r="AF19" s="765" t="s">
        <v>283</v>
      </c>
      <c r="AG19" s="765" t="s">
        <v>283</v>
      </c>
      <c r="AH19" s="765" t="s">
        <v>283</v>
      </c>
      <c r="AI19" s="765" t="s">
        <v>283</v>
      </c>
      <c r="AJ19" s="765" t="s">
        <v>283</v>
      </c>
      <c r="AK19" s="765" t="s">
        <v>283</v>
      </c>
      <c r="AL19" s="765" t="s">
        <v>283</v>
      </c>
      <c r="AM19" s="765" t="s">
        <v>283</v>
      </c>
      <c r="AN19" s="765" t="s">
        <v>283</v>
      </c>
      <c r="AO19" s="765" t="s">
        <v>283</v>
      </c>
      <c r="AP19" s="765" t="s">
        <v>283</v>
      </c>
      <c r="AQ19" s="765" t="s">
        <v>283</v>
      </c>
      <c r="AR19" s="765" t="s">
        <v>283</v>
      </c>
      <c r="AS19" s="765" t="s">
        <v>283</v>
      </c>
      <c r="AT19" s="765" t="s">
        <v>283</v>
      </c>
    </row>
    <row r="20" spans="1:46" ht="15">
      <c r="A20" s="765" t="s">
        <v>283</v>
      </c>
      <c r="B20" s="769" t="s">
        <v>283</v>
      </c>
      <c r="C20" s="773" t="s">
        <v>440</v>
      </c>
      <c r="D20" s="780">
        <v>2665000</v>
      </c>
      <c r="E20" s="780">
        <v>2404857</v>
      </c>
      <c r="F20" s="780">
        <v>1243000</v>
      </c>
      <c r="G20" s="780">
        <v>3349000</v>
      </c>
      <c r="H20" s="780">
        <v>1601500</v>
      </c>
      <c r="I20" s="780">
        <v>3187000</v>
      </c>
      <c r="J20" s="780">
        <v>914066</v>
      </c>
      <c r="K20" s="779">
        <v>0.38</v>
      </c>
      <c r="L20" s="771"/>
      <c r="M20" s="783">
        <v>3349000</v>
      </c>
      <c r="N20" s="783">
        <v>2665000</v>
      </c>
      <c r="O20" s="783">
        <v>1905000</v>
      </c>
      <c r="P20" s="783">
        <v>3134000</v>
      </c>
      <c r="Q20" s="783">
        <v>3240000</v>
      </c>
      <c r="R20" s="783">
        <v>1298000</v>
      </c>
      <c r="S20" s="783">
        <v>1243000</v>
      </c>
      <c r="T20" s="773"/>
      <c r="U20" s="773"/>
      <c r="V20" s="772" t="s">
        <v>283</v>
      </c>
      <c r="W20" s="765" t="s">
        <v>283</v>
      </c>
      <c r="X20" s="765" t="s">
        <v>283</v>
      </c>
      <c r="Y20" s="765" t="s">
        <v>283</v>
      </c>
      <c r="Z20" s="765" t="s">
        <v>283</v>
      </c>
      <c r="AA20" s="765" t="s">
        <v>283</v>
      </c>
      <c r="AB20" s="765" t="s">
        <v>283</v>
      </c>
      <c r="AC20" s="765" t="s">
        <v>283</v>
      </c>
      <c r="AD20" s="765" t="s">
        <v>283</v>
      </c>
      <c r="AE20" s="765" t="s">
        <v>283</v>
      </c>
      <c r="AF20" s="765" t="s">
        <v>283</v>
      </c>
      <c r="AG20" s="765" t="s">
        <v>283</v>
      </c>
      <c r="AH20" s="765" t="s">
        <v>283</v>
      </c>
      <c r="AI20" s="765" t="s">
        <v>283</v>
      </c>
      <c r="AJ20" s="765" t="s">
        <v>283</v>
      </c>
      <c r="AK20" s="765" t="s">
        <v>283</v>
      </c>
      <c r="AL20" s="765" t="s">
        <v>283</v>
      </c>
      <c r="AM20" s="765" t="s">
        <v>283</v>
      </c>
      <c r="AN20" s="765" t="s">
        <v>283</v>
      </c>
      <c r="AO20" s="765" t="s">
        <v>283</v>
      </c>
      <c r="AP20" s="765" t="s">
        <v>283</v>
      </c>
      <c r="AQ20" s="765" t="s">
        <v>283</v>
      </c>
      <c r="AR20" s="765" t="s">
        <v>283</v>
      </c>
      <c r="AS20" s="765" t="s">
        <v>283</v>
      </c>
      <c r="AT20" s="765" t="s">
        <v>283</v>
      </c>
    </row>
    <row r="21" spans="1:46" ht="15">
      <c r="A21" s="765" t="s">
        <v>283</v>
      </c>
      <c r="B21" s="769" t="s">
        <v>283</v>
      </c>
      <c r="C21" s="776" t="s">
        <v>441</v>
      </c>
      <c r="D21" s="787">
        <v>2665000</v>
      </c>
      <c r="E21" s="787">
        <v>2408000</v>
      </c>
      <c r="F21" s="787">
        <v>1243000</v>
      </c>
      <c r="G21" s="787">
        <v>3371000</v>
      </c>
      <c r="H21" s="787">
        <v>1601500</v>
      </c>
      <c r="I21" s="787">
        <v>3187000</v>
      </c>
      <c r="J21" s="787">
        <v>917883</v>
      </c>
      <c r="K21" s="786">
        <v>0.38</v>
      </c>
      <c r="L21" s="790" t="s">
        <v>283</v>
      </c>
      <c r="M21" s="792">
        <v>3371000</v>
      </c>
      <c r="N21" s="792">
        <v>2665000</v>
      </c>
      <c r="O21" s="792">
        <v>1905000</v>
      </c>
      <c r="P21" s="792">
        <v>3134000</v>
      </c>
      <c r="Q21" s="792">
        <v>3240000</v>
      </c>
      <c r="R21" s="792">
        <v>1298000</v>
      </c>
      <c r="S21" s="792">
        <v>1243000</v>
      </c>
      <c r="T21" s="791" t="s">
        <v>283</v>
      </c>
      <c r="U21" s="791" t="s">
        <v>283</v>
      </c>
      <c r="V21" s="772" t="s">
        <v>283</v>
      </c>
      <c r="W21" s="765" t="s">
        <v>283</v>
      </c>
      <c r="X21" s="765" t="s">
        <v>283</v>
      </c>
      <c r="Y21" s="765" t="s">
        <v>283</v>
      </c>
      <c r="Z21" s="765" t="s">
        <v>283</v>
      </c>
      <c r="AA21" s="765" t="s">
        <v>283</v>
      </c>
      <c r="AB21" s="765" t="s">
        <v>283</v>
      </c>
      <c r="AC21" s="765" t="s">
        <v>283</v>
      </c>
      <c r="AD21" s="765" t="s">
        <v>283</v>
      </c>
      <c r="AE21" s="765" t="s">
        <v>283</v>
      </c>
      <c r="AF21" s="765" t="s">
        <v>283</v>
      </c>
      <c r="AG21" s="765" t="s">
        <v>283</v>
      </c>
      <c r="AH21" s="765" t="s">
        <v>283</v>
      </c>
      <c r="AI21" s="765" t="s">
        <v>283</v>
      </c>
      <c r="AJ21" s="765" t="s">
        <v>283</v>
      </c>
      <c r="AK21" s="765" t="s">
        <v>283</v>
      </c>
      <c r="AL21" s="765" t="s">
        <v>283</v>
      </c>
      <c r="AM21" s="765" t="s">
        <v>283</v>
      </c>
      <c r="AN21" s="765" t="s">
        <v>283</v>
      </c>
      <c r="AO21" s="765" t="s">
        <v>283</v>
      </c>
      <c r="AP21" s="765" t="s">
        <v>283</v>
      </c>
      <c r="AQ21" s="765" t="s">
        <v>283</v>
      </c>
      <c r="AR21" s="765" t="s">
        <v>283</v>
      </c>
      <c r="AS21" s="765" t="s">
        <v>283</v>
      </c>
      <c r="AT21" s="765" t="s">
        <v>283</v>
      </c>
    </row>
    <row r="22" spans="1:46" ht="15">
      <c r="A22" s="765" t="s">
        <v>283</v>
      </c>
      <c r="B22" s="769" t="s">
        <v>283</v>
      </c>
      <c r="C22" s="776" t="s">
        <v>442</v>
      </c>
      <c r="D22" s="787">
        <v>5086000</v>
      </c>
      <c r="E22" s="787">
        <v>5222429</v>
      </c>
      <c r="F22" s="787">
        <v>2615000</v>
      </c>
      <c r="G22" s="787">
        <v>8078000</v>
      </c>
      <c r="H22" s="787">
        <v>4172500</v>
      </c>
      <c r="I22" s="787">
        <v>6216500</v>
      </c>
      <c r="J22" s="787">
        <v>1886730</v>
      </c>
      <c r="K22" s="786">
        <v>0.36</v>
      </c>
      <c r="L22" s="790" t="s">
        <v>283</v>
      </c>
      <c r="M22" s="792">
        <v>6804000</v>
      </c>
      <c r="N22" s="792">
        <v>5629000</v>
      </c>
      <c r="O22" s="792">
        <v>5043000</v>
      </c>
      <c r="P22" s="792">
        <v>5086000</v>
      </c>
      <c r="Q22" s="792">
        <v>8078000</v>
      </c>
      <c r="R22" s="792">
        <v>3302000</v>
      </c>
      <c r="S22" s="792">
        <v>2615000</v>
      </c>
      <c r="T22" s="791" t="s">
        <v>283</v>
      </c>
      <c r="U22" s="791" t="s">
        <v>283</v>
      </c>
      <c r="V22" s="772" t="s">
        <v>283</v>
      </c>
      <c r="W22" s="765" t="s">
        <v>283</v>
      </c>
      <c r="X22" s="765" t="s">
        <v>283</v>
      </c>
      <c r="Y22" s="765" t="s">
        <v>283</v>
      </c>
      <c r="Z22" s="765" t="s">
        <v>283</v>
      </c>
      <c r="AA22" s="765" t="s">
        <v>283</v>
      </c>
      <c r="AB22" s="765" t="s">
        <v>283</v>
      </c>
      <c r="AC22" s="765" t="s">
        <v>283</v>
      </c>
      <c r="AD22" s="765" t="s">
        <v>283</v>
      </c>
      <c r="AE22" s="765" t="s">
        <v>283</v>
      </c>
      <c r="AF22" s="765" t="s">
        <v>283</v>
      </c>
      <c r="AG22" s="765" t="s">
        <v>283</v>
      </c>
      <c r="AH22" s="765" t="s">
        <v>283</v>
      </c>
      <c r="AI22" s="765" t="s">
        <v>283</v>
      </c>
      <c r="AJ22" s="765" t="s">
        <v>283</v>
      </c>
      <c r="AK22" s="765" t="s">
        <v>283</v>
      </c>
      <c r="AL22" s="765" t="s">
        <v>283</v>
      </c>
      <c r="AM22" s="765" t="s">
        <v>283</v>
      </c>
      <c r="AN22" s="765" t="s">
        <v>283</v>
      </c>
      <c r="AO22" s="765" t="s">
        <v>283</v>
      </c>
      <c r="AP22" s="765" t="s">
        <v>283</v>
      </c>
      <c r="AQ22" s="765" t="s">
        <v>283</v>
      </c>
      <c r="AR22" s="765" t="s">
        <v>283</v>
      </c>
      <c r="AS22" s="765" t="s">
        <v>283</v>
      </c>
      <c r="AT22" s="765" t="s">
        <v>283</v>
      </c>
    </row>
    <row r="23" spans="1:46" ht="15">
      <c r="A23" s="765" t="s">
        <v>283</v>
      </c>
      <c r="B23" s="769" t="s">
        <v>283</v>
      </c>
      <c r="C23" s="773" t="s">
        <v>443</v>
      </c>
      <c r="D23" s="780">
        <v>153000</v>
      </c>
      <c r="E23" s="780">
        <v>153667</v>
      </c>
      <c r="F23" s="780">
        <v>139000</v>
      </c>
      <c r="G23" s="780">
        <v>169000</v>
      </c>
      <c r="H23" s="780">
        <v>146000</v>
      </c>
      <c r="I23" s="780">
        <v>161000</v>
      </c>
      <c r="J23" s="780">
        <v>15011</v>
      </c>
      <c r="K23" s="779">
        <v>0.1</v>
      </c>
      <c r="L23" s="771"/>
      <c r="M23" s="773"/>
      <c r="N23" s="773"/>
      <c r="O23" s="773"/>
      <c r="P23" s="773"/>
      <c r="Q23" s="783">
        <v>153000</v>
      </c>
      <c r="R23" s="783">
        <v>169000</v>
      </c>
      <c r="S23" s="783">
        <v>139000</v>
      </c>
      <c r="T23" s="773"/>
      <c r="U23" s="773"/>
      <c r="V23" s="772" t="s">
        <v>283</v>
      </c>
      <c r="W23" s="765" t="s">
        <v>283</v>
      </c>
      <c r="X23" s="765" t="s">
        <v>283</v>
      </c>
      <c r="Y23" s="765" t="s">
        <v>283</v>
      </c>
      <c r="Z23" s="765" t="s">
        <v>283</v>
      </c>
      <c r="AA23" s="765" t="s">
        <v>283</v>
      </c>
      <c r="AB23" s="765" t="s">
        <v>283</v>
      </c>
      <c r="AC23" s="765" t="s">
        <v>283</v>
      </c>
      <c r="AD23" s="765" t="s">
        <v>283</v>
      </c>
      <c r="AE23" s="765" t="s">
        <v>283</v>
      </c>
      <c r="AF23" s="765" t="s">
        <v>283</v>
      </c>
      <c r="AG23" s="765" t="s">
        <v>283</v>
      </c>
      <c r="AH23" s="765" t="s">
        <v>283</v>
      </c>
      <c r="AI23" s="765" t="s">
        <v>283</v>
      </c>
      <c r="AJ23" s="765" t="s">
        <v>283</v>
      </c>
      <c r="AK23" s="765" t="s">
        <v>283</v>
      </c>
      <c r="AL23" s="765" t="s">
        <v>283</v>
      </c>
      <c r="AM23" s="765" t="s">
        <v>283</v>
      </c>
      <c r="AN23" s="765" t="s">
        <v>283</v>
      </c>
      <c r="AO23" s="765" t="s">
        <v>283</v>
      </c>
      <c r="AP23" s="765" t="s">
        <v>283</v>
      </c>
      <c r="AQ23" s="765" t="s">
        <v>283</v>
      </c>
      <c r="AR23" s="765" t="s">
        <v>283</v>
      </c>
      <c r="AS23" s="765" t="s">
        <v>283</v>
      </c>
      <c r="AT23" s="765" t="s">
        <v>283</v>
      </c>
    </row>
    <row r="24" spans="1:46" ht="15">
      <c r="A24" s="765" t="s">
        <v>283</v>
      </c>
      <c r="B24" s="769" t="s">
        <v>283</v>
      </c>
      <c r="C24" s="773" t="s">
        <v>444</v>
      </c>
      <c r="D24" s="780">
        <v>48000</v>
      </c>
      <c r="E24" s="780">
        <v>36429</v>
      </c>
      <c r="F24" s="780">
        <v>3000</v>
      </c>
      <c r="G24" s="780">
        <v>87000</v>
      </c>
      <c r="H24" s="780">
        <v>4500</v>
      </c>
      <c r="I24" s="780">
        <v>54000</v>
      </c>
      <c r="J24" s="780">
        <v>32954</v>
      </c>
      <c r="K24" s="779">
        <v>0.9</v>
      </c>
      <c r="L24" s="771"/>
      <c r="M24" s="783">
        <v>87000</v>
      </c>
      <c r="N24" s="783">
        <v>59000</v>
      </c>
      <c r="O24" s="783">
        <v>49000</v>
      </c>
      <c r="P24" s="783">
        <v>48000</v>
      </c>
      <c r="Q24" s="783">
        <v>4000</v>
      </c>
      <c r="R24" s="783">
        <v>3000</v>
      </c>
      <c r="S24" s="783">
        <v>5000</v>
      </c>
      <c r="T24" s="773"/>
      <c r="U24" s="773"/>
      <c r="V24" s="772" t="s">
        <v>283</v>
      </c>
      <c r="W24" s="765" t="s">
        <v>283</v>
      </c>
      <c r="X24" s="765" t="s">
        <v>283</v>
      </c>
      <c r="Y24" s="765" t="s">
        <v>283</v>
      </c>
      <c r="Z24" s="765" t="s">
        <v>283</v>
      </c>
      <c r="AA24" s="765" t="s">
        <v>283</v>
      </c>
      <c r="AB24" s="765" t="s">
        <v>283</v>
      </c>
      <c r="AC24" s="765" t="s">
        <v>283</v>
      </c>
      <c r="AD24" s="765" t="s">
        <v>283</v>
      </c>
      <c r="AE24" s="765" t="s">
        <v>283</v>
      </c>
      <c r="AF24" s="765" t="s">
        <v>283</v>
      </c>
      <c r="AG24" s="765" t="s">
        <v>283</v>
      </c>
      <c r="AH24" s="765" t="s">
        <v>283</v>
      </c>
      <c r="AI24" s="765" t="s">
        <v>283</v>
      </c>
      <c r="AJ24" s="765" t="s">
        <v>283</v>
      </c>
      <c r="AK24" s="765" t="s">
        <v>283</v>
      </c>
      <c r="AL24" s="765" t="s">
        <v>283</v>
      </c>
      <c r="AM24" s="765" t="s">
        <v>283</v>
      </c>
      <c r="AN24" s="765" t="s">
        <v>283</v>
      </c>
      <c r="AO24" s="765" t="s">
        <v>283</v>
      </c>
      <c r="AP24" s="765" t="s">
        <v>283</v>
      </c>
      <c r="AQ24" s="765" t="s">
        <v>283</v>
      </c>
      <c r="AR24" s="765" t="s">
        <v>283</v>
      </c>
      <c r="AS24" s="765" t="s">
        <v>283</v>
      </c>
      <c r="AT24" s="765" t="s">
        <v>283</v>
      </c>
    </row>
    <row r="25" spans="1:46" ht="15">
      <c r="A25" s="765" t="s">
        <v>283</v>
      </c>
      <c r="B25" s="769" t="s">
        <v>283</v>
      </c>
      <c r="C25" s="773" t="s">
        <v>445</v>
      </c>
      <c r="D25" s="774" t="s">
        <v>283</v>
      </c>
      <c r="E25" s="774" t="s">
        <v>283</v>
      </c>
      <c r="F25" s="774" t="s">
        <v>283</v>
      </c>
      <c r="G25" s="774" t="s">
        <v>283</v>
      </c>
      <c r="H25" s="774" t="s">
        <v>283</v>
      </c>
      <c r="I25" s="774" t="s">
        <v>283</v>
      </c>
      <c r="J25" s="774" t="s">
        <v>283</v>
      </c>
      <c r="K25" s="774" t="s">
        <v>283</v>
      </c>
      <c r="L25" s="771"/>
      <c r="M25" s="771"/>
      <c r="N25" s="771"/>
      <c r="O25" s="771"/>
      <c r="P25" s="771"/>
      <c r="Q25" s="771"/>
      <c r="R25" s="771"/>
      <c r="S25" s="771"/>
      <c r="T25" s="771"/>
      <c r="U25" s="771"/>
      <c r="V25" s="772" t="s">
        <v>283</v>
      </c>
      <c r="W25" s="765" t="s">
        <v>283</v>
      </c>
      <c r="X25" s="765" t="s">
        <v>283</v>
      </c>
      <c r="Y25" s="765" t="s">
        <v>283</v>
      </c>
      <c r="Z25" s="765" t="s">
        <v>283</v>
      </c>
      <c r="AA25" s="765" t="s">
        <v>283</v>
      </c>
      <c r="AB25" s="765" t="s">
        <v>283</v>
      </c>
      <c r="AC25" s="765" t="s">
        <v>283</v>
      </c>
      <c r="AD25" s="765" t="s">
        <v>283</v>
      </c>
      <c r="AE25" s="765" t="s">
        <v>283</v>
      </c>
      <c r="AF25" s="765" t="s">
        <v>283</v>
      </c>
      <c r="AG25" s="765" t="s">
        <v>283</v>
      </c>
      <c r="AH25" s="765" t="s">
        <v>283</v>
      </c>
      <c r="AI25" s="765" t="s">
        <v>283</v>
      </c>
      <c r="AJ25" s="765" t="s">
        <v>283</v>
      </c>
      <c r="AK25" s="765" t="s">
        <v>283</v>
      </c>
      <c r="AL25" s="765" t="s">
        <v>283</v>
      </c>
      <c r="AM25" s="765" t="s">
        <v>283</v>
      </c>
      <c r="AN25" s="765" t="s">
        <v>283</v>
      </c>
      <c r="AO25" s="765" t="s">
        <v>283</v>
      </c>
      <c r="AP25" s="765" t="s">
        <v>283</v>
      </c>
      <c r="AQ25" s="765" t="s">
        <v>283</v>
      </c>
      <c r="AR25" s="765" t="s">
        <v>283</v>
      </c>
      <c r="AS25" s="765" t="s">
        <v>283</v>
      </c>
      <c r="AT25" s="765" t="s">
        <v>283</v>
      </c>
    </row>
    <row r="26" spans="1:46" ht="15">
      <c r="A26" s="765" t="s">
        <v>283</v>
      </c>
      <c r="B26" s="769" t="s">
        <v>283</v>
      </c>
      <c r="C26" s="773" t="s">
        <v>446</v>
      </c>
      <c r="D26" s="774" t="s">
        <v>283</v>
      </c>
      <c r="E26" s="774" t="s">
        <v>283</v>
      </c>
      <c r="F26" s="774" t="s">
        <v>283</v>
      </c>
      <c r="G26" s="774" t="s">
        <v>283</v>
      </c>
      <c r="H26" s="774" t="s">
        <v>283</v>
      </c>
      <c r="I26" s="774" t="s">
        <v>283</v>
      </c>
      <c r="J26" s="774" t="s">
        <v>283</v>
      </c>
      <c r="K26" s="774" t="s">
        <v>283</v>
      </c>
      <c r="L26" s="771"/>
      <c r="M26" s="771"/>
      <c r="N26" s="771"/>
      <c r="O26" s="771"/>
      <c r="P26" s="771"/>
      <c r="Q26" s="771"/>
      <c r="R26" s="771"/>
      <c r="S26" s="771"/>
      <c r="T26" s="771"/>
      <c r="U26" s="771"/>
      <c r="V26" s="772" t="s">
        <v>283</v>
      </c>
      <c r="W26" s="765" t="s">
        <v>283</v>
      </c>
      <c r="X26" s="765" t="s">
        <v>283</v>
      </c>
      <c r="Y26" s="765" t="s">
        <v>283</v>
      </c>
      <c r="Z26" s="765" t="s">
        <v>283</v>
      </c>
      <c r="AA26" s="765" t="s">
        <v>283</v>
      </c>
      <c r="AB26" s="765" t="s">
        <v>283</v>
      </c>
      <c r="AC26" s="765" t="s">
        <v>283</v>
      </c>
      <c r="AD26" s="765" t="s">
        <v>283</v>
      </c>
      <c r="AE26" s="765" t="s">
        <v>283</v>
      </c>
      <c r="AF26" s="765" t="s">
        <v>283</v>
      </c>
      <c r="AG26" s="765" t="s">
        <v>283</v>
      </c>
      <c r="AH26" s="765" t="s">
        <v>283</v>
      </c>
      <c r="AI26" s="765" t="s">
        <v>283</v>
      </c>
      <c r="AJ26" s="765" t="s">
        <v>283</v>
      </c>
      <c r="AK26" s="765" t="s">
        <v>283</v>
      </c>
      <c r="AL26" s="765" t="s">
        <v>283</v>
      </c>
      <c r="AM26" s="765" t="s">
        <v>283</v>
      </c>
      <c r="AN26" s="765" t="s">
        <v>283</v>
      </c>
      <c r="AO26" s="765" t="s">
        <v>283</v>
      </c>
      <c r="AP26" s="765" t="s">
        <v>283</v>
      </c>
      <c r="AQ26" s="765" t="s">
        <v>283</v>
      </c>
      <c r="AR26" s="765" t="s">
        <v>283</v>
      </c>
      <c r="AS26" s="765" t="s">
        <v>283</v>
      </c>
      <c r="AT26" s="765" t="s">
        <v>283</v>
      </c>
    </row>
    <row r="27" spans="1:46" ht="15">
      <c r="A27" s="765" t="s">
        <v>283</v>
      </c>
      <c r="B27" s="769" t="s">
        <v>283</v>
      </c>
      <c r="C27" s="773" t="s">
        <v>447</v>
      </c>
      <c r="D27" s="780">
        <v>124000</v>
      </c>
      <c r="E27" s="780">
        <v>132429</v>
      </c>
      <c r="F27" s="780">
        <v>95000</v>
      </c>
      <c r="G27" s="780">
        <v>169000</v>
      </c>
      <c r="H27" s="780">
        <v>118500</v>
      </c>
      <c r="I27" s="780">
        <v>151000</v>
      </c>
      <c r="J27" s="780">
        <v>26114</v>
      </c>
      <c r="K27" s="779">
        <v>0.2</v>
      </c>
      <c r="L27" s="771"/>
      <c r="M27" s="783">
        <v>169000</v>
      </c>
      <c r="N27" s="783">
        <v>161000</v>
      </c>
      <c r="O27" s="783">
        <v>141000</v>
      </c>
      <c r="P27" s="783">
        <v>120000</v>
      </c>
      <c r="Q27" s="783">
        <v>117000</v>
      </c>
      <c r="R27" s="783">
        <v>124000</v>
      </c>
      <c r="S27" s="783">
        <v>95000</v>
      </c>
      <c r="T27" s="773"/>
      <c r="U27" s="773"/>
      <c r="V27" s="772" t="s">
        <v>283</v>
      </c>
      <c r="W27" s="765" t="s">
        <v>283</v>
      </c>
      <c r="X27" s="765" t="s">
        <v>283</v>
      </c>
      <c r="Y27" s="765" t="s">
        <v>283</v>
      </c>
      <c r="Z27" s="765" t="s">
        <v>283</v>
      </c>
      <c r="AA27" s="765" t="s">
        <v>283</v>
      </c>
      <c r="AB27" s="765" t="s">
        <v>283</v>
      </c>
      <c r="AC27" s="765" t="s">
        <v>283</v>
      </c>
      <c r="AD27" s="765" t="s">
        <v>283</v>
      </c>
      <c r="AE27" s="765" t="s">
        <v>283</v>
      </c>
      <c r="AF27" s="765" t="s">
        <v>283</v>
      </c>
      <c r="AG27" s="765" t="s">
        <v>283</v>
      </c>
      <c r="AH27" s="765" t="s">
        <v>283</v>
      </c>
      <c r="AI27" s="765" t="s">
        <v>283</v>
      </c>
      <c r="AJ27" s="765" t="s">
        <v>283</v>
      </c>
      <c r="AK27" s="765" t="s">
        <v>283</v>
      </c>
      <c r="AL27" s="765" t="s">
        <v>283</v>
      </c>
      <c r="AM27" s="765" t="s">
        <v>283</v>
      </c>
      <c r="AN27" s="765" t="s">
        <v>283</v>
      </c>
      <c r="AO27" s="765" t="s">
        <v>283</v>
      </c>
      <c r="AP27" s="765" t="s">
        <v>283</v>
      </c>
      <c r="AQ27" s="765" t="s">
        <v>283</v>
      </c>
      <c r="AR27" s="765" t="s">
        <v>283</v>
      </c>
      <c r="AS27" s="765" t="s">
        <v>283</v>
      </c>
      <c r="AT27" s="765" t="s">
        <v>283</v>
      </c>
    </row>
    <row r="28" spans="1:46" ht="15">
      <c r="A28" s="765" t="s">
        <v>283</v>
      </c>
      <c r="B28" s="769" t="s">
        <v>283</v>
      </c>
      <c r="C28" s="773" t="s">
        <v>448</v>
      </c>
      <c r="D28" s="782">
        <v>-23000</v>
      </c>
      <c r="E28" s="782">
        <v>-26571</v>
      </c>
      <c r="F28" s="782">
        <v>-40000</v>
      </c>
      <c r="G28" s="782">
        <v>-20000</v>
      </c>
      <c r="H28" s="782">
        <v>-29500</v>
      </c>
      <c r="I28" s="782">
        <v>-22000</v>
      </c>
      <c r="J28" s="780">
        <v>7300</v>
      </c>
      <c r="K28" s="781">
        <v>-0.27</v>
      </c>
      <c r="L28" s="771"/>
      <c r="M28" s="785">
        <v>-33000</v>
      </c>
      <c r="N28" s="785">
        <v>-23000</v>
      </c>
      <c r="O28" s="785">
        <v>-22000</v>
      </c>
      <c r="P28" s="785">
        <v>-20000</v>
      </c>
      <c r="Q28" s="785">
        <v>-22000</v>
      </c>
      <c r="R28" s="785">
        <v>-40000</v>
      </c>
      <c r="S28" s="785">
        <v>-26000</v>
      </c>
      <c r="T28" s="773"/>
      <c r="U28" s="773"/>
      <c r="V28" s="772" t="s">
        <v>283</v>
      </c>
      <c r="W28" s="765" t="s">
        <v>283</v>
      </c>
      <c r="X28" s="765" t="s">
        <v>283</v>
      </c>
      <c r="Y28" s="765" t="s">
        <v>283</v>
      </c>
      <c r="Z28" s="765" t="s">
        <v>283</v>
      </c>
      <c r="AA28" s="765" t="s">
        <v>283</v>
      </c>
      <c r="AB28" s="765" t="s">
        <v>283</v>
      </c>
      <c r="AC28" s="765" t="s">
        <v>283</v>
      </c>
      <c r="AD28" s="765" t="s">
        <v>283</v>
      </c>
      <c r="AE28" s="765" t="s">
        <v>283</v>
      </c>
      <c r="AF28" s="765" t="s">
        <v>283</v>
      </c>
      <c r="AG28" s="765" t="s">
        <v>283</v>
      </c>
      <c r="AH28" s="765" t="s">
        <v>283</v>
      </c>
      <c r="AI28" s="765" t="s">
        <v>283</v>
      </c>
      <c r="AJ28" s="765" t="s">
        <v>283</v>
      </c>
      <c r="AK28" s="765" t="s">
        <v>283</v>
      </c>
      <c r="AL28" s="765" t="s">
        <v>283</v>
      </c>
      <c r="AM28" s="765" t="s">
        <v>283</v>
      </c>
      <c r="AN28" s="765" t="s">
        <v>283</v>
      </c>
      <c r="AO28" s="765" t="s">
        <v>283</v>
      </c>
      <c r="AP28" s="765" t="s">
        <v>283</v>
      </c>
      <c r="AQ28" s="765" t="s">
        <v>283</v>
      </c>
      <c r="AR28" s="765" t="s">
        <v>283</v>
      </c>
      <c r="AS28" s="765" t="s">
        <v>283</v>
      </c>
      <c r="AT28" s="765" t="s">
        <v>283</v>
      </c>
    </row>
    <row r="29" spans="1:46" ht="15">
      <c r="A29" s="765" t="s">
        <v>283</v>
      </c>
      <c r="B29" s="769" t="s">
        <v>283</v>
      </c>
      <c r="C29" s="776" t="s">
        <v>449</v>
      </c>
      <c r="D29" s="787">
        <v>100000</v>
      </c>
      <c r="E29" s="787">
        <v>105857</v>
      </c>
      <c r="F29" s="787">
        <v>69000</v>
      </c>
      <c r="G29" s="787">
        <v>138000</v>
      </c>
      <c r="H29" s="787">
        <v>89500</v>
      </c>
      <c r="I29" s="787">
        <v>127500</v>
      </c>
      <c r="J29" s="787">
        <v>26150</v>
      </c>
      <c r="K29" s="786">
        <v>0.25</v>
      </c>
      <c r="L29" s="790" t="s">
        <v>283</v>
      </c>
      <c r="M29" s="792">
        <v>136000</v>
      </c>
      <c r="N29" s="792">
        <v>138000</v>
      </c>
      <c r="O29" s="792">
        <v>119000</v>
      </c>
      <c r="P29" s="792">
        <v>100000</v>
      </c>
      <c r="Q29" s="792">
        <v>95000</v>
      </c>
      <c r="R29" s="792">
        <v>84000</v>
      </c>
      <c r="S29" s="792">
        <v>69000</v>
      </c>
      <c r="T29" s="791" t="s">
        <v>283</v>
      </c>
      <c r="U29" s="791" t="s">
        <v>283</v>
      </c>
      <c r="V29" s="772" t="s">
        <v>283</v>
      </c>
      <c r="W29" s="765" t="s">
        <v>283</v>
      </c>
      <c r="X29" s="765" t="s">
        <v>283</v>
      </c>
      <c r="Y29" s="765" t="s">
        <v>283</v>
      </c>
      <c r="Z29" s="765" t="s">
        <v>283</v>
      </c>
      <c r="AA29" s="765" t="s">
        <v>283</v>
      </c>
      <c r="AB29" s="765" t="s">
        <v>283</v>
      </c>
      <c r="AC29" s="765" t="s">
        <v>283</v>
      </c>
      <c r="AD29" s="765" t="s">
        <v>283</v>
      </c>
      <c r="AE29" s="765" t="s">
        <v>283</v>
      </c>
      <c r="AF29" s="765" t="s">
        <v>283</v>
      </c>
      <c r="AG29" s="765" t="s">
        <v>283</v>
      </c>
      <c r="AH29" s="765" t="s">
        <v>283</v>
      </c>
      <c r="AI29" s="765" t="s">
        <v>283</v>
      </c>
      <c r="AJ29" s="765" t="s">
        <v>283</v>
      </c>
      <c r="AK29" s="765" t="s">
        <v>283</v>
      </c>
      <c r="AL29" s="765" t="s">
        <v>283</v>
      </c>
      <c r="AM29" s="765" t="s">
        <v>283</v>
      </c>
      <c r="AN29" s="765" t="s">
        <v>283</v>
      </c>
      <c r="AO29" s="765" t="s">
        <v>283</v>
      </c>
      <c r="AP29" s="765" t="s">
        <v>283</v>
      </c>
      <c r="AQ29" s="765" t="s">
        <v>283</v>
      </c>
      <c r="AR29" s="765" t="s">
        <v>283</v>
      </c>
      <c r="AS29" s="765" t="s">
        <v>283</v>
      </c>
      <c r="AT29" s="765" t="s">
        <v>283</v>
      </c>
    </row>
    <row r="30" spans="1:46" ht="15">
      <c r="A30" s="765" t="s">
        <v>283</v>
      </c>
      <c r="B30" s="769" t="s">
        <v>283</v>
      </c>
      <c r="C30" s="773" t="s">
        <v>450</v>
      </c>
      <c r="D30" s="780">
        <v>185000</v>
      </c>
      <c r="E30" s="780">
        <v>262714</v>
      </c>
      <c r="F30" s="780">
        <v>31000</v>
      </c>
      <c r="G30" s="780">
        <v>760000</v>
      </c>
      <c r="H30" s="780">
        <v>80000</v>
      </c>
      <c r="I30" s="780">
        <v>351500</v>
      </c>
      <c r="J30" s="780">
        <v>259377</v>
      </c>
      <c r="K30" s="779">
        <v>0.99</v>
      </c>
      <c r="L30" s="771"/>
      <c r="M30" s="783">
        <v>760000</v>
      </c>
      <c r="N30" s="783">
        <v>431000</v>
      </c>
      <c r="O30" s="783">
        <v>272000</v>
      </c>
      <c r="P30" s="783">
        <v>185000</v>
      </c>
      <c r="Q30" s="783">
        <v>107000</v>
      </c>
      <c r="R30" s="783">
        <v>31000</v>
      </c>
      <c r="S30" s="783">
        <v>53000</v>
      </c>
      <c r="T30" s="783"/>
      <c r="U30" s="773"/>
      <c r="V30" s="772" t="s">
        <v>283</v>
      </c>
      <c r="W30" s="765" t="s">
        <v>283</v>
      </c>
      <c r="X30" s="765" t="s">
        <v>283</v>
      </c>
      <c r="Y30" s="765" t="s">
        <v>283</v>
      </c>
      <c r="Z30" s="765" t="s">
        <v>283</v>
      </c>
      <c r="AA30" s="765" t="s">
        <v>283</v>
      </c>
      <c r="AB30" s="765" t="s">
        <v>283</v>
      </c>
      <c r="AC30" s="765" t="s">
        <v>283</v>
      </c>
      <c r="AD30" s="765" t="s">
        <v>283</v>
      </c>
      <c r="AE30" s="765" t="s">
        <v>283</v>
      </c>
      <c r="AF30" s="765" t="s">
        <v>283</v>
      </c>
      <c r="AG30" s="765" t="s">
        <v>283</v>
      </c>
      <c r="AH30" s="765" t="s">
        <v>283</v>
      </c>
      <c r="AI30" s="765" t="s">
        <v>283</v>
      </c>
      <c r="AJ30" s="765" t="s">
        <v>283</v>
      </c>
      <c r="AK30" s="765" t="s">
        <v>283</v>
      </c>
      <c r="AL30" s="765" t="s">
        <v>283</v>
      </c>
      <c r="AM30" s="765" t="s">
        <v>283</v>
      </c>
      <c r="AN30" s="765" t="s">
        <v>283</v>
      </c>
      <c r="AO30" s="765" t="s">
        <v>283</v>
      </c>
      <c r="AP30" s="765" t="s">
        <v>283</v>
      </c>
      <c r="AQ30" s="765" t="s">
        <v>283</v>
      </c>
      <c r="AR30" s="765" t="s">
        <v>283</v>
      </c>
      <c r="AS30" s="765" t="s">
        <v>283</v>
      </c>
      <c r="AT30" s="765" t="s">
        <v>283</v>
      </c>
    </row>
    <row r="31" spans="1:46" ht="15">
      <c r="A31" s="765" t="s">
        <v>283</v>
      </c>
      <c r="B31" s="769" t="s">
        <v>283</v>
      </c>
      <c r="C31" s="773" t="s">
        <v>451</v>
      </c>
      <c r="D31" s="780">
        <v>34000</v>
      </c>
      <c r="E31" s="780">
        <v>40000</v>
      </c>
      <c r="F31" s="780">
        <v>25000</v>
      </c>
      <c r="G31" s="780">
        <v>71000</v>
      </c>
      <c r="H31" s="780">
        <v>28000</v>
      </c>
      <c r="I31" s="780">
        <v>47000</v>
      </c>
      <c r="J31" s="780">
        <v>16422</v>
      </c>
      <c r="K31" s="779">
        <v>0.41</v>
      </c>
      <c r="L31" s="771"/>
      <c r="M31" s="783">
        <v>34000</v>
      </c>
      <c r="N31" s="783">
        <v>26000</v>
      </c>
      <c r="O31" s="783">
        <v>30000</v>
      </c>
      <c r="P31" s="783">
        <v>46000</v>
      </c>
      <c r="Q31" s="783">
        <v>48000</v>
      </c>
      <c r="R31" s="783">
        <v>25000</v>
      </c>
      <c r="S31" s="783">
        <v>71000</v>
      </c>
      <c r="T31" s="773"/>
      <c r="U31" s="773"/>
      <c r="V31" s="772" t="s">
        <v>283</v>
      </c>
      <c r="W31" s="765" t="s">
        <v>283</v>
      </c>
      <c r="X31" s="765" t="s">
        <v>283</v>
      </c>
      <c r="Y31" s="765" t="s">
        <v>283</v>
      </c>
      <c r="Z31" s="765" t="s">
        <v>283</v>
      </c>
      <c r="AA31" s="765" t="s">
        <v>283</v>
      </c>
      <c r="AB31" s="765" t="s">
        <v>283</v>
      </c>
      <c r="AC31" s="765" t="s">
        <v>283</v>
      </c>
      <c r="AD31" s="765" t="s">
        <v>283</v>
      </c>
      <c r="AE31" s="765" t="s">
        <v>283</v>
      </c>
      <c r="AF31" s="765" t="s">
        <v>283</v>
      </c>
      <c r="AG31" s="765" t="s">
        <v>283</v>
      </c>
      <c r="AH31" s="765" t="s">
        <v>283</v>
      </c>
      <c r="AI31" s="765" t="s">
        <v>283</v>
      </c>
      <c r="AJ31" s="765" t="s">
        <v>283</v>
      </c>
      <c r="AK31" s="765" t="s">
        <v>283</v>
      </c>
      <c r="AL31" s="765" t="s">
        <v>283</v>
      </c>
      <c r="AM31" s="765" t="s">
        <v>283</v>
      </c>
      <c r="AN31" s="765" t="s">
        <v>283</v>
      </c>
      <c r="AO31" s="765" t="s">
        <v>283</v>
      </c>
      <c r="AP31" s="765" t="s">
        <v>283</v>
      </c>
      <c r="AQ31" s="765" t="s">
        <v>283</v>
      </c>
      <c r="AR31" s="765" t="s">
        <v>283</v>
      </c>
      <c r="AS31" s="765" t="s">
        <v>283</v>
      </c>
      <c r="AT31" s="765" t="s">
        <v>283</v>
      </c>
    </row>
    <row r="32" spans="1:46" ht="15">
      <c r="A32" s="765" t="s">
        <v>283</v>
      </c>
      <c r="B32" s="769" t="s">
        <v>283</v>
      </c>
      <c r="C32" s="773" t="s">
        <v>452</v>
      </c>
      <c r="D32" s="780">
        <v>77000</v>
      </c>
      <c r="E32" s="780">
        <v>75286</v>
      </c>
      <c r="F32" s="780">
        <v>53000</v>
      </c>
      <c r="G32" s="780">
        <v>104000</v>
      </c>
      <c r="H32" s="780">
        <v>62500</v>
      </c>
      <c r="I32" s="780">
        <v>84000</v>
      </c>
      <c r="J32" s="780">
        <v>17708</v>
      </c>
      <c r="K32" s="779">
        <v>0.24</v>
      </c>
      <c r="L32" s="771"/>
      <c r="M32" s="783">
        <v>104000</v>
      </c>
      <c r="N32" s="783">
        <v>68000</v>
      </c>
      <c r="O32" s="783">
        <v>77000</v>
      </c>
      <c r="P32" s="783">
        <v>87000</v>
      </c>
      <c r="Q32" s="783">
        <v>53000</v>
      </c>
      <c r="R32" s="783">
        <v>57000</v>
      </c>
      <c r="S32" s="783">
        <v>81000</v>
      </c>
      <c r="T32" s="773"/>
      <c r="U32" s="773"/>
      <c r="V32" s="772" t="s">
        <v>283</v>
      </c>
      <c r="W32" s="765" t="s">
        <v>283</v>
      </c>
      <c r="X32" s="765" t="s">
        <v>283</v>
      </c>
      <c r="Y32" s="765" t="s">
        <v>283</v>
      </c>
      <c r="Z32" s="765" t="s">
        <v>283</v>
      </c>
      <c r="AA32" s="765" t="s">
        <v>283</v>
      </c>
      <c r="AB32" s="765" t="s">
        <v>283</v>
      </c>
      <c r="AC32" s="765" t="s">
        <v>283</v>
      </c>
      <c r="AD32" s="765" t="s">
        <v>283</v>
      </c>
      <c r="AE32" s="765" t="s">
        <v>283</v>
      </c>
      <c r="AF32" s="765" t="s">
        <v>283</v>
      </c>
      <c r="AG32" s="765" t="s">
        <v>283</v>
      </c>
      <c r="AH32" s="765" t="s">
        <v>283</v>
      </c>
      <c r="AI32" s="765" t="s">
        <v>283</v>
      </c>
      <c r="AJ32" s="765" t="s">
        <v>283</v>
      </c>
      <c r="AK32" s="765" t="s">
        <v>283</v>
      </c>
      <c r="AL32" s="765" t="s">
        <v>283</v>
      </c>
      <c r="AM32" s="765" t="s">
        <v>283</v>
      </c>
      <c r="AN32" s="765" t="s">
        <v>283</v>
      </c>
      <c r="AO32" s="765" t="s">
        <v>283</v>
      </c>
      <c r="AP32" s="765" t="s">
        <v>283</v>
      </c>
      <c r="AQ32" s="765" t="s">
        <v>283</v>
      </c>
      <c r="AR32" s="765" t="s">
        <v>283</v>
      </c>
      <c r="AS32" s="765" t="s">
        <v>283</v>
      </c>
      <c r="AT32" s="765" t="s">
        <v>283</v>
      </c>
    </row>
    <row r="33" spans="1:46" ht="15">
      <c r="A33" s="765" t="s">
        <v>283</v>
      </c>
      <c r="B33" s="769" t="s">
        <v>283</v>
      </c>
      <c r="C33" s="773" t="s">
        <v>453</v>
      </c>
      <c r="D33" s="782">
        <v>-12500</v>
      </c>
      <c r="E33" s="782">
        <v>-13000</v>
      </c>
      <c r="F33" s="782">
        <v>-15000</v>
      </c>
      <c r="G33" s="782">
        <v>-12000</v>
      </c>
      <c r="H33" s="782">
        <v>-13500</v>
      </c>
      <c r="I33" s="782">
        <v>-12000</v>
      </c>
      <c r="J33" s="780">
        <v>1414</v>
      </c>
      <c r="K33" s="781">
        <v>-0.11</v>
      </c>
      <c r="L33" s="771"/>
      <c r="M33" s="773"/>
      <c r="N33" s="773"/>
      <c r="O33" s="785">
        <v>-12000</v>
      </c>
      <c r="P33" s="785">
        <v>-12000</v>
      </c>
      <c r="Q33" s="785">
        <v>-15000</v>
      </c>
      <c r="R33" s="785">
        <v>-13000</v>
      </c>
      <c r="S33" s="773"/>
      <c r="T33" s="773"/>
      <c r="U33" s="773"/>
      <c r="V33" s="772" t="s">
        <v>283</v>
      </c>
      <c r="W33" s="765" t="s">
        <v>283</v>
      </c>
      <c r="X33" s="765" t="s">
        <v>283</v>
      </c>
      <c r="Y33" s="765" t="s">
        <v>283</v>
      </c>
      <c r="Z33" s="765" t="s">
        <v>283</v>
      </c>
      <c r="AA33" s="765" t="s">
        <v>283</v>
      </c>
      <c r="AB33" s="765" t="s">
        <v>283</v>
      </c>
      <c r="AC33" s="765" t="s">
        <v>283</v>
      </c>
      <c r="AD33" s="765" t="s">
        <v>283</v>
      </c>
      <c r="AE33" s="765" t="s">
        <v>283</v>
      </c>
      <c r="AF33" s="765" t="s">
        <v>283</v>
      </c>
      <c r="AG33" s="765" t="s">
        <v>283</v>
      </c>
      <c r="AH33" s="765" t="s">
        <v>283</v>
      </c>
      <c r="AI33" s="765" t="s">
        <v>283</v>
      </c>
      <c r="AJ33" s="765" t="s">
        <v>283</v>
      </c>
      <c r="AK33" s="765" t="s">
        <v>283</v>
      </c>
      <c r="AL33" s="765" t="s">
        <v>283</v>
      </c>
      <c r="AM33" s="765" t="s">
        <v>283</v>
      </c>
      <c r="AN33" s="765" t="s">
        <v>283</v>
      </c>
      <c r="AO33" s="765" t="s">
        <v>283</v>
      </c>
      <c r="AP33" s="765" t="s">
        <v>283</v>
      </c>
      <c r="AQ33" s="765" t="s">
        <v>283</v>
      </c>
      <c r="AR33" s="765" t="s">
        <v>283</v>
      </c>
      <c r="AS33" s="765" t="s">
        <v>283</v>
      </c>
      <c r="AT33" s="765" t="s">
        <v>283</v>
      </c>
    </row>
    <row r="34" spans="1:46" ht="15">
      <c r="A34" s="765" t="s">
        <v>283</v>
      </c>
      <c r="B34" s="769" t="s">
        <v>283</v>
      </c>
      <c r="C34" s="776" t="s">
        <v>454</v>
      </c>
      <c r="D34" s="787">
        <v>406000</v>
      </c>
      <c r="E34" s="787">
        <v>476429</v>
      </c>
      <c r="F34" s="787">
        <v>184000</v>
      </c>
      <c r="G34" s="787">
        <v>1034000</v>
      </c>
      <c r="H34" s="787">
        <v>281000</v>
      </c>
      <c r="I34" s="787">
        <v>574500</v>
      </c>
      <c r="J34" s="787">
        <v>292331</v>
      </c>
      <c r="K34" s="786">
        <v>0.61</v>
      </c>
      <c r="L34" s="790" t="s">
        <v>283</v>
      </c>
      <c r="M34" s="792">
        <v>1034000</v>
      </c>
      <c r="N34" s="792">
        <v>663000</v>
      </c>
      <c r="O34" s="792">
        <v>486000</v>
      </c>
      <c r="P34" s="792">
        <v>406000</v>
      </c>
      <c r="Q34" s="792">
        <v>288000</v>
      </c>
      <c r="R34" s="792">
        <v>184000</v>
      </c>
      <c r="S34" s="792">
        <v>274000</v>
      </c>
      <c r="T34" s="791" t="s">
        <v>283</v>
      </c>
      <c r="U34" s="791" t="s">
        <v>283</v>
      </c>
      <c r="V34" s="772" t="s">
        <v>283</v>
      </c>
      <c r="W34" s="765" t="s">
        <v>283</v>
      </c>
      <c r="X34" s="765" t="s">
        <v>283</v>
      </c>
      <c r="Y34" s="765" t="s">
        <v>283</v>
      </c>
      <c r="Z34" s="765" t="s">
        <v>283</v>
      </c>
      <c r="AA34" s="765" t="s">
        <v>283</v>
      </c>
      <c r="AB34" s="765" t="s">
        <v>283</v>
      </c>
      <c r="AC34" s="765" t="s">
        <v>283</v>
      </c>
      <c r="AD34" s="765" t="s">
        <v>283</v>
      </c>
      <c r="AE34" s="765" t="s">
        <v>283</v>
      </c>
      <c r="AF34" s="765" t="s">
        <v>283</v>
      </c>
      <c r="AG34" s="765" t="s">
        <v>283</v>
      </c>
      <c r="AH34" s="765" t="s">
        <v>283</v>
      </c>
      <c r="AI34" s="765" t="s">
        <v>283</v>
      </c>
      <c r="AJ34" s="765" t="s">
        <v>283</v>
      </c>
      <c r="AK34" s="765" t="s">
        <v>283</v>
      </c>
      <c r="AL34" s="765" t="s">
        <v>283</v>
      </c>
      <c r="AM34" s="765" t="s">
        <v>283</v>
      </c>
      <c r="AN34" s="765" t="s">
        <v>283</v>
      </c>
      <c r="AO34" s="765" t="s">
        <v>283</v>
      </c>
      <c r="AP34" s="765" t="s">
        <v>283</v>
      </c>
      <c r="AQ34" s="765" t="s">
        <v>283</v>
      </c>
      <c r="AR34" s="765" t="s">
        <v>283</v>
      </c>
      <c r="AS34" s="765" t="s">
        <v>283</v>
      </c>
      <c r="AT34" s="765" t="s">
        <v>283</v>
      </c>
    </row>
    <row r="35" spans="1:46" ht="15">
      <c r="A35" s="765" t="s">
        <v>283</v>
      </c>
      <c r="B35" s="769" t="s">
        <v>283</v>
      </c>
      <c r="C35" s="773" t="s">
        <v>455</v>
      </c>
      <c r="D35" s="780">
        <v>129000</v>
      </c>
      <c r="E35" s="780">
        <v>124286</v>
      </c>
      <c r="F35" s="780">
        <v>69000</v>
      </c>
      <c r="G35" s="780">
        <v>163000</v>
      </c>
      <c r="H35" s="780">
        <v>115500</v>
      </c>
      <c r="I35" s="780">
        <v>139000</v>
      </c>
      <c r="J35" s="780">
        <v>29887</v>
      </c>
      <c r="K35" s="779">
        <v>0.24</v>
      </c>
      <c r="L35" s="771"/>
      <c r="M35" s="783">
        <v>144000</v>
      </c>
      <c r="N35" s="783">
        <v>134000</v>
      </c>
      <c r="O35" s="783">
        <v>163000</v>
      </c>
      <c r="P35" s="783">
        <v>124000</v>
      </c>
      <c r="Q35" s="783">
        <v>129000</v>
      </c>
      <c r="R35" s="783">
        <v>69000</v>
      </c>
      <c r="S35" s="783">
        <v>107000</v>
      </c>
      <c r="T35" s="773"/>
      <c r="U35" s="773"/>
      <c r="V35" s="772" t="s">
        <v>283</v>
      </c>
      <c r="W35" s="765" t="s">
        <v>283</v>
      </c>
      <c r="X35" s="765" t="s">
        <v>283</v>
      </c>
      <c r="Y35" s="765" t="s">
        <v>283</v>
      </c>
      <c r="Z35" s="765" t="s">
        <v>283</v>
      </c>
      <c r="AA35" s="765" t="s">
        <v>283</v>
      </c>
      <c r="AB35" s="765" t="s">
        <v>283</v>
      </c>
      <c r="AC35" s="765" t="s">
        <v>283</v>
      </c>
      <c r="AD35" s="765" t="s">
        <v>283</v>
      </c>
      <c r="AE35" s="765" t="s">
        <v>283</v>
      </c>
      <c r="AF35" s="765" t="s">
        <v>283</v>
      </c>
      <c r="AG35" s="765" t="s">
        <v>283</v>
      </c>
      <c r="AH35" s="765" t="s">
        <v>283</v>
      </c>
      <c r="AI35" s="765" t="s">
        <v>283</v>
      </c>
      <c r="AJ35" s="765" t="s">
        <v>283</v>
      </c>
      <c r="AK35" s="765" t="s">
        <v>283</v>
      </c>
      <c r="AL35" s="765" t="s">
        <v>283</v>
      </c>
      <c r="AM35" s="765" t="s">
        <v>283</v>
      </c>
      <c r="AN35" s="765" t="s">
        <v>283</v>
      </c>
      <c r="AO35" s="765" t="s">
        <v>283</v>
      </c>
      <c r="AP35" s="765" t="s">
        <v>283</v>
      </c>
      <c r="AQ35" s="765" t="s">
        <v>283</v>
      </c>
      <c r="AR35" s="765" t="s">
        <v>283</v>
      </c>
      <c r="AS35" s="765" t="s">
        <v>283</v>
      </c>
      <c r="AT35" s="765" t="s">
        <v>283</v>
      </c>
    </row>
    <row r="36" spans="1:46" ht="15">
      <c r="A36" s="765" t="s">
        <v>283</v>
      </c>
      <c r="B36" s="769" t="s">
        <v>283</v>
      </c>
      <c r="C36" s="773" t="s">
        <v>456</v>
      </c>
      <c r="D36" s="780">
        <v>25500</v>
      </c>
      <c r="E36" s="780">
        <v>32333</v>
      </c>
      <c r="F36" s="780">
        <v>11000</v>
      </c>
      <c r="G36" s="780">
        <v>81000</v>
      </c>
      <c r="H36" s="780">
        <v>23250</v>
      </c>
      <c r="I36" s="780">
        <v>27750</v>
      </c>
      <c r="J36" s="780">
        <v>24606</v>
      </c>
      <c r="K36" s="779">
        <v>0.76</v>
      </c>
      <c r="L36" s="771"/>
      <c r="M36" s="783">
        <v>11000</v>
      </c>
      <c r="N36" s="783">
        <v>81000</v>
      </c>
      <c r="O36" s="783">
        <v>27000</v>
      </c>
      <c r="P36" s="783">
        <v>24000</v>
      </c>
      <c r="Q36" s="783">
        <v>23000</v>
      </c>
      <c r="R36" s="783">
        <v>28000</v>
      </c>
      <c r="S36" s="773"/>
      <c r="T36" s="773"/>
      <c r="U36" s="773"/>
      <c r="V36" s="772" t="s">
        <v>283</v>
      </c>
      <c r="W36" s="765" t="s">
        <v>283</v>
      </c>
      <c r="X36" s="765" t="s">
        <v>283</v>
      </c>
      <c r="Y36" s="765" t="s">
        <v>283</v>
      </c>
      <c r="Z36" s="765" t="s">
        <v>283</v>
      </c>
      <c r="AA36" s="765" t="s">
        <v>283</v>
      </c>
      <c r="AB36" s="765" t="s">
        <v>283</v>
      </c>
      <c r="AC36" s="765" t="s">
        <v>283</v>
      </c>
      <c r="AD36" s="765" t="s">
        <v>283</v>
      </c>
      <c r="AE36" s="765" t="s">
        <v>283</v>
      </c>
      <c r="AF36" s="765" t="s">
        <v>283</v>
      </c>
      <c r="AG36" s="765" t="s">
        <v>283</v>
      </c>
      <c r="AH36" s="765" t="s">
        <v>283</v>
      </c>
      <c r="AI36" s="765" t="s">
        <v>283</v>
      </c>
      <c r="AJ36" s="765" t="s">
        <v>283</v>
      </c>
      <c r="AK36" s="765" t="s">
        <v>283</v>
      </c>
      <c r="AL36" s="765" t="s">
        <v>283</v>
      </c>
      <c r="AM36" s="765" t="s">
        <v>283</v>
      </c>
      <c r="AN36" s="765" t="s">
        <v>283</v>
      </c>
      <c r="AO36" s="765" t="s">
        <v>283</v>
      </c>
      <c r="AP36" s="765" t="s">
        <v>283</v>
      </c>
      <c r="AQ36" s="765" t="s">
        <v>283</v>
      </c>
      <c r="AR36" s="765" t="s">
        <v>283</v>
      </c>
      <c r="AS36" s="765" t="s">
        <v>283</v>
      </c>
      <c r="AT36" s="765" t="s">
        <v>283</v>
      </c>
    </row>
    <row r="37" spans="1:46" ht="15">
      <c r="A37" s="765" t="s">
        <v>283</v>
      </c>
      <c r="B37" s="769" t="s">
        <v>283</v>
      </c>
      <c r="C37" s="776" t="s">
        <v>457</v>
      </c>
      <c r="D37" s="787">
        <v>5688000</v>
      </c>
      <c r="E37" s="787">
        <v>4631416</v>
      </c>
      <c r="F37" s="786">
        <v>285</v>
      </c>
      <c r="G37" s="787">
        <v>8675000</v>
      </c>
      <c r="H37" s="787">
        <v>3140000</v>
      </c>
      <c r="I37" s="787">
        <v>6566000</v>
      </c>
      <c r="J37" s="787">
        <v>3165974</v>
      </c>
      <c r="K37" s="786">
        <v>0.68</v>
      </c>
      <c r="L37" s="790" t="s">
        <v>283</v>
      </c>
      <c r="M37" s="792">
        <v>8080000</v>
      </c>
      <c r="N37" s="792">
        <v>6566000</v>
      </c>
      <c r="O37" s="792">
        <v>5768000</v>
      </c>
      <c r="P37" s="792">
        <v>5688000</v>
      </c>
      <c r="Q37" s="792">
        <v>8675000</v>
      </c>
      <c r="R37" s="792">
        <v>3755000</v>
      </c>
      <c r="S37" s="792">
        <v>3140000</v>
      </c>
      <c r="T37" s="791">
        <v>285</v>
      </c>
      <c r="U37" s="792">
        <v>10463</v>
      </c>
      <c r="V37" s="772" t="s">
        <v>283</v>
      </c>
      <c r="W37" s="765" t="s">
        <v>283</v>
      </c>
      <c r="X37" s="765" t="s">
        <v>283</v>
      </c>
      <c r="Y37" s="765" t="s">
        <v>283</v>
      </c>
      <c r="Z37" s="765" t="s">
        <v>283</v>
      </c>
      <c r="AA37" s="765" t="s">
        <v>283</v>
      </c>
      <c r="AB37" s="765" t="s">
        <v>283</v>
      </c>
      <c r="AC37" s="765" t="s">
        <v>283</v>
      </c>
      <c r="AD37" s="765" t="s">
        <v>283</v>
      </c>
      <c r="AE37" s="765" t="s">
        <v>283</v>
      </c>
      <c r="AF37" s="765" t="s">
        <v>283</v>
      </c>
      <c r="AG37" s="765" t="s">
        <v>283</v>
      </c>
      <c r="AH37" s="765" t="s">
        <v>283</v>
      </c>
      <c r="AI37" s="765" t="s">
        <v>283</v>
      </c>
      <c r="AJ37" s="765" t="s">
        <v>283</v>
      </c>
      <c r="AK37" s="765" t="s">
        <v>283</v>
      </c>
      <c r="AL37" s="765" t="s">
        <v>283</v>
      </c>
      <c r="AM37" s="765" t="s">
        <v>283</v>
      </c>
      <c r="AN37" s="765" t="s">
        <v>283</v>
      </c>
      <c r="AO37" s="765" t="s">
        <v>283</v>
      </c>
      <c r="AP37" s="765" t="s">
        <v>283</v>
      </c>
      <c r="AQ37" s="765" t="s">
        <v>283</v>
      </c>
      <c r="AR37" s="765" t="s">
        <v>283</v>
      </c>
      <c r="AS37" s="765" t="s">
        <v>283</v>
      </c>
      <c r="AT37" s="765" t="s">
        <v>283</v>
      </c>
    </row>
    <row r="38" spans="1:46" ht="15">
      <c r="A38" s="765" t="s">
        <v>283</v>
      </c>
      <c r="B38" s="769" t="s">
        <v>283</v>
      </c>
      <c r="C38" s="773" t="s">
        <v>458</v>
      </c>
      <c r="D38" s="774" t="s">
        <v>283</v>
      </c>
      <c r="E38" s="774" t="s">
        <v>283</v>
      </c>
      <c r="F38" s="774" t="s">
        <v>283</v>
      </c>
      <c r="G38" s="774" t="s">
        <v>283</v>
      </c>
      <c r="H38" s="774" t="s">
        <v>283</v>
      </c>
      <c r="I38" s="774" t="s">
        <v>283</v>
      </c>
      <c r="J38" s="774" t="s">
        <v>283</v>
      </c>
      <c r="K38" s="774" t="s">
        <v>283</v>
      </c>
      <c r="L38" s="771"/>
      <c r="M38" s="771"/>
      <c r="N38" s="771"/>
      <c r="O38" s="771"/>
      <c r="P38" s="771"/>
      <c r="Q38" s="771"/>
      <c r="R38" s="771"/>
      <c r="S38" s="771"/>
      <c r="T38" s="771"/>
      <c r="U38" s="771"/>
      <c r="V38" s="772" t="s">
        <v>283</v>
      </c>
      <c r="W38" s="765" t="s">
        <v>283</v>
      </c>
      <c r="X38" s="765" t="s">
        <v>283</v>
      </c>
      <c r="Y38" s="765" t="s">
        <v>283</v>
      </c>
      <c r="Z38" s="765" t="s">
        <v>283</v>
      </c>
      <c r="AA38" s="765" t="s">
        <v>283</v>
      </c>
      <c r="AB38" s="765" t="s">
        <v>283</v>
      </c>
      <c r="AC38" s="765" t="s">
        <v>283</v>
      </c>
      <c r="AD38" s="765" t="s">
        <v>283</v>
      </c>
      <c r="AE38" s="765" t="s">
        <v>283</v>
      </c>
      <c r="AF38" s="765" t="s">
        <v>283</v>
      </c>
      <c r="AG38" s="765" t="s">
        <v>283</v>
      </c>
      <c r="AH38" s="765" t="s">
        <v>283</v>
      </c>
      <c r="AI38" s="765" t="s">
        <v>283</v>
      </c>
      <c r="AJ38" s="765" t="s">
        <v>283</v>
      </c>
      <c r="AK38" s="765" t="s">
        <v>283</v>
      </c>
      <c r="AL38" s="765" t="s">
        <v>283</v>
      </c>
      <c r="AM38" s="765" t="s">
        <v>283</v>
      </c>
      <c r="AN38" s="765" t="s">
        <v>283</v>
      </c>
      <c r="AO38" s="765" t="s">
        <v>283</v>
      </c>
      <c r="AP38" s="765" t="s">
        <v>283</v>
      </c>
      <c r="AQ38" s="765" t="s">
        <v>283</v>
      </c>
      <c r="AR38" s="765" t="s">
        <v>283</v>
      </c>
      <c r="AS38" s="765" t="s">
        <v>283</v>
      </c>
      <c r="AT38" s="765" t="s">
        <v>283</v>
      </c>
    </row>
    <row r="39" spans="1:46" ht="15">
      <c r="A39" s="765" t="s">
        <v>283</v>
      </c>
      <c r="B39" s="769" t="s">
        <v>283</v>
      </c>
      <c r="C39" s="773" t="s">
        <v>459</v>
      </c>
      <c r="D39" s="774" t="s">
        <v>283</v>
      </c>
      <c r="E39" s="774" t="s">
        <v>283</v>
      </c>
      <c r="F39" s="774" t="s">
        <v>283</v>
      </c>
      <c r="G39" s="774" t="s">
        <v>283</v>
      </c>
      <c r="H39" s="774" t="s">
        <v>283</v>
      </c>
      <c r="I39" s="774" t="s">
        <v>283</v>
      </c>
      <c r="J39" s="774" t="s">
        <v>283</v>
      </c>
      <c r="K39" s="774" t="s">
        <v>283</v>
      </c>
      <c r="L39" s="771"/>
      <c r="M39" s="771"/>
      <c r="N39" s="771"/>
      <c r="O39" s="771"/>
      <c r="P39" s="771"/>
      <c r="Q39" s="771"/>
      <c r="R39" s="771"/>
      <c r="S39" s="771"/>
      <c r="T39" s="771"/>
      <c r="U39" s="771"/>
      <c r="V39" s="772" t="s">
        <v>283</v>
      </c>
      <c r="W39" s="765" t="s">
        <v>283</v>
      </c>
      <c r="X39" s="765" t="s">
        <v>283</v>
      </c>
      <c r="Y39" s="765" t="s">
        <v>283</v>
      </c>
      <c r="Z39" s="765" t="s">
        <v>283</v>
      </c>
      <c r="AA39" s="765" t="s">
        <v>283</v>
      </c>
      <c r="AB39" s="765" t="s">
        <v>283</v>
      </c>
      <c r="AC39" s="765" t="s">
        <v>283</v>
      </c>
      <c r="AD39" s="765" t="s">
        <v>283</v>
      </c>
      <c r="AE39" s="765" t="s">
        <v>283</v>
      </c>
      <c r="AF39" s="765" t="s">
        <v>283</v>
      </c>
      <c r="AG39" s="765" t="s">
        <v>283</v>
      </c>
      <c r="AH39" s="765" t="s">
        <v>283</v>
      </c>
      <c r="AI39" s="765" t="s">
        <v>283</v>
      </c>
      <c r="AJ39" s="765" t="s">
        <v>283</v>
      </c>
      <c r="AK39" s="765" t="s">
        <v>283</v>
      </c>
      <c r="AL39" s="765" t="s">
        <v>283</v>
      </c>
      <c r="AM39" s="765" t="s">
        <v>283</v>
      </c>
      <c r="AN39" s="765" t="s">
        <v>283</v>
      </c>
      <c r="AO39" s="765" t="s">
        <v>283</v>
      </c>
      <c r="AP39" s="765" t="s">
        <v>283</v>
      </c>
      <c r="AQ39" s="765" t="s">
        <v>283</v>
      </c>
      <c r="AR39" s="765" t="s">
        <v>283</v>
      </c>
      <c r="AS39" s="765" t="s">
        <v>283</v>
      </c>
      <c r="AT39" s="765" t="s">
        <v>283</v>
      </c>
    </row>
    <row r="40" spans="1:46" ht="15">
      <c r="A40" s="765" t="s">
        <v>283</v>
      </c>
      <c r="B40" s="769" t="s">
        <v>283</v>
      </c>
      <c r="C40" s="773" t="s">
        <v>460</v>
      </c>
      <c r="D40" s="774" t="s">
        <v>283</v>
      </c>
      <c r="E40" s="774" t="s">
        <v>283</v>
      </c>
      <c r="F40" s="774" t="s">
        <v>283</v>
      </c>
      <c r="G40" s="774" t="s">
        <v>283</v>
      </c>
      <c r="H40" s="774" t="s">
        <v>283</v>
      </c>
      <c r="I40" s="774" t="s">
        <v>283</v>
      </c>
      <c r="J40" s="774" t="s">
        <v>283</v>
      </c>
      <c r="K40" s="774" t="s">
        <v>283</v>
      </c>
      <c r="L40" s="771"/>
      <c r="M40" s="771"/>
      <c r="N40" s="771"/>
      <c r="O40" s="771"/>
      <c r="P40" s="771"/>
      <c r="Q40" s="771"/>
      <c r="R40" s="771"/>
      <c r="S40" s="771"/>
      <c r="T40" s="771"/>
      <c r="U40" s="771"/>
      <c r="V40" s="772" t="s">
        <v>283</v>
      </c>
      <c r="W40" s="765" t="s">
        <v>283</v>
      </c>
      <c r="X40" s="765" t="s">
        <v>283</v>
      </c>
      <c r="Y40" s="765" t="s">
        <v>283</v>
      </c>
      <c r="Z40" s="765" t="s">
        <v>283</v>
      </c>
      <c r="AA40" s="765" t="s">
        <v>283</v>
      </c>
      <c r="AB40" s="765" t="s">
        <v>283</v>
      </c>
      <c r="AC40" s="765" t="s">
        <v>283</v>
      </c>
      <c r="AD40" s="765" t="s">
        <v>283</v>
      </c>
      <c r="AE40" s="765" t="s">
        <v>283</v>
      </c>
      <c r="AF40" s="765" t="s">
        <v>283</v>
      </c>
      <c r="AG40" s="765" t="s">
        <v>283</v>
      </c>
      <c r="AH40" s="765" t="s">
        <v>283</v>
      </c>
      <c r="AI40" s="765" t="s">
        <v>283</v>
      </c>
      <c r="AJ40" s="765" t="s">
        <v>283</v>
      </c>
      <c r="AK40" s="765" t="s">
        <v>283</v>
      </c>
      <c r="AL40" s="765" t="s">
        <v>283</v>
      </c>
      <c r="AM40" s="765" t="s">
        <v>283</v>
      </c>
      <c r="AN40" s="765" t="s">
        <v>283</v>
      </c>
      <c r="AO40" s="765" t="s">
        <v>283</v>
      </c>
      <c r="AP40" s="765" t="s">
        <v>283</v>
      </c>
      <c r="AQ40" s="765" t="s">
        <v>283</v>
      </c>
      <c r="AR40" s="765" t="s">
        <v>283</v>
      </c>
      <c r="AS40" s="765" t="s">
        <v>283</v>
      </c>
      <c r="AT40" s="765" t="s">
        <v>283</v>
      </c>
    </row>
    <row r="41" spans="1:46" ht="15">
      <c r="A41" s="765" t="s">
        <v>283</v>
      </c>
      <c r="B41" s="769" t="s">
        <v>283</v>
      </c>
      <c r="C41" s="773" t="s">
        <v>461</v>
      </c>
      <c r="D41" s="774" t="s">
        <v>283</v>
      </c>
      <c r="E41" s="774" t="s">
        <v>283</v>
      </c>
      <c r="F41" s="774" t="s">
        <v>283</v>
      </c>
      <c r="G41" s="774" t="s">
        <v>283</v>
      </c>
      <c r="H41" s="774" t="s">
        <v>283</v>
      </c>
      <c r="I41" s="774" t="s">
        <v>283</v>
      </c>
      <c r="J41" s="774" t="s">
        <v>283</v>
      </c>
      <c r="K41" s="774" t="s">
        <v>283</v>
      </c>
      <c r="L41" s="771"/>
      <c r="M41" s="771"/>
      <c r="N41" s="771"/>
      <c r="O41" s="771"/>
      <c r="P41" s="771"/>
      <c r="Q41" s="771"/>
      <c r="R41" s="771"/>
      <c r="S41" s="771"/>
      <c r="T41" s="771"/>
      <c r="U41" s="771"/>
      <c r="V41" s="772" t="s">
        <v>283</v>
      </c>
      <c r="W41" s="765" t="s">
        <v>283</v>
      </c>
      <c r="X41" s="765" t="s">
        <v>283</v>
      </c>
      <c r="Y41" s="765" t="s">
        <v>283</v>
      </c>
      <c r="Z41" s="765" t="s">
        <v>283</v>
      </c>
      <c r="AA41" s="765" t="s">
        <v>283</v>
      </c>
      <c r="AB41" s="765" t="s">
        <v>283</v>
      </c>
      <c r="AC41" s="765" t="s">
        <v>283</v>
      </c>
      <c r="AD41" s="765" t="s">
        <v>283</v>
      </c>
      <c r="AE41" s="765" t="s">
        <v>283</v>
      </c>
      <c r="AF41" s="765" t="s">
        <v>283</v>
      </c>
      <c r="AG41" s="765" t="s">
        <v>283</v>
      </c>
      <c r="AH41" s="765" t="s">
        <v>283</v>
      </c>
      <c r="AI41" s="765" t="s">
        <v>283</v>
      </c>
      <c r="AJ41" s="765" t="s">
        <v>283</v>
      </c>
      <c r="AK41" s="765" t="s">
        <v>283</v>
      </c>
      <c r="AL41" s="765" t="s">
        <v>283</v>
      </c>
      <c r="AM41" s="765" t="s">
        <v>283</v>
      </c>
      <c r="AN41" s="765" t="s">
        <v>283</v>
      </c>
      <c r="AO41" s="765" t="s">
        <v>283</v>
      </c>
      <c r="AP41" s="765" t="s">
        <v>283</v>
      </c>
      <c r="AQ41" s="765" t="s">
        <v>283</v>
      </c>
      <c r="AR41" s="765" t="s">
        <v>283</v>
      </c>
      <c r="AS41" s="765" t="s">
        <v>283</v>
      </c>
      <c r="AT41" s="765" t="s">
        <v>283</v>
      </c>
    </row>
    <row r="42" spans="1:46" ht="15">
      <c r="A42" s="765" t="s">
        <v>283</v>
      </c>
      <c r="B42" s="769" t="s">
        <v>283</v>
      </c>
      <c r="C42" s="773" t="s">
        <v>462</v>
      </c>
      <c r="D42" s="780">
        <v>291000</v>
      </c>
      <c r="E42" s="780">
        <v>251429</v>
      </c>
      <c r="F42" s="780">
        <v>117000</v>
      </c>
      <c r="G42" s="780">
        <v>390000</v>
      </c>
      <c r="H42" s="780">
        <v>178500</v>
      </c>
      <c r="I42" s="780">
        <v>302500</v>
      </c>
      <c r="J42" s="780">
        <v>99711</v>
      </c>
      <c r="K42" s="779">
        <v>0.4</v>
      </c>
      <c r="L42" s="771"/>
      <c r="M42" s="783">
        <v>390000</v>
      </c>
      <c r="N42" s="783">
        <v>308000</v>
      </c>
      <c r="O42" s="783">
        <v>297000</v>
      </c>
      <c r="P42" s="783">
        <v>291000</v>
      </c>
      <c r="Q42" s="783">
        <v>228000</v>
      </c>
      <c r="R42" s="783">
        <v>129000</v>
      </c>
      <c r="S42" s="783">
        <v>117000</v>
      </c>
      <c r="T42" s="773"/>
      <c r="U42" s="773"/>
      <c r="V42" s="772" t="s">
        <v>283</v>
      </c>
      <c r="W42" s="765" t="s">
        <v>283</v>
      </c>
      <c r="X42" s="765" t="s">
        <v>283</v>
      </c>
      <c r="Y42" s="765" t="s">
        <v>283</v>
      </c>
      <c r="Z42" s="765" t="s">
        <v>283</v>
      </c>
      <c r="AA42" s="765" t="s">
        <v>283</v>
      </c>
      <c r="AB42" s="765" t="s">
        <v>283</v>
      </c>
      <c r="AC42" s="765" t="s">
        <v>283</v>
      </c>
      <c r="AD42" s="765" t="s">
        <v>283</v>
      </c>
      <c r="AE42" s="765" t="s">
        <v>283</v>
      </c>
      <c r="AF42" s="765" t="s">
        <v>283</v>
      </c>
      <c r="AG42" s="765" t="s">
        <v>283</v>
      </c>
      <c r="AH42" s="765" t="s">
        <v>283</v>
      </c>
      <c r="AI42" s="765" t="s">
        <v>283</v>
      </c>
      <c r="AJ42" s="765" t="s">
        <v>283</v>
      </c>
      <c r="AK42" s="765" t="s">
        <v>283</v>
      </c>
      <c r="AL42" s="765" t="s">
        <v>283</v>
      </c>
      <c r="AM42" s="765" t="s">
        <v>283</v>
      </c>
      <c r="AN42" s="765" t="s">
        <v>283</v>
      </c>
      <c r="AO42" s="765" t="s">
        <v>283</v>
      </c>
      <c r="AP42" s="765" t="s">
        <v>283</v>
      </c>
      <c r="AQ42" s="765" t="s">
        <v>283</v>
      </c>
      <c r="AR42" s="765" t="s">
        <v>283</v>
      </c>
      <c r="AS42" s="765" t="s">
        <v>283</v>
      </c>
      <c r="AT42" s="765" t="s">
        <v>283</v>
      </c>
    </row>
    <row r="43" spans="1:46" ht="15">
      <c r="A43" s="765" t="s">
        <v>283</v>
      </c>
      <c r="B43" s="769" t="s">
        <v>283</v>
      </c>
      <c r="C43" s="776" t="s">
        <v>463</v>
      </c>
      <c r="D43" s="787">
        <v>291000</v>
      </c>
      <c r="E43" s="787">
        <v>251429</v>
      </c>
      <c r="F43" s="787">
        <v>117000</v>
      </c>
      <c r="G43" s="787">
        <v>390000</v>
      </c>
      <c r="H43" s="787">
        <v>178500</v>
      </c>
      <c r="I43" s="787">
        <v>302500</v>
      </c>
      <c r="J43" s="787">
        <v>99711</v>
      </c>
      <c r="K43" s="786">
        <v>0.4</v>
      </c>
      <c r="L43" s="790" t="s">
        <v>283</v>
      </c>
      <c r="M43" s="792">
        <v>390000</v>
      </c>
      <c r="N43" s="792">
        <v>308000</v>
      </c>
      <c r="O43" s="792">
        <v>297000</v>
      </c>
      <c r="P43" s="792">
        <v>291000</v>
      </c>
      <c r="Q43" s="792">
        <v>228000</v>
      </c>
      <c r="R43" s="792">
        <v>129000</v>
      </c>
      <c r="S43" s="792">
        <v>117000</v>
      </c>
      <c r="T43" s="791" t="s">
        <v>283</v>
      </c>
      <c r="U43" s="791" t="s">
        <v>283</v>
      </c>
      <c r="V43" s="772" t="s">
        <v>283</v>
      </c>
      <c r="W43" s="765" t="s">
        <v>283</v>
      </c>
      <c r="X43" s="765" t="s">
        <v>283</v>
      </c>
      <c r="Y43" s="765" t="s">
        <v>283</v>
      </c>
      <c r="Z43" s="765" t="s">
        <v>283</v>
      </c>
      <c r="AA43" s="765" t="s">
        <v>283</v>
      </c>
      <c r="AB43" s="765" t="s">
        <v>283</v>
      </c>
      <c r="AC43" s="765" t="s">
        <v>283</v>
      </c>
      <c r="AD43" s="765" t="s">
        <v>283</v>
      </c>
      <c r="AE43" s="765" t="s">
        <v>283</v>
      </c>
      <c r="AF43" s="765" t="s">
        <v>283</v>
      </c>
      <c r="AG43" s="765" t="s">
        <v>283</v>
      </c>
      <c r="AH43" s="765" t="s">
        <v>283</v>
      </c>
      <c r="AI43" s="765" t="s">
        <v>283</v>
      </c>
      <c r="AJ43" s="765" t="s">
        <v>283</v>
      </c>
      <c r="AK43" s="765" t="s">
        <v>283</v>
      </c>
      <c r="AL43" s="765" t="s">
        <v>283</v>
      </c>
      <c r="AM43" s="765" t="s">
        <v>283</v>
      </c>
      <c r="AN43" s="765" t="s">
        <v>283</v>
      </c>
      <c r="AO43" s="765" t="s">
        <v>283</v>
      </c>
      <c r="AP43" s="765" t="s">
        <v>283</v>
      </c>
      <c r="AQ43" s="765" t="s">
        <v>283</v>
      </c>
      <c r="AR43" s="765" t="s">
        <v>283</v>
      </c>
      <c r="AS43" s="765" t="s">
        <v>283</v>
      </c>
      <c r="AT43" s="765" t="s">
        <v>283</v>
      </c>
    </row>
    <row r="44" spans="1:46" ht="15">
      <c r="A44" s="765" t="s">
        <v>283</v>
      </c>
      <c r="B44" s="769" t="s">
        <v>283</v>
      </c>
      <c r="C44" s="773" t="s">
        <v>464</v>
      </c>
      <c r="D44" s="774" t="s">
        <v>283</v>
      </c>
      <c r="E44" s="774" t="s">
        <v>283</v>
      </c>
      <c r="F44" s="774" t="s">
        <v>283</v>
      </c>
      <c r="G44" s="774" t="s">
        <v>283</v>
      </c>
      <c r="H44" s="774" t="s">
        <v>283</v>
      </c>
      <c r="I44" s="774" t="s">
        <v>283</v>
      </c>
      <c r="J44" s="774" t="s">
        <v>283</v>
      </c>
      <c r="K44" s="774" t="s">
        <v>283</v>
      </c>
      <c r="L44" s="771"/>
      <c r="M44" s="771"/>
      <c r="N44" s="771"/>
      <c r="O44" s="771"/>
      <c r="P44" s="771"/>
      <c r="Q44" s="771"/>
      <c r="R44" s="771"/>
      <c r="S44" s="771"/>
      <c r="T44" s="771"/>
      <c r="U44" s="771"/>
      <c r="V44" s="772" t="s">
        <v>283</v>
      </c>
      <c r="W44" s="765" t="s">
        <v>283</v>
      </c>
      <c r="X44" s="765" t="s">
        <v>283</v>
      </c>
      <c r="Y44" s="765" t="s">
        <v>283</v>
      </c>
      <c r="Z44" s="765" t="s">
        <v>283</v>
      </c>
      <c r="AA44" s="765" t="s">
        <v>283</v>
      </c>
      <c r="AB44" s="765" t="s">
        <v>283</v>
      </c>
      <c r="AC44" s="765" t="s">
        <v>283</v>
      </c>
      <c r="AD44" s="765" t="s">
        <v>283</v>
      </c>
      <c r="AE44" s="765" t="s">
        <v>283</v>
      </c>
      <c r="AF44" s="765" t="s">
        <v>283</v>
      </c>
      <c r="AG44" s="765" t="s">
        <v>283</v>
      </c>
      <c r="AH44" s="765" t="s">
        <v>283</v>
      </c>
      <c r="AI44" s="765" t="s">
        <v>283</v>
      </c>
      <c r="AJ44" s="765" t="s">
        <v>283</v>
      </c>
      <c r="AK44" s="765" t="s">
        <v>283</v>
      </c>
      <c r="AL44" s="765" t="s">
        <v>283</v>
      </c>
      <c r="AM44" s="765" t="s">
        <v>283</v>
      </c>
      <c r="AN44" s="765" t="s">
        <v>283</v>
      </c>
      <c r="AO44" s="765" t="s">
        <v>283</v>
      </c>
      <c r="AP44" s="765" t="s">
        <v>283</v>
      </c>
      <c r="AQ44" s="765" t="s">
        <v>283</v>
      </c>
      <c r="AR44" s="765" t="s">
        <v>283</v>
      </c>
      <c r="AS44" s="765" t="s">
        <v>283</v>
      </c>
      <c r="AT44" s="765" t="s">
        <v>283</v>
      </c>
    </row>
    <row r="45" spans="1:46" ht="15">
      <c r="A45" s="765" t="s">
        <v>283</v>
      </c>
      <c r="B45" s="769" t="s">
        <v>283</v>
      </c>
      <c r="C45" s="773" t="s">
        <v>465</v>
      </c>
      <c r="D45" s="780">
        <v>139000</v>
      </c>
      <c r="E45" s="780">
        <v>126000</v>
      </c>
      <c r="F45" s="780">
        <v>78000</v>
      </c>
      <c r="G45" s="780">
        <v>178000</v>
      </c>
      <c r="H45" s="780">
        <v>93500</v>
      </c>
      <c r="I45" s="780">
        <v>150000</v>
      </c>
      <c r="J45" s="780">
        <v>37868</v>
      </c>
      <c r="K45" s="779">
        <v>0.3</v>
      </c>
      <c r="L45" s="771"/>
      <c r="M45" s="783">
        <v>178000</v>
      </c>
      <c r="N45" s="783">
        <v>155000</v>
      </c>
      <c r="O45" s="783">
        <v>145000</v>
      </c>
      <c r="P45" s="783">
        <v>139000</v>
      </c>
      <c r="Q45" s="783">
        <v>101000</v>
      </c>
      <c r="R45" s="783">
        <v>86000</v>
      </c>
      <c r="S45" s="783">
        <v>78000</v>
      </c>
      <c r="T45" s="773"/>
      <c r="U45" s="773"/>
      <c r="V45" s="772" t="s">
        <v>283</v>
      </c>
      <c r="W45" s="765" t="s">
        <v>283</v>
      </c>
      <c r="X45" s="765" t="s">
        <v>283</v>
      </c>
      <c r="Y45" s="765" t="s">
        <v>283</v>
      </c>
      <c r="Z45" s="765" t="s">
        <v>283</v>
      </c>
      <c r="AA45" s="765" t="s">
        <v>283</v>
      </c>
      <c r="AB45" s="765" t="s">
        <v>283</v>
      </c>
      <c r="AC45" s="765" t="s">
        <v>283</v>
      </c>
      <c r="AD45" s="765" t="s">
        <v>283</v>
      </c>
      <c r="AE45" s="765" t="s">
        <v>283</v>
      </c>
      <c r="AF45" s="765" t="s">
        <v>283</v>
      </c>
      <c r="AG45" s="765" t="s">
        <v>283</v>
      </c>
      <c r="AH45" s="765" t="s">
        <v>283</v>
      </c>
      <c r="AI45" s="765" t="s">
        <v>283</v>
      </c>
      <c r="AJ45" s="765" t="s">
        <v>283</v>
      </c>
      <c r="AK45" s="765" t="s">
        <v>283</v>
      </c>
      <c r="AL45" s="765" t="s">
        <v>283</v>
      </c>
      <c r="AM45" s="765" t="s">
        <v>283</v>
      </c>
      <c r="AN45" s="765" t="s">
        <v>283</v>
      </c>
      <c r="AO45" s="765" t="s">
        <v>283</v>
      </c>
      <c r="AP45" s="765" t="s">
        <v>283</v>
      </c>
      <c r="AQ45" s="765" t="s">
        <v>283</v>
      </c>
      <c r="AR45" s="765" t="s">
        <v>283</v>
      </c>
      <c r="AS45" s="765" t="s">
        <v>283</v>
      </c>
      <c r="AT45" s="765" t="s">
        <v>283</v>
      </c>
    </row>
    <row r="46" spans="1:46" ht="15">
      <c r="A46" s="765" t="s">
        <v>283</v>
      </c>
      <c r="B46" s="769" t="s">
        <v>283</v>
      </c>
      <c r="C46" s="773" t="s">
        <v>466</v>
      </c>
      <c r="D46" s="780">
        <v>564000</v>
      </c>
      <c r="E46" s="780">
        <v>599286</v>
      </c>
      <c r="F46" s="780">
        <v>470000</v>
      </c>
      <c r="G46" s="780">
        <v>917000</v>
      </c>
      <c r="H46" s="780">
        <v>495000</v>
      </c>
      <c r="I46" s="780">
        <v>627000</v>
      </c>
      <c r="J46" s="780">
        <v>155350</v>
      </c>
      <c r="K46" s="779">
        <v>0.26</v>
      </c>
      <c r="L46" s="771"/>
      <c r="M46" s="783">
        <v>917000</v>
      </c>
      <c r="N46" s="783">
        <v>662000</v>
      </c>
      <c r="O46" s="783">
        <v>592000</v>
      </c>
      <c r="P46" s="783">
        <v>504000</v>
      </c>
      <c r="Q46" s="783">
        <v>470000</v>
      </c>
      <c r="R46" s="783">
        <v>486000</v>
      </c>
      <c r="S46" s="783">
        <v>564000</v>
      </c>
      <c r="T46" s="773"/>
      <c r="U46" s="773"/>
      <c r="V46" s="772" t="s">
        <v>283</v>
      </c>
      <c r="W46" s="765" t="s">
        <v>283</v>
      </c>
      <c r="X46" s="765" t="s">
        <v>283</v>
      </c>
      <c r="Y46" s="765" t="s">
        <v>283</v>
      </c>
      <c r="Z46" s="765" t="s">
        <v>283</v>
      </c>
      <c r="AA46" s="765" t="s">
        <v>283</v>
      </c>
      <c r="AB46" s="765" t="s">
        <v>283</v>
      </c>
      <c r="AC46" s="765" t="s">
        <v>283</v>
      </c>
      <c r="AD46" s="765" t="s">
        <v>283</v>
      </c>
      <c r="AE46" s="765" t="s">
        <v>283</v>
      </c>
      <c r="AF46" s="765" t="s">
        <v>283</v>
      </c>
      <c r="AG46" s="765" t="s">
        <v>283</v>
      </c>
      <c r="AH46" s="765" t="s">
        <v>283</v>
      </c>
      <c r="AI46" s="765" t="s">
        <v>283</v>
      </c>
      <c r="AJ46" s="765" t="s">
        <v>283</v>
      </c>
      <c r="AK46" s="765" t="s">
        <v>283</v>
      </c>
      <c r="AL46" s="765" t="s">
        <v>283</v>
      </c>
      <c r="AM46" s="765" t="s">
        <v>283</v>
      </c>
      <c r="AN46" s="765" t="s">
        <v>283</v>
      </c>
      <c r="AO46" s="765" t="s">
        <v>283</v>
      </c>
      <c r="AP46" s="765" t="s">
        <v>283</v>
      </c>
      <c r="AQ46" s="765" t="s">
        <v>283</v>
      </c>
      <c r="AR46" s="765" t="s">
        <v>283</v>
      </c>
      <c r="AS46" s="765" t="s">
        <v>283</v>
      </c>
      <c r="AT46" s="765" t="s">
        <v>283</v>
      </c>
    </row>
    <row r="47" spans="1:46" ht="15">
      <c r="A47" s="765" t="s">
        <v>283</v>
      </c>
      <c r="B47" s="769" t="s">
        <v>283</v>
      </c>
      <c r="C47" s="776" t="s">
        <v>467</v>
      </c>
      <c r="D47" s="787">
        <v>643000</v>
      </c>
      <c r="E47" s="787">
        <v>725286</v>
      </c>
      <c r="F47" s="787">
        <v>571000</v>
      </c>
      <c r="G47" s="787">
        <v>1095000</v>
      </c>
      <c r="H47" s="787">
        <v>607000</v>
      </c>
      <c r="I47" s="787">
        <v>777000</v>
      </c>
      <c r="J47" s="787">
        <v>185403</v>
      </c>
      <c r="K47" s="786">
        <v>0.26</v>
      </c>
      <c r="L47" s="790" t="s">
        <v>283</v>
      </c>
      <c r="M47" s="792">
        <v>1095000</v>
      </c>
      <c r="N47" s="792">
        <v>817000</v>
      </c>
      <c r="O47" s="792">
        <v>737000</v>
      </c>
      <c r="P47" s="792">
        <v>643000</v>
      </c>
      <c r="Q47" s="792">
        <v>571000</v>
      </c>
      <c r="R47" s="792">
        <v>572000</v>
      </c>
      <c r="S47" s="792">
        <v>642000</v>
      </c>
      <c r="T47" s="791" t="s">
        <v>283</v>
      </c>
      <c r="U47" s="791" t="s">
        <v>283</v>
      </c>
      <c r="V47" s="772" t="s">
        <v>283</v>
      </c>
      <c r="W47" s="765" t="s">
        <v>283</v>
      </c>
      <c r="X47" s="765" t="s">
        <v>283</v>
      </c>
      <c r="Y47" s="765" t="s">
        <v>283</v>
      </c>
      <c r="Z47" s="765" t="s">
        <v>283</v>
      </c>
      <c r="AA47" s="765" t="s">
        <v>283</v>
      </c>
      <c r="AB47" s="765" t="s">
        <v>283</v>
      </c>
      <c r="AC47" s="765" t="s">
        <v>283</v>
      </c>
      <c r="AD47" s="765" t="s">
        <v>283</v>
      </c>
      <c r="AE47" s="765" t="s">
        <v>283</v>
      </c>
      <c r="AF47" s="765" t="s">
        <v>283</v>
      </c>
      <c r="AG47" s="765" t="s">
        <v>283</v>
      </c>
      <c r="AH47" s="765" t="s">
        <v>283</v>
      </c>
      <c r="AI47" s="765" t="s">
        <v>283</v>
      </c>
      <c r="AJ47" s="765" t="s">
        <v>283</v>
      </c>
      <c r="AK47" s="765" t="s">
        <v>283</v>
      </c>
      <c r="AL47" s="765" t="s">
        <v>283</v>
      </c>
      <c r="AM47" s="765" t="s">
        <v>283</v>
      </c>
      <c r="AN47" s="765" t="s">
        <v>283</v>
      </c>
      <c r="AO47" s="765" t="s">
        <v>283</v>
      </c>
      <c r="AP47" s="765" t="s">
        <v>283</v>
      </c>
      <c r="AQ47" s="765" t="s">
        <v>283</v>
      </c>
      <c r="AR47" s="765" t="s">
        <v>283</v>
      </c>
      <c r="AS47" s="765" t="s">
        <v>283</v>
      </c>
      <c r="AT47" s="765" t="s">
        <v>283</v>
      </c>
    </row>
    <row r="48" spans="1:46" ht="15">
      <c r="A48" s="765" t="s">
        <v>283</v>
      </c>
      <c r="B48" s="769" t="s">
        <v>283</v>
      </c>
      <c r="C48" s="776" t="s">
        <v>468</v>
      </c>
      <c r="D48" s="787">
        <v>934000</v>
      </c>
      <c r="E48" s="787">
        <v>976714</v>
      </c>
      <c r="F48" s="787">
        <v>701000</v>
      </c>
      <c r="G48" s="787">
        <v>1485000</v>
      </c>
      <c r="H48" s="787">
        <v>779000</v>
      </c>
      <c r="I48" s="787">
        <v>1079500</v>
      </c>
      <c r="J48" s="787">
        <v>270940</v>
      </c>
      <c r="K48" s="786">
        <v>0.28000000000000003</v>
      </c>
      <c r="L48" s="790" t="s">
        <v>283</v>
      </c>
      <c r="M48" s="792">
        <v>1485000</v>
      </c>
      <c r="N48" s="792">
        <v>1125000</v>
      </c>
      <c r="O48" s="792">
        <v>1034000</v>
      </c>
      <c r="P48" s="792">
        <v>934000</v>
      </c>
      <c r="Q48" s="792">
        <v>799000</v>
      </c>
      <c r="R48" s="792">
        <v>701000</v>
      </c>
      <c r="S48" s="792">
        <v>759000</v>
      </c>
      <c r="T48" s="791" t="s">
        <v>283</v>
      </c>
      <c r="U48" s="791" t="s">
        <v>283</v>
      </c>
      <c r="V48" s="772" t="s">
        <v>283</v>
      </c>
      <c r="W48" s="765" t="s">
        <v>283</v>
      </c>
      <c r="X48" s="765" t="s">
        <v>283</v>
      </c>
      <c r="Y48" s="765" t="s">
        <v>283</v>
      </c>
      <c r="Z48" s="765" t="s">
        <v>283</v>
      </c>
      <c r="AA48" s="765" t="s">
        <v>283</v>
      </c>
      <c r="AB48" s="765" t="s">
        <v>283</v>
      </c>
      <c r="AC48" s="765" t="s">
        <v>283</v>
      </c>
      <c r="AD48" s="765" t="s">
        <v>283</v>
      </c>
      <c r="AE48" s="765" t="s">
        <v>283</v>
      </c>
      <c r="AF48" s="765" t="s">
        <v>283</v>
      </c>
      <c r="AG48" s="765" t="s">
        <v>283</v>
      </c>
      <c r="AH48" s="765" t="s">
        <v>283</v>
      </c>
      <c r="AI48" s="765" t="s">
        <v>283</v>
      </c>
      <c r="AJ48" s="765" t="s">
        <v>283</v>
      </c>
      <c r="AK48" s="765" t="s">
        <v>283</v>
      </c>
      <c r="AL48" s="765" t="s">
        <v>283</v>
      </c>
      <c r="AM48" s="765" t="s">
        <v>283</v>
      </c>
      <c r="AN48" s="765" t="s">
        <v>283</v>
      </c>
      <c r="AO48" s="765" t="s">
        <v>283</v>
      </c>
      <c r="AP48" s="765" t="s">
        <v>283</v>
      </c>
      <c r="AQ48" s="765" t="s">
        <v>283</v>
      </c>
      <c r="AR48" s="765" t="s">
        <v>283</v>
      </c>
      <c r="AS48" s="765" t="s">
        <v>283</v>
      </c>
      <c r="AT48" s="765" t="s">
        <v>283</v>
      </c>
    </row>
    <row r="49" spans="1:46" ht="15">
      <c r="A49" s="765" t="s">
        <v>283</v>
      </c>
      <c r="B49" s="769" t="s">
        <v>283</v>
      </c>
      <c r="C49" s="773" t="s">
        <v>469</v>
      </c>
      <c r="D49" s="774" t="s">
        <v>283</v>
      </c>
      <c r="E49" s="774" t="s">
        <v>283</v>
      </c>
      <c r="F49" s="774" t="s">
        <v>283</v>
      </c>
      <c r="G49" s="774" t="s">
        <v>283</v>
      </c>
      <c r="H49" s="774" t="s">
        <v>283</v>
      </c>
      <c r="I49" s="774" t="s">
        <v>283</v>
      </c>
      <c r="J49" s="774" t="s">
        <v>283</v>
      </c>
      <c r="K49" s="774" t="s">
        <v>283</v>
      </c>
      <c r="L49" s="771"/>
      <c r="M49" s="771"/>
      <c r="N49" s="771"/>
      <c r="O49" s="771"/>
      <c r="P49" s="771"/>
      <c r="Q49" s="771"/>
      <c r="R49" s="771"/>
      <c r="S49" s="771"/>
      <c r="T49" s="771"/>
      <c r="U49" s="771"/>
      <c r="V49" s="772" t="s">
        <v>283</v>
      </c>
      <c r="W49" s="765" t="s">
        <v>283</v>
      </c>
      <c r="X49" s="765" t="s">
        <v>283</v>
      </c>
      <c r="Y49" s="765" t="s">
        <v>283</v>
      </c>
      <c r="Z49" s="765" t="s">
        <v>283</v>
      </c>
      <c r="AA49" s="765" t="s">
        <v>283</v>
      </c>
      <c r="AB49" s="765" t="s">
        <v>283</v>
      </c>
      <c r="AC49" s="765" t="s">
        <v>283</v>
      </c>
      <c r="AD49" s="765" t="s">
        <v>283</v>
      </c>
      <c r="AE49" s="765" t="s">
        <v>283</v>
      </c>
      <c r="AF49" s="765" t="s">
        <v>283</v>
      </c>
      <c r="AG49" s="765" t="s">
        <v>283</v>
      </c>
      <c r="AH49" s="765" t="s">
        <v>283</v>
      </c>
      <c r="AI49" s="765" t="s">
        <v>283</v>
      </c>
      <c r="AJ49" s="765" t="s">
        <v>283</v>
      </c>
      <c r="AK49" s="765" t="s">
        <v>283</v>
      </c>
      <c r="AL49" s="765" t="s">
        <v>283</v>
      </c>
      <c r="AM49" s="765" t="s">
        <v>283</v>
      </c>
      <c r="AN49" s="765" t="s">
        <v>283</v>
      </c>
      <c r="AO49" s="765" t="s">
        <v>283</v>
      </c>
      <c r="AP49" s="765" t="s">
        <v>283</v>
      </c>
      <c r="AQ49" s="765" t="s">
        <v>283</v>
      </c>
      <c r="AR49" s="765" t="s">
        <v>283</v>
      </c>
      <c r="AS49" s="765" t="s">
        <v>283</v>
      </c>
      <c r="AT49" s="765" t="s">
        <v>283</v>
      </c>
    </row>
    <row r="50" spans="1:46" ht="15">
      <c r="A50" s="765" t="s">
        <v>283</v>
      </c>
      <c r="B50" s="769" t="s">
        <v>283</v>
      </c>
      <c r="C50" s="773" t="s">
        <v>470</v>
      </c>
      <c r="D50" s="774" t="s">
        <v>283</v>
      </c>
      <c r="E50" s="774" t="s">
        <v>283</v>
      </c>
      <c r="F50" s="774" t="s">
        <v>283</v>
      </c>
      <c r="G50" s="774" t="s">
        <v>283</v>
      </c>
      <c r="H50" s="774" t="s">
        <v>283</v>
      </c>
      <c r="I50" s="774" t="s">
        <v>283</v>
      </c>
      <c r="J50" s="774" t="s">
        <v>283</v>
      </c>
      <c r="K50" s="774" t="s">
        <v>283</v>
      </c>
      <c r="L50" s="771"/>
      <c r="M50" s="771"/>
      <c r="N50" s="771"/>
      <c r="O50" s="771"/>
      <c r="P50" s="771"/>
      <c r="Q50" s="771"/>
      <c r="R50" s="771"/>
      <c r="S50" s="771"/>
      <c r="T50" s="771"/>
      <c r="U50" s="771"/>
      <c r="V50" s="772" t="s">
        <v>283</v>
      </c>
      <c r="W50" s="765" t="s">
        <v>283</v>
      </c>
      <c r="X50" s="765" t="s">
        <v>283</v>
      </c>
      <c r="Y50" s="765" t="s">
        <v>283</v>
      </c>
      <c r="Z50" s="765" t="s">
        <v>283</v>
      </c>
      <c r="AA50" s="765" t="s">
        <v>283</v>
      </c>
      <c r="AB50" s="765" t="s">
        <v>283</v>
      </c>
      <c r="AC50" s="765" t="s">
        <v>283</v>
      </c>
      <c r="AD50" s="765" t="s">
        <v>283</v>
      </c>
      <c r="AE50" s="765" t="s">
        <v>283</v>
      </c>
      <c r="AF50" s="765" t="s">
        <v>283</v>
      </c>
      <c r="AG50" s="765" t="s">
        <v>283</v>
      </c>
      <c r="AH50" s="765" t="s">
        <v>283</v>
      </c>
      <c r="AI50" s="765" t="s">
        <v>283</v>
      </c>
      <c r="AJ50" s="765" t="s">
        <v>283</v>
      </c>
      <c r="AK50" s="765" t="s">
        <v>283</v>
      </c>
      <c r="AL50" s="765" t="s">
        <v>283</v>
      </c>
      <c r="AM50" s="765" t="s">
        <v>283</v>
      </c>
      <c r="AN50" s="765" t="s">
        <v>283</v>
      </c>
      <c r="AO50" s="765" t="s">
        <v>283</v>
      </c>
      <c r="AP50" s="765" t="s">
        <v>283</v>
      </c>
      <c r="AQ50" s="765" t="s">
        <v>283</v>
      </c>
      <c r="AR50" s="765" t="s">
        <v>283</v>
      </c>
      <c r="AS50" s="765" t="s">
        <v>283</v>
      </c>
      <c r="AT50" s="765" t="s">
        <v>283</v>
      </c>
    </row>
    <row r="51" spans="1:46" ht="15">
      <c r="A51" s="765" t="s">
        <v>283</v>
      </c>
      <c r="B51" s="769" t="s">
        <v>283</v>
      </c>
      <c r="C51" s="773" t="s">
        <v>471</v>
      </c>
      <c r="D51" s="774" t="s">
        <v>283</v>
      </c>
      <c r="E51" s="774" t="s">
        <v>283</v>
      </c>
      <c r="F51" s="774" t="s">
        <v>283</v>
      </c>
      <c r="G51" s="774" t="s">
        <v>283</v>
      </c>
      <c r="H51" s="774" t="s">
        <v>283</v>
      </c>
      <c r="I51" s="774" t="s">
        <v>283</v>
      </c>
      <c r="J51" s="774" t="s">
        <v>283</v>
      </c>
      <c r="K51" s="774" t="s">
        <v>283</v>
      </c>
      <c r="L51" s="771"/>
      <c r="M51" s="771"/>
      <c r="N51" s="771"/>
      <c r="O51" s="771"/>
      <c r="P51" s="771"/>
      <c r="Q51" s="771"/>
      <c r="R51" s="771"/>
      <c r="S51" s="771"/>
      <c r="T51" s="771"/>
      <c r="U51" s="771"/>
      <c r="V51" s="772" t="s">
        <v>283</v>
      </c>
      <c r="W51" s="765" t="s">
        <v>283</v>
      </c>
      <c r="X51" s="765" t="s">
        <v>283</v>
      </c>
      <c r="Y51" s="765" t="s">
        <v>283</v>
      </c>
      <c r="Z51" s="765" t="s">
        <v>283</v>
      </c>
      <c r="AA51" s="765" t="s">
        <v>283</v>
      </c>
      <c r="AB51" s="765" t="s">
        <v>283</v>
      </c>
      <c r="AC51" s="765" t="s">
        <v>283</v>
      </c>
      <c r="AD51" s="765" t="s">
        <v>283</v>
      </c>
      <c r="AE51" s="765" t="s">
        <v>283</v>
      </c>
      <c r="AF51" s="765" t="s">
        <v>283</v>
      </c>
      <c r="AG51" s="765" t="s">
        <v>283</v>
      </c>
      <c r="AH51" s="765" t="s">
        <v>283</v>
      </c>
      <c r="AI51" s="765" t="s">
        <v>283</v>
      </c>
      <c r="AJ51" s="765" t="s">
        <v>283</v>
      </c>
      <c r="AK51" s="765" t="s">
        <v>283</v>
      </c>
      <c r="AL51" s="765" t="s">
        <v>283</v>
      </c>
      <c r="AM51" s="765" t="s">
        <v>283</v>
      </c>
      <c r="AN51" s="765" t="s">
        <v>283</v>
      </c>
      <c r="AO51" s="765" t="s">
        <v>283</v>
      </c>
      <c r="AP51" s="765" t="s">
        <v>283</v>
      </c>
      <c r="AQ51" s="765" t="s">
        <v>283</v>
      </c>
      <c r="AR51" s="765" t="s">
        <v>283</v>
      </c>
      <c r="AS51" s="765" t="s">
        <v>283</v>
      </c>
      <c r="AT51" s="765" t="s">
        <v>283</v>
      </c>
    </row>
    <row r="52" spans="1:46" ht="15">
      <c r="A52" s="765" t="s">
        <v>283</v>
      </c>
      <c r="B52" s="769" t="s">
        <v>283</v>
      </c>
      <c r="C52" s="773" t="s">
        <v>472</v>
      </c>
      <c r="D52" s="782">
        <v>-94000</v>
      </c>
      <c r="E52" s="782">
        <v>-106000</v>
      </c>
      <c r="F52" s="782">
        <v>-188000</v>
      </c>
      <c r="G52" s="782">
        <v>-46000</v>
      </c>
      <c r="H52" s="782">
        <v>-137500</v>
      </c>
      <c r="I52" s="782">
        <v>-69500</v>
      </c>
      <c r="J52" s="780">
        <v>50731</v>
      </c>
      <c r="K52" s="781">
        <v>-0.48</v>
      </c>
      <c r="L52" s="771"/>
      <c r="M52" s="785">
        <v>-188000</v>
      </c>
      <c r="N52" s="785">
        <v>-150000</v>
      </c>
      <c r="O52" s="785">
        <v>-125000</v>
      </c>
      <c r="P52" s="785">
        <v>-94000</v>
      </c>
      <c r="Q52" s="785">
        <v>-67000</v>
      </c>
      <c r="R52" s="785">
        <v>-72000</v>
      </c>
      <c r="S52" s="785">
        <v>-46000</v>
      </c>
      <c r="T52" s="773"/>
      <c r="U52" s="773"/>
      <c r="V52" s="772" t="s">
        <v>283</v>
      </c>
      <c r="W52" s="765" t="s">
        <v>283</v>
      </c>
      <c r="X52" s="765" t="s">
        <v>283</v>
      </c>
      <c r="Y52" s="765" t="s">
        <v>283</v>
      </c>
      <c r="Z52" s="765" t="s">
        <v>283</v>
      </c>
      <c r="AA52" s="765" t="s">
        <v>283</v>
      </c>
      <c r="AB52" s="765" t="s">
        <v>283</v>
      </c>
      <c r="AC52" s="765" t="s">
        <v>283</v>
      </c>
      <c r="AD52" s="765" t="s">
        <v>283</v>
      </c>
      <c r="AE52" s="765" t="s">
        <v>283</v>
      </c>
      <c r="AF52" s="765" t="s">
        <v>283</v>
      </c>
      <c r="AG52" s="765" t="s">
        <v>283</v>
      </c>
      <c r="AH52" s="765" t="s">
        <v>283</v>
      </c>
      <c r="AI52" s="765" t="s">
        <v>283</v>
      </c>
      <c r="AJ52" s="765" t="s">
        <v>283</v>
      </c>
      <c r="AK52" s="765" t="s">
        <v>283</v>
      </c>
      <c r="AL52" s="765" t="s">
        <v>283</v>
      </c>
      <c r="AM52" s="765" t="s">
        <v>283</v>
      </c>
      <c r="AN52" s="765" t="s">
        <v>283</v>
      </c>
      <c r="AO52" s="765" t="s">
        <v>283</v>
      </c>
      <c r="AP52" s="765" t="s">
        <v>283</v>
      </c>
      <c r="AQ52" s="765" t="s">
        <v>283</v>
      </c>
      <c r="AR52" s="765" t="s">
        <v>283</v>
      </c>
      <c r="AS52" s="765" t="s">
        <v>283</v>
      </c>
      <c r="AT52" s="765" t="s">
        <v>283</v>
      </c>
    </row>
    <row r="53" spans="1:46" ht="15">
      <c r="A53" s="765" t="s">
        <v>283</v>
      </c>
      <c r="B53" s="769" t="s">
        <v>283</v>
      </c>
      <c r="C53" s="776" t="s">
        <v>473</v>
      </c>
      <c r="D53" s="789">
        <v>-94000</v>
      </c>
      <c r="E53" s="789">
        <v>-106000</v>
      </c>
      <c r="F53" s="789">
        <v>-188000</v>
      </c>
      <c r="G53" s="789">
        <v>-46000</v>
      </c>
      <c r="H53" s="789">
        <v>-137500</v>
      </c>
      <c r="I53" s="789">
        <v>-69500</v>
      </c>
      <c r="J53" s="787">
        <v>50731</v>
      </c>
      <c r="K53" s="788">
        <v>-0.48</v>
      </c>
      <c r="L53" s="790" t="s">
        <v>283</v>
      </c>
      <c r="M53" s="794">
        <v>-188000</v>
      </c>
      <c r="N53" s="794">
        <v>-150000</v>
      </c>
      <c r="O53" s="794">
        <v>-125000</v>
      </c>
      <c r="P53" s="794">
        <v>-94000</v>
      </c>
      <c r="Q53" s="794">
        <v>-67000</v>
      </c>
      <c r="R53" s="794">
        <v>-72000</v>
      </c>
      <c r="S53" s="794">
        <v>-46000</v>
      </c>
      <c r="T53" s="791" t="s">
        <v>283</v>
      </c>
      <c r="U53" s="791" t="s">
        <v>283</v>
      </c>
      <c r="V53" s="772" t="s">
        <v>283</v>
      </c>
      <c r="W53" s="765" t="s">
        <v>283</v>
      </c>
      <c r="X53" s="765" t="s">
        <v>283</v>
      </c>
      <c r="Y53" s="765" t="s">
        <v>283</v>
      </c>
      <c r="Z53" s="765" t="s">
        <v>283</v>
      </c>
      <c r="AA53" s="765" t="s">
        <v>283</v>
      </c>
      <c r="AB53" s="765" t="s">
        <v>283</v>
      </c>
      <c r="AC53" s="765" t="s">
        <v>283</v>
      </c>
      <c r="AD53" s="765" t="s">
        <v>283</v>
      </c>
      <c r="AE53" s="765" t="s">
        <v>283</v>
      </c>
      <c r="AF53" s="765" t="s">
        <v>283</v>
      </c>
      <c r="AG53" s="765" t="s">
        <v>283</v>
      </c>
      <c r="AH53" s="765" t="s">
        <v>283</v>
      </c>
      <c r="AI53" s="765" t="s">
        <v>283</v>
      </c>
      <c r="AJ53" s="765" t="s">
        <v>283</v>
      </c>
      <c r="AK53" s="765" t="s">
        <v>283</v>
      </c>
      <c r="AL53" s="765" t="s">
        <v>283</v>
      </c>
      <c r="AM53" s="765" t="s">
        <v>283</v>
      </c>
      <c r="AN53" s="765" t="s">
        <v>283</v>
      </c>
      <c r="AO53" s="765" t="s">
        <v>283</v>
      </c>
      <c r="AP53" s="765" t="s">
        <v>283</v>
      </c>
      <c r="AQ53" s="765" t="s">
        <v>283</v>
      </c>
      <c r="AR53" s="765" t="s">
        <v>283</v>
      </c>
      <c r="AS53" s="765" t="s">
        <v>283</v>
      </c>
      <c r="AT53" s="765" t="s">
        <v>283</v>
      </c>
    </row>
    <row r="54" spans="1:46" ht="15">
      <c r="A54" s="765" t="s">
        <v>283</v>
      </c>
      <c r="B54" s="769" t="s">
        <v>283</v>
      </c>
      <c r="C54" s="773" t="s">
        <v>474</v>
      </c>
      <c r="D54" s="774" t="s">
        <v>283</v>
      </c>
      <c r="E54" s="774" t="s">
        <v>283</v>
      </c>
      <c r="F54" s="774" t="s">
        <v>283</v>
      </c>
      <c r="G54" s="774" t="s">
        <v>283</v>
      </c>
      <c r="H54" s="774" t="s">
        <v>283</v>
      </c>
      <c r="I54" s="774" t="s">
        <v>283</v>
      </c>
      <c r="J54" s="774" t="s">
        <v>283</v>
      </c>
      <c r="K54" s="774" t="s">
        <v>283</v>
      </c>
      <c r="L54" s="771"/>
      <c r="M54" s="771"/>
      <c r="N54" s="771"/>
      <c r="O54" s="771"/>
      <c r="P54" s="771"/>
      <c r="Q54" s="771"/>
      <c r="R54" s="771"/>
      <c r="S54" s="771"/>
      <c r="T54" s="771"/>
      <c r="U54" s="771"/>
      <c r="V54" s="772" t="s">
        <v>283</v>
      </c>
      <c r="W54" s="765" t="s">
        <v>283</v>
      </c>
      <c r="X54" s="765" t="s">
        <v>283</v>
      </c>
      <c r="Y54" s="765" t="s">
        <v>283</v>
      </c>
      <c r="Z54" s="765" t="s">
        <v>283</v>
      </c>
      <c r="AA54" s="765" t="s">
        <v>283</v>
      </c>
      <c r="AB54" s="765" t="s">
        <v>283</v>
      </c>
      <c r="AC54" s="765" t="s">
        <v>283</v>
      </c>
      <c r="AD54" s="765" t="s">
        <v>283</v>
      </c>
      <c r="AE54" s="765" t="s">
        <v>283</v>
      </c>
      <c r="AF54" s="765" t="s">
        <v>283</v>
      </c>
      <c r="AG54" s="765" t="s">
        <v>283</v>
      </c>
      <c r="AH54" s="765" t="s">
        <v>283</v>
      </c>
      <c r="AI54" s="765" t="s">
        <v>283</v>
      </c>
      <c r="AJ54" s="765" t="s">
        <v>283</v>
      </c>
      <c r="AK54" s="765" t="s">
        <v>283</v>
      </c>
      <c r="AL54" s="765" t="s">
        <v>283</v>
      </c>
      <c r="AM54" s="765" t="s">
        <v>283</v>
      </c>
      <c r="AN54" s="765" t="s">
        <v>283</v>
      </c>
      <c r="AO54" s="765" t="s">
        <v>283</v>
      </c>
      <c r="AP54" s="765" t="s">
        <v>283</v>
      </c>
      <c r="AQ54" s="765" t="s">
        <v>283</v>
      </c>
      <c r="AR54" s="765" t="s">
        <v>283</v>
      </c>
      <c r="AS54" s="765" t="s">
        <v>283</v>
      </c>
      <c r="AT54" s="765" t="s">
        <v>283</v>
      </c>
    </row>
    <row r="55" spans="1:46" ht="15">
      <c r="A55" s="765" t="s">
        <v>283</v>
      </c>
      <c r="B55" s="769" t="s">
        <v>283</v>
      </c>
      <c r="C55" s="773" t="s">
        <v>475</v>
      </c>
      <c r="D55" s="782">
        <v>-86000</v>
      </c>
      <c r="E55" s="782">
        <v>-80286</v>
      </c>
      <c r="F55" s="782">
        <v>-119000</v>
      </c>
      <c r="G55" s="782">
        <v>-31000</v>
      </c>
      <c r="H55" s="782">
        <v>-102500</v>
      </c>
      <c r="I55" s="782">
        <v>-60500</v>
      </c>
      <c r="J55" s="780">
        <v>31271</v>
      </c>
      <c r="K55" s="781">
        <v>-0.39</v>
      </c>
      <c r="L55" s="771"/>
      <c r="M55" s="785">
        <v>-119000</v>
      </c>
      <c r="N55" s="785">
        <v>-106000</v>
      </c>
      <c r="O55" s="785">
        <v>-99000</v>
      </c>
      <c r="P55" s="785">
        <v>-86000</v>
      </c>
      <c r="Q55" s="785">
        <v>-68000</v>
      </c>
      <c r="R55" s="785">
        <v>-53000</v>
      </c>
      <c r="S55" s="785">
        <v>-31000</v>
      </c>
      <c r="T55" s="773"/>
      <c r="U55" s="773"/>
      <c r="V55" s="772" t="s">
        <v>283</v>
      </c>
      <c r="W55" s="765" t="s">
        <v>283</v>
      </c>
      <c r="X55" s="765" t="s">
        <v>283</v>
      </c>
      <c r="Y55" s="765" t="s">
        <v>283</v>
      </c>
      <c r="Z55" s="765" t="s">
        <v>283</v>
      </c>
      <c r="AA55" s="765" t="s">
        <v>283</v>
      </c>
      <c r="AB55" s="765" t="s">
        <v>283</v>
      </c>
      <c r="AC55" s="765" t="s">
        <v>283</v>
      </c>
      <c r="AD55" s="765" t="s">
        <v>283</v>
      </c>
      <c r="AE55" s="765" t="s">
        <v>283</v>
      </c>
      <c r="AF55" s="765" t="s">
        <v>283</v>
      </c>
      <c r="AG55" s="765" t="s">
        <v>283</v>
      </c>
      <c r="AH55" s="765" t="s">
        <v>283</v>
      </c>
      <c r="AI55" s="765" t="s">
        <v>283</v>
      </c>
      <c r="AJ55" s="765" t="s">
        <v>283</v>
      </c>
      <c r="AK55" s="765" t="s">
        <v>283</v>
      </c>
      <c r="AL55" s="765" t="s">
        <v>283</v>
      </c>
      <c r="AM55" s="765" t="s">
        <v>283</v>
      </c>
      <c r="AN55" s="765" t="s">
        <v>283</v>
      </c>
      <c r="AO55" s="765" t="s">
        <v>283</v>
      </c>
      <c r="AP55" s="765" t="s">
        <v>283</v>
      </c>
      <c r="AQ55" s="765" t="s">
        <v>283</v>
      </c>
      <c r="AR55" s="765" t="s">
        <v>283</v>
      </c>
      <c r="AS55" s="765" t="s">
        <v>283</v>
      </c>
      <c r="AT55" s="765" t="s">
        <v>283</v>
      </c>
    </row>
    <row r="56" spans="1:46" ht="15">
      <c r="A56" s="765" t="s">
        <v>283</v>
      </c>
      <c r="B56" s="769" t="s">
        <v>283</v>
      </c>
      <c r="C56" s="773" t="s">
        <v>476</v>
      </c>
      <c r="D56" s="782">
        <v>-262000</v>
      </c>
      <c r="E56" s="782">
        <v>-253143</v>
      </c>
      <c r="F56" s="782">
        <v>-347000</v>
      </c>
      <c r="G56" s="782">
        <v>-148000</v>
      </c>
      <c r="H56" s="782">
        <v>-300000</v>
      </c>
      <c r="I56" s="782">
        <v>-207500</v>
      </c>
      <c r="J56" s="780">
        <v>69509</v>
      </c>
      <c r="K56" s="781">
        <v>-0.27</v>
      </c>
      <c r="L56" s="771"/>
      <c r="M56" s="785">
        <v>-347000</v>
      </c>
      <c r="N56" s="785">
        <v>-302000</v>
      </c>
      <c r="O56" s="785">
        <v>-298000</v>
      </c>
      <c r="P56" s="785">
        <v>-262000</v>
      </c>
      <c r="Q56" s="785">
        <v>-223000</v>
      </c>
      <c r="R56" s="785">
        <v>-192000</v>
      </c>
      <c r="S56" s="785">
        <v>-148000</v>
      </c>
      <c r="T56" s="773"/>
      <c r="U56" s="773"/>
      <c r="V56" s="772" t="s">
        <v>283</v>
      </c>
      <c r="W56" s="765" t="s">
        <v>283</v>
      </c>
      <c r="X56" s="765" t="s">
        <v>283</v>
      </c>
      <c r="Y56" s="765" t="s">
        <v>283</v>
      </c>
      <c r="Z56" s="765" t="s">
        <v>283</v>
      </c>
      <c r="AA56" s="765" t="s">
        <v>283</v>
      </c>
      <c r="AB56" s="765" t="s">
        <v>283</v>
      </c>
      <c r="AC56" s="765" t="s">
        <v>283</v>
      </c>
      <c r="AD56" s="765" t="s">
        <v>283</v>
      </c>
      <c r="AE56" s="765" t="s">
        <v>283</v>
      </c>
      <c r="AF56" s="765" t="s">
        <v>283</v>
      </c>
      <c r="AG56" s="765" t="s">
        <v>283</v>
      </c>
      <c r="AH56" s="765" t="s">
        <v>283</v>
      </c>
      <c r="AI56" s="765" t="s">
        <v>283</v>
      </c>
      <c r="AJ56" s="765" t="s">
        <v>283</v>
      </c>
      <c r="AK56" s="765" t="s">
        <v>283</v>
      </c>
      <c r="AL56" s="765" t="s">
        <v>283</v>
      </c>
      <c r="AM56" s="765" t="s">
        <v>283</v>
      </c>
      <c r="AN56" s="765" t="s">
        <v>283</v>
      </c>
      <c r="AO56" s="765" t="s">
        <v>283</v>
      </c>
      <c r="AP56" s="765" t="s">
        <v>283</v>
      </c>
      <c r="AQ56" s="765" t="s">
        <v>283</v>
      </c>
      <c r="AR56" s="765" t="s">
        <v>283</v>
      </c>
      <c r="AS56" s="765" t="s">
        <v>283</v>
      </c>
      <c r="AT56" s="765" t="s">
        <v>283</v>
      </c>
    </row>
    <row r="57" spans="1:46" ht="15">
      <c r="A57" s="765" t="s">
        <v>283</v>
      </c>
      <c r="B57" s="769" t="s">
        <v>283</v>
      </c>
      <c r="C57" s="776" t="s">
        <v>477</v>
      </c>
      <c r="D57" s="789">
        <v>-348000</v>
      </c>
      <c r="E57" s="789">
        <v>-333429</v>
      </c>
      <c r="F57" s="789">
        <v>-466000</v>
      </c>
      <c r="G57" s="789">
        <v>-179000</v>
      </c>
      <c r="H57" s="789">
        <v>-402500</v>
      </c>
      <c r="I57" s="789">
        <v>-268000</v>
      </c>
      <c r="J57" s="787">
        <v>100712</v>
      </c>
      <c r="K57" s="788">
        <v>-0.3</v>
      </c>
      <c r="L57" s="790" t="s">
        <v>283</v>
      </c>
      <c r="M57" s="794">
        <v>-466000</v>
      </c>
      <c r="N57" s="794">
        <v>-408000</v>
      </c>
      <c r="O57" s="794">
        <v>-397000</v>
      </c>
      <c r="P57" s="794">
        <v>-348000</v>
      </c>
      <c r="Q57" s="794">
        <v>-291000</v>
      </c>
      <c r="R57" s="794">
        <v>-245000</v>
      </c>
      <c r="S57" s="794">
        <v>-179000</v>
      </c>
      <c r="T57" s="791" t="s">
        <v>283</v>
      </c>
      <c r="U57" s="791" t="s">
        <v>283</v>
      </c>
      <c r="V57" s="772" t="s">
        <v>283</v>
      </c>
      <c r="W57" s="765" t="s">
        <v>283</v>
      </c>
      <c r="X57" s="765" t="s">
        <v>283</v>
      </c>
      <c r="Y57" s="765" t="s">
        <v>283</v>
      </c>
      <c r="Z57" s="765" t="s">
        <v>283</v>
      </c>
      <c r="AA57" s="765" t="s">
        <v>283</v>
      </c>
      <c r="AB57" s="765" t="s">
        <v>283</v>
      </c>
      <c r="AC57" s="765" t="s">
        <v>283</v>
      </c>
      <c r="AD57" s="765" t="s">
        <v>283</v>
      </c>
      <c r="AE57" s="765" t="s">
        <v>283</v>
      </c>
      <c r="AF57" s="765" t="s">
        <v>283</v>
      </c>
      <c r="AG57" s="765" t="s">
        <v>283</v>
      </c>
      <c r="AH57" s="765" t="s">
        <v>283</v>
      </c>
      <c r="AI57" s="765" t="s">
        <v>283</v>
      </c>
      <c r="AJ57" s="765" t="s">
        <v>283</v>
      </c>
      <c r="AK57" s="765" t="s">
        <v>283</v>
      </c>
      <c r="AL57" s="765" t="s">
        <v>283</v>
      </c>
      <c r="AM57" s="765" t="s">
        <v>283</v>
      </c>
      <c r="AN57" s="765" t="s">
        <v>283</v>
      </c>
      <c r="AO57" s="765" t="s">
        <v>283</v>
      </c>
      <c r="AP57" s="765" t="s">
        <v>283</v>
      </c>
      <c r="AQ57" s="765" t="s">
        <v>283</v>
      </c>
      <c r="AR57" s="765" t="s">
        <v>283</v>
      </c>
      <c r="AS57" s="765" t="s">
        <v>283</v>
      </c>
      <c r="AT57" s="765" t="s">
        <v>283</v>
      </c>
    </row>
    <row r="58" spans="1:46" ht="15">
      <c r="A58" s="765" t="s">
        <v>283</v>
      </c>
      <c r="B58" s="769" t="s">
        <v>283</v>
      </c>
      <c r="C58" s="776" t="s">
        <v>478</v>
      </c>
      <c r="D58" s="789">
        <v>-442000</v>
      </c>
      <c r="E58" s="789">
        <v>-439429</v>
      </c>
      <c r="F58" s="789">
        <v>-654000</v>
      </c>
      <c r="G58" s="789">
        <v>-225000</v>
      </c>
      <c r="H58" s="789">
        <v>-540000</v>
      </c>
      <c r="I58" s="789">
        <v>-337500</v>
      </c>
      <c r="J58" s="787">
        <v>149735</v>
      </c>
      <c r="K58" s="788">
        <v>-0.34</v>
      </c>
      <c r="L58" s="790" t="s">
        <v>283</v>
      </c>
      <c r="M58" s="794">
        <v>-654000</v>
      </c>
      <c r="N58" s="794">
        <v>-558000</v>
      </c>
      <c r="O58" s="794">
        <v>-522000</v>
      </c>
      <c r="P58" s="794">
        <v>-442000</v>
      </c>
      <c r="Q58" s="794">
        <v>-358000</v>
      </c>
      <c r="R58" s="794">
        <v>-317000</v>
      </c>
      <c r="S58" s="794">
        <v>-225000</v>
      </c>
      <c r="T58" s="791" t="s">
        <v>283</v>
      </c>
      <c r="U58" s="791" t="s">
        <v>283</v>
      </c>
      <c r="V58" s="772" t="s">
        <v>283</v>
      </c>
      <c r="W58" s="765" t="s">
        <v>283</v>
      </c>
      <c r="X58" s="765" t="s">
        <v>283</v>
      </c>
      <c r="Y58" s="765" t="s">
        <v>283</v>
      </c>
      <c r="Z58" s="765" t="s">
        <v>283</v>
      </c>
      <c r="AA58" s="765" t="s">
        <v>283</v>
      </c>
      <c r="AB58" s="765" t="s">
        <v>283</v>
      </c>
      <c r="AC58" s="765" t="s">
        <v>283</v>
      </c>
      <c r="AD58" s="765" t="s">
        <v>283</v>
      </c>
      <c r="AE58" s="765" t="s">
        <v>283</v>
      </c>
      <c r="AF58" s="765" t="s">
        <v>283</v>
      </c>
      <c r="AG58" s="765" t="s">
        <v>283</v>
      </c>
      <c r="AH58" s="765" t="s">
        <v>283</v>
      </c>
      <c r="AI58" s="765" t="s">
        <v>283</v>
      </c>
      <c r="AJ58" s="765" t="s">
        <v>283</v>
      </c>
      <c r="AK58" s="765" t="s">
        <v>283</v>
      </c>
      <c r="AL58" s="765" t="s">
        <v>283</v>
      </c>
      <c r="AM58" s="765" t="s">
        <v>283</v>
      </c>
      <c r="AN58" s="765" t="s">
        <v>283</v>
      </c>
      <c r="AO58" s="765" t="s">
        <v>283</v>
      </c>
      <c r="AP58" s="765" t="s">
        <v>283</v>
      </c>
      <c r="AQ58" s="765" t="s">
        <v>283</v>
      </c>
      <c r="AR58" s="765" t="s">
        <v>283</v>
      </c>
      <c r="AS58" s="765" t="s">
        <v>283</v>
      </c>
      <c r="AT58" s="765" t="s">
        <v>283</v>
      </c>
    </row>
    <row r="59" spans="1:46" ht="15">
      <c r="A59" s="765" t="s">
        <v>283</v>
      </c>
      <c r="B59" s="769" t="s">
        <v>283</v>
      </c>
      <c r="C59" s="776" t="s">
        <v>479</v>
      </c>
      <c r="D59" s="789">
        <v>-442000</v>
      </c>
      <c r="E59" s="789">
        <v>-439429</v>
      </c>
      <c r="F59" s="789">
        <v>-654000</v>
      </c>
      <c r="G59" s="789">
        <v>-225000</v>
      </c>
      <c r="H59" s="789">
        <v>-540000</v>
      </c>
      <c r="I59" s="789">
        <v>-337500</v>
      </c>
      <c r="J59" s="787">
        <v>149735</v>
      </c>
      <c r="K59" s="788">
        <v>-0.34</v>
      </c>
      <c r="L59" s="790" t="s">
        <v>283</v>
      </c>
      <c r="M59" s="794">
        <v>-654000</v>
      </c>
      <c r="N59" s="794">
        <v>-558000</v>
      </c>
      <c r="O59" s="794">
        <v>-522000</v>
      </c>
      <c r="P59" s="794">
        <v>-442000</v>
      </c>
      <c r="Q59" s="794">
        <v>-358000</v>
      </c>
      <c r="R59" s="794">
        <v>-317000</v>
      </c>
      <c r="S59" s="794">
        <v>-225000</v>
      </c>
      <c r="T59" s="791" t="s">
        <v>283</v>
      </c>
      <c r="U59" s="791" t="s">
        <v>283</v>
      </c>
      <c r="V59" s="772" t="s">
        <v>283</v>
      </c>
      <c r="W59" s="765" t="s">
        <v>283</v>
      </c>
      <c r="X59" s="765" t="s">
        <v>283</v>
      </c>
      <c r="Y59" s="765" t="s">
        <v>283</v>
      </c>
      <c r="Z59" s="765" t="s">
        <v>283</v>
      </c>
      <c r="AA59" s="765" t="s">
        <v>283</v>
      </c>
      <c r="AB59" s="765" t="s">
        <v>283</v>
      </c>
      <c r="AC59" s="765" t="s">
        <v>283</v>
      </c>
      <c r="AD59" s="765" t="s">
        <v>283</v>
      </c>
      <c r="AE59" s="765" t="s">
        <v>283</v>
      </c>
      <c r="AF59" s="765" t="s">
        <v>283</v>
      </c>
      <c r="AG59" s="765" t="s">
        <v>283</v>
      </c>
      <c r="AH59" s="765" t="s">
        <v>283</v>
      </c>
      <c r="AI59" s="765" t="s">
        <v>283</v>
      </c>
      <c r="AJ59" s="765" t="s">
        <v>283</v>
      </c>
      <c r="AK59" s="765" t="s">
        <v>283</v>
      </c>
      <c r="AL59" s="765" t="s">
        <v>283</v>
      </c>
      <c r="AM59" s="765" t="s">
        <v>283</v>
      </c>
      <c r="AN59" s="765" t="s">
        <v>283</v>
      </c>
      <c r="AO59" s="765" t="s">
        <v>283</v>
      </c>
      <c r="AP59" s="765" t="s">
        <v>283</v>
      </c>
      <c r="AQ59" s="765" t="s">
        <v>283</v>
      </c>
      <c r="AR59" s="765" t="s">
        <v>283</v>
      </c>
      <c r="AS59" s="765" t="s">
        <v>283</v>
      </c>
      <c r="AT59" s="765" t="s">
        <v>283</v>
      </c>
    </row>
    <row r="60" spans="1:46" ht="15">
      <c r="A60" s="765" t="s">
        <v>283</v>
      </c>
      <c r="B60" s="769" t="s">
        <v>283</v>
      </c>
      <c r="C60" s="776" t="s">
        <v>480</v>
      </c>
      <c r="D60" s="787">
        <v>512000</v>
      </c>
      <c r="E60" s="787">
        <v>537286</v>
      </c>
      <c r="F60" s="787">
        <v>384000</v>
      </c>
      <c r="G60" s="787">
        <v>831000</v>
      </c>
      <c r="H60" s="787">
        <v>466500</v>
      </c>
      <c r="I60" s="787">
        <v>550500</v>
      </c>
      <c r="J60" s="787">
        <v>142957</v>
      </c>
      <c r="K60" s="786">
        <v>0.27</v>
      </c>
      <c r="L60" s="790" t="s">
        <v>283</v>
      </c>
      <c r="M60" s="792">
        <v>831000</v>
      </c>
      <c r="N60" s="792">
        <v>567000</v>
      </c>
      <c r="O60" s="792">
        <v>512000</v>
      </c>
      <c r="P60" s="792">
        <v>492000</v>
      </c>
      <c r="Q60" s="792">
        <v>441000</v>
      </c>
      <c r="R60" s="792">
        <v>384000</v>
      </c>
      <c r="S60" s="792">
        <v>534000</v>
      </c>
      <c r="T60" s="791" t="s">
        <v>283</v>
      </c>
      <c r="U60" s="791" t="s">
        <v>283</v>
      </c>
      <c r="V60" s="772" t="s">
        <v>283</v>
      </c>
      <c r="W60" s="765" t="s">
        <v>283</v>
      </c>
      <c r="X60" s="765" t="s">
        <v>283</v>
      </c>
      <c r="Y60" s="765" t="s">
        <v>283</v>
      </c>
      <c r="Z60" s="765" t="s">
        <v>283</v>
      </c>
      <c r="AA60" s="765" t="s">
        <v>283</v>
      </c>
      <c r="AB60" s="765" t="s">
        <v>283</v>
      </c>
      <c r="AC60" s="765" t="s">
        <v>283</v>
      </c>
      <c r="AD60" s="765" t="s">
        <v>283</v>
      </c>
      <c r="AE60" s="765" t="s">
        <v>283</v>
      </c>
      <c r="AF60" s="765" t="s">
        <v>283</v>
      </c>
      <c r="AG60" s="765" t="s">
        <v>283</v>
      </c>
      <c r="AH60" s="765" t="s">
        <v>283</v>
      </c>
      <c r="AI60" s="765" t="s">
        <v>283</v>
      </c>
      <c r="AJ60" s="765" t="s">
        <v>283</v>
      </c>
      <c r="AK60" s="765" t="s">
        <v>283</v>
      </c>
      <c r="AL60" s="765" t="s">
        <v>283</v>
      </c>
      <c r="AM60" s="765" t="s">
        <v>283</v>
      </c>
      <c r="AN60" s="765" t="s">
        <v>283</v>
      </c>
      <c r="AO60" s="765" t="s">
        <v>283</v>
      </c>
      <c r="AP60" s="765" t="s">
        <v>283</v>
      </c>
      <c r="AQ60" s="765" t="s">
        <v>283</v>
      </c>
      <c r="AR60" s="765" t="s">
        <v>283</v>
      </c>
      <c r="AS60" s="765" t="s">
        <v>283</v>
      </c>
      <c r="AT60" s="765" t="s">
        <v>283</v>
      </c>
    </row>
    <row r="61" spans="1:46" ht="15">
      <c r="A61" s="765" t="s">
        <v>283</v>
      </c>
      <c r="B61" s="769" t="s">
        <v>283</v>
      </c>
      <c r="C61" s="773" t="s">
        <v>481</v>
      </c>
      <c r="D61" s="774" t="s">
        <v>283</v>
      </c>
      <c r="E61" s="774" t="s">
        <v>283</v>
      </c>
      <c r="F61" s="774" t="s">
        <v>283</v>
      </c>
      <c r="G61" s="774" t="s">
        <v>283</v>
      </c>
      <c r="H61" s="774" t="s">
        <v>283</v>
      </c>
      <c r="I61" s="774" t="s">
        <v>283</v>
      </c>
      <c r="J61" s="774" t="s">
        <v>283</v>
      </c>
      <c r="K61" s="774" t="s">
        <v>283</v>
      </c>
      <c r="L61" s="771"/>
      <c r="M61" s="771"/>
      <c r="N61" s="771"/>
      <c r="O61" s="771"/>
      <c r="P61" s="771"/>
      <c r="Q61" s="771"/>
      <c r="R61" s="771"/>
      <c r="S61" s="771"/>
      <c r="T61" s="771"/>
      <c r="U61" s="771"/>
      <c r="V61" s="772" t="s">
        <v>283</v>
      </c>
      <c r="W61" s="765" t="s">
        <v>283</v>
      </c>
      <c r="X61" s="765" t="s">
        <v>283</v>
      </c>
      <c r="Y61" s="765" t="s">
        <v>283</v>
      </c>
      <c r="Z61" s="765" t="s">
        <v>283</v>
      </c>
      <c r="AA61" s="765" t="s">
        <v>283</v>
      </c>
      <c r="AB61" s="765" t="s">
        <v>283</v>
      </c>
      <c r="AC61" s="765" t="s">
        <v>283</v>
      </c>
      <c r="AD61" s="765" t="s">
        <v>283</v>
      </c>
      <c r="AE61" s="765" t="s">
        <v>283</v>
      </c>
      <c r="AF61" s="765" t="s">
        <v>283</v>
      </c>
      <c r="AG61" s="765" t="s">
        <v>283</v>
      </c>
      <c r="AH61" s="765" t="s">
        <v>283</v>
      </c>
      <c r="AI61" s="765" t="s">
        <v>283</v>
      </c>
      <c r="AJ61" s="765" t="s">
        <v>283</v>
      </c>
      <c r="AK61" s="765" t="s">
        <v>283</v>
      </c>
      <c r="AL61" s="765" t="s">
        <v>283</v>
      </c>
      <c r="AM61" s="765" t="s">
        <v>283</v>
      </c>
      <c r="AN61" s="765" t="s">
        <v>283</v>
      </c>
      <c r="AO61" s="765" t="s">
        <v>283</v>
      </c>
      <c r="AP61" s="765" t="s">
        <v>283</v>
      </c>
      <c r="AQ61" s="765" t="s">
        <v>283</v>
      </c>
      <c r="AR61" s="765" t="s">
        <v>283</v>
      </c>
      <c r="AS61" s="765" t="s">
        <v>283</v>
      </c>
      <c r="AT61" s="765" t="s">
        <v>283</v>
      </c>
    </row>
    <row r="62" spans="1:46" ht="15">
      <c r="A62" s="765" t="s">
        <v>283</v>
      </c>
      <c r="B62" s="769" t="s">
        <v>283</v>
      </c>
      <c r="C62" s="773" t="s">
        <v>482</v>
      </c>
      <c r="D62" s="774" t="s">
        <v>283</v>
      </c>
      <c r="E62" s="774" t="s">
        <v>283</v>
      </c>
      <c r="F62" s="774" t="s">
        <v>283</v>
      </c>
      <c r="G62" s="774" t="s">
        <v>283</v>
      </c>
      <c r="H62" s="774" t="s">
        <v>283</v>
      </c>
      <c r="I62" s="774" t="s">
        <v>283</v>
      </c>
      <c r="J62" s="774" t="s">
        <v>283</v>
      </c>
      <c r="K62" s="774" t="s">
        <v>283</v>
      </c>
      <c r="L62" s="771"/>
      <c r="M62" s="771"/>
      <c r="N62" s="771"/>
      <c r="O62" s="771"/>
      <c r="P62" s="771"/>
      <c r="Q62" s="771"/>
      <c r="R62" s="771"/>
      <c r="S62" s="771"/>
      <c r="T62" s="771"/>
      <c r="U62" s="771"/>
      <c r="V62" s="772" t="s">
        <v>283</v>
      </c>
      <c r="W62" s="765" t="s">
        <v>283</v>
      </c>
      <c r="X62" s="765" t="s">
        <v>283</v>
      </c>
      <c r="Y62" s="765" t="s">
        <v>283</v>
      </c>
      <c r="Z62" s="765" t="s">
        <v>283</v>
      </c>
      <c r="AA62" s="765" t="s">
        <v>283</v>
      </c>
      <c r="AB62" s="765" t="s">
        <v>283</v>
      </c>
      <c r="AC62" s="765" t="s">
        <v>283</v>
      </c>
      <c r="AD62" s="765" t="s">
        <v>283</v>
      </c>
      <c r="AE62" s="765" t="s">
        <v>283</v>
      </c>
      <c r="AF62" s="765" t="s">
        <v>283</v>
      </c>
      <c r="AG62" s="765" t="s">
        <v>283</v>
      </c>
      <c r="AH62" s="765" t="s">
        <v>283</v>
      </c>
      <c r="AI62" s="765" t="s">
        <v>283</v>
      </c>
      <c r="AJ62" s="765" t="s">
        <v>283</v>
      </c>
      <c r="AK62" s="765" t="s">
        <v>283</v>
      </c>
      <c r="AL62" s="765" t="s">
        <v>283</v>
      </c>
      <c r="AM62" s="765" t="s">
        <v>283</v>
      </c>
      <c r="AN62" s="765" t="s">
        <v>283</v>
      </c>
      <c r="AO62" s="765" t="s">
        <v>283</v>
      </c>
      <c r="AP62" s="765" t="s">
        <v>283</v>
      </c>
      <c r="AQ62" s="765" t="s">
        <v>283</v>
      </c>
      <c r="AR62" s="765" t="s">
        <v>283</v>
      </c>
      <c r="AS62" s="765" t="s">
        <v>283</v>
      </c>
      <c r="AT62" s="765" t="s">
        <v>283</v>
      </c>
    </row>
    <row r="63" spans="1:46" ht="15">
      <c r="A63" s="765" t="s">
        <v>283</v>
      </c>
      <c r="B63" s="769" t="s">
        <v>283</v>
      </c>
      <c r="C63" s="773" t="s">
        <v>483</v>
      </c>
      <c r="D63" s="780">
        <v>875000</v>
      </c>
      <c r="E63" s="780">
        <v>823714</v>
      </c>
      <c r="F63" s="780">
        <v>709000</v>
      </c>
      <c r="G63" s="780">
        <v>970000</v>
      </c>
      <c r="H63" s="780">
        <v>712000</v>
      </c>
      <c r="I63" s="780">
        <v>894000</v>
      </c>
      <c r="J63" s="780">
        <v>110115</v>
      </c>
      <c r="K63" s="779">
        <v>0.13</v>
      </c>
      <c r="L63" s="771"/>
      <c r="M63" s="783">
        <v>970000</v>
      </c>
      <c r="N63" s="783">
        <v>913000</v>
      </c>
      <c r="O63" s="783">
        <v>875000</v>
      </c>
      <c r="P63" s="783">
        <v>875000</v>
      </c>
      <c r="Q63" s="783">
        <v>712000</v>
      </c>
      <c r="R63" s="783">
        <v>712000</v>
      </c>
      <c r="S63" s="783">
        <v>709000</v>
      </c>
      <c r="T63" s="773"/>
      <c r="U63" s="773"/>
      <c r="V63" s="772" t="s">
        <v>283</v>
      </c>
      <c r="W63" s="765" t="s">
        <v>283</v>
      </c>
      <c r="X63" s="765" t="s">
        <v>283</v>
      </c>
      <c r="Y63" s="765" t="s">
        <v>283</v>
      </c>
      <c r="Z63" s="765" t="s">
        <v>283</v>
      </c>
      <c r="AA63" s="765" t="s">
        <v>283</v>
      </c>
      <c r="AB63" s="765" t="s">
        <v>283</v>
      </c>
      <c r="AC63" s="765" t="s">
        <v>283</v>
      </c>
      <c r="AD63" s="765" t="s">
        <v>283</v>
      </c>
      <c r="AE63" s="765" t="s">
        <v>283</v>
      </c>
      <c r="AF63" s="765" t="s">
        <v>283</v>
      </c>
      <c r="AG63" s="765" t="s">
        <v>283</v>
      </c>
      <c r="AH63" s="765" t="s">
        <v>283</v>
      </c>
      <c r="AI63" s="765" t="s">
        <v>283</v>
      </c>
      <c r="AJ63" s="765" t="s">
        <v>283</v>
      </c>
      <c r="AK63" s="765" t="s">
        <v>283</v>
      </c>
      <c r="AL63" s="765" t="s">
        <v>283</v>
      </c>
      <c r="AM63" s="765" t="s">
        <v>283</v>
      </c>
      <c r="AN63" s="765" t="s">
        <v>283</v>
      </c>
      <c r="AO63" s="765" t="s">
        <v>283</v>
      </c>
      <c r="AP63" s="765" t="s">
        <v>283</v>
      </c>
      <c r="AQ63" s="765" t="s">
        <v>283</v>
      </c>
      <c r="AR63" s="765" t="s">
        <v>283</v>
      </c>
      <c r="AS63" s="765" t="s">
        <v>283</v>
      </c>
      <c r="AT63" s="765" t="s">
        <v>283</v>
      </c>
    </row>
    <row r="64" spans="1:46" ht="15">
      <c r="A64" s="765" t="s">
        <v>283</v>
      </c>
      <c r="B64" s="769" t="s">
        <v>283</v>
      </c>
      <c r="C64" s="773" t="s">
        <v>484</v>
      </c>
      <c r="D64" s="774" t="s">
        <v>283</v>
      </c>
      <c r="E64" s="774" t="s">
        <v>283</v>
      </c>
      <c r="F64" s="774" t="s">
        <v>283</v>
      </c>
      <c r="G64" s="774" t="s">
        <v>283</v>
      </c>
      <c r="H64" s="774" t="s">
        <v>283</v>
      </c>
      <c r="I64" s="774" t="s">
        <v>283</v>
      </c>
      <c r="J64" s="774" t="s">
        <v>283</v>
      </c>
      <c r="K64" s="774" t="s">
        <v>283</v>
      </c>
      <c r="L64" s="771"/>
      <c r="M64" s="771"/>
      <c r="N64" s="771"/>
      <c r="O64" s="771"/>
      <c r="P64" s="771"/>
      <c r="Q64" s="771"/>
      <c r="R64" s="771"/>
      <c r="S64" s="771"/>
      <c r="T64" s="771"/>
      <c r="U64" s="771"/>
      <c r="V64" s="772" t="s">
        <v>283</v>
      </c>
      <c r="W64" s="765" t="s">
        <v>283</v>
      </c>
      <c r="X64" s="765" t="s">
        <v>283</v>
      </c>
      <c r="Y64" s="765" t="s">
        <v>283</v>
      </c>
      <c r="Z64" s="765" t="s">
        <v>283</v>
      </c>
      <c r="AA64" s="765" t="s">
        <v>283</v>
      </c>
      <c r="AB64" s="765" t="s">
        <v>283</v>
      </c>
      <c r="AC64" s="765" t="s">
        <v>283</v>
      </c>
      <c r="AD64" s="765" t="s">
        <v>283</v>
      </c>
      <c r="AE64" s="765" t="s">
        <v>283</v>
      </c>
      <c r="AF64" s="765" t="s">
        <v>283</v>
      </c>
      <c r="AG64" s="765" t="s">
        <v>283</v>
      </c>
      <c r="AH64" s="765" t="s">
        <v>283</v>
      </c>
      <c r="AI64" s="765" t="s">
        <v>283</v>
      </c>
      <c r="AJ64" s="765" t="s">
        <v>283</v>
      </c>
      <c r="AK64" s="765" t="s">
        <v>283</v>
      </c>
      <c r="AL64" s="765" t="s">
        <v>283</v>
      </c>
      <c r="AM64" s="765" t="s">
        <v>283</v>
      </c>
      <c r="AN64" s="765" t="s">
        <v>283</v>
      </c>
      <c r="AO64" s="765" t="s">
        <v>283</v>
      </c>
      <c r="AP64" s="765" t="s">
        <v>283</v>
      </c>
      <c r="AQ64" s="765" t="s">
        <v>283</v>
      </c>
      <c r="AR64" s="765" t="s">
        <v>283</v>
      </c>
      <c r="AS64" s="765" t="s">
        <v>283</v>
      </c>
      <c r="AT64" s="765" t="s">
        <v>283</v>
      </c>
    </row>
    <row r="65" spans="1:46" ht="15">
      <c r="A65" s="765" t="s">
        <v>283</v>
      </c>
      <c r="B65" s="769" t="s">
        <v>283</v>
      </c>
      <c r="C65" s="773" t="s">
        <v>485</v>
      </c>
      <c r="D65" s="780">
        <v>69000</v>
      </c>
      <c r="E65" s="780">
        <v>59200</v>
      </c>
      <c r="F65" s="779">
        <v>0</v>
      </c>
      <c r="G65" s="780">
        <v>88000</v>
      </c>
      <c r="H65" s="780">
        <v>69000</v>
      </c>
      <c r="I65" s="780">
        <v>70000</v>
      </c>
      <c r="J65" s="780">
        <v>34069</v>
      </c>
      <c r="K65" s="779">
        <v>0.57999999999999996</v>
      </c>
      <c r="L65" s="771"/>
      <c r="M65" s="783">
        <v>88000</v>
      </c>
      <c r="N65" s="783">
        <v>70000</v>
      </c>
      <c r="O65" s="783">
        <v>69000</v>
      </c>
      <c r="P65" s="783">
        <v>69000</v>
      </c>
      <c r="Q65" s="773">
        <v>0</v>
      </c>
      <c r="R65" s="773"/>
      <c r="S65" s="773"/>
      <c r="T65" s="773"/>
      <c r="U65" s="773"/>
      <c r="V65" s="772" t="s">
        <v>283</v>
      </c>
      <c r="W65" s="765" t="s">
        <v>283</v>
      </c>
      <c r="X65" s="765" t="s">
        <v>283</v>
      </c>
      <c r="Y65" s="765" t="s">
        <v>283</v>
      </c>
      <c r="Z65" s="765" t="s">
        <v>283</v>
      </c>
      <c r="AA65" s="765" t="s">
        <v>283</v>
      </c>
      <c r="AB65" s="765" t="s">
        <v>283</v>
      </c>
      <c r="AC65" s="765" t="s">
        <v>283</v>
      </c>
      <c r="AD65" s="765" t="s">
        <v>283</v>
      </c>
      <c r="AE65" s="765" t="s">
        <v>283</v>
      </c>
      <c r="AF65" s="765" t="s">
        <v>283</v>
      </c>
      <c r="AG65" s="765" t="s">
        <v>283</v>
      </c>
      <c r="AH65" s="765" t="s">
        <v>283</v>
      </c>
      <c r="AI65" s="765" t="s">
        <v>283</v>
      </c>
      <c r="AJ65" s="765" t="s">
        <v>283</v>
      </c>
      <c r="AK65" s="765" t="s">
        <v>283</v>
      </c>
      <c r="AL65" s="765" t="s">
        <v>283</v>
      </c>
      <c r="AM65" s="765" t="s">
        <v>283</v>
      </c>
      <c r="AN65" s="765" t="s">
        <v>283</v>
      </c>
      <c r="AO65" s="765" t="s">
        <v>283</v>
      </c>
      <c r="AP65" s="765" t="s">
        <v>283</v>
      </c>
      <c r="AQ65" s="765" t="s">
        <v>283</v>
      </c>
      <c r="AR65" s="765" t="s">
        <v>283</v>
      </c>
      <c r="AS65" s="765" t="s">
        <v>283</v>
      </c>
      <c r="AT65" s="765" t="s">
        <v>283</v>
      </c>
    </row>
    <row r="66" spans="1:46" ht="15">
      <c r="A66" s="765" t="s">
        <v>283</v>
      </c>
      <c r="B66" s="769" t="s">
        <v>283</v>
      </c>
      <c r="C66" s="773" t="s">
        <v>486</v>
      </c>
      <c r="D66" s="780">
        <v>75000</v>
      </c>
      <c r="E66" s="780">
        <v>75000</v>
      </c>
      <c r="F66" s="780">
        <v>66000</v>
      </c>
      <c r="G66" s="780">
        <v>84000</v>
      </c>
      <c r="H66" s="780">
        <v>70500</v>
      </c>
      <c r="I66" s="780">
        <v>79500</v>
      </c>
      <c r="J66" s="780">
        <v>12728</v>
      </c>
      <c r="K66" s="779">
        <v>0.17</v>
      </c>
      <c r="L66" s="771"/>
      <c r="M66" s="773"/>
      <c r="N66" s="773"/>
      <c r="O66" s="773"/>
      <c r="P66" s="773"/>
      <c r="Q66" s="773"/>
      <c r="R66" s="783">
        <v>84000</v>
      </c>
      <c r="S66" s="783">
        <v>66000</v>
      </c>
      <c r="T66" s="773"/>
      <c r="U66" s="773"/>
      <c r="V66" s="772" t="s">
        <v>283</v>
      </c>
      <c r="W66" s="765" t="s">
        <v>283</v>
      </c>
      <c r="X66" s="765" t="s">
        <v>283</v>
      </c>
      <c r="Y66" s="765" t="s">
        <v>283</v>
      </c>
      <c r="Z66" s="765" t="s">
        <v>283</v>
      </c>
      <c r="AA66" s="765" t="s">
        <v>283</v>
      </c>
      <c r="AB66" s="765" t="s">
        <v>283</v>
      </c>
      <c r="AC66" s="765" t="s">
        <v>283</v>
      </c>
      <c r="AD66" s="765" t="s">
        <v>283</v>
      </c>
      <c r="AE66" s="765" t="s">
        <v>283</v>
      </c>
      <c r="AF66" s="765" t="s">
        <v>283</v>
      </c>
      <c r="AG66" s="765" t="s">
        <v>283</v>
      </c>
      <c r="AH66" s="765" t="s">
        <v>283</v>
      </c>
      <c r="AI66" s="765" t="s">
        <v>283</v>
      </c>
      <c r="AJ66" s="765" t="s">
        <v>283</v>
      </c>
      <c r="AK66" s="765" t="s">
        <v>283</v>
      </c>
      <c r="AL66" s="765" t="s">
        <v>283</v>
      </c>
      <c r="AM66" s="765" t="s">
        <v>283</v>
      </c>
      <c r="AN66" s="765" t="s">
        <v>283</v>
      </c>
      <c r="AO66" s="765" t="s">
        <v>283</v>
      </c>
      <c r="AP66" s="765" t="s">
        <v>283</v>
      </c>
      <c r="AQ66" s="765" t="s">
        <v>283</v>
      </c>
      <c r="AR66" s="765" t="s">
        <v>283</v>
      </c>
      <c r="AS66" s="765" t="s">
        <v>283</v>
      </c>
      <c r="AT66" s="765" t="s">
        <v>283</v>
      </c>
    </row>
    <row r="67" spans="1:46" ht="15">
      <c r="A67" s="765" t="s">
        <v>283</v>
      </c>
      <c r="B67" s="769" t="s">
        <v>283</v>
      </c>
      <c r="C67" s="773" t="s">
        <v>487</v>
      </c>
      <c r="D67" s="780">
        <v>9000</v>
      </c>
      <c r="E67" s="780">
        <v>9000</v>
      </c>
      <c r="F67" s="780">
        <v>9000</v>
      </c>
      <c r="G67" s="780">
        <v>9000</v>
      </c>
      <c r="H67" s="780">
        <v>9000</v>
      </c>
      <c r="I67" s="780">
        <v>9000</v>
      </c>
      <c r="J67" s="779" t="s">
        <v>283</v>
      </c>
      <c r="K67" s="779" t="s">
        <v>283</v>
      </c>
      <c r="L67" s="771"/>
      <c r="M67" s="773"/>
      <c r="N67" s="773"/>
      <c r="O67" s="773"/>
      <c r="P67" s="773"/>
      <c r="Q67" s="783">
        <v>9000</v>
      </c>
      <c r="R67" s="773"/>
      <c r="S67" s="773"/>
      <c r="T67" s="773"/>
      <c r="U67" s="773"/>
      <c r="V67" s="772" t="s">
        <v>283</v>
      </c>
      <c r="W67" s="765" t="s">
        <v>283</v>
      </c>
      <c r="X67" s="765" t="s">
        <v>283</v>
      </c>
      <c r="Y67" s="765" t="s">
        <v>283</v>
      </c>
      <c r="Z67" s="765" t="s">
        <v>283</v>
      </c>
      <c r="AA67" s="765" t="s">
        <v>283</v>
      </c>
      <c r="AB67" s="765" t="s">
        <v>283</v>
      </c>
      <c r="AC67" s="765" t="s">
        <v>283</v>
      </c>
      <c r="AD67" s="765" t="s">
        <v>283</v>
      </c>
      <c r="AE67" s="765" t="s">
        <v>283</v>
      </c>
      <c r="AF67" s="765" t="s">
        <v>283</v>
      </c>
      <c r="AG67" s="765" t="s">
        <v>283</v>
      </c>
      <c r="AH67" s="765" t="s">
        <v>283</v>
      </c>
      <c r="AI67" s="765" t="s">
        <v>283</v>
      </c>
      <c r="AJ67" s="765" t="s">
        <v>283</v>
      </c>
      <c r="AK67" s="765" t="s">
        <v>283</v>
      </c>
      <c r="AL67" s="765" t="s">
        <v>283</v>
      </c>
      <c r="AM67" s="765" t="s">
        <v>283</v>
      </c>
      <c r="AN67" s="765" t="s">
        <v>283</v>
      </c>
      <c r="AO67" s="765" t="s">
        <v>283</v>
      </c>
      <c r="AP67" s="765" t="s">
        <v>283</v>
      </c>
      <c r="AQ67" s="765" t="s">
        <v>283</v>
      </c>
      <c r="AR67" s="765" t="s">
        <v>283</v>
      </c>
      <c r="AS67" s="765" t="s">
        <v>283</v>
      </c>
      <c r="AT67" s="765" t="s">
        <v>283</v>
      </c>
    </row>
    <row r="68" spans="1:46" ht="15">
      <c r="A68" s="765" t="s">
        <v>283</v>
      </c>
      <c r="B68" s="769" t="s">
        <v>283</v>
      </c>
      <c r="C68" s="773" t="s">
        <v>488</v>
      </c>
      <c r="D68" s="780">
        <v>1771000</v>
      </c>
      <c r="E68" s="780">
        <v>1765571</v>
      </c>
      <c r="F68" s="780">
        <v>1661000</v>
      </c>
      <c r="G68" s="780">
        <v>1881000</v>
      </c>
      <c r="H68" s="780">
        <v>1701500</v>
      </c>
      <c r="I68" s="780">
        <v>1821500</v>
      </c>
      <c r="J68" s="780">
        <v>84703</v>
      </c>
      <c r="K68" s="779">
        <v>0.05</v>
      </c>
      <c r="L68" s="771"/>
      <c r="M68" s="783">
        <v>1881000</v>
      </c>
      <c r="N68" s="783">
        <v>1844000</v>
      </c>
      <c r="O68" s="783">
        <v>1799000</v>
      </c>
      <c r="P68" s="783">
        <v>1771000</v>
      </c>
      <c r="Q68" s="783">
        <v>1742000</v>
      </c>
      <c r="R68" s="783">
        <v>1661000</v>
      </c>
      <c r="S68" s="783">
        <v>1661000</v>
      </c>
      <c r="T68" s="773"/>
      <c r="U68" s="773"/>
      <c r="V68" s="772" t="s">
        <v>283</v>
      </c>
      <c r="W68" s="765" t="s">
        <v>283</v>
      </c>
      <c r="X68" s="765" t="s">
        <v>283</v>
      </c>
      <c r="Y68" s="765" t="s">
        <v>283</v>
      </c>
      <c r="Z68" s="765" t="s">
        <v>283</v>
      </c>
      <c r="AA68" s="765" t="s">
        <v>283</v>
      </c>
      <c r="AB68" s="765" t="s">
        <v>283</v>
      </c>
      <c r="AC68" s="765" t="s">
        <v>283</v>
      </c>
      <c r="AD68" s="765" t="s">
        <v>283</v>
      </c>
      <c r="AE68" s="765" t="s">
        <v>283</v>
      </c>
      <c r="AF68" s="765" t="s">
        <v>283</v>
      </c>
      <c r="AG68" s="765" t="s">
        <v>283</v>
      </c>
      <c r="AH68" s="765" t="s">
        <v>283</v>
      </c>
      <c r="AI68" s="765" t="s">
        <v>283</v>
      </c>
      <c r="AJ68" s="765" t="s">
        <v>283</v>
      </c>
      <c r="AK68" s="765" t="s">
        <v>283</v>
      </c>
      <c r="AL68" s="765" t="s">
        <v>283</v>
      </c>
      <c r="AM68" s="765" t="s">
        <v>283</v>
      </c>
      <c r="AN68" s="765" t="s">
        <v>283</v>
      </c>
      <c r="AO68" s="765" t="s">
        <v>283</v>
      </c>
      <c r="AP68" s="765" t="s">
        <v>283</v>
      </c>
      <c r="AQ68" s="765" t="s">
        <v>283</v>
      </c>
      <c r="AR68" s="765" t="s">
        <v>283</v>
      </c>
      <c r="AS68" s="765" t="s">
        <v>283</v>
      </c>
      <c r="AT68" s="765" t="s">
        <v>283</v>
      </c>
    </row>
    <row r="69" spans="1:46" ht="15">
      <c r="A69" s="765" t="s">
        <v>283</v>
      </c>
      <c r="B69" s="769" t="s">
        <v>283</v>
      </c>
      <c r="C69" s="776" t="s">
        <v>489</v>
      </c>
      <c r="D69" s="787">
        <v>1840000</v>
      </c>
      <c r="E69" s="787">
        <v>1830571</v>
      </c>
      <c r="F69" s="787">
        <v>1727000</v>
      </c>
      <c r="G69" s="787">
        <v>1969000</v>
      </c>
      <c r="H69" s="787">
        <v>1748000</v>
      </c>
      <c r="I69" s="787">
        <v>1891000</v>
      </c>
      <c r="J69" s="787">
        <v>93089</v>
      </c>
      <c r="K69" s="786">
        <v>0.05</v>
      </c>
      <c r="L69" s="790" t="s">
        <v>283</v>
      </c>
      <c r="M69" s="792">
        <v>1969000</v>
      </c>
      <c r="N69" s="792">
        <v>1914000</v>
      </c>
      <c r="O69" s="792">
        <v>1868000</v>
      </c>
      <c r="P69" s="792">
        <v>1840000</v>
      </c>
      <c r="Q69" s="792">
        <v>1751000</v>
      </c>
      <c r="R69" s="792">
        <v>1745000</v>
      </c>
      <c r="S69" s="792">
        <v>1727000</v>
      </c>
      <c r="T69" s="791" t="s">
        <v>283</v>
      </c>
      <c r="U69" s="791" t="s">
        <v>283</v>
      </c>
      <c r="V69" s="772" t="s">
        <v>283</v>
      </c>
      <c r="W69" s="765" t="s">
        <v>283</v>
      </c>
      <c r="X69" s="765" t="s">
        <v>283</v>
      </c>
      <c r="Y69" s="765" t="s">
        <v>283</v>
      </c>
      <c r="Z69" s="765" t="s">
        <v>283</v>
      </c>
      <c r="AA69" s="765" t="s">
        <v>283</v>
      </c>
      <c r="AB69" s="765" t="s">
        <v>283</v>
      </c>
      <c r="AC69" s="765" t="s">
        <v>283</v>
      </c>
      <c r="AD69" s="765" t="s">
        <v>283</v>
      </c>
      <c r="AE69" s="765" t="s">
        <v>283</v>
      </c>
      <c r="AF69" s="765" t="s">
        <v>283</v>
      </c>
      <c r="AG69" s="765" t="s">
        <v>283</v>
      </c>
      <c r="AH69" s="765" t="s">
        <v>283</v>
      </c>
      <c r="AI69" s="765" t="s">
        <v>283</v>
      </c>
      <c r="AJ69" s="765" t="s">
        <v>283</v>
      </c>
      <c r="AK69" s="765" t="s">
        <v>283</v>
      </c>
      <c r="AL69" s="765" t="s">
        <v>283</v>
      </c>
      <c r="AM69" s="765" t="s">
        <v>283</v>
      </c>
      <c r="AN69" s="765" t="s">
        <v>283</v>
      </c>
      <c r="AO69" s="765" t="s">
        <v>283</v>
      </c>
      <c r="AP69" s="765" t="s">
        <v>283</v>
      </c>
      <c r="AQ69" s="765" t="s">
        <v>283</v>
      </c>
      <c r="AR69" s="765" t="s">
        <v>283</v>
      </c>
      <c r="AS69" s="765" t="s">
        <v>283</v>
      </c>
      <c r="AT69" s="765" t="s">
        <v>283</v>
      </c>
    </row>
    <row r="70" spans="1:46" ht="15">
      <c r="A70" s="765" t="s">
        <v>283</v>
      </c>
      <c r="B70" s="769" t="s">
        <v>283</v>
      </c>
      <c r="C70" s="776" t="s">
        <v>490</v>
      </c>
      <c r="D70" s="787">
        <v>2715000</v>
      </c>
      <c r="E70" s="787">
        <v>2654286</v>
      </c>
      <c r="F70" s="787">
        <v>2436000</v>
      </c>
      <c r="G70" s="787">
        <v>2939000</v>
      </c>
      <c r="H70" s="787">
        <v>2460000</v>
      </c>
      <c r="I70" s="787">
        <v>2785000</v>
      </c>
      <c r="J70" s="787">
        <v>202324</v>
      </c>
      <c r="K70" s="786">
        <v>0.08</v>
      </c>
      <c r="L70" s="790" t="s">
        <v>283</v>
      </c>
      <c r="M70" s="792">
        <v>2939000</v>
      </c>
      <c r="N70" s="792">
        <v>2827000</v>
      </c>
      <c r="O70" s="792">
        <v>2743000</v>
      </c>
      <c r="P70" s="792">
        <v>2715000</v>
      </c>
      <c r="Q70" s="792">
        <v>2463000</v>
      </c>
      <c r="R70" s="792">
        <v>2457000</v>
      </c>
      <c r="S70" s="792">
        <v>2436000</v>
      </c>
      <c r="T70" s="791" t="s">
        <v>283</v>
      </c>
      <c r="U70" s="791" t="s">
        <v>283</v>
      </c>
      <c r="V70" s="772" t="s">
        <v>283</v>
      </c>
      <c r="W70" s="765" t="s">
        <v>283</v>
      </c>
      <c r="X70" s="765" t="s">
        <v>283</v>
      </c>
      <c r="Y70" s="765" t="s">
        <v>283</v>
      </c>
      <c r="Z70" s="765" t="s">
        <v>283</v>
      </c>
      <c r="AA70" s="765" t="s">
        <v>283</v>
      </c>
      <c r="AB70" s="765" t="s">
        <v>283</v>
      </c>
      <c r="AC70" s="765" t="s">
        <v>283</v>
      </c>
      <c r="AD70" s="765" t="s">
        <v>283</v>
      </c>
      <c r="AE70" s="765" t="s">
        <v>283</v>
      </c>
      <c r="AF70" s="765" t="s">
        <v>283</v>
      </c>
      <c r="AG70" s="765" t="s">
        <v>283</v>
      </c>
      <c r="AH70" s="765" t="s">
        <v>283</v>
      </c>
      <c r="AI70" s="765" t="s">
        <v>283</v>
      </c>
      <c r="AJ70" s="765" t="s">
        <v>283</v>
      </c>
      <c r="AK70" s="765" t="s">
        <v>283</v>
      </c>
      <c r="AL70" s="765" t="s">
        <v>283</v>
      </c>
      <c r="AM70" s="765" t="s">
        <v>283</v>
      </c>
      <c r="AN70" s="765" t="s">
        <v>283</v>
      </c>
      <c r="AO70" s="765" t="s">
        <v>283</v>
      </c>
      <c r="AP70" s="765" t="s">
        <v>283</v>
      </c>
      <c r="AQ70" s="765" t="s">
        <v>283</v>
      </c>
      <c r="AR70" s="765" t="s">
        <v>283</v>
      </c>
      <c r="AS70" s="765" t="s">
        <v>283</v>
      </c>
      <c r="AT70" s="765" t="s">
        <v>283</v>
      </c>
    </row>
    <row r="71" spans="1:46" ht="15">
      <c r="A71" s="765" t="s">
        <v>283</v>
      </c>
      <c r="B71" s="769" t="s">
        <v>283</v>
      </c>
      <c r="C71" s="773" t="s">
        <v>491</v>
      </c>
      <c r="D71" s="774" t="s">
        <v>283</v>
      </c>
      <c r="E71" s="774" t="s">
        <v>283</v>
      </c>
      <c r="F71" s="774" t="s">
        <v>283</v>
      </c>
      <c r="G71" s="774" t="s">
        <v>283</v>
      </c>
      <c r="H71" s="774" t="s">
        <v>283</v>
      </c>
      <c r="I71" s="774" t="s">
        <v>283</v>
      </c>
      <c r="J71" s="774" t="s">
        <v>283</v>
      </c>
      <c r="K71" s="774" t="s">
        <v>283</v>
      </c>
      <c r="L71" s="771"/>
      <c r="M71" s="771"/>
      <c r="N71" s="771"/>
      <c r="O71" s="771"/>
      <c r="P71" s="771"/>
      <c r="Q71" s="771"/>
      <c r="R71" s="771"/>
      <c r="S71" s="771"/>
      <c r="T71" s="771"/>
      <c r="U71" s="771"/>
      <c r="V71" s="772" t="s">
        <v>283</v>
      </c>
      <c r="W71" s="765" t="s">
        <v>283</v>
      </c>
      <c r="X71" s="765" t="s">
        <v>283</v>
      </c>
      <c r="Y71" s="765" t="s">
        <v>283</v>
      </c>
      <c r="Z71" s="765" t="s">
        <v>283</v>
      </c>
      <c r="AA71" s="765" t="s">
        <v>283</v>
      </c>
      <c r="AB71" s="765" t="s">
        <v>283</v>
      </c>
      <c r="AC71" s="765" t="s">
        <v>283</v>
      </c>
      <c r="AD71" s="765" t="s">
        <v>283</v>
      </c>
      <c r="AE71" s="765" t="s">
        <v>283</v>
      </c>
      <c r="AF71" s="765" t="s">
        <v>283</v>
      </c>
      <c r="AG71" s="765" t="s">
        <v>283</v>
      </c>
      <c r="AH71" s="765" t="s">
        <v>283</v>
      </c>
      <c r="AI71" s="765" t="s">
        <v>283</v>
      </c>
      <c r="AJ71" s="765" t="s">
        <v>283</v>
      </c>
      <c r="AK71" s="765" t="s">
        <v>283</v>
      </c>
      <c r="AL71" s="765" t="s">
        <v>283</v>
      </c>
      <c r="AM71" s="765" t="s">
        <v>283</v>
      </c>
      <c r="AN71" s="765" t="s">
        <v>283</v>
      </c>
      <c r="AO71" s="765" t="s">
        <v>283</v>
      </c>
      <c r="AP71" s="765" t="s">
        <v>283</v>
      </c>
      <c r="AQ71" s="765" t="s">
        <v>283</v>
      </c>
      <c r="AR71" s="765" t="s">
        <v>283</v>
      </c>
      <c r="AS71" s="765" t="s">
        <v>283</v>
      </c>
      <c r="AT71" s="765" t="s">
        <v>283</v>
      </c>
    </row>
    <row r="72" spans="1:46" ht="15">
      <c r="A72" s="765" t="s">
        <v>283</v>
      </c>
      <c r="B72" s="769" t="s">
        <v>283</v>
      </c>
      <c r="C72" s="773" t="s">
        <v>492</v>
      </c>
      <c r="D72" s="774" t="s">
        <v>283</v>
      </c>
      <c r="E72" s="774" t="s">
        <v>283</v>
      </c>
      <c r="F72" s="774" t="s">
        <v>283</v>
      </c>
      <c r="G72" s="774" t="s">
        <v>283</v>
      </c>
      <c r="H72" s="774" t="s">
        <v>283</v>
      </c>
      <c r="I72" s="774" t="s">
        <v>283</v>
      </c>
      <c r="J72" s="774" t="s">
        <v>283</v>
      </c>
      <c r="K72" s="774" t="s">
        <v>283</v>
      </c>
      <c r="L72" s="771"/>
      <c r="M72" s="771"/>
      <c r="N72" s="771"/>
      <c r="O72" s="771"/>
      <c r="P72" s="771"/>
      <c r="Q72" s="771"/>
      <c r="R72" s="771"/>
      <c r="S72" s="771"/>
      <c r="T72" s="771"/>
      <c r="U72" s="771"/>
      <c r="V72" s="772" t="s">
        <v>283</v>
      </c>
      <c r="W72" s="765" t="s">
        <v>283</v>
      </c>
      <c r="X72" s="765" t="s">
        <v>283</v>
      </c>
      <c r="Y72" s="765" t="s">
        <v>283</v>
      </c>
      <c r="Z72" s="765" t="s">
        <v>283</v>
      </c>
      <c r="AA72" s="765" t="s">
        <v>283</v>
      </c>
      <c r="AB72" s="765" t="s">
        <v>283</v>
      </c>
      <c r="AC72" s="765" t="s">
        <v>283</v>
      </c>
      <c r="AD72" s="765" t="s">
        <v>283</v>
      </c>
      <c r="AE72" s="765" t="s">
        <v>283</v>
      </c>
      <c r="AF72" s="765" t="s">
        <v>283</v>
      </c>
      <c r="AG72" s="765" t="s">
        <v>283</v>
      </c>
      <c r="AH72" s="765" t="s">
        <v>283</v>
      </c>
      <c r="AI72" s="765" t="s">
        <v>283</v>
      </c>
      <c r="AJ72" s="765" t="s">
        <v>283</v>
      </c>
      <c r="AK72" s="765" t="s">
        <v>283</v>
      </c>
      <c r="AL72" s="765" t="s">
        <v>283</v>
      </c>
      <c r="AM72" s="765" t="s">
        <v>283</v>
      </c>
      <c r="AN72" s="765" t="s">
        <v>283</v>
      </c>
      <c r="AO72" s="765" t="s">
        <v>283</v>
      </c>
      <c r="AP72" s="765" t="s">
        <v>283</v>
      </c>
      <c r="AQ72" s="765" t="s">
        <v>283</v>
      </c>
      <c r="AR72" s="765" t="s">
        <v>283</v>
      </c>
      <c r="AS72" s="765" t="s">
        <v>283</v>
      </c>
      <c r="AT72" s="765" t="s">
        <v>283</v>
      </c>
    </row>
    <row r="73" spans="1:46" ht="15">
      <c r="A73" s="765" t="s">
        <v>283</v>
      </c>
      <c r="B73" s="769" t="s">
        <v>283</v>
      </c>
      <c r="C73" s="773" t="s">
        <v>493</v>
      </c>
      <c r="D73" s="782">
        <v>-68000</v>
      </c>
      <c r="E73" s="782">
        <v>-60143</v>
      </c>
      <c r="F73" s="782">
        <v>-68000</v>
      </c>
      <c r="G73" s="782">
        <v>-28000</v>
      </c>
      <c r="H73" s="782">
        <v>-68000</v>
      </c>
      <c r="I73" s="782">
        <v>-60500</v>
      </c>
      <c r="J73" s="780">
        <v>14837</v>
      </c>
      <c r="K73" s="781">
        <v>-0.25</v>
      </c>
      <c r="L73" s="771"/>
      <c r="M73" s="785">
        <v>-68000</v>
      </c>
      <c r="N73" s="785">
        <v>-68000</v>
      </c>
      <c r="O73" s="785">
        <v>-68000</v>
      </c>
      <c r="P73" s="785">
        <v>-68000</v>
      </c>
      <c r="Q73" s="785">
        <v>-65000</v>
      </c>
      <c r="R73" s="785">
        <v>-56000</v>
      </c>
      <c r="S73" s="785">
        <v>-28000</v>
      </c>
      <c r="T73" s="773"/>
      <c r="U73" s="773"/>
      <c r="V73" s="772" t="s">
        <v>283</v>
      </c>
      <c r="W73" s="765" t="s">
        <v>283</v>
      </c>
      <c r="X73" s="765" t="s">
        <v>283</v>
      </c>
      <c r="Y73" s="765" t="s">
        <v>283</v>
      </c>
      <c r="Z73" s="765" t="s">
        <v>283</v>
      </c>
      <c r="AA73" s="765" t="s">
        <v>283</v>
      </c>
      <c r="AB73" s="765" t="s">
        <v>283</v>
      </c>
      <c r="AC73" s="765" t="s">
        <v>283</v>
      </c>
      <c r="AD73" s="765" t="s">
        <v>283</v>
      </c>
      <c r="AE73" s="765" t="s">
        <v>283</v>
      </c>
      <c r="AF73" s="765" t="s">
        <v>283</v>
      </c>
      <c r="AG73" s="765" t="s">
        <v>283</v>
      </c>
      <c r="AH73" s="765" t="s">
        <v>283</v>
      </c>
      <c r="AI73" s="765" t="s">
        <v>283</v>
      </c>
      <c r="AJ73" s="765" t="s">
        <v>283</v>
      </c>
      <c r="AK73" s="765" t="s">
        <v>283</v>
      </c>
      <c r="AL73" s="765" t="s">
        <v>283</v>
      </c>
      <c r="AM73" s="765" t="s">
        <v>283</v>
      </c>
      <c r="AN73" s="765" t="s">
        <v>283</v>
      </c>
      <c r="AO73" s="765" t="s">
        <v>283</v>
      </c>
      <c r="AP73" s="765" t="s">
        <v>283</v>
      </c>
      <c r="AQ73" s="765" t="s">
        <v>283</v>
      </c>
      <c r="AR73" s="765" t="s">
        <v>283</v>
      </c>
      <c r="AS73" s="765" t="s">
        <v>283</v>
      </c>
      <c r="AT73" s="765" t="s">
        <v>283</v>
      </c>
    </row>
    <row r="74" spans="1:46" ht="15">
      <c r="A74" s="765" t="s">
        <v>283</v>
      </c>
      <c r="B74" s="769" t="s">
        <v>283</v>
      </c>
      <c r="C74" s="773" t="s">
        <v>494</v>
      </c>
      <c r="D74" s="774" t="s">
        <v>283</v>
      </c>
      <c r="E74" s="774" t="s">
        <v>283</v>
      </c>
      <c r="F74" s="774" t="s">
        <v>283</v>
      </c>
      <c r="G74" s="774" t="s">
        <v>283</v>
      </c>
      <c r="H74" s="774" t="s">
        <v>283</v>
      </c>
      <c r="I74" s="774" t="s">
        <v>283</v>
      </c>
      <c r="J74" s="774" t="s">
        <v>283</v>
      </c>
      <c r="K74" s="774" t="s">
        <v>283</v>
      </c>
      <c r="L74" s="771"/>
      <c r="M74" s="771"/>
      <c r="N74" s="771"/>
      <c r="O74" s="771"/>
      <c r="P74" s="771"/>
      <c r="Q74" s="771"/>
      <c r="R74" s="771"/>
      <c r="S74" s="771"/>
      <c r="T74" s="771"/>
      <c r="U74" s="771"/>
      <c r="V74" s="772" t="s">
        <v>283</v>
      </c>
      <c r="W74" s="765" t="s">
        <v>283</v>
      </c>
      <c r="X74" s="765" t="s">
        <v>283</v>
      </c>
      <c r="Y74" s="765" t="s">
        <v>283</v>
      </c>
      <c r="Z74" s="765" t="s">
        <v>283</v>
      </c>
      <c r="AA74" s="765" t="s">
        <v>283</v>
      </c>
      <c r="AB74" s="765" t="s">
        <v>283</v>
      </c>
      <c r="AC74" s="765" t="s">
        <v>283</v>
      </c>
      <c r="AD74" s="765" t="s">
        <v>283</v>
      </c>
      <c r="AE74" s="765" t="s">
        <v>283</v>
      </c>
      <c r="AF74" s="765" t="s">
        <v>283</v>
      </c>
      <c r="AG74" s="765" t="s">
        <v>283</v>
      </c>
      <c r="AH74" s="765" t="s">
        <v>283</v>
      </c>
      <c r="AI74" s="765" t="s">
        <v>283</v>
      </c>
      <c r="AJ74" s="765" t="s">
        <v>283</v>
      </c>
      <c r="AK74" s="765" t="s">
        <v>283</v>
      </c>
      <c r="AL74" s="765" t="s">
        <v>283</v>
      </c>
      <c r="AM74" s="765" t="s">
        <v>283</v>
      </c>
      <c r="AN74" s="765" t="s">
        <v>283</v>
      </c>
      <c r="AO74" s="765" t="s">
        <v>283</v>
      </c>
      <c r="AP74" s="765" t="s">
        <v>283</v>
      </c>
      <c r="AQ74" s="765" t="s">
        <v>283</v>
      </c>
      <c r="AR74" s="765" t="s">
        <v>283</v>
      </c>
      <c r="AS74" s="765" t="s">
        <v>283</v>
      </c>
      <c r="AT74" s="765" t="s">
        <v>283</v>
      </c>
    </row>
    <row r="75" spans="1:46" ht="15">
      <c r="A75" s="765" t="s">
        <v>283</v>
      </c>
      <c r="B75" s="769" t="s">
        <v>283</v>
      </c>
      <c r="C75" s="773" t="s">
        <v>495</v>
      </c>
      <c r="D75" s="782">
        <v>-10000</v>
      </c>
      <c r="E75" s="782">
        <v>-10800</v>
      </c>
      <c r="F75" s="782">
        <v>-23000</v>
      </c>
      <c r="G75" s="779">
        <v>0</v>
      </c>
      <c r="H75" s="782">
        <v>-16000</v>
      </c>
      <c r="I75" s="782">
        <v>-5000</v>
      </c>
      <c r="J75" s="780">
        <v>9039</v>
      </c>
      <c r="K75" s="781">
        <v>-0.84</v>
      </c>
      <c r="L75" s="771"/>
      <c r="M75" s="785">
        <v>-23000</v>
      </c>
      <c r="N75" s="785">
        <v>-16000</v>
      </c>
      <c r="O75" s="785">
        <v>-10000</v>
      </c>
      <c r="P75" s="785">
        <v>-5000</v>
      </c>
      <c r="Q75" s="773">
        <v>0</v>
      </c>
      <c r="R75" s="773"/>
      <c r="S75" s="773"/>
      <c r="T75" s="773"/>
      <c r="U75" s="773"/>
      <c r="V75" s="772" t="s">
        <v>283</v>
      </c>
      <c r="W75" s="765" t="s">
        <v>283</v>
      </c>
      <c r="X75" s="765" t="s">
        <v>283</v>
      </c>
      <c r="Y75" s="765" t="s">
        <v>283</v>
      </c>
      <c r="Z75" s="765" t="s">
        <v>283</v>
      </c>
      <c r="AA75" s="765" t="s">
        <v>283</v>
      </c>
      <c r="AB75" s="765" t="s">
        <v>283</v>
      </c>
      <c r="AC75" s="765" t="s">
        <v>283</v>
      </c>
      <c r="AD75" s="765" t="s">
        <v>283</v>
      </c>
      <c r="AE75" s="765" t="s">
        <v>283</v>
      </c>
      <c r="AF75" s="765" t="s">
        <v>283</v>
      </c>
      <c r="AG75" s="765" t="s">
        <v>283</v>
      </c>
      <c r="AH75" s="765" t="s">
        <v>283</v>
      </c>
      <c r="AI75" s="765" t="s">
        <v>283</v>
      </c>
      <c r="AJ75" s="765" t="s">
        <v>283</v>
      </c>
      <c r="AK75" s="765" t="s">
        <v>283</v>
      </c>
      <c r="AL75" s="765" t="s">
        <v>283</v>
      </c>
      <c r="AM75" s="765" t="s">
        <v>283</v>
      </c>
      <c r="AN75" s="765" t="s">
        <v>283</v>
      </c>
      <c r="AO75" s="765" t="s">
        <v>283</v>
      </c>
      <c r="AP75" s="765" t="s">
        <v>283</v>
      </c>
      <c r="AQ75" s="765" t="s">
        <v>283</v>
      </c>
      <c r="AR75" s="765" t="s">
        <v>283</v>
      </c>
      <c r="AS75" s="765" t="s">
        <v>283</v>
      </c>
      <c r="AT75" s="765" t="s">
        <v>283</v>
      </c>
    </row>
    <row r="76" spans="1:46" ht="15">
      <c r="A76" s="765" t="s">
        <v>283</v>
      </c>
      <c r="B76" s="769" t="s">
        <v>283</v>
      </c>
      <c r="C76" s="773" t="s">
        <v>496</v>
      </c>
      <c r="D76" s="782">
        <v>-35000</v>
      </c>
      <c r="E76" s="782">
        <v>-35000</v>
      </c>
      <c r="F76" s="782">
        <v>-43000</v>
      </c>
      <c r="G76" s="782">
        <v>-27000</v>
      </c>
      <c r="H76" s="782">
        <v>-39000</v>
      </c>
      <c r="I76" s="782">
        <v>-31000</v>
      </c>
      <c r="J76" s="780">
        <v>11314</v>
      </c>
      <c r="K76" s="781">
        <v>-0.32</v>
      </c>
      <c r="L76" s="771"/>
      <c r="M76" s="773"/>
      <c r="N76" s="773"/>
      <c r="O76" s="773"/>
      <c r="P76" s="773"/>
      <c r="Q76" s="773"/>
      <c r="R76" s="785">
        <v>-43000</v>
      </c>
      <c r="S76" s="785">
        <v>-27000</v>
      </c>
      <c r="T76" s="773"/>
      <c r="U76" s="773"/>
      <c r="V76" s="772" t="s">
        <v>283</v>
      </c>
      <c r="W76" s="765" t="s">
        <v>283</v>
      </c>
      <c r="X76" s="765" t="s">
        <v>283</v>
      </c>
      <c r="Y76" s="765" t="s">
        <v>283</v>
      </c>
      <c r="Z76" s="765" t="s">
        <v>283</v>
      </c>
      <c r="AA76" s="765" t="s">
        <v>283</v>
      </c>
      <c r="AB76" s="765" t="s">
        <v>283</v>
      </c>
      <c r="AC76" s="765" t="s">
        <v>283</v>
      </c>
      <c r="AD76" s="765" t="s">
        <v>283</v>
      </c>
      <c r="AE76" s="765" t="s">
        <v>283</v>
      </c>
      <c r="AF76" s="765" t="s">
        <v>283</v>
      </c>
      <c r="AG76" s="765" t="s">
        <v>283</v>
      </c>
      <c r="AH76" s="765" t="s">
        <v>283</v>
      </c>
      <c r="AI76" s="765" t="s">
        <v>283</v>
      </c>
      <c r="AJ76" s="765" t="s">
        <v>283</v>
      </c>
      <c r="AK76" s="765" t="s">
        <v>283</v>
      </c>
      <c r="AL76" s="765" t="s">
        <v>283</v>
      </c>
      <c r="AM76" s="765" t="s">
        <v>283</v>
      </c>
      <c r="AN76" s="765" t="s">
        <v>283</v>
      </c>
      <c r="AO76" s="765" t="s">
        <v>283</v>
      </c>
      <c r="AP76" s="765" t="s">
        <v>283</v>
      </c>
      <c r="AQ76" s="765" t="s">
        <v>283</v>
      </c>
      <c r="AR76" s="765" t="s">
        <v>283</v>
      </c>
      <c r="AS76" s="765" t="s">
        <v>283</v>
      </c>
      <c r="AT76" s="765" t="s">
        <v>283</v>
      </c>
    </row>
    <row r="77" spans="1:46" ht="15">
      <c r="A77" s="765" t="s">
        <v>283</v>
      </c>
      <c r="B77" s="769" t="s">
        <v>283</v>
      </c>
      <c r="C77" s="773" t="s">
        <v>497</v>
      </c>
      <c r="D77" s="782">
        <v>-1738000</v>
      </c>
      <c r="E77" s="782">
        <v>-1630714</v>
      </c>
      <c r="F77" s="782">
        <v>-1791000</v>
      </c>
      <c r="G77" s="782">
        <v>-1201000</v>
      </c>
      <c r="H77" s="782">
        <v>-1758500</v>
      </c>
      <c r="I77" s="782">
        <v>-1584000</v>
      </c>
      <c r="J77" s="780">
        <v>222749</v>
      </c>
      <c r="K77" s="781">
        <v>-0.14000000000000001</v>
      </c>
      <c r="L77" s="771"/>
      <c r="M77" s="785">
        <v>-1791000</v>
      </c>
      <c r="N77" s="785">
        <v>-1768000</v>
      </c>
      <c r="O77" s="785">
        <v>-1749000</v>
      </c>
      <c r="P77" s="785">
        <v>-1738000</v>
      </c>
      <c r="Q77" s="785">
        <v>-1723000</v>
      </c>
      <c r="R77" s="785">
        <v>-1445000</v>
      </c>
      <c r="S77" s="785">
        <v>-1201000</v>
      </c>
      <c r="T77" s="773"/>
      <c r="U77" s="773"/>
      <c r="V77" s="772" t="s">
        <v>283</v>
      </c>
      <c r="W77" s="765" t="s">
        <v>283</v>
      </c>
      <c r="X77" s="765" t="s">
        <v>283</v>
      </c>
      <c r="Y77" s="765" t="s">
        <v>283</v>
      </c>
      <c r="Z77" s="765" t="s">
        <v>283</v>
      </c>
      <c r="AA77" s="765" t="s">
        <v>283</v>
      </c>
      <c r="AB77" s="765" t="s">
        <v>283</v>
      </c>
      <c r="AC77" s="765" t="s">
        <v>283</v>
      </c>
      <c r="AD77" s="765" t="s">
        <v>283</v>
      </c>
      <c r="AE77" s="765" t="s">
        <v>283</v>
      </c>
      <c r="AF77" s="765" t="s">
        <v>283</v>
      </c>
      <c r="AG77" s="765" t="s">
        <v>283</v>
      </c>
      <c r="AH77" s="765" t="s">
        <v>283</v>
      </c>
      <c r="AI77" s="765" t="s">
        <v>283</v>
      </c>
      <c r="AJ77" s="765" t="s">
        <v>283</v>
      </c>
      <c r="AK77" s="765" t="s">
        <v>283</v>
      </c>
      <c r="AL77" s="765" t="s">
        <v>283</v>
      </c>
      <c r="AM77" s="765" t="s">
        <v>283</v>
      </c>
      <c r="AN77" s="765" t="s">
        <v>283</v>
      </c>
      <c r="AO77" s="765" t="s">
        <v>283</v>
      </c>
      <c r="AP77" s="765" t="s">
        <v>283</v>
      </c>
      <c r="AQ77" s="765" t="s">
        <v>283</v>
      </c>
      <c r="AR77" s="765" t="s">
        <v>283</v>
      </c>
      <c r="AS77" s="765" t="s">
        <v>283</v>
      </c>
      <c r="AT77" s="765" t="s">
        <v>283</v>
      </c>
    </row>
    <row r="78" spans="1:46" ht="15">
      <c r="A78" s="765" t="s">
        <v>283</v>
      </c>
      <c r="B78" s="769" t="s">
        <v>283</v>
      </c>
      <c r="C78" s="776" t="s">
        <v>498</v>
      </c>
      <c r="D78" s="789">
        <v>-1743000</v>
      </c>
      <c r="E78" s="789">
        <v>-1648429</v>
      </c>
      <c r="F78" s="789">
        <v>-1814000</v>
      </c>
      <c r="G78" s="789">
        <v>-1228000</v>
      </c>
      <c r="H78" s="789">
        <v>-1771500</v>
      </c>
      <c r="I78" s="789">
        <v>-1605500</v>
      </c>
      <c r="J78" s="787">
        <v>214096</v>
      </c>
      <c r="K78" s="788">
        <v>-0.13</v>
      </c>
      <c r="L78" s="790" t="s">
        <v>283</v>
      </c>
      <c r="M78" s="794">
        <v>-1814000</v>
      </c>
      <c r="N78" s="794">
        <v>-1784000</v>
      </c>
      <c r="O78" s="794">
        <v>-1759000</v>
      </c>
      <c r="P78" s="794">
        <v>-1743000</v>
      </c>
      <c r="Q78" s="794">
        <v>-1723000</v>
      </c>
      <c r="R78" s="794">
        <v>-1488000</v>
      </c>
      <c r="S78" s="794">
        <v>-1228000</v>
      </c>
      <c r="T78" s="791" t="s">
        <v>283</v>
      </c>
      <c r="U78" s="791" t="s">
        <v>283</v>
      </c>
      <c r="V78" s="772" t="s">
        <v>283</v>
      </c>
      <c r="W78" s="765" t="s">
        <v>283</v>
      </c>
      <c r="X78" s="765" t="s">
        <v>283</v>
      </c>
      <c r="Y78" s="765" t="s">
        <v>283</v>
      </c>
      <c r="Z78" s="765" t="s">
        <v>283</v>
      </c>
      <c r="AA78" s="765" t="s">
        <v>283</v>
      </c>
      <c r="AB78" s="765" t="s">
        <v>283</v>
      </c>
      <c r="AC78" s="765" t="s">
        <v>283</v>
      </c>
      <c r="AD78" s="765" t="s">
        <v>283</v>
      </c>
      <c r="AE78" s="765" t="s">
        <v>283</v>
      </c>
      <c r="AF78" s="765" t="s">
        <v>283</v>
      </c>
      <c r="AG78" s="765" t="s">
        <v>283</v>
      </c>
      <c r="AH78" s="765" t="s">
        <v>283</v>
      </c>
      <c r="AI78" s="765" t="s">
        <v>283</v>
      </c>
      <c r="AJ78" s="765" t="s">
        <v>283</v>
      </c>
      <c r="AK78" s="765" t="s">
        <v>283</v>
      </c>
      <c r="AL78" s="765" t="s">
        <v>283</v>
      </c>
      <c r="AM78" s="765" t="s">
        <v>283</v>
      </c>
      <c r="AN78" s="765" t="s">
        <v>283</v>
      </c>
      <c r="AO78" s="765" t="s">
        <v>283</v>
      </c>
      <c r="AP78" s="765" t="s">
        <v>283</v>
      </c>
      <c r="AQ78" s="765" t="s">
        <v>283</v>
      </c>
      <c r="AR78" s="765" t="s">
        <v>283</v>
      </c>
      <c r="AS78" s="765" t="s">
        <v>283</v>
      </c>
      <c r="AT78" s="765" t="s">
        <v>283</v>
      </c>
    </row>
    <row r="79" spans="1:46" ht="15">
      <c r="A79" s="765" t="s">
        <v>283</v>
      </c>
      <c r="B79" s="769" t="s">
        <v>283</v>
      </c>
      <c r="C79" s="776" t="s">
        <v>499</v>
      </c>
      <c r="D79" s="789">
        <v>-1811000</v>
      </c>
      <c r="E79" s="789">
        <v>-1708571</v>
      </c>
      <c r="F79" s="789">
        <v>-1882000</v>
      </c>
      <c r="G79" s="789">
        <v>-1256000</v>
      </c>
      <c r="H79" s="789">
        <v>-1839500</v>
      </c>
      <c r="I79" s="789">
        <v>-1666000</v>
      </c>
      <c r="J79" s="787">
        <v>228539</v>
      </c>
      <c r="K79" s="788">
        <v>-0.13</v>
      </c>
      <c r="L79" s="790" t="s">
        <v>283</v>
      </c>
      <c r="M79" s="794">
        <v>-1882000</v>
      </c>
      <c r="N79" s="794">
        <v>-1852000</v>
      </c>
      <c r="O79" s="794">
        <v>-1827000</v>
      </c>
      <c r="P79" s="794">
        <v>-1811000</v>
      </c>
      <c r="Q79" s="794">
        <v>-1788000</v>
      </c>
      <c r="R79" s="794">
        <v>-1544000</v>
      </c>
      <c r="S79" s="794">
        <v>-1256000</v>
      </c>
      <c r="T79" s="791" t="s">
        <v>283</v>
      </c>
      <c r="U79" s="791" t="s">
        <v>283</v>
      </c>
      <c r="V79" s="772" t="s">
        <v>283</v>
      </c>
      <c r="W79" s="765" t="s">
        <v>283</v>
      </c>
      <c r="X79" s="765" t="s">
        <v>283</v>
      </c>
      <c r="Y79" s="765" t="s">
        <v>283</v>
      </c>
      <c r="Z79" s="765" t="s">
        <v>283</v>
      </c>
      <c r="AA79" s="765" t="s">
        <v>283</v>
      </c>
      <c r="AB79" s="765" t="s">
        <v>283</v>
      </c>
      <c r="AC79" s="765" t="s">
        <v>283</v>
      </c>
      <c r="AD79" s="765" t="s">
        <v>283</v>
      </c>
      <c r="AE79" s="765" t="s">
        <v>283</v>
      </c>
      <c r="AF79" s="765" t="s">
        <v>283</v>
      </c>
      <c r="AG79" s="765" t="s">
        <v>283</v>
      </c>
      <c r="AH79" s="765" t="s">
        <v>283</v>
      </c>
      <c r="AI79" s="765" t="s">
        <v>283</v>
      </c>
      <c r="AJ79" s="765" t="s">
        <v>283</v>
      </c>
      <c r="AK79" s="765" t="s">
        <v>283</v>
      </c>
      <c r="AL79" s="765" t="s">
        <v>283</v>
      </c>
      <c r="AM79" s="765" t="s">
        <v>283</v>
      </c>
      <c r="AN79" s="765" t="s">
        <v>283</v>
      </c>
      <c r="AO79" s="765" t="s">
        <v>283</v>
      </c>
      <c r="AP79" s="765" t="s">
        <v>283</v>
      </c>
      <c r="AQ79" s="765" t="s">
        <v>283</v>
      </c>
      <c r="AR79" s="765" t="s">
        <v>283</v>
      </c>
      <c r="AS79" s="765" t="s">
        <v>283</v>
      </c>
      <c r="AT79" s="765" t="s">
        <v>283</v>
      </c>
    </row>
    <row r="80" spans="1:46" ht="15">
      <c r="A80" s="765" t="s">
        <v>283</v>
      </c>
      <c r="B80" s="769" t="s">
        <v>283</v>
      </c>
      <c r="C80" s="776" t="s">
        <v>500</v>
      </c>
      <c r="D80" s="789">
        <v>-1811000</v>
      </c>
      <c r="E80" s="789">
        <v>-1708571</v>
      </c>
      <c r="F80" s="789">
        <v>-1882000</v>
      </c>
      <c r="G80" s="789">
        <v>-1256000</v>
      </c>
      <c r="H80" s="789">
        <v>-1839500</v>
      </c>
      <c r="I80" s="789">
        <v>-1666000</v>
      </c>
      <c r="J80" s="787">
        <v>228539</v>
      </c>
      <c r="K80" s="788">
        <v>-0.13</v>
      </c>
      <c r="L80" s="790" t="s">
        <v>283</v>
      </c>
      <c r="M80" s="794">
        <v>-1882000</v>
      </c>
      <c r="N80" s="794">
        <v>-1852000</v>
      </c>
      <c r="O80" s="794">
        <v>-1827000</v>
      </c>
      <c r="P80" s="794">
        <v>-1811000</v>
      </c>
      <c r="Q80" s="794">
        <v>-1788000</v>
      </c>
      <c r="R80" s="794">
        <v>-1544000</v>
      </c>
      <c r="S80" s="794">
        <v>-1256000</v>
      </c>
      <c r="T80" s="791" t="s">
        <v>283</v>
      </c>
      <c r="U80" s="791" t="s">
        <v>283</v>
      </c>
      <c r="V80" s="772" t="s">
        <v>283</v>
      </c>
      <c r="W80" s="765" t="s">
        <v>283</v>
      </c>
      <c r="X80" s="765" t="s">
        <v>283</v>
      </c>
      <c r="Y80" s="765" t="s">
        <v>283</v>
      </c>
      <c r="Z80" s="765" t="s">
        <v>283</v>
      </c>
      <c r="AA80" s="765" t="s">
        <v>283</v>
      </c>
      <c r="AB80" s="765" t="s">
        <v>283</v>
      </c>
      <c r="AC80" s="765" t="s">
        <v>283</v>
      </c>
      <c r="AD80" s="765" t="s">
        <v>283</v>
      </c>
      <c r="AE80" s="765" t="s">
        <v>283</v>
      </c>
      <c r="AF80" s="765" t="s">
        <v>283</v>
      </c>
      <c r="AG80" s="765" t="s">
        <v>283</v>
      </c>
      <c r="AH80" s="765" t="s">
        <v>283</v>
      </c>
      <c r="AI80" s="765" t="s">
        <v>283</v>
      </c>
      <c r="AJ80" s="765" t="s">
        <v>283</v>
      </c>
      <c r="AK80" s="765" t="s">
        <v>283</v>
      </c>
      <c r="AL80" s="765" t="s">
        <v>283</v>
      </c>
      <c r="AM80" s="765" t="s">
        <v>283</v>
      </c>
      <c r="AN80" s="765" t="s">
        <v>283</v>
      </c>
      <c r="AO80" s="765" t="s">
        <v>283</v>
      </c>
      <c r="AP80" s="765" t="s">
        <v>283</v>
      </c>
      <c r="AQ80" s="765" t="s">
        <v>283</v>
      </c>
      <c r="AR80" s="765" t="s">
        <v>283</v>
      </c>
      <c r="AS80" s="765" t="s">
        <v>283</v>
      </c>
      <c r="AT80" s="765" t="s">
        <v>283</v>
      </c>
    </row>
    <row r="81" spans="1:46" ht="15">
      <c r="A81" s="765" t="s">
        <v>283</v>
      </c>
      <c r="B81" s="769" t="s">
        <v>283</v>
      </c>
      <c r="C81" s="776" t="s">
        <v>501</v>
      </c>
      <c r="D81" s="787">
        <v>916000</v>
      </c>
      <c r="E81" s="787">
        <v>945714</v>
      </c>
      <c r="F81" s="787">
        <v>675000</v>
      </c>
      <c r="G81" s="787">
        <v>1180000</v>
      </c>
      <c r="H81" s="787">
        <v>908500</v>
      </c>
      <c r="I81" s="787">
        <v>1016000</v>
      </c>
      <c r="J81" s="787">
        <v>155516</v>
      </c>
      <c r="K81" s="786">
        <v>0.16</v>
      </c>
      <c r="L81" s="790" t="s">
        <v>283</v>
      </c>
      <c r="M81" s="792">
        <v>1057000</v>
      </c>
      <c r="N81" s="792">
        <v>975000</v>
      </c>
      <c r="O81" s="792">
        <v>916000</v>
      </c>
      <c r="P81" s="792">
        <v>904000</v>
      </c>
      <c r="Q81" s="792">
        <v>675000</v>
      </c>
      <c r="R81" s="792">
        <v>913000</v>
      </c>
      <c r="S81" s="792">
        <v>1180000</v>
      </c>
      <c r="T81" s="791" t="s">
        <v>283</v>
      </c>
      <c r="U81" s="791" t="s">
        <v>283</v>
      </c>
      <c r="V81" s="772" t="s">
        <v>283</v>
      </c>
      <c r="W81" s="765" t="s">
        <v>283</v>
      </c>
      <c r="X81" s="765" t="s">
        <v>283</v>
      </c>
      <c r="Y81" s="765" t="s">
        <v>283</v>
      </c>
      <c r="Z81" s="765" t="s">
        <v>283</v>
      </c>
      <c r="AA81" s="765" t="s">
        <v>283</v>
      </c>
      <c r="AB81" s="765" t="s">
        <v>283</v>
      </c>
      <c r="AC81" s="765" t="s">
        <v>283</v>
      </c>
      <c r="AD81" s="765" t="s">
        <v>283</v>
      </c>
      <c r="AE81" s="765" t="s">
        <v>283</v>
      </c>
      <c r="AF81" s="765" t="s">
        <v>283</v>
      </c>
      <c r="AG81" s="765" t="s">
        <v>283</v>
      </c>
      <c r="AH81" s="765" t="s">
        <v>283</v>
      </c>
      <c r="AI81" s="765" t="s">
        <v>283</v>
      </c>
      <c r="AJ81" s="765" t="s">
        <v>283</v>
      </c>
      <c r="AK81" s="765" t="s">
        <v>283</v>
      </c>
      <c r="AL81" s="765" t="s">
        <v>283</v>
      </c>
      <c r="AM81" s="765" t="s">
        <v>283</v>
      </c>
      <c r="AN81" s="765" t="s">
        <v>283</v>
      </c>
      <c r="AO81" s="765" t="s">
        <v>283</v>
      </c>
      <c r="AP81" s="765" t="s">
        <v>283</v>
      </c>
      <c r="AQ81" s="765" t="s">
        <v>283</v>
      </c>
      <c r="AR81" s="765" t="s">
        <v>283</v>
      </c>
      <c r="AS81" s="765" t="s">
        <v>283</v>
      </c>
      <c r="AT81" s="765" t="s">
        <v>283</v>
      </c>
    </row>
    <row r="82" spans="1:46" ht="15">
      <c r="A82" s="765" t="s">
        <v>283</v>
      </c>
      <c r="B82" s="769" t="s">
        <v>283</v>
      </c>
      <c r="C82" s="773" t="s">
        <v>502</v>
      </c>
      <c r="D82" s="774" t="s">
        <v>283</v>
      </c>
      <c r="E82" s="774" t="s">
        <v>283</v>
      </c>
      <c r="F82" s="774" t="s">
        <v>283</v>
      </c>
      <c r="G82" s="774" t="s">
        <v>283</v>
      </c>
      <c r="H82" s="774" t="s">
        <v>283</v>
      </c>
      <c r="I82" s="774" t="s">
        <v>283</v>
      </c>
      <c r="J82" s="774" t="s">
        <v>283</v>
      </c>
      <c r="K82" s="774" t="s">
        <v>283</v>
      </c>
      <c r="L82" s="771"/>
      <c r="M82" s="771"/>
      <c r="N82" s="771"/>
      <c r="O82" s="771"/>
      <c r="P82" s="771"/>
      <c r="Q82" s="771"/>
      <c r="R82" s="771"/>
      <c r="S82" s="771"/>
      <c r="T82" s="771"/>
      <c r="U82" s="771"/>
      <c r="V82" s="772" t="s">
        <v>283</v>
      </c>
      <c r="W82" s="765" t="s">
        <v>283</v>
      </c>
      <c r="X82" s="765" t="s">
        <v>283</v>
      </c>
      <c r="Y82" s="765" t="s">
        <v>283</v>
      </c>
      <c r="Z82" s="765" t="s">
        <v>283</v>
      </c>
      <c r="AA82" s="765" t="s">
        <v>283</v>
      </c>
      <c r="AB82" s="765" t="s">
        <v>283</v>
      </c>
      <c r="AC82" s="765" t="s">
        <v>283</v>
      </c>
      <c r="AD82" s="765" t="s">
        <v>283</v>
      </c>
      <c r="AE82" s="765" t="s">
        <v>283</v>
      </c>
      <c r="AF82" s="765" t="s">
        <v>283</v>
      </c>
      <c r="AG82" s="765" t="s">
        <v>283</v>
      </c>
      <c r="AH82" s="765" t="s">
        <v>283</v>
      </c>
      <c r="AI82" s="765" t="s">
        <v>283</v>
      </c>
      <c r="AJ82" s="765" t="s">
        <v>283</v>
      </c>
      <c r="AK82" s="765" t="s">
        <v>283</v>
      </c>
      <c r="AL82" s="765" t="s">
        <v>283</v>
      </c>
      <c r="AM82" s="765" t="s">
        <v>283</v>
      </c>
      <c r="AN82" s="765" t="s">
        <v>283</v>
      </c>
      <c r="AO82" s="765" t="s">
        <v>283</v>
      </c>
      <c r="AP82" s="765" t="s">
        <v>283</v>
      </c>
      <c r="AQ82" s="765" t="s">
        <v>283</v>
      </c>
      <c r="AR82" s="765" t="s">
        <v>283</v>
      </c>
      <c r="AS82" s="765" t="s">
        <v>283</v>
      </c>
      <c r="AT82" s="765" t="s">
        <v>283</v>
      </c>
    </row>
    <row r="83" spans="1:46" ht="15">
      <c r="A83" s="765" t="s">
        <v>283</v>
      </c>
      <c r="B83" s="769" t="s">
        <v>283</v>
      </c>
      <c r="C83" s="773" t="s">
        <v>503</v>
      </c>
      <c r="D83" s="780">
        <v>102000</v>
      </c>
      <c r="E83" s="780">
        <v>100714</v>
      </c>
      <c r="F83" s="780">
        <v>9000</v>
      </c>
      <c r="G83" s="780">
        <v>309000</v>
      </c>
      <c r="H83" s="780">
        <v>23500</v>
      </c>
      <c r="I83" s="780">
        <v>119000</v>
      </c>
      <c r="J83" s="780">
        <v>103969</v>
      </c>
      <c r="K83" s="779">
        <v>1.03</v>
      </c>
      <c r="L83" s="771"/>
      <c r="M83" s="783">
        <v>309000</v>
      </c>
      <c r="N83" s="783">
        <v>131000</v>
      </c>
      <c r="O83" s="783">
        <v>102000</v>
      </c>
      <c r="P83" s="783">
        <v>107000</v>
      </c>
      <c r="Q83" s="783">
        <v>14000</v>
      </c>
      <c r="R83" s="783">
        <v>9000</v>
      </c>
      <c r="S83" s="783">
        <v>33000</v>
      </c>
      <c r="T83" s="773"/>
      <c r="U83" s="773"/>
      <c r="V83" s="772" t="s">
        <v>283</v>
      </c>
      <c r="W83" s="765" t="s">
        <v>283</v>
      </c>
      <c r="X83" s="765" t="s">
        <v>283</v>
      </c>
      <c r="Y83" s="765" t="s">
        <v>283</v>
      </c>
      <c r="Z83" s="765" t="s">
        <v>283</v>
      </c>
      <c r="AA83" s="765" t="s">
        <v>283</v>
      </c>
      <c r="AB83" s="765" t="s">
        <v>283</v>
      </c>
      <c r="AC83" s="765" t="s">
        <v>283</v>
      </c>
      <c r="AD83" s="765" t="s">
        <v>283</v>
      </c>
      <c r="AE83" s="765" t="s">
        <v>283</v>
      </c>
      <c r="AF83" s="765" t="s">
        <v>283</v>
      </c>
      <c r="AG83" s="765" t="s">
        <v>283</v>
      </c>
      <c r="AH83" s="765" t="s">
        <v>283</v>
      </c>
      <c r="AI83" s="765" t="s">
        <v>283</v>
      </c>
      <c r="AJ83" s="765" t="s">
        <v>283</v>
      </c>
      <c r="AK83" s="765" t="s">
        <v>283</v>
      </c>
      <c r="AL83" s="765" t="s">
        <v>283</v>
      </c>
      <c r="AM83" s="765" t="s">
        <v>283</v>
      </c>
      <c r="AN83" s="765" t="s">
        <v>283</v>
      </c>
      <c r="AO83" s="765" t="s">
        <v>283</v>
      </c>
      <c r="AP83" s="765" t="s">
        <v>283</v>
      </c>
      <c r="AQ83" s="765" t="s">
        <v>283</v>
      </c>
      <c r="AR83" s="765" t="s">
        <v>283</v>
      </c>
      <c r="AS83" s="765" t="s">
        <v>283</v>
      </c>
      <c r="AT83" s="765" t="s">
        <v>283</v>
      </c>
    </row>
    <row r="84" spans="1:46" ht="15">
      <c r="A84" s="765" t="s">
        <v>283</v>
      </c>
      <c r="B84" s="769" t="s">
        <v>283</v>
      </c>
      <c r="C84" s="773" t="s">
        <v>504</v>
      </c>
      <c r="D84" s="774" t="s">
        <v>283</v>
      </c>
      <c r="E84" s="774" t="s">
        <v>283</v>
      </c>
      <c r="F84" s="774" t="s">
        <v>283</v>
      </c>
      <c r="G84" s="774" t="s">
        <v>283</v>
      </c>
      <c r="H84" s="774" t="s">
        <v>283</v>
      </c>
      <c r="I84" s="774" t="s">
        <v>283</v>
      </c>
      <c r="J84" s="774" t="s">
        <v>283</v>
      </c>
      <c r="K84" s="774" t="s">
        <v>283</v>
      </c>
      <c r="L84" s="771"/>
      <c r="M84" s="771"/>
      <c r="N84" s="771"/>
      <c r="O84" s="771"/>
      <c r="P84" s="771"/>
      <c r="Q84" s="771"/>
      <c r="R84" s="771"/>
      <c r="S84" s="771"/>
      <c r="T84" s="771"/>
      <c r="U84" s="771"/>
      <c r="V84" s="772" t="s">
        <v>283</v>
      </c>
      <c r="W84" s="765" t="s">
        <v>283</v>
      </c>
      <c r="X84" s="765" t="s">
        <v>283</v>
      </c>
      <c r="Y84" s="765" t="s">
        <v>283</v>
      </c>
      <c r="Z84" s="765" t="s">
        <v>283</v>
      </c>
      <c r="AA84" s="765" t="s">
        <v>283</v>
      </c>
      <c r="AB84" s="765" t="s">
        <v>283</v>
      </c>
      <c r="AC84" s="765" t="s">
        <v>283</v>
      </c>
      <c r="AD84" s="765" t="s">
        <v>283</v>
      </c>
      <c r="AE84" s="765" t="s">
        <v>283</v>
      </c>
      <c r="AF84" s="765" t="s">
        <v>283</v>
      </c>
      <c r="AG84" s="765" t="s">
        <v>283</v>
      </c>
      <c r="AH84" s="765" t="s">
        <v>283</v>
      </c>
      <c r="AI84" s="765" t="s">
        <v>283</v>
      </c>
      <c r="AJ84" s="765" t="s">
        <v>283</v>
      </c>
      <c r="AK84" s="765" t="s">
        <v>283</v>
      </c>
      <c r="AL84" s="765" t="s">
        <v>283</v>
      </c>
      <c r="AM84" s="765" t="s">
        <v>283</v>
      </c>
      <c r="AN84" s="765" t="s">
        <v>283</v>
      </c>
      <c r="AO84" s="765" t="s">
        <v>283</v>
      </c>
      <c r="AP84" s="765" t="s">
        <v>283</v>
      </c>
      <c r="AQ84" s="765" t="s">
        <v>283</v>
      </c>
      <c r="AR84" s="765" t="s">
        <v>283</v>
      </c>
      <c r="AS84" s="765" t="s">
        <v>283</v>
      </c>
      <c r="AT84" s="765" t="s">
        <v>283</v>
      </c>
    </row>
    <row r="85" spans="1:46" ht="15">
      <c r="A85" s="765" t="s">
        <v>283</v>
      </c>
      <c r="B85" s="769" t="s">
        <v>283</v>
      </c>
      <c r="C85" s="773" t="s">
        <v>505</v>
      </c>
      <c r="D85" s="780">
        <v>559000</v>
      </c>
      <c r="E85" s="780">
        <v>678333</v>
      </c>
      <c r="F85" s="780">
        <v>377000</v>
      </c>
      <c r="G85" s="780">
        <v>1239000</v>
      </c>
      <c r="H85" s="780">
        <v>417500</v>
      </c>
      <c r="I85" s="780">
        <v>864000</v>
      </c>
      <c r="J85" s="780">
        <v>344696</v>
      </c>
      <c r="K85" s="779">
        <v>0.51</v>
      </c>
      <c r="L85" s="771"/>
      <c r="M85" s="783">
        <v>630000</v>
      </c>
      <c r="N85" s="783">
        <v>394000</v>
      </c>
      <c r="O85" s="783">
        <v>488000</v>
      </c>
      <c r="P85" s="783">
        <v>942000</v>
      </c>
      <c r="Q85" s="783">
        <v>1239000</v>
      </c>
      <c r="R85" s="783">
        <v>377000</v>
      </c>
      <c r="S85" s="773"/>
      <c r="T85" s="773"/>
      <c r="U85" s="773"/>
      <c r="V85" s="772" t="s">
        <v>283</v>
      </c>
      <c r="W85" s="765" t="s">
        <v>283</v>
      </c>
      <c r="X85" s="765" t="s">
        <v>283</v>
      </c>
      <c r="Y85" s="765" t="s">
        <v>283</v>
      </c>
      <c r="Z85" s="765" t="s">
        <v>283</v>
      </c>
      <c r="AA85" s="765" t="s">
        <v>283</v>
      </c>
      <c r="AB85" s="765" t="s">
        <v>283</v>
      </c>
      <c r="AC85" s="765" t="s">
        <v>283</v>
      </c>
      <c r="AD85" s="765" t="s">
        <v>283</v>
      </c>
      <c r="AE85" s="765" t="s">
        <v>283</v>
      </c>
      <c r="AF85" s="765" t="s">
        <v>283</v>
      </c>
      <c r="AG85" s="765" t="s">
        <v>283</v>
      </c>
      <c r="AH85" s="765" t="s">
        <v>283</v>
      </c>
      <c r="AI85" s="765" t="s">
        <v>283</v>
      </c>
      <c r="AJ85" s="765" t="s">
        <v>283</v>
      </c>
      <c r="AK85" s="765" t="s">
        <v>283</v>
      </c>
      <c r="AL85" s="765" t="s">
        <v>283</v>
      </c>
      <c r="AM85" s="765" t="s">
        <v>283</v>
      </c>
      <c r="AN85" s="765" t="s">
        <v>283</v>
      </c>
      <c r="AO85" s="765" t="s">
        <v>283</v>
      </c>
      <c r="AP85" s="765" t="s">
        <v>283</v>
      </c>
      <c r="AQ85" s="765" t="s">
        <v>283</v>
      </c>
      <c r="AR85" s="765" t="s">
        <v>283</v>
      </c>
      <c r="AS85" s="765" t="s">
        <v>283</v>
      </c>
      <c r="AT85" s="765" t="s">
        <v>283</v>
      </c>
    </row>
    <row r="86" spans="1:46" ht="15">
      <c r="A86" s="765" t="s">
        <v>283</v>
      </c>
      <c r="B86" s="769" t="s">
        <v>283</v>
      </c>
      <c r="C86" s="773" t="s">
        <v>506</v>
      </c>
      <c r="D86" s="774" t="s">
        <v>283</v>
      </c>
      <c r="E86" s="774" t="s">
        <v>283</v>
      </c>
      <c r="F86" s="774" t="s">
        <v>283</v>
      </c>
      <c r="G86" s="774" t="s">
        <v>283</v>
      </c>
      <c r="H86" s="774" t="s">
        <v>283</v>
      </c>
      <c r="I86" s="774" t="s">
        <v>283</v>
      </c>
      <c r="J86" s="774" t="s">
        <v>283</v>
      </c>
      <c r="K86" s="774" t="s">
        <v>283</v>
      </c>
      <c r="L86" s="771"/>
      <c r="M86" s="771"/>
      <c r="N86" s="771"/>
      <c r="O86" s="771"/>
      <c r="P86" s="771"/>
      <c r="Q86" s="771"/>
      <c r="R86" s="771"/>
      <c r="S86" s="771"/>
      <c r="T86" s="771"/>
      <c r="U86" s="771"/>
      <c r="V86" s="772" t="s">
        <v>283</v>
      </c>
      <c r="W86" s="765" t="s">
        <v>283</v>
      </c>
      <c r="X86" s="765" t="s">
        <v>283</v>
      </c>
      <c r="Y86" s="765" t="s">
        <v>283</v>
      </c>
      <c r="Z86" s="765" t="s">
        <v>283</v>
      </c>
      <c r="AA86" s="765" t="s">
        <v>283</v>
      </c>
      <c r="AB86" s="765" t="s">
        <v>283</v>
      </c>
      <c r="AC86" s="765" t="s">
        <v>283</v>
      </c>
      <c r="AD86" s="765" t="s">
        <v>283</v>
      </c>
      <c r="AE86" s="765" t="s">
        <v>283</v>
      </c>
      <c r="AF86" s="765" t="s">
        <v>283</v>
      </c>
      <c r="AG86" s="765" t="s">
        <v>283</v>
      </c>
      <c r="AH86" s="765" t="s">
        <v>283</v>
      </c>
      <c r="AI86" s="765" t="s">
        <v>283</v>
      </c>
      <c r="AJ86" s="765" t="s">
        <v>283</v>
      </c>
      <c r="AK86" s="765" t="s">
        <v>283</v>
      </c>
      <c r="AL86" s="765" t="s">
        <v>283</v>
      </c>
      <c r="AM86" s="765" t="s">
        <v>283</v>
      </c>
      <c r="AN86" s="765" t="s">
        <v>283</v>
      </c>
      <c r="AO86" s="765" t="s">
        <v>283</v>
      </c>
      <c r="AP86" s="765" t="s">
        <v>283</v>
      </c>
      <c r="AQ86" s="765" t="s">
        <v>283</v>
      </c>
      <c r="AR86" s="765" t="s">
        <v>283</v>
      </c>
      <c r="AS86" s="765" t="s">
        <v>283</v>
      </c>
      <c r="AT86" s="765" t="s">
        <v>283</v>
      </c>
    </row>
    <row r="87" spans="1:46" ht="15">
      <c r="A87" s="765" t="s">
        <v>283</v>
      </c>
      <c r="B87" s="769" t="s">
        <v>283</v>
      </c>
      <c r="C87" s="773" t="s">
        <v>507</v>
      </c>
      <c r="D87" s="780">
        <v>26000</v>
      </c>
      <c r="E87" s="780">
        <v>55000</v>
      </c>
      <c r="F87" s="779">
        <v>0</v>
      </c>
      <c r="G87" s="780">
        <v>132000</v>
      </c>
      <c r="H87" s="780">
        <v>19000</v>
      </c>
      <c r="I87" s="780">
        <v>98000</v>
      </c>
      <c r="J87" s="780">
        <v>56877</v>
      </c>
      <c r="K87" s="779">
        <v>1.03</v>
      </c>
      <c r="L87" s="771"/>
      <c r="M87" s="783">
        <v>132000</v>
      </c>
      <c r="N87" s="783">
        <v>98000</v>
      </c>
      <c r="O87" s="783">
        <v>19000</v>
      </c>
      <c r="P87" s="783">
        <v>26000</v>
      </c>
      <c r="Q87" s="773">
        <v>0</v>
      </c>
      <c r="R87" s="773"/>
      <c r="S87" s="773"/>
      <c r="T87" s="773"/>
      <c r="U87" s="773"/>
      <c r="V87" s="772" t="s">
        <v>283</v>
      </c>
      <c r="W87" s="765" t="s">
        <v>283</v>
      </c>
      <c r="X87" s="765" t="s">
        <v>283</v>
      </c>
      <c r="Y87" s="765" t="s">
        <v>283</v>
      </c>
      <c r="Z87" s="765" t="s">
        <v>283</v>
      </c>
      <c r="AA87" s="765" t="s">
        <v>283</v>
      </c>
      <c r="AB87" s="765" t="s">
        <v>283</v>
      </c>
      <c r="AC87" s="765" t="s">
        <v>283</v>
      </c>
      <c r="AD87" s="765" t="s">
        <v>283</v>
      </c>
      <c r="AE87" s="765" t="s">
        <v>283</v>
      </c>
      <c r="AF87" s="765" t="s">
        <v>283</v>
      </c>
      <c r="AG87" s="765" t="s">
        <v>283</v>
      </c>
      <c r="AH87" s="765" t="s">
        <v>283</v>
      </c>
      <c r="AI87" s="765" t="s">
        <v>283</v>
      </c>
      <c r="AJ87" s="765" t="s">
        <v>283</v>
      </c>
      <c r="AK87" s="765" t="s">
        <v>283</v>
      </c>
      <c r="AL87" s="765" t="s">
        <v>283</v>
      </c>
      <c r="AM87" s="765" t="s">
        <v>283</v>
      </c>
      <c r="AN87" s="765" t="s">
        <v>283</v>
      </c>
      <c r="AO87" s="765" t="s">
        <v>283</v>
      </c>
      <c r="AP87" s="765" t="s">
        <v>283</v>
      </c>
      <c r="AQ87" s="765" t="s">
        <v>283</v>
      </c>
      <c r="AR87" s="765" t="s">
        <v>283</v>
      </c>
      <c r="AS87" s="765" t="s">
        <v>283</v>
      </c>
      <c r="AT87" s="765" t="s">
        <v>283</v>
      </c>
    </row>
    <row r="88" spans="1:46" ht="15">
      <c r="A88" s="765" t="s">
        <v>283</v>
      </c>
      <c r="B88" s="769" t="s">
        <v>283</v>
      </c>
      <c r="C88" s="776" t="s">
        <v>508</v>
      </c>
      <c r="D88" s="787">
        <v>26000</v>
      </c>
      <c r="E88" s="787">
        <v>55000</v>
      </c>
      <c r="F88" s="786">
        <v>0</v>
      </c>
      <c r="G88" s="787">
        <v>132000</v>
      </c>
      <c r="H88" s="787">
        <v>19000</v>
      </c>
      <c r="I88" s="787">
        <v>98000</v>
      </c>
      <c r="J88" s="787">
        <v>56877</v>
      </c>
      <c r="K88" s="786">
        <v>1.03</v>
      </c>
      <c r="L88" s="790" t="s">
        <v>283</v>
      </c>
      <c r="M88" s="792">
        <v>132000</v>
      </c>
      <c r="N88" s="792">
        <v>98000</v>
      </c>
      <c r="O88" s="792">
        <v>19000</v>
      </c>
      <c r="P88" s="792">
        <v>26000</v>
      </c>
      <c r="Q88" s="791">
        <v>0</v>
      </c>
      <c r="R88" s="791" t="s">
        <v>283</v>
      </c>
      <c r="S88" s="791" t="s">
        <v>283</v>
      </c>
      <c r="T88" s="791" t="s">
        <v>283</v>
      </c>
      <c r="U88" s="791" t="s">
        <v>283</v>
      </c>
      <c r="V88" s="772" t="s">
        <v>283</v>
      </c>
      <c r="W88" s="765" t="s">
        <v>283</v>
      </c>
      <c r="X88" s="765" t="s">
        <v>283</v>
      </c>
      <c r="Y88" s="765" t="s">
        <v>283</v>
      </c>
      <c r="Z88" s="765" t="s">
        <v>283</v>
      </c>
      <c r="AA88" s="765" t="s">
        <v>283</v>
      </c>
      <c r="AB88" s="765" t="s">
        <v>283</v>
      </c>
      <c r="AC88" s="765" t="s">
        <v>283</v>
      </c>
      <c r="AD88" s="765" t="s">
        <v>283</v>
      </c>
      <c r="AE88" s="765" t="s">
        <v>283</v>
      </c>
      <c r="AF88" s="765" t="s">
        <v>283</v>
      </c>
      <c r="AG88" s="765" t="s">
        <v>283</v>
      </c>
      <c r="AH88" s="765" t="s">
        <v>283</v>
      </c>
      <c r="AI88" s="765" t="s">
        <v>283</v>
      </c>
      <c r="AJ88" s="765" t="s">
        <v>283</v>
      </c>
      <c r="AK88" s="765" t="s">
        <v>283</v>
      </c>
      <c r="AL88" s="765" t="s">
        <v>283</v>
      </c>
      <c r="AM88" s="765" t="s">
        <v>283</v>
      </c>
      <c r="AN88" s="765" t="s">
        <v>283</v>
      </c>
      <c r="AO88" s="765" t="s">
        <v>283</v>
      </c>
      <c r="AP88" s="765" t="s">
        <v>283</v>
      </c>
      <c r="AQ88" s="765" t="s">
        <v>283</v>
      </c>
      <c r="AR88" s="765" t="s">
        <v>283</v>
      </c>
      <c r="AS88" s="765" t="s">
        <v>283</v>
      </c>
      <c r="AT88" s="765" t="s">
        <v>283</v>
      </c>
    </row>
    <row r="89" spans="1:46" ht="15">
      <c r="A89" s="765" t="s">
        <v>283</v>
      </c>
      <c r="B89" s="769" t="s">
        <v>283</v>
      </c>
      <c r="C89" s="773" t="s">
        <v>509</v>
      </c>
      <c r="D89" s="780">
        <v>267000</v>
      </c>
      <c r="E89" s="780">
        <v>331833</v>
      </c>
      <c r="F89" s="779">
        <v>0</v>
      </c>
      <c r="G89" s="780">
        <v>774000</v>
      </c>
      <c r="H89" s="780">
        <v>66750</v>
      </c>
      <c r="I89" s="780">
        <v>579000</v>
      </c>
      <c r="J89" s="780">
        <v>330094</v>
      </c>
      <c r="K89" s="779">
        <v>0.99</v>
      </c>
      <c r="L89" s="771"/>
      <c r="M89" s="783">
        <v>261000</v>
      </c>
      <c r="N89" s="783">
        <v>273000</v>
      </c>
      <c r="O89" s="783">
        <v>681000</v>
      </c>
      <c r="P89" s="783">
        <v>774000</v>
      </c>
      <c r="Q89" s="783">
        <v>2000</v>
      </c>
      <c r="R89" s="773">
        <v>0</v>
      </c>
      <c r="S89" s="773"/>
      <c r="T89" s="773"/>
      <c r="U89" s="773"/>
      <c r="V89" s="772" t="s">
        <v>283</v>
      </c>
      <c r="W89" s="765" t="s">
        <v>283</v>
      </c>
      <c r="X89" s="765" t="s">
        <v>283</v>
      </c>
      <c r="Y89" s="765" t="s">
        <v>283</v>
      </c>
      <c r="Z89" s="765" t="s">
        <v>283</v>
      </c>
      <c r="AA89" s="765" t="s">
        <v>283</v>
      </c>
      <c r="AB89" s="765" t="s">
        <v>283</v>
      </c>
      <c r="AC89" s="765" t="s">
        <v>283</v>
      </c>
      <c r="AD89" s="765" t="s">
        <v>283</v>
      </c>
      <c r="AE89" s="765" t="s">
        <v>283</v>
      </c>
      <c r="AF89" s="765" t="s">
        <v>283</v>
      </c>
      <c r="AG89" s="765" t="s">
        <v>283</v>
      </c>
      <c r="AH89" s="765" t="s">
        <v>283</v>
      </c>
      <c r="AI89" s="765" t="s">
        <v>283</v>
      </c>
      <c r="AJ89" s="765" t="s">
        <v>283</v>
      </c>
      <c r="AK89" s="765" t="s">
        <v>283</v>
      </c>
      <c r="AL89" s="765" t="s">
        <v>283</v>
      </c>
      <c r="AM89" s="765" t="s">
        <v>283</v>
      </c>
      <c r="AN89" s="765" t="s">
        <v>283</v>
      </c>
      <c r="AO89" s="765" t="s">
        <v>283</v>
      </c>
      <c r="AP89" s="765" t="s">
        <v>283</v>
      </c>
      <c r="AQ89" s="765" t="s">
        <v>283</v>
      </c>
      <c r="AR89" s="765" t="s">
        <v>283</v>
      </c>
      <c r="AS89" s="765" t="s">
        <v>283</v>
      </c>
      <c r="AT89" s="765" t="s">
        <v>283</v>
      </c>
    </row>
    <row r="90" spans="1:46" ht="15">
      <c r="A90" s="765" t="s">
        <v>283</v>
      </c>
      <c r="B90" s="769" t="s">
        <v>283</v>
      </c>
      <c r="C90" s="776" t="s">
        <v>510</v>
      </c>
      <c r="D90" s="787">
        <v>1105500</v>
      </c>
      <c r="E90" s="787">
        <v>1056000</v>
      </c>
      <c r="F90" s="787">
        <v>377000</v>
      </c>
      <c r="G90" s="787">
        <v>1742000</v>
      </c>
      <c r="H90" s="787">
        <v>829500</v>
      </c>
      <c r="I90" s="787">
        <v>1227750</v>
      </c>
      <c r="J90" s="787">
        <v>462397</v>
      </c>
      <c r="K90" s="786">
        <v>0.44</v>
      </c>
      <c r="L90" s="790" t="s">
        <v>283</v>
      </c>
      <c r="M90" s="792">
        <v>1023000</v>
      </c>
      <c r="N90" s="792">
        <v>765000</v>
      </c>
      <c r="O90" s="792">
        <v>1188000</v>
      </c>
      <c r="P90" s="792">
        <v>1742000</v>
      </c>
      <c r="Q90" s="792">
        <v>1241000</v>
      </c>
      <c r="R90" s="792">
        <v>377000</v>
      </c>
      <c r="S90" s="791" t="s">
        <v>283</v>
      </c>
      <c r="T90" s="791" t="s">
        <v>283</v>
      </c>
      <c r="U90" s="791" t="s">
        <v>283</v>
      </c>
      <c r="V90" s="772" t="s">
        <v>283</v>
      </c>
      <c r="W90" s="765" t="s">
        <v>283</v>
      </c>
      <c r="X90" s="765" t="s">
        <v>283</v>
      </c>
      <c r="Y90" s="765" t="s">
        <v>283</v>
      </c>
      <c r="Z90" s="765" t="s">
        <v>283</v>
      </c>
      <c r="AA90" s="765" t="s">
        <v>283</v>
      </c>
      <c r="AB90" s="765" t="s">
        <v>283</v>
      </c>
      <c r="AC90" s="765" t="s">
        <v>283</v>
      </c>
      <c r="AD90" s="765" t="s">
        <v>283</v>
      </c>
      <c r="AE90" s="765" t="s">
        <v>283</v>
      </c>
      <c r="AF90" s="765" t="s">
        <v>283</v>
      </c>
      <c r="AG90" s="765" t="s">
        <v>283</v>
      </c>
      <c r="AH90" s="765" t="s">
        <v>283</v>
      </c>
      <c r="AI90" s="765" t="s">
        <v>283</v>
      </c>
      <c r="AJ90" s="765" t="s">
        <v>283</v>
      </c>
      <c r="AK90" s="765" t="s">
        <v>283</v>
      </c>
      <c r="AL90" s="765" t="s">
        <v>283</v>
      </c>
      <c r="AM90" s="765" t="s">
        <v>283</v>
      </c>
      <c r="AN90" s="765" t="s">
        <v>283</v>
      </c>
      <c r="AO90" s="765" t="s">
        <v>283</v>
      </c>
      <c r="AP90" s="765" t="s">
        <v>283</v>
      </c>
      <c r="AQ90" s="765" t="s">
        <v>283</v>
      </c>
      <c r="AR90" s="765" t="s">
        <v>283</v>
      </c>
      <c r="AS90" s="765" t="s">
        <v>283</v>
      </c>
      <c r="AT90" s="765" t="s">
        <v>283</v>
      </c>
    </row>
    <row r="91" spans="1:46" ht="15">
      <c r="A91" s="765" t="s">
        <v>283</v>
      </c>
      <c r="B91" s="769" t="s">
        <v>283</v>
      </c>
      <c r="C91" s="773" t="s">
        <v>511</v>
      </c>
      <c r="D91" s="780">
        <v>132000</v>
      </c>
      <c r="E91" s="780">
        <v>132000</v>
      </c>
      <c r="F91" s="780">
        <v>132000</v>
      </c>
      <c r="G91" s="780">
        <v>132000</v>
      </c>
      <c r="H91" s="780">
        <v>132000</v>
      </c>
      <c r="I91" s="780">
        <v>132000</v>
      </c>
      <c r="J91" s="779" t="s">
        <v>283</v>
      </c>
      <c r="K91" s="779" t="s">
        <v>283</v>
      </c>
      <c r="L91" s="771"/>
      <c r="M91" s="773"/>
      <c r="N91" s="773"/>
      <c r="O91" s="773"/>
      <c r="P91" s="773"/>
      <c r="Q91" s="773"/>
      <c r="R91" s="773"/>
      <c r="S91" s="783">
        <v>132000</v>
      </c>
      <c r="T91" s="773"/>
      <c r="U91" s="773"/>
      <c r="V91" s="772" t="s">
        <v>283</v>
      </c>
      <c r="W91" s="765" t="s">
        <v>283</v>
      </c>
      <c r="X91" s="765" t="s">
        <v>283</v>
      </c>
      <c r="Y91" s="765" t="s">
        <v>283</v>
      </c>
      <c r="Z91" s="765" t="s">
        <v>283</v>
      </c>
      <c r="AA91" s="765" t="s">
        <v>283</v>
      </c>
      <c r="AB91" s="765" t="s">
        <v>283</v>
      </c>
      <c r="AC91" s="765" t="s">
        <v>283</v>
      </c>
      <c r="AD91" s="765" t="s">
        <v>283</v>
      </c>
      <c r="AE91" s="765" t="s">
        <v>283</v>
      </c>
      <c r="AF91" s="765" t="s">
        <v>283</v>
      </c>
      <c r="AG91" s="765" t="s">
        <v>283</v>
      </c>
      <c r="AH91" s="765" t="s">
        <v>283</v>
      </c>
      <c r="AI91" s="765" t="s">
        <v>283</v>
      </c>
      <c r="AJ91" s="765" t="s">
        <v>283</v>
      </c>
      <c r="AK91" s="765" t="s">
        <v>283</v>
      </c>
      <c r="AL91" s="765" t="s">
        <v>283</v>
      </c>
      <c r="AM91" s="765" t="s">
        <v>283</v>
      </c>
      <c r="AN91" s="765" t="s">
        <v>283</v>
      </c>
      <c r="AO91" s="765" t="s">
        <v>283</v>
      </c>
      <c r="AP91" s="765" t="s">
        <v>283</v>
      </c>
      <c r="AQ91" s="765" t="s">
        <v>283</v>
      </c>
      <c r="AR91" s="765" t="s">
        <v>283</v>
      </c>
      <c r="AS91" s="765" t="s">
        <v>283</v>
      </c>
      <c r="AT91" s="765" t="s">
        <v>283</v>
      </c>
    </row>
    <row r="92" spans="1:46" ht="15">
      <c r="A92" s="765" t="s">
        <v>283</v>
      </c>
      <c r="B92" s="769" t="s">
        <v>283</v>
      </c>
      <c r="C92" s="776" t="s">
        <v>512</v>
      </c>
      <c r="D92" s="787">
        <v>1255000</v>
      </c>
      <c r="E92" s="787">
        <v>1024714</v>
      </c>
      <c r="F92" s="787">
        <v>165000</v>
      </c>
      <c r="G92" s="787">
        <v>1849000</v>
      </c>
      <c r="H92" s="787">
        <v>641000</v>
      </c>
      <c r="I92" s="787">
        <v>1311000</v>
      </c>
      <c r="J92" s="787">
        <v>586076</v>
      </c>
      <c r="K92" s="786">
        <v>0.56999999999999995</v>
      </c>
      <c r="L92" s="790" t="s">
        <v>283</v>
      </c>
      <c r="M92" s="792">
        <v>1332000</v>
      </c>
      <c r="N92" s="792">
        <v>896000</v>
      </c>
      <c r="O92" s="792">
        <v>1290000</v>
      </c>
      <c r="P92" s="792">
        <v>1849000</v>
      </c>
      <c r="Q92" s="792">
        <v>1255000</v>
      </c>
      <c r="R92" s="792">
        <v>386000</v>
      </c>
      <c r="S92" s="792">
        <v>165000</v>
      </c>
      <c r="T92" s="791" t="s">
        <v>283</v>
      </c>
      <c r="U92" s="791" t="s">
        <v>283</v>
      </c>
      <c r="V92" s="772" t="s">
        <v>283</v>
      </c>
      <c r="W92" s="765" t="s">
        <v>283</v>
      </c>
      <c r="X92" s="765" t="s">
        <v>283</v>
      </c>
      <c r="Y92" s="765" t="s">
        <v>283</v>
      </c>
      <c r="Z92" s="765" t="s">
        <v>283</v>
      </c>
      <c r="AA92" s="765" t="s">
        <v>283</v>
      </c>
      <c r="AB92" s="765" t="s">
        <v>283</v>
      </c>
      <c r="AC92" s="765" t="s">
        <v>283</v>
      </c>
      <c r="AD92" s="765" t="s">
        <v>283</v>
      </c>
      <c r="AE92" s="765" t="s">
        <v>283</v>
      </c>
      <c r="AF92" s="765" t="s">
        <v>283</v>
      </c>
      <c r="AG92" s="765" t="s">
        <v>283</v>
      </c>
      <c r="AH92" s="765" t="s">
        <v>283</v>
      </c>
      <c r="AI92" s="765" t="s">
        <v>283</v>
      </c>
      <c r="AJ92" s="765" t="s">
        <v>283</v>
      </c>
      <c r="AK92" s="765" t="s">
        <v>283</v>
      </c>
      <c r="AL92" s="765" t="s">
        <v>283</v>
      </c>
      <c r="AM92" s="765" t="s">
        <v>283</v>
      </c>
      <c r="AN92" s="765" t="s">
        <v>283</v>
      </c>
      <c r="AO92" s="765" t="s">
        <v>283</v>
      </c>
      <c r="AP92" s="765" t="s">
        <v>283</v>
      </c>
      <c r="AQ92" s="765" t="s">
        <v>283</v>
      </c>
      <c r="AR92" s="765" t="s">
        <v>283</v>
      </c>
      <c r="AS92" s="765" t="s">
        <v>283</v>
      </c>
      <c r="AT92" s="765" t="s">
        <v>283</v>
      </c>
    </row>
    <row r="93" spans="1:46" ht="15">
      <c r="A93" s="765" t="s">
        <v>283</v>
      </c>
      <c r="B93" s="769" t="s">
        <v>283</v>
      </c>
      <c r="C93" s="773" t="s">
        <v>513</v>
      </c>
      <c r="D93" s="774" t="s">
        <v>283</v>
      </c>
      <c r="E93" s="774" t="s">
        <v>283</v>
      </c>
      <c r="F93" s="774" t="s">
        <v>283</v>
      </c>
      <c r="G93" s="774" t="s">
        <v>283</v>
      </c>
      <c r="H93" s="774" t="s">
        <v>283</v>
      </c>
      <c r="I93" s="774" t="s">
        <v>283</v>
      </c>
      <c r="J93" s="774" t="s">
        <v>283</v>
      </c>
      <c r="K93" s="774" t="s">
        <v>283</v>
      </c>
      <c r="L93" s="771"/>
      <c r="M93" s="771"/>
      <c r="N93" s="771"/>
      <c r="O93" s="771"/>
      <c r="P93" s="771"/>
      <c r="Q93" s="771"/>
      <c r="R93" s="771"/>
      <c r="S93" s="771"/>
      <c r="T93" s="771"/>
      <c r="U93" s="771"/>
      <c r="V93" s="772" t="s">
        <v>283</v>
      </c>
      <c r="W93" s="765" t="s">
        <v>283</v>
      </c>
      <c r="X93" s="765" t="s">
        <v>283</v>
      </c>
      <c r="Y93" s="765" t="s">
        <v>283</v>
      </c>
      <c r="Z93" s="765" t="s">
        <v>283</v>
      </c>
      <c r="AA93" s="765" t="s">
        <v>283</v>
      </c>
      <c r="AB93" s="765" t="s">
        <v>283</v>
      </c>
      <c r="AC93" s="765" t="s">
        <v>283</v>
      </c>
      <c r="AD93" s="765" t="s">
        <v>283</v>
      </c>
      <c r="AE93" s="765" t="s">
        <v>283</v>
      </c>
      <c r="AF93" s="765" t="s">
        <v>283</v>
      </c>
      <c r="AG93" s="765" t="s">
        <v>283</v>
      </c>
      <c r="AH93" s="765" t="s">
        <v>283</v>
      </c>
      <c r="AI93" s="765" t="s">
        <v>283</v>
      </c>
      <c r="AJ93" s="765" t="s">
        <v>283</v>
      </c>
      <c r="AK93" s="765" t="s">
        <v>283</v>
      </c>
      <c r="AL93" s="765" t="s">
        <v>283</v>
      </c>
      <c r="AM93" s="765" t="s">
        <v>283</v>
      </c>
      <c r="AN93" s="765" t="s">
        <v>283</v>
      </c>
      <c r="AO93" s="765" t="s">
        <v>283</v>
      </c>
      <c r="AP93" s="765" t="s">
        <v>283</v>
      </c>
      <c r="AQ93" s="765" t="s">
        <v>283</v>
      </c>
      <c r="AR93" s="765" t="s">
        <v>283</v>
      </c>
      <c r="AS93" s="765" t="s">
        <v>283</v>
      </c>
      <c r="AT93" s="765" t="s">
        <v>283</v>
      </c>
    </row>
    <row r="94" spans="1:46" ht="15">
      <c r="A94" s="765" t="s">
        <v>283</v>
      </c>
      <c r="B94" s="769" t="s">
        <v>283</v>
      </c>
      <c r="C94" s="773" t="s">
        <v>514</v>
      </c>
      <c r="D94" s="780">
        <v>105000</v>
      </c>
      <c r="E94" s="780">
        <v>152000</v>
      </c>
      <c r="F94" s="779">
        <v>0</v>
      </c>
      <c r="G94" s="780">
        <v>420000</v>
      </c>
      <c r="H94" s="780">
        <v>87000</v>
      </c>
      <c r="I94" s="780">
        <v>148000</v>
      </c>
      <c r="J94" s="780">
        <v>159200</v>
      </c>
      <c r="K94" s="779">
        <v>1.05</v>
      </c>
      <c r="L94" s="771"/>
      <c r="M94" s="783">
        <v>420000</v>
      </c>
      <c r="N94" s="783">
        <v>105000</v>
      </c>
      <c r="O94" s="783">
        <v>148000</v>
      </c>
      <c r="P94" s="783">
        <v>87000</v>
      </c>
      <c r="Q94" s="773">
        <v>0</v>
      </c>
      <c r="R94" s="773"/>
      <c r="S94" s="773"/>
      <c r="T94" s="773"/>
      <c r="U94" s="773"/>
      <c r="V94" s="772" t="s">
        <v>283</v>
      </c>
      <c r="W94" s="765" t="s">
        <v>283</v>
      </c>
      <c r="X94" s="765" t="s">
        <v>283</v>
      </c>
      <c r="Y94" s="765" t="s">
        <v>283</v>
      </c>
      <c r="Z94" s="765" t="s">
        <v>283</v>
      </c>
      <c r="AA94" s="765" t="s">
        <v>283</v>
      </c>
      <c r="AB94" s="765" t="s">
        <v>283</v>
      </c>
      <c r="AC94" s="765" t="s">
        <v>283</v>
      </c>
      <c r="AD94" s="765" t="s">
        <v>283</v>
      </c>
      <c r="AE94" s="765" t="s">
        <v>283</v>
      </c>
      <c r="AF94" s="765" t="s">
        <v>283</v>
      </c>
      <c r="AG94" s="765" t="s">
        <v>283</v>
      </c>
      <c r="AH94" s="765" t="s">
        <v>283</v>
      </c>
      <c r="AI94" s="765" t="s">
        <v>283</v>
      </c>
      <c r="AJ94" s="765" t="s">
        <v>283</v>
      </c>
      <c r="AK94" s="765" t="s">
        <v>283</v>
      </c>
      <c r="AL94" s="765" t="s">
        <v>283</v>
      </c>
      <c r="AM94" s="765" t="s">
        <v>283</v>
      </c>
      <c r="AN94" s="765" t="s">
        <v>283</v>
      </c>
      <c r="AO94" s="765" t="s">
        <v>283</v>
      </c>
      <c r="AP94" s="765" t="s">
        <v>283</v>
      </c>
      <c r="AQ94" s="765" t="s">
        <v>283</v>
      </c>
      <c r="AR94" s="765" t="s">
        <v>283</v>
      </c>
      <c r="AS94" s="765" t="s">
        <v>283</v>
      </c>
      <c r="AT94" s="765" t="s">
        <v>283</v>
      </c>
    </row>
    <row r="95" spans="1:46" ht="15">
      <c r="A95" s="765" t="s">
        <v>283</v>
      </c>
      <c r="B95" s="769" t="s">
        <v>283</v>
      </c>
      <c r="C95" s="773" t="s">
        <v>515</v>
      </c>
      <c r="D95" s="780">
        <v>5000</v>
      </c>
      <c r="E95" s="780">
        <v>5000</v>
      </c>
      <c r="F95" s="780">
        <v>5000</v>
      </c>
      <c r="G95" s="780">
        <v>5000</v>
      </c>
      <c r="H95" s="780">
        <v>5000</v>
      </c>
      <c r="I95" s="780">
        <v>5000</v>
      </c>
      <c r="J95" s="779" t="s">
        <v>283</v>
      </c>
      <c r="K95" s="779" t="s">
        <v>283</v>
      </c>
      <c r="L95" s="771"/>
      <c r="M95" s="773"/>
      <c r="N95" s="773"/>
      <c r="O95" s="773"/>
      <c r="P95" s="773"/>
      <c r="Q95" s="773"/>
      <c r="R95" s="773"/>
      <c r="S95" s="783">
        <v>5000</v>
      </c>
      <c r="T95" s="773"/>
      <c r="U95" s="773"/>
      <c r="V95" s="772" t="s">
        <v>283</v>
      </c>
      <c r="W95" s="765" t="s">
        <v>283</v>
      </c>
      <c r="X95" s="765" t="s">
        <v>283</v>
      </c>
      <c r="Y95" s="765" t="s">
        <v>283</v>
      </c>
      <c r="Z95" s="765" t="s">
        <v>283</v>
      </c>
      <c r="AA95" s="765" t="s">
        <v>283</v>
      </c>
      <c r="AB95" s="765" t="s">
        <v>283</v>
      </c>
      <c r="AC95" s="765" t="s">
        <v>283</v>
      </c>
      <c r="AD95" s="765" t="s">
        <v>283</v>
      </c>
      <c r="AE95" s="765" t="s">
        <v>283</v>
      </c>
      <c r="AF95" s="765" t="s">
        <v>283</v>
      </c>
      <c r="AG95" s="765" t="s">
        <v>283</v>
      </c>
      <c r="AH95" s="765" t="s">
        <v>283</v>
      </c>
      <c r="AI95" s="765" t="s">
        <v>283</v>
      </c>
      <c r="AJ95" s="765" t="s">
        <v>283</v>
      </c>
      <c r="AK95" s="765" t="s">
        <v>283</v>
      </c>
      <c r="AL95" s="765" t="s">
        <v>283</v>
      </c>
      <c r="AM95" s="765" t="s">
        <v>283</v>
      </c>
      <c r="AN95" s="765" t="s">
        <v>283</v>
      </c>
      <c r="AO95" s="765" t="s">
        <v>283</v>
      </c>
      <c r="AP95" s="765" t="s">
        <v>283</v>
      </c>
      <c r="AQ95" s="765" t="s">
        <v>283</v>
      </c>
      <c r="AR95" s="765" t="s">
        <v>283</v>
      </c>
      <c r="AS95" s="765" t="s">
        <v>283</v>
      </c>
      <c r="AT95" s="765" t="s">
        <v>283</v>
      </c>
    </row>
    <row r="96" spans="1:46" ht="15">
      <c r="A96" s="765" t="s">
        <v>283</v>
      </c>
      <c r="B96" s="769" t="s">
        <v>283</v>
      </c>
      <c r="C96" s="776" t="s">
        <v>516</v>
      </c>
      <c r="D96" s="787">
        <v>96000</v>
      </c>
      <c r="E96" s="787">
        <v>127500</v>
      </c>
      <c r="F96" s="786">
        <v>0</v>
      </c>
      <c r="G96" s="787">
        <v>420000</v>
      </c>
      <c r="H96" s="787">
        <v>25500</v>
      </c>
      <c r="I96" s="787">
        <v>137250</v>
      </c>
      <c r="J96" s="787">
        <v>154522</v>
      </c>
      <c r="K96" s="786">
        <v>1.21</v>
      </c>
      <c r="L96" s="790" t="s">
        <v>283</v>
      </c>
      <c r="M96" s="792">
        <v>420000</v>
      </c>
      <c r="N96" s="792">
        <v>105000</v>
      </c>
      <c r="O96" s="792">
        <v>148000</v>
      </c>
      <c r="P96" s="792">
        <v>87000</v>
      </c>
      <c r="Q96" s="791">
        <v>0</v>
      </c>
      <c r="R96" s="791" t="s">
        <v>283</v>
      </c>
      <c r="S96" s="792">
        <v>5000</v>
      </c>
      <c r="T96" s="791" t="s">
        <v>283</v>
      </c>
      <c r="U96" s="791" t="s">
        <v>283</v>
      </c>
      <c r="V96" s="772" t="s">
        <v>283</v>
      </c>
      <c r="W96" s="765" t="s">
        <v>283</v>
      </c>
      <c r="X96" s="765" t="s">
        <v>283</v>
      </c>
      <c r="Y96" s="765" t="s">
        <v>283</v>
      </c>
      <c r="Z96" s="765" t="s">
        <v>283</v>
      </c>
      <c r="AA96" s="765" t="s">
        <v>283</v>
      </c>
      <c r="AB96" s="765" t="s">
        <v>283</v>
      </c>
      <c r="AC96" s="765" t="s">
        <v>283</v>
      </c>
      <c r="AD96" s="765" t="s">
        <v>283</v>
      </c>
      <c r="AE96" s="765" t="s">
        <v>283</v>
      </c>
      <c r="AF96" s="765" t="s">
        <v>283</v>
      </c>
      <c r="AG96" s="765" t="s">
        <v>283</v>
      </c>
      <c r="AH96" s="765" t="s">
        <v>283</v>
      </c>
      <c r="AI96" s="765" t="s">
        <v>283</v>
      </c>
      <c r="AJ96" s="765" t="s">
        <v>283</v>
      </c>
      <c r="AK96" s="765" t="s">
        <v>283</v>
      </c>
      <c r="AL96" s="765" t="s">
        <v>283</v>
      </c>
      <c r="AM96" s="765" t="s">
        <v>283</v>
      </c>
      <c r="AN96" s="765" t="s">
        <v>283</v>
      </c>
      <c r="AO96" s="765" t="s">
        <v>283</v>
      </c>
      <c r="AP96" s="765" t="s">
        <v>283</v>
      </c>
      <c r="AQ96" s="765" t="s">
        <v>283</v>
      </c>
      <c r="AR96" s="765" t="s">
        <v>283</v>
      </c>
      <c r="AS96" s="765" t="s">
        <v>283</v>
      </c>
      <c r="AT96" s="765" t="s">
        <v>283</v>
      </c>
    </row>
    <row r="97" spans="1:46" ht="15">
      <c r="A97" s="765" t="s">
        <v>283</v>
      </c>
      <c r="B97" s="769" t="s">
        <v>283</v>
      </c>
      <c r="C97" s="773" t="s">
        <v>517</v>
      </c>
      <c r="D97" s="774" t="s">
        <v>283</v>
      </c>
      <c r="E97" s="774" t="s">
        <v>283</v>
      </c>
      <c r="F97" s="774" t="s">
        <v>283</v>
      </c>
      <c r="G97" s="774" t="s">
        <v>283</v>
      </c>
      <c r="H97" s="774" t="s">
        <v>283</v>
      </c>
      <c r="I97" s="774" t="s">
        <v>283</v>
      </c>
      <c r="J97" s="774" t="s">
        <v>283</v>
      </c>
      <c r="K97" s="774" t="s">
        <v>283</v>
      </c>
      <c r="L97" s="771"/>
      <c r="M97" s="771"/>
      <c r="N97" s="771"/>
      <c r="O97" s="771"/>
      <c r="P97" s="771"/>
      <c r="Q97" s="771"/>
      <c r="R97" s="771"/>
      <c r="S97" s="771"/>
      <c r="T97" s="771"/>
      <c r="U97" s="771"/>
      <c r="V97" s="772" t="s">
        <v>283</v>
      </c>
      <c r="W97" s="765" t="s">
        <v>283</v>
      </c>
      <c r="X97" s="765" t="s">
        <v>283</v>
      </c>
      <c r="Y97" s="765" t="s">
        <v>283</v>
      </c>
      <c r="Z97" s="765" t="s">
        <v>283</v>
      </c>
      <c r="AA97" s="765" t="s">
        <v>283</v>
      </c>
      <c r="AB97" s="765" t="s">
        <v>283</v>
      </c>
      <c r="AC97" s="765" t="s">
        <v>283</v>
      </c>
      <c r="AD97" s="765" t="s">
        <v>283</v>
      </c>
      <c r="AE97" s="765" t="s">
        <v>283</v>
      </c>
      <c r="AF97" s="765" t="s">
        <v>283</v>
      </c>
      <c r="AG97" s="765" t="s">
        <v>283</v>
      </c>
      <c r="AH97" s="765" t="s">
        <v>283</v>
      </c>
      <c r="AI97" s="765" t="s">
        <v>283</v>
      </c>
      <c r="AJ97" s="765" t="s">
        <v>283</v>
      </c>
      <c r="AK97" s="765" t="s">
        <v>283</v>
      </c>
      <c r="AL97" s="765" t="s">
        <v>283</v>
      </c>
      <c r="AM97" s="765" t="s">
        <v>283</v>
      </c>
      <c r="AN97" s="765" t="s">
        <v>283</v>
      </c>
      <c r="AO97" s="765" t="s">
        <v>283</v>
      </c>
      <c r="AP97" s="765" t="s">
        <v>283</v>
      </c>
      <c r="AQ97" s="765" t="s">
        <v>283</v>
      </c>
      <c r="AR97" s="765" t="s">
        <v>283</v>
      </c>
      <c r="AS97" s="765" t="s">
        <v>283</v>
      </c>
      <c r="AT97" s="765" t="s">
        <v>283</v>
      </c>
    </row>
    <row r="98" spans="1:46" ht="15">
      <c r="A98" s="765" t="s">
        <v>283</v>
      </c>
      <c r="B98" s="769" t="s">
        <v>283</v>
      </c>
      <c r="C98" s="773" t="s">
        <v>518</v>
      </c>
      <c r="D98" s="780">
        <v>1000</v>
      </c>
      <c r="E98" s="780">
        <v>1000</v>
      </c>
      <c r="F98" s="779">
        <v>0</v>
      </c>
      <c r="G98" s="780">
        <v>2000</v>
      </c>
      <c r="H98" s="779">
        <v>500</v>
      </c>
      <c r="I98" s="780">
        <v>1500</v>
      </c>
      <c r="J98" s="780">
        <v>1414</v>
      </c>
      <c r="K98" s="779">
        <v>1.41</v>
      </c>
      <c r="L98" s="771"/>
      <c r="M98" s="783">
        <v>2000</v>
      </c>
      <c r="N98" s="773">
        <v>0</v>
      </c>
      <c r="O98" s="773"/>
      <c r="P98" s="773"/>
      <c r="Q98" s="773"/>
      <c r="R98" s="773"/>
      <c r="S98" s="773"/>
      <c r="T98" s="773"/>
      <c r="U98" s="773"/>
      <c r="V98" s="772" t="s">
        <v>283</v>
      </c>
      <c r="W98" s="765" t="s">
        <v>283</v>
      </c>
      <c r="X98" s="765" t="s">
        <v>283</v>
      </c>
      <c r="Y98" s="765" t="s">
        <v>283</v>
      </c>
      <c r="Z98" s="765" t="s">
        <v>283</v>
      </c>
      <c r="AA98" s="765" t="s">
        <v>283</v>
      </c>
      <c r="AB98" s="765" t="s">
        <v>283</v>
      </c>
      <c r="AC98" s="765" t="s">
        <v>283</v>
      </c>
      <c r="AD98" s="765" t="s">
        <v>283</v>
      </c>
      <c r="AE98" s="765" t="s">
        <v>283</v>
      </c>
      <c r="AF98" s="765" t="s">
        <v>283</v>
      </c>
      <c r="AG98" s="765" t="s">
        <v>283</v>
      </c>
      <c r="AH98" s="765" t="s">
        <v>283</v>
      </c>
      <c r="AI98" s="765" t="s">
        <v>283</v>
      </c>
      <c r="AJ98" s="765" t="s">
        <v>283</v>
      </c>
      <c r="AK98" s="765" t="s">
        <v>283</v>
      </c>
      <c r="AL98" s="765" t="s">
        <v>283</v>
      </c>
      <c r="AM98" s="765" t="s">
        <v>283</v>
      </c>
      <c r="AN98" s="765" t="s">
        <v>283</v>
      </c>
      <c r="AO98" s="765" t="s">
        <v>283</v>
      </c>
      <c r="AP98" s="765" t="s">
        <v>283</v>
      </c>
      <c r="AQ98" s="765" t="s">
        <v>283</v>
      </c>
      <c r="AR98" s="765" t="s">
        <v>283</v>
      </c>
      <c r="AS98" s="765" t="s">
        <v>283</v>
      </c>
      <c r="AT98" s="765" t="s">
        <v>283</v>
      </c>
    </row>
    <row r="99" spans="1:46" ht="15">
      <c r="A99" s="765" t="s">
        <v>283</v>
      </c>
      <c r="B99" s="769" t="s">
        <v>283</v>
      </c>
      <c r="C99" s="773" t="s">
        <v>519</v>
      </c>
      <c r="D99" s="780">
        <v>123000</v>
      </c>
      <c r="E99" s="780">
        <v>109667</v>
      </c>
      <c r="F99" s="780">
        <v>4000</v>
      </c>
      <c r="G99" s="780">
        <v>176000</v>
      </c>
      <c r="H99" s="780">
        <v>106250</v>
      </c>
      <c r="I99" s="780">
        <v>129250</v>
      </c>
      <c r="J99" s="780">
        <v>57316</v>
      </c>
      <c r="K99" s="779">
        <v>0.52</v>
      </c>
      <c r="L99" s="771"/>
      <c r="M99" s="783">
        <v>176000</v>
      </c>
      <c r="N99" s="783">
        <v>119000</v>
      </c>
      <c r="O99" s="783">
        <v>102000</v>
      </c>
      <c r="P99" s="783">
        <v>130000</v>
      </c>
      <c r="Q99" s="783">
        <v>127000</v>
      </c>
      <c r="R99" s="783">
        <v>4000</v>
      </c>
      <c r="S99" s="773"/>
      <c r="T99" s="773"/>
      <c r="U99" s="773"/>
      <c r="V99" s="772" t="s">
        <v>283</v>
      </c>
      <c r="W99" s="765" t="s">
        <v>283</v>
      </c>
      <c r="X99" s="765" t="s">
        <v>283</v>
      </c>
      <c r="Y99" s="765" t="s">
        <v>283</v>
      </c>
      <c r="Z99" s="765" t="s">
        <v>283</v>
      </c>
      <c r="AA99" s="765" t="s">
        <v>283</v>
      </c>
      <c r="AB99" s="765" t="s">
        <v>283</v>
      </c>
      <c r="AC99" s="765" t="s">
        <v>283</v>
      </c>
      <c r="AD99" s="765" t="s">
        <v>283</v>
      </c>
      <c r="AE99" s="765" t="s">
        <v>283</v>
      </c>
      <c r="AF99" s="765" t="s">
        <v>283</v>
      </c>
      <c r="AG99" s="765" t="s">
        <v>283</v>
      </c>
      <c r="AH99" s="765" t="s">
        <v>283</v>
      </c>
      <c r="AI99" s="765" t="s">
        <v>283</v>
      </c>
      <c r="AJ99" s="765" t="s">
        <v>283</v>
      </c>
      <c r="AK99" s="765" t="s">
        <v>283</v>
      </c>
      <c r="AL99" s="765" t="s">
        <v>283</v>
      </c>
      <c r="AM99" s="765" t="s">
        <v>283</v>
      </c>
      <c r="AN99" s="765" t="s">
        <v>283</v>
      </c>
      <c r="AO99" s="765" t="s">
        <v>283</v>
      </c>
      <c r="AP99" s="765" t="s">
        <v>283</v>
      </c>
      <c r="AQ99" s="765" t="s">
        <v>283</v>
      </c>
      <c r="AR99" s="765" t="s">
        <v>283</v>
      </c>
      <c r="AS99" s="765" t="s">
        <v>283</v>
      </c>
      <c r="AT99" s="765" t="s">
        <v>283</v>
      </c>
    </row>
    <row r="100" spans="1:46" ht="15">
      <c r="A100" s="765" t="s">
        <v>283</v>
      </c>
      <c r="B100" s="769" t="s">
        <v>283</v>
      </c>
      <c r="C100" s="776" t="s">
        <v>520</v>
      </c>
      <c r="D100" s="787">
        <v>123000</v>
      </c>
      <c r="E100" s="787">
        <v>110000</v>
      </c>
      <c r="F100" s="787">
        <v>4000</v>
      </c>
      <c r="G100" s="787">
        <v>178000</v>
      </c>
      <c r="H100" s="787">
        <v>106250</v>
      </c>
      <c r="I100" s="787">
        <v>129250</v>
      </c>
      <c r="J100" s="787">
        <v>57782</v>
      </c>
      <c r="K100" s="786">
        <v>0.53</v>
      </c>
      <c r="L100" s="790" t="s">
        <v>283</v>
      </c>
      <c r="M100" s="792">
        <v>178000</v>
      </c>
      <c r="N100" s="792">
        <v>119000</v>
      </c>
      <c r="O100" s="792">
        <v>102000</v>
      </c>
      <c r="P100" s="792">
        <v>130000</v>
      </c>
      <c r="Q100" s="792">
        <v>127000</v>
      </c>
      <c r="R100" s="792">
        <v>4000</v>
      </c>
      <c r="S100" s="791" t="s">
        <v>283</v>
      </c>
      <c r="T100" s="791" t="s">
        <v>283</v>
      </c>
      <c r="U100" s="791" t="s">
        <v>283</v>
      </c>
      <c r="V100" s="772" t="s">
        <v>283</v>
      </c>
      <c r="W100" s="765" t="s">
        <v>283</v>
      </c>
      <c r="X100" s="765" t="s">
        <v>283</v>
      </c>
      <c r="Y100" s="765" t="s">
        <v>283</v>
      </c>
      <c r="Z100" s="765" t="s">
        <v>283</v>
      </c>
      <c r="AA100" s="765" t="s">
        <v>283</v>
      </c>
      <c r="AB100" s="765" t="s">
        <v>283</v>
      </c>
      <c r="AC100" s="765" t="s">
        <v>283</v>
      </c>
      <c r="AD100" s="765" t="s">
        <v>283</v>
      </c>
      <c r="AE100" s="765" t="s">
        <v>283</v>
      </c>
      <c r="AF100" s="765" t="s">
        <v>283</v>
      </c>
      <c r="AG100" s="765" t="s">
        <v>283</v>
      </c>
      <c r="AH100" s="765" t="s">
        <v>283</v>
      </c>
      <c r="AI100" s="765" t="s">
        <v>283</v>
      </c>
      <c r="AJ100" s="765" t="s">
        <v>283</v>
      </c>
      <c r="AK100" s="765" t="s">
        <v>283</v>
      </c>
      <c r="AL100" s="765" t="s">
        <v>283</v>
      </c>
      <c r="AM100" s="765" t="s">
        <v>283</v>
      </c>
      <c r="AN100" s="765" t="s">
        <v>283</v>
      </c>
      <c r="AO100" s="765" t="s">
        <v>283</v>
      </c>
      <c r="AP100" s="765" t="s">
        <v>283</v>
      </c>
      <c r="AQ100" s="765" t="s">
        <v>283</v>
      </c>
      <c r="AR100" s="765" t="s">
        <v>283</v>
      </c>
      <c r="AS100" s="765" t="s">
        <v>283</v>
      </c>
      <c r="AT100" s="765" t="s">
        <v>283</v>
      </c>
    </row>
    <row r="101" spans="1:46" ht="15">
      <c r="A101" s="765" t="s">
        <v>283</v>
      </c>
      <c r="B101" s="769" t="s">
        <v>283</v>
      </c>
      <c r="C101" s="773" t="s">
        <v>521</v>
      </c>
      <c r="D101" s="780">
        <v>38000</v>
      </c>
      <c r="E101" s="780">
        <v>38833</v>
      </c>
      <c r="F101" s="779">
        <v>0</v>
      </c>
      <c r="G101" s="780">
        <v>85000</v>
      </c>
      <c r="H101" s="780">
        <v>8750</v>
      </c>
      <c r="I101" s="780">
        <v>64250</v>
      </c>
      <c r="J101" s="780">
        <v>35290</v>
      </c>
      <c r="K101" s="779">
        <v>0.91</v>
      </c>
      <c r="L101" s="771"/>
      <c r="M101" s="783">
        <v>85000</v>
      </c>
      <c r="N101" s="783">
        <v>67000</v>
      </c>
      <c r="O101" s="783">
        <v>56000</v>
      </c>
      <c r="P101" s="783">
        <v>20000</v>
      </c>
      <c r="Q101" s="783">
        <v>5000</v>
      </c>
      <c r="R101" s="773">
        <v>0</v>
      </c>
      <c r="S101" s="773"/>
      <c r="T101" s="773"/>
      <c r="U101" s="773"/>
      <c r="V101" s="772" t="s">
        <v>283</v>
      </c>
      <c r="W101" s="765" t="s">
        <v>283</v>
      </c>
      <c r="X101" s="765" t="s">
        <v>283</v>
      </c>
      <c r="Y101" s="765" t="s">
        <v>283</v>
      </c>
      <c r="Z101" s="765" t="s">
        <v>283</v>
      </c>
      <c r="AA101" s="765" t="s">
        <v>283</v>
      </c>
      <c r="AB101" s="765" t="s">
        <v>283</v>
      </c>
      <c r="AC101" s="765" t="s">
        <v>283</v>
      </c>
      <c r="AD101" s="765" t="s">
        <v>283</v>
      </c>
      <c r="AE101" s="765" t="s">
        <v>283</v>
      </c>
      <c r="AF101" s="765" t="s">
        <v>283</v>
      </c>
      <c r="AG101" s="765" t="s">
        <v>283</v>
      </c>
      <c r="AH101" s="765" t="s">
        <v>283</v>
      </c>
      <c r="AI101" s="765" t="s">
        <v>283</v>
      </c>
      <c r="AJ101" s="765" t="s">
        <v>283</v>
      </c>
      <c r="AK101" s="765" t="s">
        <v>283</v>
      </c>
      <c r="AL101" s="765" t="s">
        <v>283</v>
      </c>
      <c r="AM101" s="765" t="s">
        <v>283</v>
      </c>
      <c r="AN101" s="765" t="s">
        <v>283</v>
      </c>
      <c r="AO101" s="765" t="s">
        <v>283</v>
      </c>
      <c r="AP101" s="765" t="s">
        <v>283</v>
      </c>
      <c r="AQ101" s="765" t="s">
        <v>283</v>
      </c>
      <c r="AR101" s="765" t="s">
        <v>283</v>
      </c>
      <c r="AS101" s="765" t="s">
        <v>283</v>
      </c>
      <c r="AT101" s="765" t="s">
        <v>283</v>
      </c>
    </row>
    <row r="102" spans="1:46" ht="15">
      <c r="A102" s="765" t="s">
        <v>283</v>
      </c>
      <c r="B102" s="769" t="s">
        <v>283</v>
      </c>
      <c r="C102" s="776" t="s">
        <v>522</v>
      </c>
      <c r="D102" s="787">
        <v>2729000</v>
      </c>
      <c r="E102" s="787">
        <v>2744571</v>
      </c>
      <c r="F102" s="787">
        <v>1687000</v>
      </c>
      <c r="G102" s="787">
        <v>3903000</v>
      </c>
      <c r="H102" s="787">
        <v>2193500</v>
      </c>
      <c r="I102" s="787">
        <v>3253000</v>
      </c>
      <c r="J102" s="787">
        <v>804309</v>
      </c>
      <c r="K102" s="786">
        <v>0.28999999999999998</v>
      </c>
      <c r="L102" s="790" t="s">
        <v>283</v>
      </c>
      <c r="M102" s="792">
        <v>3903000</v>
      </c>
      <c r="N102" s="792">
        <v>2729000</v>
      </c>
      <c r="O102" s="792">
        <v>3024000</v>
      </c>
      <c r="P102" s="792">
        <v>3482000</v>
      </c>
      <c r="Q102" s="792">
        <v>2503000</v>
      </c>
      <c r="R102" s="792">
        <v>1687000</v>
      </c>
      <c r="S102" s="792">
        <v>1884000</v>
      </c>
      <c r="T102" s="791" t="s">
        <v>283</v>
      </c>
      <c r="U102" s="791" t="s">
        <v>283</v>
      </c>
      <c r="V102" s="772" t="s">
        <v>283</v>
      </c>
      <c r="W102" s="765" t="s">
        <v>283</v>
      </c>
      <c r="X102" s="765" t="s">
        <v>283</v>
      </c>
      <c r="Y102" s="765" t="s">
        <v>283</v>
      </c>
      <c r="Z102" s="765" t="s">
        <v>283</v>
      </c>
      <c r="AA102" s="765" t="s">
        <v>283</v>
      </c>
      <c r="AB102" s="765" t="s">
        <v>283</v>
      </c>
      <c r="AC102" s="765" t="s">
        <v>283</v>
      </c>
      <c r="AD102" s="765" t="s">
        <v>283</v>
      </c>
      <c r="AE102" s="765" t="s">
        <v>283</v>
      </c>
      <c r="AF102" s="765" t="s">
        <v>283</v>
      </c>
      <c r="AG102" s="765" t="s">
        <v>283</v>
      </c>
      <c r="AH102" s="765" t="s">
        <v>283</v>
      </c>
      <c r="AI102" s="765" t="s">
        <v>283</v>
      </c>
      <c r="AJ102" s="765" t="s">
        <v>283</v>
      </c>
      <c r="AK102" s="765" t="s">
        <v>283</v>
      </c>
      <c r="AL102" s="765" t="s">
        <v>283</v>
      </c>
      <c r="AM102" s="765" t="s">
        <v>283</v>
      </c>
      <c r="AN102" s="765" t="s">
        <v>283</v>
      </c>
      <c r="AO102" s="765" t="s">
        <v>283</v>
      </c>
      <c r="AP102" s="765" t="s">
        <v>283</v>
      </c>
      <c r="AQ102" s="765" t="s">
        <v>283</v>
      </c>
      <c r="AR102" s="765" t="s">
        <v>283</v>
      </c>
      <c r="AS102" s="765" t="s">
        <v>283</v>
      </c>
      <c r="AT102" s="765" t="s">
        <v>283</v>
      </c>
    </row>
    <row r="103" spans="1:46" ht="15">
      <c r="A103" s="765" t="s">
        <v>283</v>
      </c>
      <c r="B103" s="769" t="s">
        <v>283</v>
      </c>
      <c r="C103" s="776" t="s">
        <v>49</v>
      </c>
      <c r="D103" s="787">
        <v>8792000</v>
      </c>
      <c r="E103" s="787">
        <v>6833917</v>
      </c>
      <c r="F103" s="787">
        <v>60370</v>
      </c>
      <c r="G103" s="787">
        <v>11983000</v>
      </c>
      <c r="H103" s="787">
        <v>5024000</v>
      </c>
      <c r="I103" s="787">
        <v>9295000</v>
      </c>
      <c r="J103" s="787">
        <v>4347090</v>
      </c>
      <c r="K103" s="786">
        <v>0.64</v>
      </c>
      <c r="L103" s="790" t="s">
        <v>283</v>
      </c>
      <c r="M103" s="792">
        <v>11983000</v>
      </c>
      <c r="N103" s="792">
        <v>9295000</v>
      </c>
      <c r="O103" s="792">
        <v>8792000</v>
      </c>
      <c r="P103" s="792">
        <v>9170000</v>
      </c>
      <c r="Q103" s="792">
        <v>11178000</v>
      </c>
      <c r="R103" s="792">
        <v>5442000</v>
      </c>
      <c r="S103" s="792">
        <v>5024000</v>
      </c>
      <c r="T103" s="792">
        <v>560881</v>
      </c>
      <c r="U103" s="792">
        <v>60370</v>
      </c>
      <c r="V103" s="772" t="s">
        <v>283</v>
      </c>
      <c r="W103" s="765" t="s">
        <v>283</v>
      </c>
      <c r="X103" s="765" t="s">
        <v>283</v>
      </c>
      <c r="Y103" s="765" t="s">
        <v>283</v>
      </c>
      <c r="Z103" s="765" t="s">
        <v>283</v>
      </c>
      <c r="AA103" s="765" t="s">
        <v>283</v>
      </c>
      <c r="AB103" s="765" t="s">
        <v>283</v>
      </c>
      <c r="AC103" s="765" t="s">
        <v>283</v>
      </c>
      <c r="AD103" s="765" t="s">
        <v>283</v>
      </c>
      <c r="AE103" s="765" t="s">
        <v>283</v>
      </c>
      <c r="AF103" s="765" t="s">
        <v>283</v>
      </c>
      <c r="AG103" s="765" t="s">
        <v>283</v>
      </c>
      <c r="AH103" s="765" t="s">
        <v>283</v>
      </c>
      <c r="AI103" s="765" t="s">
        <v>283</v>
      </c>
      <c r="AJ103" s="765" t="s">
        <v>283</v>
      </c>
      <c r="AK103" s="765" t="s">
        <v>283</v>
      </c>
      <c r="AL103" s="765" t="s">
        <v>283</v>
      </c>
      <c r="AM103" s="765" t="s">
        <v>283</v>
      </c>
      <c r="AN103" s="765" t="s">
        <v>283</v>
      </c>
      <c r="AO103" s="765" t="s">
        <v>283</v>
      </c>
      <c r="AP103" s="765" t="s">
        <v>283</v>
      </c>
      <c r="AQ103" s="765" t="s">
        <v>283</v>
      </c>
      <c r="AR103" s="765" t="s">
        <v>283</v>
      </c>
      <c r="AS103" s="765" t="s">
        <v>283</v>
      </c>
      <c r="AT103" s="765" t="s">
        <v>283</v>
      </c>
    </row>
    <row r="104" spans="1:46" ht="15">
      <c r="A104" s="765" t="s">
        <v>283</v>
      </c>
      <c r="B104" s="769" t="s">
        <v>283</v>
      </c>
      <c r="C104" s="778" t="s">
        <v>523</v>
      </c>
      <c r="D104" s="774" t="s">
        <v>283</v>
      </c>
      <c r="E104" s="774" t="s">
        <v>283</v>
      </c>
      <c r="F104" s="774" t="s">
        <v>283</v>
      </c>
      <c r="G104" s="774" t="s">
        <v>283</v>
      </c>
      <c r="H104" s="774" t="s">
        <v>283</v>
      </c>
      <c r="I104" s="774" t="s">
        <v>283</v>
      </c>
      <c r="J104" s="774" t="s">
        <v>283</v>
      </c>
      <c r="K104" s="774" t="s">
        <v>283</v>
      </c>
      <c r="L104" s="774" t="s">
        <v>283</v>
      </c>
      <c r="M104" s="774" t="s">
        <v>283</v>
      </c>
      <c r="N104" s="774" t="s">
        <v>283</v>
      </c>
      <c r="O104" s="774" t="s">
        <v>283</v>
      </c>
      <c r="P104" s="774" t="s">
        <v>283</v>
      </c>
      <c r="Q104" s="774" t="s">
        <v>283</v>
      </c>
      <c r="R104" s="774" t="s">
        <v>283</v>
      </c>
      <c r="S104" s="774" t="s">
        <v>283</v>
      </c>
      <c r="T104" s="774" t="s">
        <v>283</v>
      </c>
      <c r="U104" s="774" t="s">
        <v>283</v>
      </c>
      <c r="V104" s="772" t="s">
        <v>283</v>
      </c>
      <c r="W104" s="765" t="s">
        <v>283</v>
      </c>
      <c r="X104" s="765" t="s">
        <v>283</v>
      </c>
      <c r="Y104" s="765" t="s">
        <v>283</v>
      </c>
      <c r="Z104" s="765" t="s">
        <v>283</v>
      </c>
      <c r="AA104" s="765" t="s">
        <v>283</v>
      </c>
      <c r="AB104" s="765" t="s">
        <v>283</v>
      </c>
      <c r="AC104" s="765" t="s">
        <v>283</v>
      </c>
      <c r="AD104" s="765" t="s">
        <v>283</v>
      </c>
      <c r="AE104" s="765" t="s">
        <v>283</v>
      </c>
      <c r="AF104" s="765" t="s">
        <v>283</v>
      </c>
      <c r="AG104" s="765" t="s">
        <v>283</v>
      </c>
      <c r="AH104" s="765" t="s">
        <v>283</v>
      </c>
      <c r="AI104" s="765" t="s">
        <v>283</v>
      </c>
      <c r="AJ104" s="765" t="s">
        <v>283</v>
      </c>
      <c r="AK104" s="765" t="s">
        <v>283</v>
      </c>
      <c r="AL104" s="765" t="s">
        <v>283</v>
      </c>
      <c r="AM104" s="765" t="s">
        <v>283</v>
      </c>
      <c r="AN104" s="765" t="s">
        <v>283</v>
      </c>
      <c r="AO104" s="765" t="s">
        <v>283</v>
      </c>
      <c r="AP104" s="765" t="s">
        <v>283</v>
      </c>
      <c r="AQ104" s="765" t="s">
        <v>283</v>
      </c>
      <c r="AR104" s="765" t="s">
        <v>283</v>
      </c>
      <c r="AS104" s="765" t="s">
        <v>283</v>
      </c>
      <c r="AT104" s="765" t="s">
        <v>283</v>
      </c>
    </row>
    <row r="105" spans="1:46" ht="15">
      <c r="A105" s="765" t="s">
        <v>283</v>
      </c>
      <c r="B105" s="769" t="s">
        <v>283</v>
      </c>
      <c r="C105" s="773" t="s">
        <v>524</v>
      </c>
      <c r="D105" s="774" t="s">
        <v>283</v>
      </c>
      <c r="E105" s="774" t="s">
        <v>283</v>
      </c>
      <c r="F105" s="774" t="s">
        <v>283</v>
      </c>
      <c r="G105" s="774" t="s">
        <v>283</v>
      </c>
      <c r="H105" s="774" t="s">
        <v>283</v>
      </c>
      <c r="I105" s="774" t="s">
        <v>283</v>
      </c>
      <c r="J105" s="774" t="s">
        <v>283</v>
      </c>
      <c r="K105" s="774" t="s">
        <v>283</v>
      </c>
      <c r="L105" s="771"/>
      <c r="M105" s="888">
        <f t="shared" ref="M105:P105" si="0">M103-M102</f>
        <v>8080000</v>
      </c>
      <c r="N105" s="888">
        <f t="shared" si="0"/>
        <v>6566000</v>
      </c>
      <c r="O105" s="888">
        <f t="shared" si="0"/>
        <v>5768000</v>
      </c>
      <c r="P105" s="888">
        <f t="shared" si="0"/>
        <v>5688000</v>
      </c>
      <c r="Q105" s="888">
        <f>Q103-Q102</f>
        <v>8675000</v>
      </c>
      <c r="R105" s="771"/>
      <c r="S105" s="771"/>
      <c r="T105" s="771"/>
      <c r="U105" s="771"/>
      <c r="V105" s="772" t="s">
        <v>283</v>
      </c>
      <c r="W105" s="765" t="s">
        <v>283</v>
      </c>
      <c r="X105" s="765" t="s">
        <v>283</v>
      </c>
      <c r="Y105" s="765" t="s">
        <v>283</v>
      </c>
      <c r="Z105" s="765" t="s">
        <v>283</v>
      </c>
      <c r="AA105" s="765" t="s">
        <v>283</v>
      </c>
      <c r="AB105" s="765" t="s">
        <v>283</v>
      </c>
      <c r="AC105" s="765" t="s">
        <v>283</v>
      </c>
      <c r="AD105" s="765" t="s">
        <v>283</v>
      </c>
      <c r="AE105" s="765" t="s">
        <v>283</v>
      </c>
      <c r="AF105" s="765" t="s">
        <v>283</v>
      </c>
      <c r="AG105" s="765" t="s">
        <v>283</v>
      </c>
      <c r="AH105" s="765" t="s">
        <v>283</v>
      </c>
      <c r="AI105" s="765" t="s">
        <v>283</v>
      </c>
      <c r="AJ105" s="765" t="s">
        <v>283</v>
      </c>
      <c r="AK105" s="765" t="s">
        <v>283</v>
      </c>
      <c r="AL105" s="765" t="s">
        <v>283</v>
      </c>
      <c r="AM105" s="765" t="s">
        <v>283</v>
      </c>
      <c r="AN105" s="765" t="s">
        <v>283</v>
      </c>
      <c r="AO105" s="765" t="s">
        <v>283</v>
      </c>
      <c r="AP105" s="765" t="s">
        <v>283</v>
      </c>
      <c r="AQ105" s="765" t="s">
        <v>283</v>
      </c>
      <c r="AR105" s="765" t="s">
        <v>283</v>
      </c>
      <c r="AS105" s="765" t="s">
        <v>283</v>
      </c>
      <c r="AT105" s="765" t="s">
        <v>283</v>
      </c>
    </row>
    <row r="106" spans="1:46" ht="15">
      <c r="A106" s="765" t="s">
        <v>283</v>
      </c>
      <c r="B106" s="769" t="s">
        <v>283</v>
      </c>
      <c r="C106" s="773" t="s">
        <v>525</v>
      </c>
      <c r="D106" s="774" t="s">
        <v>283</v>
      </c>
      <c r="E106" s="774" t="s">
        <v>283</v>
      </c>
      <c r="F106" s="774" t="s">
        <v>283</v>
      </c>
      <c r="G106" s="774" t="s">
        <v>283</v>
      </c>
      <c r="H106" s="774" t="s">
        <v>283</v>
      </c>
      <c r="I106" s="774" t="s">
        <v>283</v>
      </c>
      <c r="J106" s="774" t="s">
        <v>283</v>
      </c>
      <c r="K106" s="774" t="s">
        <v>283</v>
      </c>
      <c r="L106" s="771"/>
      <c r="M106" s="771"/>
      <c r="N106" s="771"/>
      <c r="O106" s="771"/>
      <c r="P106" s="771"/>
      <c r="Q106" s="771"/>
      <c r="R106" s="771"/>
      <c r="S106" s="771"/>
      <c r="T106" s="771"/>
      <c r="U106" s="771"/>
      <c r="V106" s="772" t="s">
        <v>283</v>
      </c>
      <c r="W106" s="765" t="s">
        <v>283</v>
      </c>
      <c r="X106" s="765" t="s">
        <v>283</v>
      </c>
      <c r="Y106" s="765" t="s">
        <v>283</v>
      </c>
      <c r="Z106" s="765" t="s">
        <v>283</v>
      </c>
      <c r="AA106" s="765" t="s">
        <v>283</v>
      </c>
      <c r="AB106" s="765" t="s">
        <v>283</v>
      </c>
      <c r="AC106" s="765" t="s">
        <v>283</v>
      </c>
      <c r="AD106" s="765" t="s">
        <v>283</v>
      </c>
      <c r="AE106" s="765" t="s">
        <v>283</v>
      </c>
      <c r="AF106" s="765" t="s">
        <v>283</v>
      </c>
      <c r="AG106" s="765" t="s">
        <v>283</v>
      </c>
      <c r="AH106" s="765" t="s">
        <v>283</v>
      </c>
      <c r="AI106" s="765" t="s">
        <v>283</v>
      </c>
      <c r="AJ106" s="765" t="s">
        <v>283</v>
      </c>
      <c r="AK106" s="765" t="s">
        <v>283</v>
      </c>
      <c r="AL106" s="765" t="s">
        <v>283</v>
      </c>
      <c r="AM106" s="765" t="s">
        <v>283</v>
      </c>
      <c r="AN106" s="765" t="s">
        <v>283</v>
      </c>
      <c r="AO106" s="765" t="s">
        <v>283</v>
      </c>
      <c r="AP106" s="765" t="s">
        <v>283</v>
      </c>
      <c r="AQ106" s="765" t="s">
        <v>283</v>
      </c>
      <c r="AR106" s="765" t="s">
        <v>283</v>
      </c>
      <c r="AS106" s="765" t="s">
        <v>283</v>
      </c>
      <c r="AT106" s="765" t="s">
        <v>283</v>
      </c>
    </row>
    <row r="107" spans="1:46" ht="15">
      <c r="A107" s="765" t="s">
        <v>283</v>
      </c>
      <c r="B107" s="769" t="s">
        <v>283</v>
      </c>
      <c r="C107" s="773" t="s">
        <v>526</v>
      </c>
      <c r="D107" s="774" t="s">
        <v>283</v>
      </c>
      <c r="E107" s="774" t="s">
        <v>283</v>
      </c>
      <c r="F107" s="774" t="s">
        <v>283</v>
      </c>
      <c r="G107" s="774" t="s">
        <v>283</v>
      </c>
      <c r="H107" s="774" t="s">
        <v>283</v>
      </c>
      <c r="I107" s="774" t="s">
        <v>283</v>
      </c>
      <c r="J107" s="774" t="s">
        <v>283</v>
      </c>
      <c r="K107" s="774" t="s">
        <v>283</v>
      </c>
      <c r="L107" s="771"/>
      <c r="M107" s="771"/>
      <c r="N107" s="771"/>
      <c r="O107" s="771"/>
      <c r="P107" s="771"/>
      <c r="Q107" s="771"/>
      <c r="R107" s="771"/>
      <c r="S107" s="771"/>
      <c r="T107" s="771"/>
      <c r="U107" s="771"/>
      <c r="V107" s="772" t="s">
        <v>283</v>
      </c>
      <c r="W107" s="765" t="s">
        <v>283</v>
      </c>
      <c r="X107" s="765" t="s">
        <v>283</v>
      </c>
      <c r="Y107" s="765" t="s">
        <v>283</v>
      </c>
      <c r="Z107" s="765" t="s">
        <v>283</v>
      </c>
      <c r="AA107" s="765" t="s">
        <v>283</v>
      </c>
      <c r="AB107" s="765" t="s">
        <v>283</v>
      </c>
      <c r="AC107" s="765" t="s">
        <v>283</v>
      </c>
      <c r="AD107" s="765" t="s">
        <v>283</v>
      </c>
      <c r="AE107" s="765" t="s">
        <v>283</v>
      </c>
      <c r="AF107" s="765" t="s">
        <v>283</v>
      </c>
      <c r="AG107" s="765" t="s">
        <v>283</v>
      </c>
      <c r="AH107" s="765" t="s">
        <v>283</v>
      </c>
      <c r="AI107" s="765" t="s">
        <v>283</v>
      </c>
      <c r="AJ107" s="765" t="s">
        <v>283</v>
      </c>
      <c r="AK107" s="765" t="s">
        <v>283</v>
      </c>
      <c r="AL107" s="765" t="s">
        <v>283</v>
      </c>
      <c r="AM107" s="765" t="s">
        <v>283</v>
      </c>
      <c r="AN107" s="765" t="s">
        <v>283</v>
      </c>
      <c r="AO107" s="765" t="s">
        <v>283</v>
      </c>
      <c r="AP107" s="765" t="s">
        <v>283</v>
      </c>
      <c r="AQ107" s="765" t="s">
        <v>283</v>
      </c>
      <c r="AR107" s="765" t="s">
        <v>283</v>
      </c>
      <c r="AS107" s="765" t="s">
        <v>283</v>
      </c>
      <c r="AT107" s="765" t="s">
        <v>283</v>
      </c>
    </row>
    <row r="108" spans="1:46" ht="15">
      <c r="A108" s="765" t="s">
        <v>283</v>
      </c>
      <c r="B108" s="769" t="s">
        <v>283</v>
      </c>
      <c r="C108" s="773" t="s">
        <v>527</v>
      </c>
      <c r="D108" s="780">
        <v>185000</v>
      </c>
      <c r="E108" s="780">
        <v>173857</v>
      </c>
      <c r="F108" s="780">
        <v>99000</v>
      </c>
      <c r="G108" s="780">
        <v>260000</v>
      </c>
      <c r="H108" s="780">
        <v>138000</v>
      </c>
      <c r="I108" s="780">
        <v>198500</v>
      </c>
      <c r="J108" s="780">
        <v>55972</v>
      </c>
      <c r="K108" s="779">
        <v>0.32</v>
      </c>
      <c r="L108" s="771"/>
      <c r="M108" s="783">
        <v>260000</v>
      </c>
      <c r="N108" s="783">
        <v>208000</v>
      </c>
      <c r="O108" s="783">
        <v>185000</v>
      </c>
      <c r="P108" s="783">
        <v>189000</v>
      </c>
      <c r="Q108" s="783">
        <v>167000</v>
      </c>
      <c r="R108" s="783">
        <v>109000</v>
      </c>
      <c r="S108" s="783">
        <v>99000</v>
      </c>
      <c r="T108" s="773"/>
      <c r="U108" s="773"/>
      <c r="V108" s="772" t="s">
        <v>283</v>
      </c>
      <c r="W108" s="765" t="s">
        <v>283</v>
      </c>
      <c r="X108" s="765" t="s">
        <v>283</v>
      </c>
      <c r="Y108" s="765" t="s">
        <v>283</v>
      </c>
      <c r="Z108" s="765" t="s">
        <v>283</v>
      </c>
      <c r="AA108" s="765" t="s">
        <v>283</v>
      </c>
      <c r="AB108" s="765" t="s">
        <v>283</v>
      </c>
      <c r="AC108" s="765" t="s">
        <v>283</v>
      </c>
      <c r="AD108" s="765" t="s">
        <v>283</v>
      </c>
      <c r="AE108" s="765" t="s">
        <v>283</v>
      </c>
      <c r="AF108" s="765" t="s">
        <v>283</v>
      </c>
      <c r="AG108" s="765" t="s">
        <v>283</v>
      </c>
      <c r="AH108" s="765" t="s">
        <v>283</v>
      </c>
      <c r="AI108" s="765" t="s">
        <v>283</v>
      </c>
      <c r="AJ108" s="765" t="s">
        <v>283</v>
      </c>
      <c r="AK108" s="765" t="s">
        <v>283</v>
      </c>
      <c r="AL108" s="765" t="s">
        <v>283</v>
      </c>
      <c r="AM108" s="765" t="s">
        <v>283</v>
      </c>
      <c r="AN108" s="765" t="s">
        <v>283</v>
      </c>
      <c r="AO108" s="765" t="s">
        <v>283</v>
      </c>
      <c r="AP108" s="765" t="s">
        <v>283</v>
      </c>
      <c r="AQ108" s="765" t="s">
        <v>283</v>
      </c>
      <c r="AR108" s="765" t="s">
        <v>283</v>
      </c>
      <c r="AS108" s="765" t="s">
        <v>283</v>
      </c>
      <c r="AT108" s="765" t="s">
        <v>283</v>
      </c>
    </row>
    <row r="109" spans="1:46" ht="15">
      <c r="A109" s="765" t="s">
        <v>283</v>
      </c>
      <c r="B109" s="769" t="s">
        <v>283</v>
      </c>
      <c r="C109" s="773" t="s">
        <v>528</v>
      </c>
      <c r="D109" s="774" t="s">
        <v>283</v>
      </c>
      <c r="E109" s="774" t="s">
        <v>283</v>
      </c>
      <c r="F109" s="774" t="s">
        <v>283</v>
      </c>
      <c r="G109" s="774" t="s">
        <v>283</v>
      </c>
      <c r="H109" s="774" t="s">
        <v>283</v>
      </c>
      <c r="I109" s="774" t="s">
        <v>283</v>
      </c>
      <c r="J109" s="774" t="s">
        <v>283</v>
      </c>
      <c r="K109" s="774" t="s">
        <v>283</v>
      </c>
      <c r="L109" s="771"/>
      <c r="M109" s="771"/>
      <c r="N109" s="771"/>
      <c r="O109" s="771"/>
      <c r="P109" s="771"/>
      <c r="Q109" s="771"/>
      <c r="R109" s="771"/>
      <c r="S109" s="771"/>
      <c r="T109" s="771"/>
      <c r="U109" s="771"/>
      <c r="V109" s="772" t="s">
        <v>283</v>
      </c>
      <c r="W109" s="765" t="s">
        <v>283</v>
      </c>
      <c r="X109" s="765" t="s">
        <v>283</v>
      </c>
      <c r="Y109" s="765" t="s">
        <v>283</v>
      </c>
      <c r="Z109" s="765" t="s">
        <v>283</v>
      </c>
      <c r="AA109" s="765" t="s">
        <v>283</v>
      </c>
      <c r="AB109" s="765" t="s">
        <v>283</v>
      </c>
      <c r="AC109" s="765" t="s">
        <v>283</v>
      </c>
      <c r="AD109" s="765" t="s">
        <v>283</v>
      </c>
      <c r="AE109" s="765" t="s">
        <v>283</v>
      </c>
      <c r="AF109" s="765" t="s">
        <v>283</v>
      </c>
      <c r="AG109" s="765" t="s">
        <v>283</v>
      </c>
      <c r="AH109" s="765" t="s">
        <v>283</v>
      </c>
      <c r="AI109" s="765" t="s">
        <v>283</v>
      </c>
      <c r="AJ109" s="765" t="s">
        <v>283</v>
      </c>
      <c r="AK109" s="765" t="s">
        <v>283</v>
      </c>
      <c r="AL109" s="765" t="s">
        <v>283</v>
      </c>
      <c r="AM109" s="765" t="s">
        <v>283</v>
      </c>
      <c r="AN109" s="765" t="s">
        <v>283</v>
      </c>
      <c r="AO109" s="765" t="s">
        <v>283</v>
      </c>
      <c r="AP109" s="765" t="s">
        <v>283</v>
      </c>
      <c r="AQ109" s="765" t="s">
        <v>283</v>
      </c>
      <c r="AR109" s="765" t="s">
        <v>283</v>
      </c>
      <c r="AS109" s="765" t="s">
        <v>283</v>
      </c>
      <c r="AT109" s="765" t="s">
        <v>283</v>
      </c>
    </row>
    <row r="110" spans="1:46" ht="15">
      <c r="A110" s="765" t="s">
        <v>283</v>
      </c>
      <c r="B110" s="769" t="s">
        <v>283</v>
      </c>
      <c r="C110" s="773" t="s">
        <v>529</v>
      </c>
      <c r="D110" s="780">
        <v>73000</v>
      </c>
      <c r="E110" s="780">
        <v>70800</v>
      </c>
      <c r="F110" s="780">
        <v>32000</v>
      </c>
      <c r="G110" s="780">
        <v>109000</v>
      </c>
      <c r="H110" s="780">
        <v>46000</v>
      </c>
      <c r="I110" s="780">
        <v>94000</v>
      </c>
      <c r="J110" s="780">
        <v>32105</v>
      </c>
      <c r="K110" s="779">
        <v>0.45</v>
      </c>
      <c r="L110" s="771"/>
      <c r="M110" s="783">
        <v>109000</v>
      </c>
      <c r="N110" s="783">
        <v>94000</v>
      </c>
      <c r="O110" s="783">
        <v>73000</v>
      </c>
      <c r="P110" s="783">
        <v>46000</v>
      </c>
      <c r="Q110" s="783">
        <v>32000</v>
      </c>
      <c r="R110" s="773"/>
      <c r="S110" s="773"/>
      <c r="T110" s="773"/>
      <c r="U110" s="773"/>
      <c r="V110" s="772" t="s">
        <v>283</v>
      </c>
      <c r="W110" s="765" t="s">
        <v>283</v>
      </c>
      <c r="X110" s="765" t="s">
        <v>283</v>
      </c>
      <c r="Y110" s="765" t="s">
        <v>283</v>
      </c>
      <c r="Z110" s="765" t="s">
        <v>283</v>
      </c>
      <c r="AA110" s="765" t="s">
        <v>283</v>
      </c>
      <c r="AB110" s="765" t="s">
        <v>283</v>
      </c>
      <c r="AC110" s="765" t="s">
        <v>283</v>
      </c>
      <c r="AD110" s="765" t="s">
        <v>283</v>
      </c>
      <c r="AE110" s="765" t="s">
        <v>283</v>
      </c>
      <c r="AF110" s="765" t="s">
        <v>283</v>
      </c>
      <c r="AG110" s="765" t="s">
        <v>283</v>
      </c>
      <c r="AH110" s="765" t="s">
        <v>283</v>
      </c>
      <c r="AI110" s="765" t="s">
        <v>283</v>
      </c>
      <c r="AJ110" s="765" t="s">
        <v>283</v>
      </c>
      <c r="AK110" s="765" t="s">
        <v>283</v>
      </c>
      <c r="AL110" s="765" t="s">
        <v>283</v>
      </c>
      <c r="AM110" s="765" t="s">
        <v>283</v>
      </c>
      <c r="AN110" s="765" t="s">
        <v>283</v>
      </c>
      <c r="AO110" s="765" t="s">
        <v>283</v>
      </c>
      <c r="AP110" s="765" t="s">
        <v>283</v>
      </c>
      <c r="AQ110" s="765" t="s">
        <v>283</v>
      </c>
      <c r="AR110" s="765" t="s">
        <v>283</v>
      </c>
      <c r="AS110" s="765" t="s">
        <v>283</v>
      </c>
      <c r="AT110" s="765" t="s">
        <v>283</v>
      </c>
    </row>
    <row r="111" spans="1:46" ht="15">
      <c r="A111" s="765" t="s">
        <v>283</v>
      </c>
      <c r="B111" s="769" t="s">
        <v>283</v>
      </c>
      <c r="C111" s="776" t="s">
        <v>530</v>
      </c>
      <c r="D111" s="787">
        <v>46000</v>
      </c>
      <c r="E111" s="787">
        <v>54857</v>
      </c>
      <c r="F111" s="787">
        <v>10000</v>
      </c>
      <c r="G111" s="787">
        <v>109000</v>
      </c>
      <c r="H111" s="787">
        <v>26000</v>
      </c>
      <c r="I111" s="787">
        <v>83500</v>
      </c>
      <c r="J111" s="787">
        <v>37905</v>
      </c>
      <c r="K111" s="786">
        <v>0.69</v>
      </c>
      <c r="L111" s="790" t="s">
        <v>283</v>
      </c>
      <c r="M111" s="792">
        <v>109000</v>
      </c>
      <c r="N111" s="792">
        <v>94000</v>
      </c>
      <c r="O111" s="792">
        <v>73000</v>
      </c>
      <c r="P111" s="792">
        <v>46000</v>
      </c>
      <c r="Q111" s="792">
        <v>32000</v>
      </c>
      <c r="R111" s="792">
        <v>20000</v>
      </c>
      <c r="S111" s="792">
        <v>10000</v>
      </c>
      <c r="T111" s="791" t="s">
        <v>283</v>
      </c>
      <c r="U111" s="791" t="s">
        <v>283</v>
      </c>
      <c r="V111" s="772" t="s">
        <v>283</v>
      </c>
      <c r="W111" s="765" t="s">
        <v>283</v>
      </c>
      <c r="X111" s="765" t="s">
        <v>283</v>
      </c>
      <c r="Y111" s="765" t="s">
        <v>283</v>
      </c>
      <c r="Z111" s="765" t="s">
        <v>283</v>
      </c>
      <c r="AA111" s="765" t="s">
        <v>283</v>
      </c>
      <c r="AB111" s="765" t="s">
        <v>283</v>
      </c>
      <c r="AC111" s="765" t="s">
        <v>283</v>
      </c>
      <c r="AD111" s="765" t="s">
        <v>283</v>
      </c>
      <c r="AE111" s="765" t="s">
        <v>283</v>
      </c>
      <c r="AF111" s="765" t="s">
        <v>283</v>
      </c>
      <c r="AG111" s="765" t="s">
        <v>283</v>
      </c>
      <c r="AH111" s="765" t="s">
        <v>283</v>
      </c>
      <c r="AI111" s="765" t="s">
        <v>283</v>
      </c>
      <c r="AJ111" s="765" t="s">
        <v>283</v>
      </c>
      <c r="AK111" s="765" t="s">
        <v>283</v>
      </c>
      <c r="AL111" s="765" t="s">
        <v>283</v>
      </c>
      <c r="AM111" s="765" t="s">
        <v>283</v>
      </c>
      <c r="AN111" s="765" t="s">
        <v>283</v>
      </c>
      <c r="AO111" s="765" t="s">
        <v>283</v>
      </c>
      <c r="AP111" s="765" t="s">
        <v>283</v>
      </c>
      <c r="AQ111" s="765" t="s">
        <v>283</v>
      </c>
      <c r="AR111" s="765" t="s">
        <v>283</v>
      </c>
      <c r="AS111" s="765" t="s">
        <v>283</v>
      </c>
      <c r="AT111" s="765" t="s">
        <v>283</v>
      </c>
    </row>
    <row r="112" spans="1:46" ht="15">
      <c r="A112" s="765" t="s">
        <v>283</v>
      </c>
      <c r="B112" s="769" t="s">
        <v>283</v>
      </c>
      <c r="C112" s="773" t="s">
        <v>531</v>
      </c>
      <c r="D112" s="780">
        <v>62000</v>
      </c>
      <c r="E112" s="780">
        <v>76286</v>
      </c>
      <c r="F112" s="780">
        <v>21000</v>
      </c>
      <c r="G112" s="780">
        <v>215000</v>
      </c>
      <c r="H112" s="780">
        <v>44500</v>
      </c>
      <c r="I112" s="780">
        <v>73500</v>
      </c>
      <c r="J112" s="780">
        <v>64129</v>
      </c>
      <c r="K112" s="779">
        <v>0.84</v>
      </c>
      <c r="L112" s="771"/>
      <c r="M112" s="783">
        <v>215000</v>
      </c>
      <c r="N112" s="783">
        <v>77000</v>
      </c>
      <c r="O112" s="783">
        <v>70000</v>
      </c>
      <c r="P112" s="783">
        <v>62000</v>
      </c>
      <c r="Q112" s="783">
        <v>52000</v>
      </c>
      <c r="R112" s="783">
        <v>37000</v>
      </c>
      <c r="S112" s="783">
        <v>21000</v>
      </c>
      <c r="T112" s="773"/>
      <c r="U112" s="773"/>
      <c r="V112" s="772" t="s">
        <v>283</v>
      </c>
      <c r="W112" s="765" t="s">
        <v>283</v>
      </c>
      <c r="X112" s="765" t="s">
        <v>283</v>
      </c>
      <c r="Y112" s="765" t="s">
        <v>283</v>
      </c>
      <c r="Z112" s="765" t="s">
        <v>283</v>
      </c>
      <c r="AA112" s="765" t="s">
        <v>283</v>
      </c>
      <c r="AB112" s="765" t="s">
        <v>283</v>
      </c>
      <c r="AC112" s="765" t="s">
        <v>283</v>
      </c>
      <c r="AD112" s="765" t="s">
        <v>283</v>
      </c>
      <c r="AE112" s="765" t="s">
        <v>283</v>
      </c>
      <c r="AF112" s="765" t="s">
        <v>283</v>
      </c>
      <c r="AG112" s="765" t="s">
        <v>283</v>
      </c>
      <c r="AH112" s="765" t="s">
        <v>283</v>
      </c>
      <c r="AI112" s="765" t="s">
        <v>283</v>
      </c>
      <c r="AJ112" s="765" t="s">
        <v>283</v>
      </c>
      <c r="AK112" s="765" t="s">
        <v>283</v>
      </c>
      <c r="AL112" s="765" t="s">
        <v>283</v>
      </c>
      <c r="AM112" s="765" t="s">
        <v>283</v>
      </c>
      <c r="AN112" s="765" t="s">
        <v>283</v>
      </c>
      <c r="AO112" s="765" t="s">
        <v>283</v>
      </c>
      <c r="AP112" s="765" t="s">
        <v>283</v>
      </c>
      <c r="AQ112" s="765" t="s">
        <v>283</v>
      </c>
      <c r="AR112" s="765" t="s">
        <v>283</v>
      </c>
      <c r="AS112" s="765" t="s">
        <v>283</v>
      </c>
      <c r="AT112" s="765" t="s">
        <v>283</v>
      </c>
    </row>
    <row r="113" spans="1:46" ht="15">
      <c r="A113" s="765" t="s">
        <v>283</v>
      </c>
      <c r="B113" s="769" t="s">
        <v>283</v>
      </c>
      <c r="C113" s="776" t="s">
        <v>532</v>
      </c>
      <c r="D113" s="787">
        <v>297000</v>
      </c>
      <c r="E113" s="787">
        <v>305000</v>
      </c>
      <c r="F113" s="787">
        <v>130000</v>
      </c>
      <c r="G113" s="787">
        <v>584000</v>
      </c>
      <c r="H113" s="787">
        <v>208500</v>
      </c>
      <c r="I113" s="787">
        <v>353500</v>
      </c>
      <c r="J113" s="787">
        <v>150981</v>
      </c>
      <c r="K113" s="786">
        <v>0.5</v>
      </c>
      <c r="L113" s="790" t="s">
        <v>283</v>
      </c>
      <c r="M113" s="792">
        <v>584000</v>
      </c>
      <c r="N113" s="792">
        <v>379000</v>
      </c>
      <c r="O113" s="792">
        <v>328000</v>
      </c>
      <c r="P113" s="792">
        <v>297000</v>
      </c>
      <c r="Q113" s="792">
        <v>251000</v>
      </c>
      <c r="R113" s="792">
        <v>166000</v>
      </c>
      <c r="S113" s="792">
        <v>130000</v>
      </c>
      <c r="T113" s="791" t="s">
        <v>283</v>
      </c>
      <c r="U113" s="791" t="s">
        <v>283</v>
      </c>
      <c r="V113" s="772" t="s">
        <v>283</v>
      </c>
      <c r="W113" s="765" t="s">
        <v>283</v>
      </c>
      <c r="X113" s="765" t="s">
        <v>283</v>
      </c>
      <c r="Y113" s="765" t="s">
        <v>283</v>
      </c>
      <c r="Z113" s="765" t="s">
        <v>283</v>
      </c>
      <c r="AA113" s="765" t="s">
        <v>283</v>
      </c>
      <c r="AB113" s="765" t="s">
        <v>283</v>
      </c>
      <c r="AC113" s="765" t="s">
        <v>283</v>
      </c>
      <c r="AD113" s="765" t="s">
        <v>283</v>
      </c>
      <c r="AE113" s="765" t="s">
        <v>283</v>
      </c>
      <c r="AF113" s="765" t="s">
        <v>283</v>
      </c>
      <c r="AG113" s="765" t="s">
        <v>283</v>
      </c>
      <c r="AH113" s="765" t="s">
        <v>283</v>
      </c>
      <c r="AI113" s="765" t="s">
        <v>283</v>
      </c>
      <c r="AJ113" s="765" t="s">
        <v>283</v>
      </c>
      <c r="AK113" s="765" t="s">
        <v>283</v>
      </c>
      <c r="AL113" s="765" t="s">
        <v>283</v>
      </c>
      <c r="AM113" s="765" t="s">
        <v>283</v>
      </c>
      <c r="AN113" s="765" t="s">
        <v>283</v>
      </c>
      <c r="AO113" s="765" t="s">
        <v>283</v>
      </c>
      <c r="AP113" s="765" t="s">
        <v>283</v>
      </c>
      <c r="AQ113" s="765" t="s">
        <v>283</v>
      </c>
      <c r="AR113" s="765" t="s">
        <v>283</v>
      </c>
      <c r="AS113" s="765" t="s">
        <v>283</v>
      </c>
      <c r="AT113" s="765" t="s">
        <v>283</v>
      </c>
    </row>
    <row r="114" spans="1:46" ht="15">
      <c r="A114" s="765" t="s">
        <v>283</v>
      </c>
      <c r="B114" s="769" t="s">
        <v>283</v>
      </c>
      <c r="C114" s="773" t="s">
        <v>533</v>
      </c>
      <c r="D114" s="780">
        <v>605000</v>
      </c>
      <c r="E114" s="780">
        <v>604143</v>
      </c>
      <c r="F114" s="780">
        <v>482000</v>
      </c>
      <c r="G114" s="780">
        <v>724000</v>
      </c>
      <c r="H114" s="780">
        <v>538000</v>
      </c>
      <c r="I114" s="780">
        <v>671000</v>
      </c>
      <c r="J114" s="780">
        <v>95451</v>
      </c>
      <c r="K114" s="779">
        <v>0.16</v>
      </c>
      <c r="L114" s="771"/>
      <c r="M114" s="783">
        <v>709000</v>
      </c>
      <c r="N114" s="783">
        <v>724000</v>
      </c>
      <c r="O114" s="783">
        <v>605000</v>
      </c>
      <c r="P114" s="783">
        <v>633000</v>
      </c>
      <c r="Q114" s="783">
        <v>587000</v>
      </c>
      <c r="R114" s="783">
        <v>482000</v>
      </c>
      <c r="S114" s="783">
        <v>489000</v>
      </c>
      <c r="T114" s="773"/>
      <c r="U114" s="773"/>
      <c r="V114" s="772" t="s">
        <v>283</v>
      </c>
      <c r="W114" s="765" t="s">
        <v>283</v>
      </c>
      <c r="X114" s="765" t="s">
        <v>283</v>
      </c>
      <c r="Y114" s="765" t="s">
        <v>283</v>
      </c>
      <c r="Z114" s="765" t="s">
        <v>283</v>
      </c>
      <c r="AA114" s="765" t="s">
        <v>283</v>
      </c>
      <c r="AB114" s="765" t="s">
        <v>283</v>
      </c>
      <c r="AC114" s="765" t="s">
        <v>283</v>
      </c>
      <c r="AD114" s="765" t="s">
        <v>283</v>
      </c>
      <c r="AE114" s="765" t="s">
        <v>283</v>
      </c>
      <c r="AF114" s="765" t="s">
        <v>283</v>
      </c>
      <c r="AG114" s="765" t="s">
        <v>283</v>
      </c>
      <c r="AH114" s="765" t="s">
        <v>283</v>
      </c>
      <c r="AI114" s="765" t="s">
        <v>283</v>
      </c>
      <c r="AJ114" s="765" t="s">
        <v>283</v>
      </c>
      <c r="AK114" s="765" t="s">
        <v>283</v>
      </c>
      <c r="AL114" s="765" t="s">
        <v>283</v>
      </c>
      <c r="AM114" s="765" t="s">
        <v>283</v>
      </c>
      <c r="AN114" s="765" t="s">
        <v>283</v>
      </c>
      <c r="AO114" s="765" t="s">
        <v>283</v>
      </c>
      <c r="AP114" s="765" t="s">
        <v>283</v>
      </c>
      <c r="AQ114" s="765" t="s">
        <v>283</v>
      </c>
      <c r="AR114" s="765" t="s">
        <v>283</v>
      </c>
      <c r="AS114" s="765" t="s">
        <v>283</v>
      </c>
      <c r="AT114" s="765" t="s">
        <v>283</v>
      </c>
    </row>
    <row r="115" spans="1:46" ht="15">
      <c r="A115" s="765" t="s">
        <v>283</v>
      </c>
      <c r="B115" s="769" t="s">
        <v>283</v>
      </c>
      <c r="C115" s="776" t="s">
        <v>534</v>
      </c>
      <c r="D115" s="787">
        <v>930000</v>
      </c>
      <c r="E115" s="787">
        <v>909143</v>
      </c>
      <c r="F115" s="787">
        <v>619000</v>
      </c>
      <c r="G115" s="787">
        <v>1293000</v>
      </c>
      <c r="H115" s="787">
        <v>743000</v>
      </c>
      <c r="I115" s="787">
        <v>1018000</v>
      </c>
      <c r="J115" s="787">
        <v>239225</v>
      </c>
      <c r="K115" s="786">
        <v>0.26</v>
      </c>
      <c r="L115" s="790" t="s">
        <v>283</v>
      </c>
      <c r="M115" s="792">
        <v>1293000</v>
      </c>
      <c r="N115" s="792">
        <v>1103000</v>
      </c>
      <c r="O115" s="792">
        <v>933000</v>
      </c>
      <c r="P115" s="792">
        <v>930000</v>
      </c>
      <c r="Q115" s="792">
        <v>838000</v>
      </c>
      <c r="R115" s="792">
        <v>648000</v>
      </c>
      <c r="S115" s="792">
        <v>619000</v>
      </c>
      <c r="T115" s="791" t="s">
        <v>283</v>
      </c>
      <c r="U115" s="791" t="s">
        <v>283</v>
      </c>
      <c r="V115" s="772" t="s">
        <v>283</v>
      </c>
      <c r="W115" s="765" t="s">
        <v>283</v>
      </c>
      <c r="X115" s="765" t="s">
        <v>283</v>
      </c>
      <c r="Y115" s="765" t="s">
        <v>283</v>
      </c>
      <c r="Z115" s="765" t="s">
        <v>283</v>
      </c>
      <c r="AA115" s="765" t="s">
        <v>283</v>
      </c>
      <c r="AB115" s="765" t="s">
        <v>283</v>
      </c>
      <c r="AC115" s="765" t="s">
        <v>283</v>
      </c>
      <c r="AD115" s="765" t="s">
        <v>283</v>
      </c>
      <c r="AE115" s="765" t="s">
        <v>283</v>
      </c>
      <c r="AF115" s="765" t="s">
        <v>283</v>
      </c>
      <c r="AG115" s="765" t="s">
        <v>283</v>
      </c>
      <c r="AH115" s="765" t="s">
        <v>283</v>
      </c>
      <c r="AI115" s="765" t="s">
        <v>283</v>
      </c>
      <c r="AJ115" s="765" t="s">
        <v>283</v>
      </c>
      <c r="AK115" s="765" t="s">
        <v>283</v>
      </c>
      <c r="AL115" s="765" t="s">
        <v>283</v>
      </c>
      <c r="AM115" s="765" t="s">
        <v>283</v>
      </c>
      <c r="AN115" s="765" t="s">
        <v>283</v>
      </c>
      <c r="AO115" s="765" t="s">
        <v>283</v>
      </c>
      <c r="AP115" s="765" t="s">
        <v>283</v>
      </c>
      <c r="AQ115" s="765" t="s">
        <v>283</v>
      </c>
      <c r="AR115" s="765" t="s">
        <v>283</v>
      </c>
      <c r="AS115" s="765" t="s">
        <v>283</v>
      </c>
      <c r="AT115" s="765" t="s">
        <v>283</v>
      </c>
    </row>
    <row r="116" spans="1:46" ht="15">
      <c r="A116" s="765" t="s">
        <v>283</v>
      </c>
      <c r="B116" s="769" t="s">
        <v>283</v>
      </c>
      <c r="C116" s="773" t="s">
        <v>535</v>
      </c>
      <c r="D116" s="774" t="s">
        <v>283</v>
      </c>
      <c r="E116" s="774" t="s">
        <v>283</v>
      </c>
      <c r="F116" s="774" t="s">
        <v>283</v>
      </c>
      <c r="G116" s="774" t="s">
        <v>283</v>
      </c>
      <c r="H116" s="774" t="s">
        <v>283</v>
      </c>
      <c r="I116" s="774" t="s">
        <v>283</v>
      </c>
      <c r="J116" s="774" t="s">
        <v>283</v>
      </c>
      <c r="K116" s="774" t="s">
        <v>283</v>
      </c>
      <c r="L116" s="771"/>
      <c r="M116" s="771"/>
      <c r="N116" s="771"/>
      <c r="O116" s="771"/>
      <c r="P116" s="771"/>
      <c r="Q116" s="771"/>
      <c r="R116" s="771"/>
      <c r="S116" s="771"/>
      <c r="T116" s="771"/>
      <c r="U116" s="771"/>
      <c r="V116" s="772" t="s">
        <v>283</v>
      </c>
      <c r="W116" s="765" t="s">
        <v>283</v>
      </c>
      <c r="X116" s="765" t="s">
        <v>283</v>
      </c>
      <c r="Y116" s="765" t="s">
        <v>283</v>
      </c>
      <c r="Z116" s="765" t="s">
        <v>283</v>
      </c>
      <c r="AA116" s="765" t="s">
        <v>283</v>
      </c>
      <c r="AB116" s="765" t="s">
        <v>283</v>
      </c>
      <c r="AC116" s="765" t="s">
        <v>283</v>
      </c>
      <c r="AD116" s="765" t="s">
        <v>283</v>
      </c>
      <c r="AE116" s="765" t="s">
        <v>283</v>
      </c>
      <c r="AF116" s="765" t="s">
        <v>283</v>
      </c>
      <c r="AG116" s="765" t="s">
        <v>283</v>
      </c>
      <c r="AH116" s="765" t="s">
        <v>283</v>
      </c>
      <c r="AI116" s="765" t="s">
        <v>283</v>
      </c>
      <c r="AJ116" s="765" t="s">
        <v>283</v>
      </c>
      <c r="AK116" s="765" t="s">
        <v>283</v>
      </c>
      <c r="AL116" s="765" t="s">
        <v>283</v>
      </c>
      <c r="AM116" s="765" t="s">
        <v>283</v>
      </c>
      <c r="AN116" s="765" t="s">
        <v>283</v>
      </c>
      <c r="AO116" s="765" t="s">
        <v>283</v>
      </c>
      <c r="AP116" s="765" t="s">
        <v>283</v>
      </c>
      <c r="AQ116" s="765" t="s">
        <v>283</v>
      </c>
      <c r="AR116" s="765" t="s">
        <v>283</v>
      </c>
      <c r="AS116" s="765" t="s">
        <v>283</v>
      </c>
      <c r="AT116" s="765" t="s">
        <v>283</v>
      </c>
    </row>
    <row r="117" spans="1:46" ht="15">
      <c r="A117" s="765" t="s">
        <v>283</v>
      </c>
      <c r="B117" s="769" t="s">
        <v>283</v>
      </c>
      <c r="C117" s="773" t="s">
        <v>536</v>
      </c>
      <c r="D117" s="774" t="s">
        <v>283</v>
      </c>
      <c r="E117" s="774" t="s">
        <v>283</v>
      </c>
      <c r="F117" s="774" t="s">
        <v>283</v>
      </c>
      <c r="G117" s="774" t="s">
        <v>283</v>
      </c>
      <c r="H117" s="774" t="s">
        <v>283</v>
      </c>
      <c r="I117" s="774" t="s">
        <v>283</v>
      </c>
      <c r="J117" s="774" t="s">
        <v>283</v>
      </c>
      <c r="K117" s="774" t="s">
        <v>283</v>
      </c>
      <c r="L117" s="771"/>
      <c r="M117" s="771"/>
      <c r="N117" s="771"/>
      <c r="O117" s="771"/>
      <c r="P117" s="771"/>
      <c r="Q117" s="771"/>
      <c r="R117" s="771"/>
      <c r="S117" s="771"/>
      <c r="T117" s="771"/>
      <c r="U117" s="771"/>
      <c r="V117" s="772" t="s">
        <v>283</v>
      </c>
      <c r="W117" s="765" t="s">
        <v>283</v>
      </c>
      <c r="X117" s="765" t="s">
        <v>283</v>
      </c>
      <c r="Y117" s="765" t="s">
        <v>283</v>
      </c>
      <c r="Z117" s="765" t="s">
        <v>283</v>
      </c>
      <c r="AA117" s="765" t="s">
        <v>283</v>
      </c>
      <c r="AB117" s="765" t="s">
        <v>283</v>
      </c>
      <c r="AC117" s="765" t="s">
        <v>283</v>
      </c>
      <c r="AD117" s="765" t="s">
        <v>283</v>
      </c>
      <c r="AE117" s="765" t="s">
        <v>283</v>
      </c>
      <c r="AF117" s="765" t="s">
        <v>283</v>
      </c>
      <c r="AG117" s="765" t="s">
        <v>283</v>
      </c>
      <c r="AH117" s="765" t="s">
        <v>283</v>
      </c>
      <c r="AI117" s="765" t="s">
        <v>283</v>
      </c>
      <c r="AJ117" s="765" t="s">
        <v>283</v>
      </c>
      <c r="AK117" s="765" t="s">
        <v>283</v>
      </c>
      <c r="AL117" s="765" t="s">
        <v>283</v>
      </c>
      <c r="AM117" s="765" t="s">
        <v>283</v>
      </c>
      <c r="AN117" s="765" t="s">
        <v>283</v>
      </c>
      <c r="AO117" s="765" t="s">
        <v>283</v>
      </c>
      <c r="AP117" s="765" t="s">
        <v>283</v>
      </c>
      <c r="AQ117" s="765" t="s">
        <v>283</v>
      </c>
      <c r="AR117" s="765" t="s">
        <v>283</v>
      </c>
      <c r="AS117" s="765" t="s">
        <v>283</v>
      </c>
      <c r="AT117" s="765" t="s">
        <v>283</v>
      </c>
    </row>
    <row r="118" spans="1:46" ht="15">
      <c r="A118" s="765" t="s">
        <v>283</v>
      </c>
      <c r="B118" s="769" t="s">
        <v>283</v>
      </c>
      <c r="C118" s="773" t="s">
        <v>537</v>
      </c>
      <c r="D118" s="774" t="s">
        <v>283</v>
      </c>
      <c r="E118" s="774" t="s">
        <v>283</v>
      </c>
      <c r="F118" s="774" t="s">
        <v>283</v>
      </c>
      <c r="G118" s="774" t="s">
        <v>283</v>
      </c>
      <c r="H118" s="774" t="s">
        <v>283</v>
      </c>
      <c r="I118" s="774" t="s">
        <v>283</v>
      </c>
      <c r="J118" s="774" t="s">
        <v>283</v>
      </c>
      <c r="K118" s="774" t="s">
        <v>283</v>
      </c>
      <c r="L118" s="771"/>
      <c r="M118" s="771"/>
      <c r="N118" s="771"/>
      <c r="O118" s="771"/>
      <c r="P118" s="771"/>
      <c r="Q118" s="771"/>
      <c r="R118" s="771"/>
      <c r="S118" s="771"/>
      <c r="T118" s="771"/>
      <c r="U118" s="771"/>
      <c r="V118" s="772" t="s">
        <v>283</v>
      </c>
      <c r="W118" s="765" t="s">
        <v>283</v>
      </c>
      <c r="X118" s="765" t="s">
        <v>283</v>
      </c>
      <c r="Y118" s="765" t="s">
        <v>283</v>
      </c>
      <c r="Z118" s="765" t="s">
        <v>283</v>
      </c>
      <c r="AA118" s="765" t="s">
        <v>283</v>
      </c>
      <c r="AB118" s="765" t="s">
        <v>283</v>
      </c>
      <c r="AC118" s="765" t="s">
        <v>283</v>
      </c>
      <c r="AD118" s="765" t="s">
        <v>283</v>
      </c>
      <c r="AE118" s="765" t="s">
        <v>283</v>
      </c>
      <c r="AF118" s="765" t="s">
        <v>283</v>
      </c>
      <c r="AG118" s="765" t="s">
        <v>283</v>
      </c>
      <c r="AH118" s="765" t="s">
        <v>283</v>
      </c>
      <c r="AI118" s="765" t="s">
        <v>283</v>
      </c>
      <c r="AJ118" s="765" t="s">
        <v>283</v>
      </c>
      <c r="AK118" s="765" t="s">
        <v>283</v>
      </c>
      <c r="AL118" s="765" t="s">
        <v>283</v>
      </c>
      <c r="AM118" s="765" t="s">
        <v>283</v>
      </c>
      <c r="AN118" s="765" t="s">
        <v>283</v>
      </c>
      <c r="AO118" s="765" t="s">
        <v>283</v>
      </c>
      <c r="AP118" s="765" t="s">
        <v>283</v>
      </c>
      <c r="AQ118" s="765" t="s">
        <v>283</v>
      </c>
      <c r="AR118" s="765" t="s">
        <v>283</v>
      </c>
      <c r="AS118" s="765" t="s">
        <v>283</v>
      </c>
      <c r="AT118" s="765" t="s">
        <v>283</v>
      </c>
    </row>
    <row r="119" spans="1:46" ht="15">
      <c r="A119" s="765" t="s">
        <v>283</v>
      </c>
      <c r="B119" s="769" t="s">
        <v>283</v>
      </c>
      <c r="C119" s="773" t="s">
        <v>538</v>
      </c>
      <c r="D119" s="774" t="s">
        <v>283</v>
      </c>
      <c r="E119" s="774" t="s">
        <v>283</v>
      </c>
      <c r="F119" s="774" t="s">
        <v>283</v>
      </c>
      <c r="G119" s="774" t="s">
        <v>283</v>
      </c>
      <c r="H119" s="774" t="s">
        <v>283</v>
      </c>
      <c r="I119" s="774" t="s">
        <v>283</v>
      </c>
      <c r="J119" s="774" t="s">
        <v>283</v>
      </c>
      <c r="K119" s="774" t="s">
        <v>283</v>
      </c>
      <c r="L119" s="771"/>
      <c r="M119" s="771"/>
      <c r="N119" s="771"/>
      <c r="O119" s="771"/>
      <c r="P119" s="771"/>
      <c r="Q119" s="771"/>
      <c r="R119" s="771"/>
      <c r="S119" s="771"/>
      <c r="T119" s="771"/>
      <c r="U119" s="771"/>
      <c r="V119" s="772" t="s">
        <v>283</v>
      </c>
      <c r="W119" s="765" t="s">
        <v>283</v>
      </c>
      <c r="X119" s="765" t="s">
        <v>283</v>
      </c>
      <c r="Y119" s="765" t="s">
        <v>283</v>
      </c>
      <c r="Z119" s="765" t="s">
        <v>283</v>
      </c>
      <c r="AA119" s="765" t="s">
        <v>283</v>
      </c>
      <c r="AB119" s="765" t="s">
        <v>283</v>
      </c>
      <c r="AC119" s="765" t="s">
        <v>283</v>
      </c>
      <c r="AD119" s="765" t="s">
        <v>283</v>
      </c>
      <c r="AE119" s="765" t="s">
        <v>283</v>
      </c>
      <c r="AF119" s="765" t="s">
        <v>283</v>
      </c>
      <c r="AG119" s="765" t="s">
        <v>283</v>
      </c>
      <c r="AH119" s="765" t="s">
        <v>283</v>
      </c>
      <c r="AI119" s="765" t="s">
        <v>283</v>
      </c>
      <c r="AJ119" s="765" t="s">
        <v>283</v>
      </c>
      <c r="AK119" s="765" t="s">
        <v>283</v>
      </c>
      <c r="AL119" s="765" t="s">
        <v>283</v>
      </c>
      <c r="AM119" s="765" t="s">
        <v>283</v>
      </c>
      <c r="AN119" s="765" t="s">
        <v>283</v>
      </c>
      <c r="AO119" s="765" t="s">
        <v>283</v>
      </c>
      <c r="AP119" s="765" t="s">
        <v>283</v>
      </c>
      <c r="AQ119" s="765" t="s">
        <v>283</v>
      </c>
      <c r="AR119" s="765" t="s">
        <v>283</v>
      </c>
      <c r="AS119" s="765" t="s">
        <v>283</v>
      </c>
      <c r="AT119" s="765" t="s">
        <v>283</v>
      </c>
    </row>
    <row r="120" spans="1:46" ht="15">
      <c r="A120" s="765" t="s">
        <v>283</v>
      </c>
      <c r="B120" s="769" t="s">
        <v>283</v>
      </c>
      <c r="C120" s="773" t="s">
        <v>539</v>
      </c>
      <c r="D120" s="780">
        <v>751000</v>
      </c>
      <c r="E120" s="780">
        <v>751000</v>
      </c>
      <c r="F120" s="779">
        <v>0</v>
      </c>
      <c r="G120" s="780">
        <v>1502000</v>
      </c>
      <c r="H120" s="780">
        <v>375500</v>
      </c>
      <c r="I120" s="780">
        <v>1126500</v>
      </c>
      <c r="J120" s="780">
        <v>1062074</v>
      </c>
      <c r="K120" s="779">
        <v>1.41</v>
      </c>
      <c r="L120" s="771"/>
      <c r="M120" s="783">
        <v>1502000</v>
      </c>
      <c r="N120" s="773">
        <v>0</v>
      </c>
      <c r="O120" s="773"/>
      <c r="P120" s="773"/>
      <c r="Q120" s="773"/>
      <c r="R120" s="773"/>
      <c r="S120" s="773"/>
      <c r="T120" s="773"/>
      <c r="U120" s="773"/>
      <c r="V120" s="772" t="s">
        <v>283</v>
      </c>
      <c r="W120" s="765" t="s">
        <v>283</v>
      </c>
      <c r="X120" s="765" t="s">
        <v>283</v>
      </c>
      <c r="Y120" s="765" t="s">
        <v>283</v>
      </c>
      <c r="Z120" s="765" t="s">
        <v>283</v>
      </c>
      <c r="AA120" s="765" t="s">
        <v>283</v>
      </c>
      <c r="AB120" s="765" t="s">
        <v>283</v>
      </c>
      <c r="AC120" s="765" t="s">
        <v>283</v>
      </c>
      <c r="AD120" s="765" t="s">
        <v>283</v>
      </c>
      <c r="AE120" s="765" t="s">
        <v>283</v>
      </c>
      <c r="AF120" s="765" t="s">
        <v>283</v>
      </c>
      <c r="AG120" s="765" t="s">
        <v>283</v>
      </c>
      <c r="AH120" s="765" t="s">
        <v>283</v>
      </c>
      <c r="AI120" s="765" t="s">
        <v>283</v>
      </c>
      <c r="AJ120" s="765" t="s">
        <v>283</v>
      </c>
      <c r="AK120" s="765" t="s">
        <v>283</v>
      </c>
      <c r="AL120" s="765" t="s">
        <v>283</v>
      </c>
      <c r="AM120" s="765" t="s">
        <v>283</v>
      </c>
      <c r="AN120" s="765" t="s">
        <v>283</v>
      </c>
      <c r="AO120" s="765" t="s">
        <v>283</v>
      </c>
      <c r="AP120" s="765" t="s">
        <v>283</v>
      </c>
      <c r="AQ120" s="765" t="s">
        <v>283</v>
      </c>
      <c r="AR120" s="765" t="s">
        <v>283</v>
      </c>
      <c r="AS120" s="765" t="s">
        <v>283</v>
      </c>
      <c r="AT120" s="765" t="s">
        <v>283</v>
      </c>
    </row>
    <row r="121" spans="1:46" ht="15">
      <c r="A121" s="765" t="s">
        <v>283</v>
      </c>
      <c r="B121" s="769" t="s">
        <v>283</v>
      </c>
      <c r="C121" s="773" t="s">
        <v>540</v>
      </c>
      <c r="D121" s="780">
        <v>121000</v>
      </c>
      <c r="E121" s="780">
        <v>109286</v>
      </c>
      <c r="F121" s="780">
        <v>83000</v>
      </c>
      <c r="G121" s="780">
        <v>133000</v>
      </c>
      <c r="H121" s="780">
        <v>88500</v>
      </c>
      <c r="I121" s="780">
        <v>125500</v>
      </c>
      <c r="J121" s="780">
        <v>21639</v>
      </c>
      <c r="K121" s="779">
        <v>0.2</v>
      </c>
      <c r="L121" s="771"/>
      <c r="M121" s="783">
        <v>129000</v>
      </c>
      <c r="N121" s="783">
        <v>90000</v>
      </c>
      <c r="O121" s="783">
        <v>87000</v>
      </c>
      <c r="P121" s="783">
        <v>83000</v>
      </c>
      <c r="Q121" s="783">
        <v>122000</v>
      </c>
      <c r="R121" s="783">
        <v>121000</v>
      </c>
      <c r="S121" s="783">
        <v>133000</v>
      </c>
      <c r="T121" s="773"/>
      <c r="U121" s="773"/>
      <c r="V121" s="772" t="s">
        <v>283</v>
      </c>
      <c r="W121" s="765" t="s">
        <v>283</v>
      </c>
      <c r="X121" s="765" t="s">
        <v>283</v>
      </c>
      <c r="Y121" s="765" t="s">
        <v>283</v>
      </c>
      <c r="Z121" s="765" t="s">
        <v>283</v>
      </c>
      <c r="AA121" s="765" t="s">
        <v>283</v>
      </c>
      <c r="AB121" s="765" t="s">
        <v>283</v>
      </c>
      <c r="AC121" s="765" t="s">
        <v>283</v>
      </c>
      <c r="AD121" s="765" t="s">
        <v>283</v>
      </c>
      <c r="AE121" s="765" t="s">
        <v>283</v>
      </c>
      <c r="AF121" s="765" t="s">
        <v>283</v>
      </c>
      <c r="AG121" s="765" t="s">
        <v>283</v>
      </c>
      <c r="AH121" s="765" t="s">
        <v>283</v>
      </c>
      <c r="AI121" s="765" t="s">
        <v>283</v>
      </c>
      <c r="AJ121" s="765" t="s">
        <v>283</v>
      </c>
      <c r="AK121" s="765" t="s">
        <v>283</v>
      </c>
      <c r="AL121" s="765" t="s">
        <v>283</v>
      </c>
      <c r="AM121" s="765" t="s">
        <v>283</v>
      </c>
      <c r="AN121" s="765" t="s">
        <v>283</v>
      </c>
      <c r="AO121" s="765" t="s">
        <v>283</v>
      </c>
      <c r="AP121" s="765" t="s">
        <v>283</v>
      </c>
      <c r="AQ121" s="765" t="s">
        <v>283</v>
      </c>
      <c r="AR121" s="765" t="s">
        <v>283</v>
      </c>
      <c r="AS121" s="765" t="s">
        <v>283</v>
      </c>
      <c r="AT121" s="765" t="s">
        <v>283</v>
      </c>
    </row>
    <row r="122" spans="1:46" ht="15">
      <c r="A122" s="765" t="s">
        <v>283</v>
      </c>
      <c r="B122" s="769" t="s">
        <v>283</v>
      </c>
      <c r="C122" s="776" t="s">
        <v>541</v>
      </c>
      <c r="D122" s="787">
        <v>121000</v>
      </c>
      <c r="E122" s="787">
        <v>323857</v>
      </c>
      <c r="F122" s="787">
        <v>83000</v>
      </c>
      <c r="G122" s="787">
        <v>1631000</v>
      </c>
      <c r="H122" s="787">
        <v>88500</v>
      </c>
      <c r="I122" s="787">
        <v>127500</v>
      </c>
      <c r="J122" s="787">
        <v>576736</v>
      </c>
      <c r="K122" s="786">
        <v>1.78</v>
      </c>
      <c r="L122" s="790" t="s">
        <v>283</v>
      </c>
      <c r="M122" s="792">
        <v>1631000</v>
      </c>
      <c r="N122" s="792">
        <v>90000</v>
      </c>
      <c r="O122" s="792">
        <v>87000</v>
      </c>
      <c r="P122" s="792">
        <v>83000</v>
      </c>
      <c r="Q122" s="792">
        <v>122000</v>
      </c>
      <c r="R122" s="792">
        <v>121000</v>
      </c>
      <c r="S122" s="792">
        <v>133000</v>
      </c>
      <c r="T122" s="791" t="s">
        <v>283</v>
      </c>
      <c r="U122" s="791" t="s">
        <v>283</v>
      </c>
      <c r="V122" s="772" t="s">
        <v>283</v>
      </c>
      <c r="W122" s="765" t="s">
        <v>283</v>
      </c>
      <c r="X122" s="765" t="s">
        <v>283</v>
      </c>
      <c r="Y122" s="765" t="s">
        <v>283</v>
      </c>
      <c r="Z122" s="765" t="s">
        <v>283</v>
      </c>
      <c r="AA122" s="765" t="s">
        <v>283</v>
      </c>
      <c r="AB122" s="765" t="s">
        <v>283</v>
      </c>
      <c r="AC122" s="765" t="s">
        <v>283</v>
      </c>
      <c r="AD122" s="765" t="s">
        <v>283</v>
      </c>
      <c r="AE122" s="765" t="s">
        <v>283</v>
      </c>
      <c r="AF122" s="765" t="s">
        <v>283</v>
      </c>
      <c r="AG122" s="765" t="s">
        <v>283</v>
      </c>
      <c r="AH122" s="765" t="s">
        <v>283</v>
      </c>
      <c r="AI122" s="765" t="s">
        <v>283</v>
      </c>
      <c r="AJ122" s="765" t="s">
        <v>283</v>
      </c>
      <c r="AK122" s="765" t="s">
        <v>283</v>
      </c>
      <c r="AL122" s="765" t="s">
        <v>283</v>
      </c>
      <c r="AM122" s="765" t="s">
        <v>283</v>
      </c>
      <c r="AN122" s="765" t="s">
        <v>283</v>
      </c>
      <c r="AO122" s="765" t="s">
        <v>283</v>
      </c>
      <c r="AP122" s="765" t="s">
        <v>283</v>
      </c>
      <c r="AQ122" s="765" t="s">
        <v>283</v>
      </c>
      <c r="AR122" s="765" t="s">
        <v>283</v>
      </c>
      <c r="AS122" s="765" t="s">
        <v>283</v>
      </c>
      <c r="AT122" s="765" t="s">
        <v>283</v>
      </c>
    </row>
    <row r="123" spans="1:46" ht="15">
      <c r="A123" s="765" t="s">
        <v>283</v>
      </c>
      <c r="B123" s="769" t="s">
        <v>283</v>
      </c>
      <c r="C123" s="773" t="s">
        <v>542</v>
      </c>
      <c r="D123" s="780">
        <v>33000</v>
      </c>
      <c r="E123" s="780">
        <v>31857</v>
      </c>
      <c r="F123" s="780">
        <v>19000</v>
      </c>
      <c r="G123" s="780">
        <v>49000</v>
      </c>
      <c r="H123" s="780">
        <v>25000</v>
      </c>
      <c r="I123" s="780">
        <v>36000</v>
      </c>
      <c r="J123" s="780">
        <v>10123</v>
      </c>
      <c r="K123" s="779">
        <v>0.32</v>
      </c>
      <c r="L123" s="771"/>
      <c r="M123" s="783">
        <v>49000</v>
      </c>
      <c r="N123" s="783">
        <v>33000</v>
      </c>
      <c r="O123" s="783">
        <v>38000</v>
      </c>
      <c r="P123" s="783">
        <v>34000</v>
      </c>
      <c r="Q123" s="783">
        <v>22000</v>
      </c>
      <c r="R123" s="783">
        <v>19000</v>
      </c>
      <c r="S123" s="783">
        <v>28000</v>
      </c>
      <c r="T123" s="773"/>
      <c r="U123" s="773"/>
      <c r="V123" s="772" t="s">
        <v>283</v>
      </c>
      <c r="W123" s="765" t="s">
        <v>283</v>
      </c>
      <c r="X123" s="765" t="s">
        <v>283</v>
      </c>
      <c r="Y123" s="765" t="s">
        <v>283</v>
      </c>
      <c r="Z123" s="765" t="s">
        <v>283</v>
      </c>
      <c r="AA123" s="765" t="s">
        <v>283</v>
      </c>
      <c r="AB123" s="765" t="s">
        <v>283</v>
      </c>
      <c r="AC123" s="765" t="s">
        <v>283</v>
      </c>
      <c r="AD123" s="765" t="s">
        <v>283</v>
      </c>
      <c r="AE123" s="765" t="s">
        <v>283</v>
      </c>
      <c r="AF123" s="765" t="s">
        <v>283</v>
      </c>
      <c r="AG123" s="765" t="s">
        <v>283</v>
      </c>
      <c r="AH123" s="765" t="s">
        <v>283</v>
      </c>
      <c r="AI123" s="765" t="s">
        <v>283</v>
      </c>
      <c r="AJ123" s="765" t="s">
        <v>283</v>
      </c>
      <c r="AK123" s="765" t="s">
        <v>283</v>
      </c>
      <c r="AL123" s="765" t="s">
        <v>283</v>
      </c>
      <c r="AM123" s="765" t="s">
        <v>283</v>
      </c>
      <c r="AN123" s="765" t="s">
        <v>283</v>
      </c>
      <c r="AO123" s="765" t="s">
        <v>283</v>
      </c>
      <c r="AP123" s="765" t="s">
        <v>283</v>
      </c>
      <c r="AQ123" s="765" t="s">
        <v>283</v>
      </c>
      <c r="AR123" s="765" t="s">
        <v>283</v>
      </c>
      <c r="AS123" s="765" t="s">
        <v>283</v>
      </c>
      <c r="AT123" s="765" t="s">
        <v>283</v>
      </c>
    </row>
    <row r="124" spans="1:46" ht="15">
      <c r="A124" s="765" t="s">
        <v>283</v>
      </c>
      <c r="B124" s="769" t="s">
        <v>283</v>
      </c>
      <c r="C124" s="776" t="s">
        <v>543</v>
      </c>
      <c r="D124" s="787">
        <v>140000</v>
      </c>
      <c r="E124" s="787">
        <v>355714</v>
      </c>
      <c r="F124" s="787">
        <v>117000</v>
      </c>
      <c r="G124" s="787">
        <v>1680000</v>
      </c>
      <c r="H124" s="787">
        <v>124000</v>
      </c>
      <c r="I124" s="787">
        <v>152500</v>
      </c>
      <c r="J124" s="787">
        <v>584148</v>
      </c>
      <c r="K124" s="786">
        <v>1.64</v>
      </c>
      <c r="L124" s="790" t="s">
        <v>283</v>
      </c>
      <c r="M124" s="792">
        <v>1680000</v>
      </c>
      <c r="N124" s="792">
        <v>123000</v>
      </c>
      <c r="O124" s="792">
        <v>125000</v>
      </c>
      <c r="P124" s="792">
        <v>117000</v>
      </c>
      <c r="Q124" s="792">
        <v>144000</v>
      </c>
      <c r="R124" s="792">
        <v>140000</v>
      </c>
      <c r="S124" s="792">
        <v>161000</v>
      </c>
      <c r="T124" s="791" t="s">
        <v>283</v>
      </c>
      <c r="U124" s="791" t="s">
        <v>283</v>
      </c>
      <c r="V124" s="772" t="s">
        <v>283</v>
      </c>
      <c r="W124" s="765" t="s">
        <v>283</v>
      </c>
      <c r="X124" s="765" t="s">
        <v>283</v>
      </c>
      <c r="Y124" s="765" t="s">
        <v>283</v>
      </c>
      <c r="Z124" s="765" t="s">
        <v>283</v>
      </c>
      <c r="AA124" s="765" t="s">
        <v>283</v>
      </c>
      <c r="AB124" s="765" t="s">
        <v>283</v>
      </c>
      <c r="AC124" s="765" t="s">
        <v>283</v>
      </c>
      <c r="AD124" s="765" t="s">
        <v>283</v>
      </c>
      <c r="AE124" s="765" t="s">
        <v>283</v>
      </c>
      <c r="AF124" s="765" t="s">
        <v>283</v>
      </c>
      <c r="AG124" s="765" t="s">
        <v>283</v>
      </c>
      <c r="AH124" s="765" t="s">
        <v>283</v>
      </c>
      <c r="AI124" s="765" t="s">
        <v>283</v>
      </c>
      <c r="AJ124" s="765" t="s">
        <v>283</v>
      </c>
      <c r="AK124" s="765" t="s">
        <v>283</v>
      </c>
      <c r="AL124" s="765" t="s">
        <v>283</v>
      </c>
      <c r="AM124" s="765" t="s">
        <v>283</v>
      </c>
      <c r="AN124" s="765" t="s">
        <v>283</v>
      </c>
      <c r="AO124" s="765" t="s">
        <v>283</v>
      </c>
      <c r="AP124" s="765" t="s">
        <v>283</v>
      </c>
      <c r="AQ124" s="765" t="s">
        <v>283</v>
      </c>
      <c r="AR124" s="765" t="s">
        <v>283</v>
      </c>
      <c r="AS124" s="765" t="s">
        <v>283</v>
      </c>
      <c r="AT124" s="765" t="s">
        <v>283</v>
      </c>
    </row>
    <row r="125" spans="1:46" ht="15">
      <c r="A125" s="765" t="s">
        <v>283</v>
      </c>
      <c r="B125" s="769" t="s">
        <v>283</v>
      </c>
      <c r="C125" s="776" t="s">
        <v>544</v>
      </c>
      <c r="D125" s="787">
        <v>140000</v>
      </c>
      <c r="E125" s="787">
        <v>355714</v>
      </c>
      <c r="F125" s="787">
        <v>117000</v>
      </c>
      <c r="G125" s="787">
        <v>1680000</v>
      </c>
      <c r="H125" s="787">
        <v>124000</v>
      </c>
      <c r="I125" s="787">
        <v>152500</v>
      </c>
      <c r="J125" s="787">
        <v>584148</v>
      </c>
      <c r="K125" s="786">
        <v>1.64</v>
      </c>
      <c r="L125" s="790" t="s">
        <v>283</v>
      </c>
      <c r="M125" s="792">
        <v>1680000</v>
      </c>
      <c r="N125" s="792">
        <v>123000</v>
      </c>
      <c r="O125" s="792">
        <v>125000</v>
      </c>
      <c r="P125" s="792">
        <v>117000</v>
      </c>
      <c r="Q125" s="792">
        <v>144000</v>
      </c>
      <c r="R125" s="792">
        <v>140000</v>
      </c>
      <c r="S125" s="792">
        <v>161000</v>
      </c>
      <c r="T125" s="791" t="s">
        <v>283</v>
      </c>
      <c r="U125" s="791" t="s">
        <v>283</v>
      </c>
      <c r="V125" s="772" t="s">
        <v>283</v>
      </c>
      <c r="W125" s="765" t="s">
        <v>283</v>
      </c>
      <c r="X125" s="765" t="s">
        <v>283</v>
      </c>
      <c r="Y125" s="765" t="s">
        <v>283</v>
      </c>
      <c r="Z125" s="765" t="s">
        <v>283</v>
      </c>
      <c r="AA125" s="765" t="s">
        <v>283</v>
      </c>
      <c r="AB125" s="765" t="s">
        <v>283</v>
      </c>
      <c r="AC125" s="765" t="s">
        <v>283</v>
      </c>
      <c r="AD125" s="765" t="s">
        <v>283</v>
      </c>
      <c r="AE125" s="765" t="s">
        <v>283</v>
      </c>
      <c r="AF125" s="765" t="s">
        <v>283</v>
      </c>
      <c r="AG125" s="765" t="s">
        <v>283</v>
      </c>
      <c r="AH125" s="765" t="s">
        <v>283</v>
      </c>
      <c r="AI125" s="765" t="s">
        <v>283</v>
      </c>
      <c r="AJ125" s="765" t="s">
        <v>283</v>
      </c>
      <c r="AK125" s="765" t="s">
        <v>283</v>
      </c>
      <c r="AL125" s="765" t="s">
        <v>283</v>
      </c>
      <c r="AM125" s="765" t="s">
        <v>283</v>
      </c>
      <c r="AN125" s="765" t="s">
        <v>283</v>
      </c>
      <c r="AO125" s="765" t="s">
        <v>283</v>
      </c>
      <c r="AP125" s="765" t="s">
        <v>283</v>
      </c>
      <c r="AQ125" s="765" t="s">
        <v>283</v>
      </c>
      <c r="AR125" s="765" t="s">
        <v>283</v>
      </c>
      <c r="AS125" s="765" t="s">
        <v>283</v>
      </c>
      <c r="AT125" s="765" t="s">
        <v>283</v>
      </c>
    </row>
    <row r="126" spans="1:46" ht="15">
      <c r="A126" s="765" t="s">
        <v>283</v>
      </c>
      <c r="B126" s="769" t="s">
        <v>283</v>
      </c>
      <c r="C126" s="773" t="s">
        <v>545</v>
      </c>
      <c r="D126" s="779">
        <v>0</v>
      </c>
      <c r="E126" s="780">
        <v>32667</v>
      </c>
      <c r="F126" s="779">
        <v>0</v>
      </c>
      <c r="G126" s="780">
        <v>98000</v>
      </c>
      <c r="H126" s="779">
        <v>0</v>
      </c>
      <c r="I126" s="780">
        <v>49000</v>
      </c>
      <c r="J126" s="780">
        <v>56580</v>
      </c>
      <c r="K126" s="779">
        <v>1.73</v>
      </c>
      <c r="L126" s="771"/>
      <c r="M126" s="773">
        <v>0</v>
      </c>
      <c r="N126" s="783">
        <v>98000</v>
      </c>
      <c r="O126" s="773">
        <v>0</v>
      </c>
      <c r="P126" s="773"/>
      <c r="Q126" s="773"/>
      <c r="R126" s="773"/>
      <c r="S126" s="773"/>
      <c r="T126" s="773"/>
      <c r="U126" s="773"/>
      <c r="V126" s="772" t="s">
        <v>283</v>
      </c>
      <c r="W126" s="765" t="s">
        <v>283</v>
      </c>
      <c r="X126" s="765" t="s">
        <v>283</v>
      </c>
      <c r="Y126" s="765" t="s">
        <v>283</v>
      </c>
      <c r="Z126" s="765" t="s">
        <v>283</v>
      </c>
      <c r="AA126" s="765" t="s">
        <v>283</v>
      </c>
      <c r="AB126" s="765" t="s">
        <v>283</v>
      </c>
      <c r="AC126" s="765" t="s">
        <v>283</v>
      </c>
      <c r="AD126" s="765" t="s">
        <v>283</v>
      </c>
      <c r="AE126" s="765" t="s">
        <v>283</v>
      </c>
      <c r="AF126" s="765" t="s">
        <v>283</v>
      </c>
      <c r="AG126" s="765" t="s">
        <v>283</v>
      </c>
      <c r="AH126" s="765" t="s">
        <v>283</v>
      </c>
      <c r="AI126" s="765" t="s">
        <v>283</v>
      </c>
      <c r="AJ126" s="765" t="s">
        <v>283</v>
      </c>
      <c r="AK126" s="765" t="s">
        <v>283</v>
      </c>
      <c r="AL126" s="765" t="s">
        <v>283</v>
      </c>
      <c r="AM126" s="765" t="s">
        <v>283</v>
      </c>
      <c r="AN126" s="765" t="s">
        <v>283</v>
      </c>
      <c r="AO126" s="765" t="s">
        <v>283</v>
      </c>
      <c r="AP126" s="765" t="s">
        <v>283</v>
      </c>
      <c r="AQ126" s="765" t="s">
        <v>283</v>
      </c>
      <c r="AR126" s="765" t="s">
        <v>283</v>
      </c>
      <c r="AS126" s="765" t="s">
        <v>283</v>
      </c>
      <c r="AT126" s="765" t="s">
        <v>283</v>
      </c>
    </row>
    <row r="127" spans="1:46" ht="15">
      <c r="A127" s="765" t="s">
        <v>283</v>
      </c>
      <c r="B127" s="769" t="s">
        <v>283</v>
      </c>
      <c r="C127" s="776" t="s">
        <v>546</v>
      </c>
      <c r="D127" s="787">
        <v>144000</v>
      </c>
      <c r="E127" s="787">
        <v>369714</v>
      </c>
      <c r="F127" s="787">
        <v>117000</v>
      </c>
      <c r="G127" s="787">
        <v>1680000</v>
      </c>
      <c r="H127" s="787">
        <v>132500</v>
      </c>
      <c r="I127" s="787">
        <v>191000</v>
      </c>
      <c r="J127" s="787">
        <v>578791</v>
      </c>
      <c r="K127" s="786">
        <v>1.57</v>
      </c>
      <c r="L127" s="790" t="s">
        <v>283</v>
      </c>
      <c r="M127" s="792">
        <v>1680000</v>
      </c>
      <c r="N127" s="792">
        <v>221000</v>
      </c>
      <c r="O127" s="792">
        <v>125000</v>
      </c>
      <c r="P127" s="792">
        <v>117000</v>
      </c>
      <c r="Q127" s="792">
        <v>144000</v>
      </c>
      <c r="R127" s="792">
        <v>140000</v>
      </c>
      <c r="S127" s="792">
        <v>161000</v>
      </c>
      <c r="T127" s="791" t="s">
        <v>283</v>
      </c>
      <c r="U127" s="791" t="s">
        <v>283</v>
      </c>
      <c r="V127" s="772" t="s">
        <v>283</v>
      </c>
      <c r="W127" s="765" t="s">
        <v>283</v>
      </c>
      <c r="X127" s="765" t="s">
        <v>283</v>
      </c>
      <c r="Y127" s="765" t="s">
        <v>283</v>
      </c>
      <c r="Z127" s="765" t="s">
        <v>283</v>
      </c>
      <c r="AA127" s="765" t="s">
        <v>283</v>
      </c>
      <c r="AB127" s="765" t="s">
        <v>283</v>
      </c>
      <c r="AC127" s="765" t="s">
        <v>283</v>
      </c>
      <c r="AD127" s="765" t="s">
        <v>283</v>
      </c>
      <c r="AE127" s="765" t="s">
        <v>283</v>
      </c>
      <c r="AF127" s="765" t="s">
        <v>283</v>
      </c>
      <c r="AG127" s="765" t="s">
        <v>283</v>
      </c>
      <c r="AH127" s="765" t="s">
        <v>283</v>
      </c>
      <c r="AI127" s="765" t="s">
        <v>283</v>
      </c>
      <c r="AJ127" s="765" t="s">
        <v>283</v>
      </c>
      <c r="AK127" s="765" t="s">
        <v>283</v>
      </c>
      <c r="AL127" s="765" t="s">
        <v>283</v>
      </c>
      <c r="AM127" s="765" t="s">
        <v>283</v>
      </c>
      <c r="AN127" s="765" t="s">
        <v>283</v>
      </c>
      <c r="AO127" s="765" t="s">
        <v>283</v>
      </c>
      <c r="AP127" s="765" t="s">
        <v>283</v>
      </c>
      <c r="AQ127" s="765" t="s">
        <v>283</v>
      </c>
      <c r="AR127" s="765" t="s">
        <v>283</v>
      </c>
      <c r="AS127" s="765" t="s">
        <v>283</v>
      </c>
      <c r="AT127" s="765" t="s">
        <v>283</v>
      </c>
    </row>
    <row r="128" spans="1:46" ht="15">
      <c r="A128" s="765" t="s">
        <v>283</v>
      </c>
      <c r="B128" s="769" t="s">
        <v>283</v>
      </c>
      <c r="C128" s="773" t="s">
        <v>547</v>
      </c>
      <c r="D128" s="780">
        <v>35000</v>
      </c>
      <c r="E128" s="780">
        <v>30857</v>
      </c>
      <c r="F128" s="780">
        <v>3000</v>
      </c>
      <c r="G128" s="780">
        <v>41000</v>
      </c>
      <c r="H128" s="780">
        <v>30000</v>
      </c>
      <c r="I128" s="780">
        <v>38500</v>
      </c>
      <c r="J128" s="780">
        <v>13322</v>
      </c>
      <c r="K128" s="779">
        <v>0.43</v>
      </c>
      <c r="L128" s="771"/>
      <c r="M128" s="783">
        <v>25000</v>
      </c>
      <c r="N128" s="783">
        <v>41000</v>
      </c>
      <c r="O128" s="783">
        <v>39000</v>
      </c>
      <c r="P128" s="783">
        <v>38000</v>
      </c>
      <c r="Q128" s="783">
        <v>35000</v>
      </c>
      <c r="R128" s="783">
        <v>35000</v>
      </c>
      <c r="S128" s="783">
        <v>3000</v>
      </c>
      <c r="T128" s="773"/>
      <c r="U128" s="773"/>
      <c r="V128" s="772" t="s">
        <v>283</v>
      </c>
      <c r="W128" s="765" t="s">
        <v>283</v>
      </c>
      <c r="X128" s="765" t="s">
        <v>283</v>
      </c>
      <c r="Y128" s="765" t="s">
        <v>283</v>
      </c>
      <c r="Z128" s="765" t="s">
        <v>283</v>
      </c>
      <c r="AA128" s="765" t="s">
        <v>283</v>
      </c>
      <c r="AB128" s="765" t="s">
        <v>283</v>
      </c>
      <c r="AC128" s="765" t="s">
        <v>283</v>
      </c>
      <c r="AD128" s="765" t="s">
        <v>283</v>
      </c>
      <c r="AE128" s="765" t="s">
        <v>283</v>
      </c>
      <c r="AF128" s="765" t="s">
        <v>283</v>
      </c>
      <c r="AG128" s="765" t="s">
        <v>283</v>
      </c>
      <c r="AH128" s="765" t="s">
        <v>283</v>
      </c>
      <c r="AI128" s="765" t="s">
        <v>283</v>
      </c>
      <c r="AJ128" s="765" t="s">
        <v>283</v>
      </c>
      <c r="AK128" s="765" t="s">
        <v>283</v>
      </c>
      <c r="AL128" s="765" t="s">
        <v>283</v>
      </c>
      <c r="AM128" s="765" t="s">
        <v>283</v>
      </c>
      <c r="AN128" s="765" t="s">
        <v>283</v>
      </c>
      <c r="AO128" s="765" t="s">
        <v>283</v>
      </c>
      <c r="AP128" s="765" t="s">
        <v>283</v>
      </c>
      <c r="AQ128" s="765" t="s">
        <v>283</v>
      </c>
      <c r="AR128" s="765" t="s">
        <v>283</v>
      </c>
      <c r="AS128" s="765" t="s">
        <v>283</v>
      </c>
      <c r="AT128" s="765" t="s">
        <v>283</v>
      </c>
    </row>
    <row r="129" spans="1:46" ht="15">
      <c r="A129" s="765" t="s">
        <v>283</v>
      </c>
      <c r="B129" s="769" t="s">
        <v>283</v>
      </c>
      <c r="C129" s="773" t="s">
        <v>548</v>
      </c>
      <c r="D129" s="774" t="s">
        <v>283</v>
      </c>
      <c r="E129" s="774" t="s">
        <v>283</v>
      </c>
      <c r="F129" s="774" t="s">
        <v>283</v>
      </c>
      <c r="G129" s="774" t="s">
        <v>283</v>
      </c>
      <c r="H129" s="774" t="s">
        <v>283</v>
      </c>
      <c r="I129" s="774" t="s">
        <v>283</v>
      </c>
      <c r="J129" s="774" t="s">
        <v>283</v>
      </c>
      <c r="K129" s="774" t="s">
        <v>283</v>
      </c>
      <c r="L129" s="771"/>
      <c r="M129" s="771"/>
      <c r="N129" s="771"/>
      <c r="O129" s="771"/>
      <c r="P129" s="771"/>
      <c r="Q129" s="771"/>
      <c r="R129" s="771"/>
      <c r="S129" s="771"/>
      <c r="T129" s="771"/>
      <c r="U129" s="771"/>
      <c r="V129" s="772" t="s">
        <v>283</v>
      </c>
      <c r="W129" s="765" t="s">
        <v>283</v>
      </c>
      <c r="X129" s="765" t="s">
        <v>283</v>
      </c>
      <c r="Y129" s="765" t="s">
        <v>283</v>
      </c>
      <c r="Z129" s="765" t="s">
        <v>283</v>
      </c>
      <c r="AA129" s="765" t="s">
        <v>283</v>
      </c>
      <c r="AB129" s="765" t="s">
        <v>283</v>
      </c>
      <c r="AC129" s="765" t="s">
        <v>283</v>
      </c>
      <c r="AD129" s="765" t="s">
        <v>283</v>
      </c>
      <c r="AE129" s="765" t="s">
        <v>283</v>
      </c>
      <c r="AF129" s="765" t="s">
        <v>283</v>
      </c>
      <c r="AG129" s="765" t="s">
        <v>283</v>
      </c>
      <c r="AH129" s="765" t="s">
        <v>283</v>
      </c>
      <c r="AI129" s="765" t="s">
        <v>283</v>
      </c>
      <c r="AJ129" s="765" t="s">
        <v>283</v>
      </c>
      <c r="AK129" s="765" t="s">
        <v>283</v>
      </c>
      <c r="AL129" s="765" t="s">
        <v>283</v>
      </c>
      <c r="AM129" s="765" t="s">
        <v>283</v>
      </c>
      <c r="AN129" s="765" t="s">
        <v>283</v>
      </c>
      <c r="AO129" s="765" t="s">
        <v>283</v>
      </c>
      <c r="AP129" s="765" t="s">
        <v>283</v>
      </c>
      <c r="AQ129" s="765" t="s">
        <v>283</v>
      </c>
      <c r="AR129" s="765" t="s">
        <v>283</v>
      </c>
      <c r="AS129" s="765" t="s">
        <v>283</v>
      </c>
      <c r="AT129" s="765" t="s">
        <v>283</v>
      </c>
    </row>
    <row r="130" spans="1:46" ht="15">
      <c r="A130" s="765" t="s">
        <v>283</v>
      </c>
      <c r="B130" s="769" t="s">
        <v>283</v>
      </c>
      <c r="C130" s="773" t="s">
        <v>549</v>
      </c>
      <c r="D130" s="780">
        <v>197000</v>
      </c>
      <c r="E130" s="780">
        <v>545167</v>
      </c>
      <c r="F130" s="780">
        <v>9000</v>
      </c>
      <c r="G130" s="780">
        <v>1629000</v>
      </c>
      <c r="H130" s="780">
        <v>12250</v>
      </c>
      <c r="I130" s="780">
        <v>1015500</v>
      </c>
      <c r="J130" s="780">
        <v>710139</v>
      </c>
      <c r="K130" s="779">
        <v>1.3</v>
      </c>
      <c r="L130" s="771"/>
      <c r="M130" s="783">
        <v>1629000</v>
      </c>
      <c r="N130" s="783">
        <v>1227000</v>
      </c>
      <c r="O130" s="783">
        <v>381000</v>
      </c>
      <c r="P130" s="783">
        <v>12000</v>
      </c>
      <c r="Q130" s="783">
        <v>9000</v>
      </c>
      <c r="R130" s="783">
        <v>13000</v>
      </c>
      <c r="S130" s="773"/>
      <c r="T130" s="773"/>
      <c r="U130" s="773"/>
      <c r="V130" s="772" t="s">
        <v>283</v>
      </c>
      <c r="W130" s="765" t="s">
        <v>283</v>
      </c>
      <c r="X130" s="765" t="s">
        <v>283</v>
      </c>
      <c r="Y130" s="765" t="s">
        <v>283</v>
      </c>
      <c r="Z130" s="765" t="s">
        <v>283</v>
      </c>
      <c r="AA130" s="765" t="s">
        <v>283</v>
      </c>
      <c r="AB130" s="765" t="s">
        <v>283</v>
      </c>
      <c r="AC130" s="765" t="s">
        <v>283</v>
      </c>
      <c r="AD130" s="765" t="s">
        <v>283</v>
      </c>
      <c r="AE130" s="765" t="s">
        <v>283</v>
      </c>
      <c r="AF130" s="765" t="s">
        <v>283</v>
      </c>
      <c r="AG130" s="765" t="s">
        <v>283</v>
      </c>
      <c r="AH130" s="765" t="s">
        <v>283</v>
      </c>
      <c r="AI130" s="765" t="s">
        <v>283</v>
      </c>
      <c r="AJ130" s="765" t="s">
        <v>283</v>
      </c>
      <c r="AK130" s="765" t="s">
        <v>283</v>
      </c>
      <c r="AL130" s="765" t="s">
        <v>283</v>
      </c>
      <c r="AM130" s="765" t="s">
        <v>283</v>
      </c>
      <c r="AN130" s="765" t="s">
        <v>283</v>
      </c>
      <c r="AO130" s="765" t="s">
        <v>283</v>
      </c>
      <c r="AP130" s="765" t="s">
        <v>283</v>
      </c>
      <c r="AQ130" s="765" t="s">
        <v>283</v>
      </c>
      <c r="AR130" s="765" t="s">
        <v>283</v>
      </c>
      <c r="AS130" s="765" t="s">
        <v>283</v>
      </c>
      <c r="AT130" s="765" t="s">
        <v>283</v>
      </c>
    </row>
    <row r="131" spans="1:46" ht="15">
      <c r="A131" s="765" t="s">
        <v>283</v>
      </c>
      <c r="B131" s="769" t="s">
        <v>283</v>
      </c>
      <c r="C131" s="776" t="s">
        <v>550</v>
      </c>
      <c r="D131" s="787">
        <v>197000</v>
      </c>
      <c r="E131" s="787">
        <v>545167</v>
      </c>
      <c r="F131" s="787">
        <v>9000</v>
      </c>
      <c r="G131" s="787">
        <v>1629000</v>
      </c>
      <c r="H131" s="787">
        <v>12250</v>
      </c>
      <c r="I131" s="787">
        <v>1015500</v>
      </c>
      <c r="J131" s="787">
        <v>710139</v>
      </c>
      <c r="K131" s="786">
        <v>1.3</v>
      </c>
      <c r="L131" s="790" t="s">
        <v>283</v>
      </c>
      <c r="M131" s="792">
        <v>1629000</v>
      </c>
      <c r="N131" s="792">
        <v>1227000</v>
      </c>
      <c r="O131" s="792">
        <v>381000</v>
      </c>
      <c r="P131" s="792">
        <v>12000</v>
      </c>
      <c r="Q131" s="792">
        <v>9000</v>
      </c>
      <c r="R131" s="792">
        <v>13000</v>
      </c>
      <c r="S131" s="791" t="s">
        <v>283</v>
      </c>
      <c r="T131" s="791" t="s">
        <v>283</v>
      </c>
      <c r="U131" s="791" t="s">
        <v>283</v>
      </c>
      <c r="V131" s="772" t="s">
        <v>283</v>
      </c>
      <c r="W131" s="765" t="s">
        <v>283</v>
      </c>
      <c r="X131" s="765" t="s">
        <v>283</v>
      </c>
      <c r="Y131" s="765" t="s">
        <v>283</v>
      </c>
      <c r="Z131" s="765" t="s">
        <v>283</v>
      </c>
      <c r="AA131" s="765" t="s">
        <v>283</v>
      </c>
      <c r="AB131" s="765" t="s">
        <v>283</v>
      </c>
      <c r="AC131" s="765" t="s">
        <v>283</v>
      </c>
      <c r="AD131" s="765" t="s">
        <v>283</v>
      </c>
      <c r="AE131" s="765" t="s">
        <v>283</v>
      </c>
      <c r="AF131" s="765" t="s">
        <v>283</v>
      </c>
      <c r="AG131" s="765" t="s">
        <v>283</v>
      </c>
      <c r="AH131" s="765" t="s">
        <v>283</v>
      </c>
      <c r="AI131" s="765" t="s">
        <v>283</v>
      </c>
      <c r="AJ131" s="765" t="s">
        <v>283</v>
      </c>
      <c r="AK131" s="765" t="s">
        <v>283</v>
      </c>
      <c r="AL131" s="765" t="s">
        <v>283</v>
      </c>
      <c r="AM131" s="765" t="s">
        <v>283</v>
      </c>
      <c r="AN131" s="765" t="s">
        <v>283</v>
      </c>
      <c r="AO131" s="765" t="s">
        <v>283</v>
      </c>
      <c r="AP131" s="765" t="s">
        <v>283</v>
      </c>
      <c r="AQ131" s="765" t="s">
        <v>283</v>
      </c>
      <c r="AR131" s="765" t="s">
        <v>283</v>
      </c>
      <c r="AS131" s="765" t="s">
        <v>283</v>
      </c>
      <c r="AT131" s="765" t="s">
        <v>283</v>
      </c>
    </row>
    <row r="132" spans="1:46" ht="15">
      <c r="A132" s="765" t="s">
        <v>283</v>
      </c>
      <c r="B132" s="769" t="s">
        <v>283</v>
      </c>
      <c r="C132" s="776" t="s">
        <v>551</v>
      </c>
      <c r="D132" s="787">
        <v>1026000</v>
      </c>
      <c r="E132" s="787">
        <v>1429950</v>
      </c>
      <c r="F132" s="787">
        <v>26401</v>
      </c>
      <c r="G132" s="787">
        <v>4627000</v>
      </c>
      <c r="H132" s="787">
        <v>783000</v>
      </c>
      <c r="I132" s="787">
        <v>1478000</v>
      </c>
      <c r="J132" s="787">
        <v>1398274</v>
      </c>
      <c r="K132" s="786">
        <v>0.98</v>
      </c>
      <c r="L132" s="790" t="s">
        <v>283</v>
      </c>
      <c r="M132" s="792">
        <v>4627000</v>
      </c>
      <c r="N132" s="792">
        <v>2592000</v>
      </c>
      <c r="O132" s="792">
        <v>1478000</v>
      </c>
      <c r="P132" s="792">
        <v>1097000</v>
      </c>
      <c r="Q132" s="792">
        <v>1026000</v>
      </c>
      <c r="R132" s="792">
        <v>836000</v>
      </c>
      <c r="S132" s="792">
        <v>783000</v>
      </c>
      <c r="T132" s="792">
        <v>404150</v>
      </c>
      <c r="U132" s="792">
        <v>26401</v>
      </c>
      <c r="V132" s="772" t="s">
        <v>283</v>
      </c>
      <c r="W132" s="765" t="s">
        <v>283</v>
      </c>
      <c r="X132" s="765" t="s">
        <v>283</v>
      </c>
      <c r="Y132" s="765" t="s">
        <v>283</v>
      </c>
      <c r="Z132" s="765" t="s">
        <v>283</v>
      </c>
      <c r="AA132" s="765" t="s">
        <v>283</v>
      </c>
      <c r="AB132" s="765" t="s">
        <v>283</v>
      </c>
      <c r="AC132" s="765" t="s">
        <v>283</v>
      </c>
      <c r="AD132" s="765" t="s">
        <v>283</v>
      </c>
      <c r="AE132" s="765" t="s">
        <v>283</v>
      </c>
      <c r="AF132" s="765" t="s">
        <v>283</v>
      </c>
      <c r="AG132" s="765" t="s">
        <v>283</v>
      </c>
      <c r="AH132" s="765" t="s">
        <v>283</v>
      </c>
      <c r="AI132" s="765" t="s">
        <v>283</v>
      </c>
      <c r="AJ132" s="765" t="s">
        <v>283</v>
      </c>
      <c r="AK132" s="765" t="s">
        <v>283</v>
      </c>
      <c r="AL132" s="765" t="s">
        <v>283</v>
      </c>
      <c r="AM132" s="765" t="s">
        <v>283</v>
      </c>
      <c r="AN132" s="765" t="s">
        <v>283</v>
      </c>
      <c r="AO132" s="765" t="s">
        <v>283</v>
      </c>
      <c r="AP132" s="765" t="s">
        <v>283</v>
      </c>
      <c r="AQ132" s="765" t="s">
        <v>283</v>
      </c>
      <c r="AR132" s="765" t="s">
        <v>283</v>
      </c>
      <c r="AS132" s="765" t="s">
        <v>283</v>
      </c>
      <c r="AT132" s="765" t="s">
        <v>283</v>
      </c>
    </row>
    <row r="133" spans="1:46" ht="15">
      <c r="A133" s="765" t="s">
        <v>283</v>
      </c>
      <c r="B133" s="769" t="s">
        <v>283</v>
      </c>
      <c r="C133" s="773" t="s">
        <v>552</v>
      </c>
      <c r="D133" s="774" t="s">
        <v>283</v>
      </c>
      <c r="E133" s="774" t="s">
        <v>283</v>
      </c>
      <c r="F133" s="774" t="s">
        <v>283</v>
      </c>
      <c r="G133" s="774" t="s">
        <v>283</v>
      </c>
      <c r="H133" s="774" t="s">
        <v>283</v>
      </c>
      <c r="I133" s="774" t="s">
        <v>283</v>
      </c>
      <c r="J133" s="774" t="s">
        <v>283</v>
      </c>
      <c r="K133" s="774" t="s">
        <v>283</v>
      </c>
      <c r="L133" s="771"/>
      <c r="M133" s="771"/>
      <c r="N133" s="771"/>
      <c r="O133" s="771"/>
      <c r="P133" s="771"/>
      <c r="Q133" s="771"/>
      <c r="R133" s="771"/>
      <c r="S133" s="771"/>
      <c r="T133" s="771"/>
      <c r="U133" s="771"/>
      <c r="V133" s="772" t="s">
        <v>283</v>
      </c>
      <c r="W133" s="765" t="s">
        <v>283</v>
      </c>
      <c r="X133" s="765" t="s">
        <v>283</v>
      </c>
      <c r="Y133" s="765" t="s">
        <v>283</v>
      </c>
      <c r="Z133" s="765" t="s">
        <v>283</v>
      </c>
      <c r="AA133" s="765" t="s">
        <v>283</v>
      </c>
      <c r="AB133" s="765" t="s">
        <v>283</v>
      </c>
      <c r="AC133" s="765" t="s">
        <v>283</v>
      </c>
      <c r="AD133" s="765" t="s">
        <v>283</v>
      </c>
      <c r="AE133" s="765" t="s">
        <v>283</v>
      </c>
      <c r="AF133" s="765" t="s">
        <v>283</v>
      </c>
      <c r="AG133" s="765" t="s">
        <v>283</v>
      </c>
      <c r="AH133" s="765" t="s">
        <v>283</v>
      </c>
      <c r="AI133" s="765" t="s">
        <v>283</v>
      </c>
      <c r="AJ133" s="765" t="s">
        <v>283</v>
      </c>
      <c r="AK133" s="765" t="s">
        <v>283</v>
      </c>
      <c r="AL133" s="765" t="s">
        <v>283</v>
      </c>
      <c r="AM133" s="765" t="s">
        <v>283</v>
      </c>
      <c r="AN133" s="765" t="s">
        <v>283</v>
      </c>
      <c r="AO133" s="765" t="s">
        <v>283</v>
      </c>
      <c r="AP133" s="765" t="s">
        <v>283</v>
      </c>
      <c r="AQ133" s="765" t="s">
        <v>283</v>
      </c>
      <c r="AR133" s="765" t="s">
        <v>283</v>
      </c>
      <c r="AS133" s="765" t="s">
        <v>283</v>
      </c>
      <c r="AT133" s="765" t="s">
        <v>283</v>
      </c>
    </row>
    <row r="134" spans="1:46" ht="15">
      <c r="A134" s="765" t="s">
        <v>283</v>
      </c>
      <c r="B134" s="769" t="s">
        <v>283</v>
      </c>
      <c r="C134" s="773" t="s">
        <v>553</v>
      </c>
      <c r="D134" s="774" t="s">
        <v>283</v>
      </c>
      <c r="E134" s="774" t="s">
        <v>283</v>
      </c>
      <c r="F134" s="774" t="s">
        <v>283</v>
      </c>
      <c r="G134" s="774" t="s">
        <v>283</v>
      </c>
      <c r="H134" s="774" t="s">
        <v>283</v>
      </c>
      <c r="I134" s="774" t="s">
        <v>283</v>
      </c>
      <c r="J134" s="774" t="s">
        <v>283</v>
      </c>
      <c r="K134" s="774" t="s">
        <v>283</v>
      </c>
      <c r="L134" s="771"/>
      <c r="M134" s="771"/>
      <c r="N134" s="771"/>
      <c r="O134" s="771"/>
      <c r="P134" s="771"/>
      <c r="Q134" s="771"/>
      <c r="R134" s="771"/>
      <c r="S134" s="771"/>
      <c r="T134" s="771"/>
      <c r="U134" s="771"/>
      <c r="V134" s="772" t="s">
        <v>283</v>
      </c>
      <c r="W134" s="765" t="s">
        <v>283</v>
      </c>
      <c r="X134" s="765" t="s">
        <v>283</v>
      </c>
      <c r="Y134" s="765" t="s">
        <v>283</v>
      </c>
      <c r="Z134" s="765" t="s">
        <v>283</v>
      </c>
      <c r="AA134" s="765" t="s">
        <v>283</v>
      </c>
      <c r="AB134" s="765" t="s">
        <v>283</v>
      </c>
      <c r="AC134" s="765" t="s">
        <v>283</v>
      </c>
      <c r="AD134" s="765" t="s">
        <v>283</v>
      </c>
      <c r="AE134" s="765" t="s">
        <v>283</v>
      </c>
      <c r="AF134" s="765" t="s">
        <v>283</v>
      </c>
      <c r="AG134" s="765" t="s">
        <v>283</v>
      </c>
      <c r="AH134" s="765" t="s">
        <v>283</v>
      </c>
      <c r="AI134" s="765" t="s">
        <v>283</v>
      </c>
      <c r="AJ134" s="765" t="s">
        <v>283</v>
      </c>
      <c r="AK134" s="765" t="s">
        <v>283</v>
      </c>
      <c r="AL134" s="765" t="s">
        <v>283</v>
      </c>
      <c r="AM134" s="765" t="s">
        <v>283</v>
      </c>
      <c r="AN134" s="765" t="s">
        <v>283</v>
      </c>
      <c r="AO134" s="765" t="s">
        <v>283</v>
      </c>
      <c r="AP134" s="765" t="s">
        <v>283</v>
      </c>
      <c r="AQ134" s="765" t="s">
        <v>283</v>
      </c>
      <c r="AR134" s="765" t="s">
        <v>283</v>
      </c>
      <c r="AS134" s="765" t="s">
        <v>283</v>
      </c>
      <c r="AT134" s="765" t="s">
        <v>283</v>
      </c>
    </row>
    <row r="135" spans="1:46" ht="15">
      <c r="A135" s="765" t="s">
        <v>283</v>
      </c>
      <c r="B135" s="769" t="s">
        <v>283</v>
      </c>
      <c r="C135" s="773" t="s">
        <v>554</v>
      </c>
      <c r="D135" s="774" t="s">
        <v>283</v>
      </c>
      <c r="E135" s="774" t="s">
        <v>283</v>
      </c>
      <c r="F135" s="774" t="s">
        <v>283</v>
      </c>
      <c r="G135" s="774" t="s">
        <v>283</v>
      </c>
      <c r="H135" s="774" t="s">
        <v>283</v>
      </c>
      <c r="I135" s="774" t="s">
        <v>283</v>
      </c>
      <c r="J135" s="774" t="s">
        <v>283</v>
      </c>
      <c r="K135" s="774" t="s">
        <v>283</v>
      </c>
      <c r="L135" s="771"/>
      <c r="M135" s="771"/>
      <c r="N135" s="771"/>
      <c r="O135" s="771"/>
      <c r="P135" s="771"/>
      <c r="Q135" s="771"/>
      <c r="R135" s="771"/>
      <c r="S135" s="771"/>
      <c r="T135" s="771"/>
      <c r="U135" s="771"/>
      <c r="V135" s="772" t="s">
        <v>283</v>
      </c>
      <c r="W135" s="765" t="s">
        <v>283</v>
      </c>
      <c r="X135" s="765" t="s">
        <v>283</v>
      </c>
      <c r="Y135" s="765" t="s">
        <v>283</v>
      </c>
      <c r="Z135" s="765" t="s">
        <v>283</v>
      </c>
      <c r="AA135" s="765" t="s">
        <v>283</v>
      </c>
      <c r="AB135" s="765" t="s">
        <v>283</v>
      </c>
      <c r="AC135" s="765" t="s">
        <v>283</v>
      </c>
      <c r="AD135" s="765" t="s">
        <v>283</v>
      </c>
      <c r="AE135" s="765" t="s">
        <v>283</v>
      </c>
      <c r="AF135" s="765" t="s">
        <v>283</v>
      </c>
      <c r="AG135" s="765" t="s">
        <v>283</v>
      </c>
      <c r="AH135" s="765" t="s">
        <v>283</v>
      </c>
      <c r="AI135" s="765" t="s">
        <v>283</v>
      </c>
      <c r="AJ135" s="765" t="s">
        <v>283</v>
      </c>
      <c r="AK135" s="765" t="s">
        <v>283</v>
      </c>
      <c r="AL135" s="765" t="s">
        <v>283</v>
      </c>
      <c r="AM135" s="765" t="s">
        <v>283</v>
      </c>
      <c r="AN135" s="765" t="s">
        <v>283</v>
      </c>
      <c r="AO135" s="765" t="s">
        <v>283</v>
      </c>
      <c r="AP135" s="765" t="s">
        <v>283</v>
      </c>
      <c r="AQ135" s="765" t="s">
        <v>283</v>
      </c>
      <c r="AR135" s="765" t="s">
        <v>283</v>
      </c>
      <c r="AS135" s="765" t="s">
        <v>283</v>
      </c>
      <c r="AT135" s="765" t="s">
        <v>283</v>
      </c>
    </row>
    <row r="136" spans="1:46" ht="15">
      <c r="A136" s="765" t="s">
        <v>283</v>
      </c>
      <c r="B136" s="769" t="s">
        <v>283</v>
      </c>
      <c r="C136" s="773" t="s">
        <v>555</v>
      </c>
      <c r="D136" s="774" t="s">
        <v>283</v>
      </c>
      <c r="E136" s="774" t="s">
        <v>283</v>
      </c>
      <c r="F136" s="774" t="s">
        <v>283</v>
      </c>
      <c r="G136" s="774" t="s">
        <v>283</v>
      </c>
      <c r="H136" s="774" t="s">
        <v>283</v>
      </c>
      <c r="I136" s="774" t="s">
        <v>283</v>
      </c>
      <c r="J136" s="774" t="s">
        <v>283</v>
      </c>
      <c r="K136" s="774" t="s">
        <v>283</v>
      </c>
      <c r="L136" s="771"/>
      <c r="M136" s="771"/>
      <c r="N136" s="771"/>
      <c r="O136" s="771"/>
      <c r="P136" s="771"/>
      <c r="Q136" s="771"/>
      <c r="R136" s="771"/>
      <c r="S136" s="771"/>
      <c r="T136" s="771"/>
      <c r="U136" s="771"/>
      <c r="V136" s="772" t="s">
        <v>283</v>
      </c>
      <c r="W136" s="765" t="s">
        <v>283</v>
      </c>
      <c r="X136" s="765" t="s">
        <v>283</v>
      </c>
      <c r="Y136" s="765" t="s">
        <v>283</v>
      </c>
      <c r="Z136" s="765" t="s">
        <v>283</v>
      </c>
      <c r="AA136" s="765" t="s">
        <v>283</v>
      </c>
      <c r="AB136" s="765" t="s">
        <v>283</v>
      </c>
      <c r="AC136" s="765" t="s">
        <v>283</v>
      </c>
      <c r="AD136" s="765" t="s">
        <v>283</v>
      </c>
      <c r="AE136" s="765" t="s">
        <v>283</v>
      </c>
      <c r="AF136" s="765" t="s">
        <v>283</v>
      </c>
      <c r="AG136" s="765" t="s">
        <v>283</v>
      </c>
      <c r="AH136" s="765" t="s">
        <v>283</v>
      </c>
      <c r="AI136" s="765" t="s">
        <v>283</v>
      </c>
      <c r="AJ136" s="765" t="s">
        <v>283</v>
      </c>
      <c r="AK136" s="765" t="s">
        <v>283</v>
      </c>
      <c r="AL136" s="765" t="s">
        <v>283</v>
      </c>
      <c r="AM136" s="765" t="s">
        <v>283</v>
      </c>
      <c r="AN136" s="765" t="s">
        <v>283</v>
      </c>
      <c r="AO136" s="765" t="s">
        <v>283</v>
      </c>
      <c r="AP136" s="765" t="s">
        <v>283</v>
      </c>
      <c r="AQ136" s="765" t="s">
        <v>283</v>
      </c>
      <c r="AR136" s="765" t="s">
        <v>283</v>
      </c>
      <c r="AS136" s="765" t="s">
        <v>283</v>
      </c>
      <c r="AT136" s="765" t="s">
        <v>283</v>
      </c>
    </row>
    <row r="137" spans="1:46" ht="15">
      <c r="A137" s="765" t="s">
        <v>283</v>
      </c>
      <c r="B137" s="769" t="s">
        <v>283</v>
      </c>
      <c r="C137" s="773" t="s">
        <v>556</v>
      </c>
      <c r="D137" s="780">
        <v>188000</v>
      </c>
      <c r="E137" s="780">
        <v>589714</v>
      </c>
      <c r="F137" s="780">
        <v>91000</v>
      </c>
      <c r="G137" s="780">
        <v>1930000</v>
      </c>
      <c r="H137" s="780">
        <v>139500</v>
      </c>
      <c r="I137" s="780">
        <v>820000</v>
      </c>
      <c r="J137" s="780">
        <v>691780</v>
      </c>
      <c r="K137" s="779">
        <v>1.17</v>
      </c>
      <c r="L137" s="771"/>
      <c r="M137" s="783">
        <v>188000</v>
      </c>
      <c r="N137" s="783">
        <v>116000</v>
      </c>
      <c r="O137" s="783">
        <v>544000</v>
      </c>
      <c r="P137" s="783">
        <v>1096000</v>
      </c>
      <c r="Q137" s="783">
        <v>1930000</v>
      </c>
      <c r="R137" s="783">
        <v>91000</v>
      </c>
      <c r="S137" s="783">
        <v>163000</v>
      </c>
      <c r="T137" s="773"/>
      <c r="U137" s="773"/>
      <c r="V137" s="772" t="s">
        <v>283</v>
      </c>
      <c r="W137" s="765" t="s">
        <v>283</v>
      </c>
      <c r="X137" s="765" t="s">
        <v>283</v>
      </c>
      <c r="Y137" s="765" t="s">
        <v>283</v>
      </c>
      <c r="Z137" s="765" t="s">
        <v>283</v>
      </c>
      <c r="AA137" s="765" t="s">
        <v>283</v>
      </c>
      <c r="AB137" s="765" t="s">
        <v>283</v>
      </c>
      <c r="AC137" s="765" t="s">
        <v>283</v>
      </c>
      <c r="AD137" s="765" t="s">
        <v>283</v>
      </c>
      <c r="AE137" s="765" t="s">
        <v>283</v>
      </c>
      <c r="AF137" s="765" t="s">
        <v>283</v>
      </c>
      <c r="AG137" s="765" t="s">
        <v>283</v>
      </c>
      <c r="AH137" s="765" t="s">
        <v>283</v>
      </c>
      <c r="AI137" s="765" t="s">
        <v>283</v>
      </c>
      <c r="AJ137" s="765" t="s">
        <v>283</v>
      </c>
      <c r="AK137" s="765" t="s">
        <v>283</v>
      </c>
      <c r="AL137" s="765" t="s">
        <v>283</v>
      </c>
      <c r="AM137" s="765" t="s">
        <v>283</v>
      </c>
      <c r="AN137" s="765" t="s">
        <v>283</v>
      </c>
      <c r="AO137" s="765" t="s">
        <v>283</v>
      </c>
      <c r="AP137" s="765" t="s">
        <v>283</v>
      </c>
      <c r="AQ137" s="765" t="s">
        <v>283</v>
      </c>
      <c r="AR137" s="765" t="s">
        <v>283</v>
      </c>
      <c r="AS137" s="765" t="s">
        <v>283</v>
      </c>
      <c r="AT137" s="765" t="s">
        <v>283</v>
      </c>
    </row>
    <row r="138" spans="1:46" ht="15">
      <c r="A138" s="765" t="s">
        <v>283</v>
      </c>
      <c r="B138" s="769" t="s">
        <v>283</v>
      </c>
      <c r="C138" s="776" t="s">
        <v>557</v>
      </c>
      <c r="D138" s="787">
        <v>188000</v>
      </c>
      <c r="E138" s="787">
        <v>589714</v>
      </c>
      <c r="F138" s="787">
        <v>91000</v>
      </c>
      <c r="G138" s="787">
        <v>1930000</v>
      </c>
      <c r="H138" s="787">
        <v>139500</v>
      </c>
      <c r="I138" s="787">
        <v>820000</v>
      </c>
      <c r="J138" s="787">
        <v>691780</v>
      </c>
      <c r="K138" s="786">
        <v>1.17</v>
      </c>
      <c r="L138" s="790" t="s">
        <v>283</v>
      </c>
      <c r="M138" s="792">
        <v>188000</v>
      </c>
      <c r="N138" s="792">
        <v>116000</v>
      </c>
      <c r="O138" s="792">
        <v>544000</v>
      </c>
      <c r="P138" s="792">
        <v>1096000</v>
      </c>
      <c r="Q138" s="792">
        <v>1930000</v>
      </c>
      <c r="R138" s="792">
        <v>91000</v>
      </c>
      <c r="S138" s="792">
        <v>163000</v>
      </c>
      <c r="T138" s="791" t="s">
        <v>283</v>
      </c>
      <c r="U138" s="791" t="s">
        <v>283</v>
      </c>
      <c r="V138" s="772" t="s">
        <v>283</v>
      </c>
      <c r="W138" s="765" t="s">
        <v>283</v>
      </c>
      <c r="X138" s="765" t="s">
        <v>283</v>
      </c>
      <c r="Y138" s="765" t="s">
        <v>283</v>
      </c>
      <c r="Z138" s="765" t="s">
        <v>283</v>
      </c>
      <c r="AA138" s="765" t="s">
        <v>283</v>
      </c>
      <c r="AB138" s="765" t="s">
        <v>283</v>
      </c>
      <c r="AC138" s="765" t="s">
        <v>283</v>
      </c>
      <c r="AD138" s="765" t="s">
        <v>283</v>
      </c>
      <c r="AE138" s="765" t="s">
        <v>283</v>
      </c>
      <c r="AF138" s="765" t="s">
        <v>283</v>
      </c>
      <c r="AG138" s="765" t="s">
        <v>283</v>
      </c>
      <c r="AH138" s="765" t="s">
        <v>283</v>
      </c>
      <c r="AI138" s="765" t="s">
        <v>283</v>
      </c>
      <c r="AJ138" s="765" t="s">
        <v>283</v>
      </c>
      <c r="AK138" s="765" t="s">
        <v>283</v>
      </c>
      <c r="AL138" s="765" t="s">
        <v>283</v>
      </c>
      <c r="AM138" s="765" t="s">
        <v>283</v>
      </c>
      <c r="AN138" s="765" t="s">
        <v>283</v>
      </c>
      <c r="AO138" s="765" t="s">
        <v>283</v>
      </c>
      <c r="AP138" s="765" t="s">
        <v>283</v>
      </c>
      <c r="AQ138" s="765" t="s">
        <v>283</v>
      </c>
      <c r="AR138" s="765" t="s">
        <v>283</v>
      </c>
      <c r="AS138" s="765" t="s">
        <v>283</v>
      </c>
      <c r="AT138" s="765" t="s">
        <v>283</v>
      </c>
    </row>
    <row r="139" spans="1:46" ht="15">
      <c r="A139" s="765" t="s">
        <v>283</v>
      </c>
      <c r="B139" s="769" t="s">
        <v>283</v>
      </c>
      <c r="C139" s="773" t="s">
        <v>558</v>
      </c>
      <c r="D139" s="780">
        <v>124000</v>
      </c>
      <c r="E139" s="780">
        <v>104000</v>
      </c>
      <c r="F139" s="780">
        <v>20000</v>
      </c>
      <c r="G139" s="780">
        <v>185000</v>
      </c>
      <c r="H139" s="780">
        <v>61000</v>
      </c>
      <c r="I139" s="780">
        <v>138500</v>
      </c>
      <c r="J139" s="780">
        <v>62796</v>
      </c>
      <c r="K139" s="779">
        <v>0.6</v>
      </c>
      <c r="L139" s="771"/>
      <c r="M139" s="783">
        <v>185000</v>
      </c>
      <c r="N139" s="783">
        <v>125000</v>
      </c>
      <c r="O139" s="783">
        <v>124000</v>
      </c>
      <c r="P139" s="783">
        <v>152000</v>
      </c>
      <c r="Q139" s="783">
        <v>101000</v>
      </c>
      <c r="R139" s="783">
        <v>20000</v>
      </c>
      <c r="S139" s="783">
        <v>21000</v>
      </c>
      <c r="T139" s="773"/>
      <c r="U139" s="773"/>
      <c r="V139" s="772" t="s">
        <v>283</v>
      </c>
      <c r="W139" s="765" t="s">
        <v>283</v>
      </c>
      <c r="X139" s="765" t="s">
        <v>283</v>
      </c>
      <c r="Y139" s="765" t="s">
        <v>283</v>
      </c>
      <c r="Z139" s="765" t="s">
        <v>283</v>
      </c>
      <c r="AA139" s="765" t="s">
        <v>283</v>
      </c>
      <c r="AB139" s="765" t="s">
        <v>283</v>
      </c>
      <c r="AC139" s="765" t="s">
        <v>283</v>
      </c>
      <c r="AD139" s="765" t="s">
        <v>283</v>
      </c>
      <c r="AE139" s="765" t="s">
        <v>283</v>
      </c>
      <c r="AF139" s="765" t="s">
        <v>283</v>
      </c>
      <c r="AG139" s="765" t="s">
        <v>283</v>
      </c>
      <c r="AH139" s="765" t="s">
        <v>283</v>
      </c>
      <c r="AI139" s="765" t="s">
        <v>283</v>
      </c>
      <c r="AJ139" s="765" t="s">
        <v>283</v>
      </c>
      <c r="AK139" s="765" t="s">
        <v>283</v>
      </c>
      <c r="AL139" s="765" t="s">
        <v>283</v>
      </c>
      <c r="AM139" s="765" t="s">
        <v>283</v>
      </c>
      <c r="AN139" s="765" t="s">
        <v>283</v>
      </c>
      <c r="AO139" s="765" t="s">
        <v>283</v>
      </c>
      <c r="AP139" s="765" t="s">
        <v>283</v>
      </c>
      <c r="AQ139" s="765" t="s">
        <v>283</v>
      </c>
      <c r="AR139" s="765" t="s">
        <v>283</v>
      </c>
      <c r="AS139" s="765" t="s">
        <v>283</v>
      </c>
      <c r="AT139" s="765" t="s">
        <v>283</v>
      </c>
    </row>
    <row r="140" spans="1:46" ht="15">
      <c r="A140" s="765" t="s">
        <v>283</v>
      </c>
      <c r="B140" s="769" t="s">
        <v>283</v>
      </c>
      <c r="C140" s="776" t="s">
        <v>559</v>
      </c>
      <c r="D140" s="787">
        <v>373000</v>
      </c>
      <c r="E140" s="787">
        <v>693714</v>
      </c>
      <c r="F140" s="787">
        <v>111000</v>
      </c>
      <c r="G140" s="787">
        <v>2031000</v>
      </c>
      <c r="H140" s="787">
        <v>212500</v>
      </c>
      <c r="I140" s="787">
        <v>958000</v>
      </c>
      <c r="J140" s="787">
        <v>707507</v>
      </c>
      <c r="K140" s="786">
        <v>1.02</v>
      </c>
      <c r="L140" s="790" t="s">
        <v>283</v>
      </c>
      <c r="M140" s="792">
        <v>373000</v>
      </c>
      <c r="N140" s="792">
        <v>241000</v>
      </c>
      <c r="O140" s="792">
        <v>668000</v>
      </c>
      <c r="P140" s="792">
        <v>1248000</v>
      </c>
      <c r="Q140" s="792">
        <v>2031000</v>
      </c>
      <c r="R140" s="792">
        <v>111000</v>
      </c>
      <c r="S140" s="792">
        <v>184000</v>
      </c>
      <c r="T140" s="791" t="s">
        <v>283</v>
      </c>
      <c r="U140" s="791" t="s">
        <v>283</v>
      </c>
      <c r="V140" s="772" t="s">
        <v>283</v>
      </c>
      <c r="W140" s="765" t="s">
        <v>283</v>
      </c>
      <c r="X140" s="765" t="s">
        <v>283</v>
      </c>
      <c r="Y140" s="765" t="s">
        <v>283</v>
      </c>
      <c r="Z140" s="765" t="s">
        <v>283</v>
      </c>
      <c r="AA140" s="765" t="s">
        <v>283</v>
      </c>
      <c r="AB140" s="765" t="s">
        <v>283</v>
      </c>
      <c r="AC140" s="765" t="s">
        <v>283</v>
      </c>
      <c r="AD140" s="765" t="s">
        <v>283</v>
      </c>
      <c r="AE140" s="765" t="s">
        <v>283</v>
      </c>
      <c r="AF140" s="765" t="s">
        <v>283</v>
      </c>
      <c r="AG140" s="765" t="s">
        <v>283</v>
      </c>
      <c r="AH140" s="765" t="s">
        <v>283</v>
      </c>
      <c r="AI140" s="765" t="s">
        <v>283</v>
      </c>
      <c r="AJ140" s="765" t="s">
        <v>283</v>
      </c>
      <c r="AK140" s="765" t="s">
        <v>283</v>
      </c>
      <c r="AL140" s="765" t="s">
        <v>283</v>
      </c>
      <c r="AM140" s="765" t="s">
        <v>283</v>
      </c>
      <c r="AN140" s="765" t="s">
        <v>283</v>
      </c>
      <c r="AO140" s="765" t="s">
        <v>283</v>
      </c>
      <c r="AP140" s="765" t="s">
        <v>283</v>
      </c>
      <c r="AQ140" s="765" t="s">
        <v>283</v>
      </c>
      <c r="AR140" s="765" t="s">
        <v>283</v>
      </c>
      <c r="AS140" s="765" t="s">
        <v>283</v>
      </c>
      <c r="AT140" s="765" t="s">
        <v>283</v>
      </c>
    </row>
    <row r="141" spans="1:46" ht="15">
      <c r="A141" s="765" t="s">
        <v>283</v>
      </c>
      <c r="B141" s="769" t="s">
        <v>283</v>
      </c>
      <c r="C141" s="773" t="s">
        <v>560</v>
      </c>
      <c r="D141" s="780">
        <v>80500</v>
      </c>
      <c r="E141" s="780">
        <v>82500</v>
      </c>
      <c r="F141" s="779">
        <v>0</v>
      </c>
      <c r="G141" s="780">
        <v>156000</v>
      </c>
      <c r="H141" s="780">
        <v>54000</v>
      </c>
      <c r="I141" s="780">
        <v>119750</v>
      </c>
      <c r="J141" s="780">
        <v>56843</v>
      </c>
      <c r="K141" s="779">
        <v>0.69</v>
      </c>
      <c r="L141" s="771"/>
      <c r="M141" s="783">
        <v>156000</v>
      </c>
      <c r="N141" s="783">
        <v>54000</v>
      </c>
      <c r="O141" s="783">
        <v>124000</v>
      </c>
      <c r="P141" s="783">
        <v>107000</v>
      </c>
      <c r="Q141" s="783">
        <v>54000</v>
      </c>
      <c r="R141" s="773">
        <v>0</v>
      </c>
      <c r="S141" s="773"/>
      <c r="T141" s="773"/>
      <c r="U141" s="773"/>
      <c r="V141" s="772" t="s">
        <v>283</v>
      </c>
      <c r="W141" s="765" t="s">
        <v>283</v>
      </c>
      <c r="X141" s="765" t="s">
        <v>283</v>
      </c>
      <c r="Y141" s="765" t="s">
        <v>283</v>
      </c>
      <c r="Z141" s="765" t="s">
        <v>283</v>
      </c>
      <c r="AA141" s="765" t="s">
        <v>283</v>
      </c>
      <c r="AB141" s="765" t="s">
        <v>283</v>
      </c>
      <c r="AC141" s="765" t="s">
        <v>283</v>
      </c>
      <c r="AD141" s="765" t="s">
        <v>283</v>
      </c>
      <c r="AE141" s="765" t="s">
        <v>283</v>
      </c>
      <c r="AF141" s="765" t="s">
        <v>283</v>
      </c>
      <c r="AG141" s="765" t="s">
        <v>283</v>
      </c>
      <c r="AH141" s="765" t="s">
        <v>283</v>
      </c>
      <c r="AI141" s="765" t="s">
        <v>283</v>
      </c>
      <c r="AJ141" s="765" t="s">
        <v>283</v>
      </c>
      <c r="AK141" s="765" t="s">
        <v>283</v>
      </c>
      <c r="AL141" s="765" t="s">
        <v>283</v>
      </c>
      <c r="AM141" s="765" t="s">
        <v>283</v>
      </c>
      <c r="AN141" s="765" t="s">
        <v>283</v>
      </c>
      <c r="AO141" s="765" t="s">
        <v>283</v>
      </c>
      <c r="AP141" s="765" t="s">
        <v>283</v>
      </c>
      <c r="AQ141" s="765" t="s">
        <v>283</v>
      </c>
      <c r="AR141" s="765" t="s">
        <v>283</v>
      </c>
      <c r="AS141" s="765" t="s">
        <v>283</v>
      </c>
      <c r="AT141" s="765" t="s">
        <v>283</v>
      </c>
    </row>
    <row r="142" spans="1:46" ht="15">
      <c r="A142" s="765" t="s">
        <v>283</v>
      </c>
      <c r="B142" s="769" t="s">
        <v>283</v>
      </c>
      <c r="C142" s="776" t="s">
        <v>561</v>
      </c>
      <c r="D142" s="787">
        <v>529000</v>
      </c>
      <c r="E142" s="787">
        <v>764429</v>
      </c>
      <c r="F142" s="787">
        <v>111000</v>
      </c>
      <c r="G142" s="787">
        <v>2085000</v>
      </c>
      <c r="H142" s="787">
        <v>239500</v>
      </c>
      <c r="I142" s="787">
        <v>1073500</v>
      </c>
      <c r="J142" s="787">
        <v>722623</v>
      </c>
      <c r="K142" s="786">
        <v>0.95</v>
      </c>
      <c r="L142" s="790" t="s">
        <v>283</v>
      </c>
      <c r="M142" s="792">
        <v>529000</v>
      </c>
      <c r="N142" s="792">
        <v>295000</v>
      </c>
      <c r="O142" s="792">
        <v>792000</v>
      </c>
      <c r="P142" s="792">
        <v>1355000</v>
      </c>
      <c r="Q142" s="792">
        <v>2085000</v>
      </c>
      <c r="R142" s="792">
        <v>111000</v>
      </c>
      <c r="S142" s="792">
        <v>184000</v>
      </c>
      <c r="T142" s="791" t="s">
        <v>283</v>
      </c>
      <c r="U142" s="791" t="s">
        <v>283</v>
      </c>
      <c r="V142" s="772" t="s">
        <v>283</v>
      </c>
      <c r="W142" s="765" t="s">
        <v>283</v>
      </c>
      <c r="X142" s="765" t="s">
        <v>283</v>
      </c>
      <c r="Y142" s="765" t="s">
        <v>283</v>
      </c>
      <c r="Z142" s="765" t="s">
        <v>283</v>
      </c>
      <c r="AA142" s="765" t="s">
        <v>283</v>
      </c>
      <c r="AB142" s="765" t="s">
        <v>283</v>
      </c>
      <c r="AC142" s="765" t="s">
        <v>283</v>
      </c>
      <c r="AD142" s="765" t="s">
        <v>283</v>
      </c>
      <c r="AE142" s="765" t="s">
        <v>283</v>
      </c>
      <c r="AF142" s="765" t="s">
        <v>283</v>
      </c>
      <c r="AG142" s="765" t="s">
        <v>283</v>
      </c>
      <c r="AH142" s="765" t="s">
        <v>283</v>
      </c>
      <c r="AI142" s="765" t="s">
        <v>283</v>
      </c>
      <c r="AJ142" s="765" t="s">
        <v>283</v>
      </c>
      <c r="AK142" s="765" t="s">
        <v>283</v>
      </c>
      <c r="AL142" s="765" t="s">
        <v>283</v>
      </c>
      <c r="AM142" s="765" t="s">
        <v>283</v>
      </c>
      <c r="AN142" s="765" t="s">
        <v>283</v>
      </c>
      <c r="AO142" s="765" t="s">
        <v>283</v>
      </c>
      <c r="AP142" s="765" t="s">
        <v>283</v>
      </c>
      <c r="AQ142" s="765" t="s">
        <v>283</v>
      </c>
      <c r="AR142" s="765" t="s">
        <v>283</v>
      </c>
      <c r="AS142" s="765" t="s">
        <v>283</v>
      </c>
      <c r="AT142" s="765" t="s">
        <v>283</v>
      </c>
    </row>
    <row r="143" spans="1:46" ht="15">
      <c r="A143" s="765" t="s">
        <v>283</v>
      </c>
      <c r="B143" s="769" t="s">
        <v>283</v>
      </c>
      <c r="C143" s="773" t="s">
        <v>562</v>
      </c>
      <c r="D143" s="774" t="s">
        <v>283</v>
      </c>
      <c r="E143" s="774" t="s">
        <v>283</v>
      </c>
      <c r="F143" s="774" t="s">
        <v>283</v>
      </c>
      <c r="G143" s="774" t="s">
        <v>283</v>
      </c>
      <c r="H143" s="774" t="s">
        <v>283</v>
      </c>
      <c r="I143" s="774" t="s">
        <v>283</v>
      </c>
      <c r="J143" s="774" t="s">
        <v>283</v>
      </c>
      <c r="K143" s="774" t="s">
        <v>283</v>
      </c>
      <c r="L143" s="771"/>
      <c r="M143" s="771"/>
      <c r="N143" s="771"/>
      <c r="O143" s="771"/>
      <c r="P143" s="771"/>
      <c r="Q143" s="771"/>
      <c r="R143" s="771"/>
      <c r="S143" s="771"/>
      <c r="T143" s="771"/>
      <c r="U143" s="771"/>
      <c r="V143" s="772" t="s">
        <v>283</v>
      </c>
      <c r="W143" s="765" t="s">
        <v>283</v>
      </c>
      <c r="X143" s="765" t="s">
        <v>283</v>
      </c>
      <c r="Y143" s="765" t="s">
        <v>283</v>
      </c>
      <c r="Z143" s="765" t="s">
        <v>283</v>
      </c>
      <c r="AA143" s="765" t="s">
        <v>283</v>
      </c>
      <c r="AB143" s="765" t="s">
        <v>283</v>
      </c>
      <c r="AC143" s="765" t="s">
        <v>283</v>
      </c>
      <c r="AD143" s="765" t="s">
        <v>283</v>
      </c>
      <c r="AE143" s="765" t="s">
        <v>283</v>
      </c>
      <c r="AF143" s="765" t="s">
        <v>283</v>
      </c>
      <c r="AG143" s="765" t="s">
        <v>283</v>
      </c>
      <c r="AH143" s="765" t="s">
        <v>283</v>
      </c>
      <c r="AI143" s="765" t="s">
        <v>283</v>
      </c>
      <c r="AJ143" s="765" t="s">
        <v>283</v>
      </c>
      <c r="AK143" s="765" t="s">
        <v>283</v>
      </c>
      <c r="AL143" s="765" t="s">
        <v>283</v>
      </c>
      <c r="AM143" s="765" t="s">
        <v>283</v>
      </c>
      <c r="AN143" s="765" t="s">
        <v>283</v>
      </c>
      <c r="AO143" s="765" t="s">
        <v>283</v>
      </c>
      <c r="AP143" s="765" t="s">
        <v>283</v>
      </c>
      <c r="AQ143" s="765" t="s">
        <v>283</v>
      </c>
      <c r="AR143" s="765" t="s">
        <v>283</v>
      </c>
      <c r="AS143" s="765" t="s">
        <v>283</v>
      </c>
      <c r="AT143" s="765" t="s">
        <v>283</v>
      </c>
    </row>
    <row r="144" spans="1:46" ht="15">
      <c r="A144" s="765" t="s">
        <v>283</v>
      </c>
      <c r="B144" s="769" t="s">
        <v>283</v>
      </c>
      <c r="C144" s="773" t="s">
        <v>563</v>
      </c>
      <c r="D144" s="774" t="s">
        <v>283</v>
      </c>
      <c r="E144" s="774" t="s">
        <v>283</v>
      </c>
      <c r="F144" s="774" t="s">
        <v>283</v>
      </c>
      <c r="G144" s="774" t="s">
        <v>283</v>
      </c>
      <c r="H144" s="774" t="s">
        <v>283</v>
      </c>
      <c r="I144" s="774" t="s">
        <v>283</v>
      </c>
      <c r="J144" s="774" t="s">
        <v>283</v>
      </c>
      <c r="K144" s="774" t="s">
        <v>283</v>
      </c>
      <c r="L144" s="771"/>
      <c r="M144" s="771"/>
      <c r="N144" s="771"/>
      <c r="O144" s="771"/>
      <c r="P144" s="771"/>
      <c r="Q144" s="771"/>
      <c r="R144" s="771"/>
      <c r="S144" s="771"/>
      <c r="T144" s="771"/>
      <c r="U144" s="771"/>
      <c r="V144" s="772" t="s">
        <v>283</v>
      </c>
      <c r="W144" s="765" t="s">
        <v>283</v>
      </c>
      <c r="X144" s="765" t="s">
        <v>283</v>
      </c>
      <c r="Y144" s="765" t="s">
        <v>283</v>
      </c>
      <c r="Z144" s="765" t="s">
        <v>283</v>
      </c>
      <c r="AA144" s="765" t="s">
        <v>283</v>
      </c>
      <c r="AB144" s="765" t="s">
        <v>283</v>
      </c>
      <c r="AC144" s="765" t="s">
        <v>283</v>
      </c>
      <c r="AD144" s="765" t="s">
        <v>283</v>
      </c>
      <c r="AE144" s="765" t="s">
        <v>283</v>
      </c>
      <c r="AF144" s="765" t="s">
        <v>283</v>
      </c>
      <c r="AG144" s="765" t="s">
        <v>283</v>
      </c>
      <c r="AH144" s="765" t="s">
        <v>283</v>
      </c>
      <c r="AI144" s="765" t="s">
        <v>283</v>
      </c>
      <c r="AJ144" s="765" t="s">
        <v>283</v>
      </c>
      <c r="AK144" s="765" t="s">
        <v>283</v>
      </c>
      <c r="AL144" s="765" t="s">
        <v>283</v>
      </c>
      <c r="AM144" s="765" t="s">
        <v>283</v>
      </c>
      <c r="AN144" s="765" t="s">
        <v>283</v>
      </c>
      <c r="AO144" s="765" t="s">
        <v>283</v>
      </c>
      <c r="AP144" s="765" t="s">
        <v>283</v>
      </c>
      <c r="AQ144" s="765" t="s">
        <v>283</v>
      </c>
      <c r="AR144" s="765" t="s">
        <v>283</v>
      </c>
      <c r="AS144" s="765" t="s">
        <v>283</v>
      </c>
      <c r="AT144" s="765" t="s">
        <v>283</v>
      </c>
    </row>
    <row r="145" spans="1:46" ht="15">
      <c r="A145" s="765" t="s">
        <v>283</v>
      </c>
      <c r="B145" s="769" t="s">
        <v>283</v>
      </c>
      <c r="C145" s="773" t="s">
        <v>564</v>
      </c>
      <c r="D145" s="780">
        <v>15000</v>
      </c>
      <c r="E145" s="780">
        <v>15000</v>
      </c>
      <c r="F145" s="780">
        <v>15000</v>
      </c>
      <c r="G145" s="780">
        <v>15000</v>
      </c>
      <c r="H145" s="780">
        <v>15000</v>
      </c>
      <c r="I145" s="780">
        <v>15000</v>
      </c>
      <c r="J145" s="779" t="s">
        <v>283</v>
      </c>
      <c r="K145" s="779" t="s">
        <v>283</v>
      </c>
      <c r="L145" s="771"/>
      <c r="M145" s="773"/>
      <c r="N145" s="773"/>
      <c r="O145" s="773"/>
      <c r="P145" s="773"/>
      <c r="Q145" s="773"/>
      <c r="R145" s="783">
        <v>15000</v>
      </c>
      <c r="S145" s="773"/>
      <c r="T145" s="773"/>
      <c r="U145" s="773"/>
      <c r="V145" s="772" t="s">
        <v>283</v>
      </c>
      <c r="W145" s="765" t="s">
        <v>283</v>
      </c>
      <c r="X145" s="765" t="s">
        <v>283</v>
      </c>
      <c r="Y145" s="765" t="s">
        <v>283</v>
      </c>
      <c r="Z145" s="765" t="s">
        <v>283</v>
      </c>
      <c r="AA145" s="765" t="s">
        <v>283</v>
      </c>
      <c r="AB145" s="765" t="s">
        <v>283</v>
      </c>
      <c r="AC145" s="765" t="s">
        <v>283</v>
      </c>
      <c r="AD145" s="765" t="s">
        <v>283</v>
      </c>
      <c r="AE145" s="765" t="s">
        <v>283</v>
      </c>
      <c r="AF145" s="765" t="s">
        <v>283</v>
      </c>
      <c r="AG145" s="765" t="s">
        <v>283</v>
      </c>
      <c r="AH145" s="765" t="s">
        <v>283</v>
      </c>
      <c r="AI145" s="765" t="s">
        <v>283</v>
      </c>
      <c r="AJ145" s="765" t="s">
        <v>283</v>
      </c>
      <c r="AK145" s="765" t="s">
        <v>283</v>
      </c>
      <c r="AL145" s="765" t="s">
        <v>283</v>
      </c>
      <c r="AM145" s="765" t="s">
        <v>283</v>
      </c>
      <c r="AN145" s="765" t="s">
        <v>283</v>
      </c>
      <c r="AO145" s="765" t="s">
        <v>283</v>
      </c>
      <c r="AP145" s="765" t="s">
        <v>283</v>
      </c>
      <c r="AQ145" s="765" t="s">
        <v>283</v>
      </c>
      <c r="AR145" s="765" t="s">
        <v>283</v>
      </c>
      <c r="AS145" s="765" t="s">
        <v>283</v>
      </c>
      <c r="AT145" s="765" t="s">
        <v>283</v>
      </c>
    </row>
    <row r="146" spans="1:46" ht="15">
      <c r="A146" s="765" t="s">
        <v>283</v>
      </c>
      <c r="B146" s="769" t="s">
        <v>283</v>
      </c>
      <c r="C146" s="776" t="s">
        <v>565</v>
      </c>
      <c r="D146" s="787">
        <v>13000</v>
      </c>
      <c r="E146" s="787">
        <v>12714</v>
      </c>
      <c r="F146" s="787">
        <v>10000</v>
      </c>
      <c r="G146" s="787">
        <v>15000</v>
      </c>
      <c r="H146" s="787">
        <v>11500</v>
      </c>
      <c r="I146" s="787">
        <v>14000</v>
      </c>
      <c r="J146" s="787">
        <v>1890</v>
      </c>
      <c r="K146" s="786">
        <v>0.15</v>
      </c>
      <c r="L146" s="790" t="s">
        <v>283</v>
      </c>
      <c r="M146" s="792">
        <v>13000</v>
      </c>
      <c r="N146" s="792">
        <v>12000</v>
      </c>
      <c r="O146" s="792">
        <v>11000</v>
      </c>
      <c r="P146" s="792">
        <v>13000</v>
      </c>
      <c r="Q146" s="792">
        <v>15000</v>
      </c>
      <c r="R146" s="792">
        <v>15000</v>
      </c>
      <c r="S146" s="792">
        <v>10000</v>
      </c>
      <c r="T146" s="791" t="s">
        <v>283</v>
      </c>
      <c r="U146" s="791" t="s">
        <v>283</v>
      </c>
      <c r="V146" s="772" t="s">
        <v>283</v>
      </c>
      <c r="W146" s="765" t="s">
        <v>283</v>
      </c>
      <c r="X146" s="765" t="s">
        <v>283</v>
      </c>
      <c r="Y146" s="765" t="s">
        <v>283</v>
      </c>
      <c r="Z146" s="765" t="s">
        <v>283</v>
      </c>
      <c r="AA146" s="765" t="s">
        <v>283</v>
      </c>
      <c r="AB146" s="765" t="s">
        <v>283</v>
      </c>
      <c r="AC146" s="765" t="s">
        <v>283</v>
      </c>
      <c r="AD146" s="765" t="s">
        <v>283</v>
      </c>
      <c r="AE146" s="765" t="s">
        <v>283</v>
      </c>
      <c r="AF146" s="765" t="s">
        <v>283</v>
      </c>
      <c r="AG146" s="765" t="s">
        <v>283</v>
      </c>
      <c r="AH146" s="765" t="s">
        <v>283</v>
      </c>
      <c r="AI146" s="765" t="s">
        <v>283</v>
      </c>
      <c r="AJ146" s="765" t="s">
        <v>283</v>
      </c>
      <c r="AK146" s="765" t="s">
        <v>283</v>
      </c>
      <c r="AL146" s="765" t="s">
        <v>283</v>
      </c>
      <c r="AM146" s="765" t="s">
        <v>283</v>
      </c>
      <c r="AN146" s="765" t="s">
        <v>283</v>
      </c>
      <c r="AO146" s="765" t="s">
        <v>283</v>
      </c>
      <c r="AP146" s="765" t="s">
        <v>283</v>
      </c>
      <c r="AQ146" s="765" t="s">
        <v>283</v>
      </c>
      <c r="AR146" s="765" t="s">
        <v>283</v>
      </c>
      <c r="AS146" s="765" t="s">
        <v>283</v>
      </c>
      <c r="AT146" s="765" t="s">
        <v>283</v>
      </c>
    </row>
    <row r="147" spans="1:46" ht="15">
      <c r="A147" s="765" t="s">
        <v>283</v>
      </c>
      <c r="B147" s="769" t="s">
        <v>283</v>
      </c>
      <c r="C147" s="773" t="s">
        <v>566</v>
      </c>
      <c r="D147" s="780">
        <v>18000</v>
      </c>
      <c r="E147" s="780">
        <v>14571</v>
      </c>
      <c r="F147" s="780">
        <v>3000</v>
      </c>
      <c r="G147" s="780">
        <v>22000</v>
      </c>
      <c r="H147" s="780">
        <v>10500</v>
      </c>
      <c r="I147" s="780">
        <v>19000</v>
      </c>
      <c r="J147" s="780">
        <v>8039</v>
      </c>
      <c r="K147" s="779">
        <v>0.55000000000000004</v>
      </c>
      <c r="L147" s="771"/>
      <c r="M147" s="783">
        <v>22000</v>
      </c>
      <c r="N147" s="783">
        <v>20000</v>
      </c>
      <c r="O147" s="783">
        <v>18000</v>
      </c>
      <c r="P147" s="783">
        <v>18000</v>
      </c>
      <c r="Q147" s="783">
        <v>18000</v>
      </c>
      <c r="R147" s="783">
        <v>3000</v>
      </c>
      <c r="S147" s="783">
        <v>3000</v>
      </c>
      <c r="T147" s="773"/>
      <c r="U147" s="773"/>
      <c r="V147" s="772" t="s">
        <v>283</v>
      </c>
      <c r="W147" s="765" t="s">
        <v>283</v>
      </c>
      <c r="X147" s="765" t="s">
        <v>283</v>
      </c>
      <c r="Y147" s="765" t="s">
        <v>283</v>
      </c>
      <c r="Z147" s="765" t="s">
        <v>283</v>
      </c>
      <c r="AA147" s="765" t="s">
        <v>283</v>
      </c>
      <c r="AB147" s="765" t="s">
        <v>283</v>
      </c>
      <c r="AC147" s="765" t="s">
        <v>283</v>
      </c>
      <c r="AD147" s="765" t="s">
        <v>283</v>
      </c>
      <c r="AE147" s="765" t="s">
        <v>283</v>
      </c>
      <c r="AF147" s="765" t="s">
        <v>283</v>
      </c>
      <c r="AG147" s="765" t="s">
        <v>283</v>
      </c>
      <c r="AH147" s="765" t="s">
        <v>283</v>
      </c>
      <c r="AI147" s="765" t="s">
        <v>283</v>
      </c>
      <c r="AJ147" s="765" t="s">
        <v>283</v>
      </c>
      <c r="AK147" s="765" t="s">
        <v>283</v>
      </c>
      <c r="AL147" s="765" t="s">
        <v>283</v>
      </c>
      <c r="AM147" s="765" t="s">
        <v>283</v>
      </c>
      <c r="AN147" s="765" t="s">
        <v>283</v>
      </c>
      <c r="AO147" s="765" t="s">
        <v>283</v>
      </c>
      <c r="AP147" s="765" t="s">
        <v>283</v>
      </c>
      <c r="AQ147" s="765" t="s">
        <v>283</v>
      </c>
      <c r="AR147" s="765" t="s">
        <v>283</v>
      </c>
      <c r="AS147" s="765" t="s">
        <v>283</v>
      </c>
      <c r="AT147" s="765" t="s">
        <v>283</v>
      </c>
    </row>
    <row r="148" spans="1:46" ht="15">
      <c r="A148" s="765" t="s">
        <v>283</v>
      </c>
      <c r="B148" s="769" t="s">
        <v>283</v>
      </c>
      <c r="C148" s="776" t="s">
        <v>567</v>
      </c>
      <c r="D148" s="787">
        <v>31000</v>
      </c>
      <c r="E148" s="787">
        <v>27286</v>
      </c>
      <c r="F148" s="787">
        <v>13000</v>
      </c>
      <c r="G148" s="787">
        <v>35000</v>
      </c>
      <c r="H148" s="787">
        <v>23500</v>
      </c>
      <c r="I148" s="787">
        <v>32500</v>
      </c>
      <c r="J148" s="787">
        <v>8381</v>
      </c>
      <c r="K148" s="786">
        <v>0.31</v>
      </c>
      <c r="L148" s="790" t="s">
        <v>283</v>
      </c>
      <c r="M148" s="792">
        <v>35000</v>
      </c>
      <c r="N148" s="792">
        <v>32000</v>
      </c>
      <c r="O148" s="792">
        <v>29000</v>
      </c>
      <c r="P148" s="792">
        <v>31000</v>
      </c>
      <c r="Q148" s="792">
        <v>33000</v>
      </c>
      <c r="R148" s="792">
        <v>18000</v>
      </c>
      <c r="S148" s="792">
        <v>13000</v>
      </c>
      <c r="T148" s="791" t="s">
        <v>283</v>
      </c>
      <c r="U148" s="791" t="s">
        <v>283</v>
      </c>
      <c r="V148" s="772" t="s">
        <v>283</v>
      </c>
      <c r="W148" s="765" t="s">
        <v>283</v>
      </c>
      <c r="X148" s="765" t="s">
        <v>283</v>
      </c>
      <c r="Y148" s="765" t="s">
        <v>283</v>
      </c>
      <c r="Z148" s="765" t="s">
        <v>283</v>
      </c>
      <c r="AA148" s="765" t="s">
        <v>283</v>
      </c>
      <c r="AB148" s="765" t="s">
        <v>283</v>
      </c>
      <c r="AC148" s="765" t="s">
        <v>283</v>
      </c>
      <c r="AD148" s="765" t="s">
        <v>283</v>
      </c>
      <c r="AE148" s="765" t="s">
        <v>283</v>
      </c>
      <c r="AF148" s="765" t="s">
        <v>283</v>
      </c>
      <c r="AG148" s="765" t="s">
        <v>283</v>
      </c>
      <c r="AH148" s="765" t="s">
        <v>283</v>
      </c>
      <c r="AI148" s="765" t="s">
        <v>283</v>
      </c>
      <c r="AJ148" s="765" t="s">
        <v>283</v>
      </c>
      <c r="AK148" s="765" t="s">
        <v>283</v>
      </c>
      <c r="AL148" s="765" t="s">
        <v>283</v>
      </c>
      <c r="AM148" s="765" t="s">
        <v>283</v>
      </c>
      <c r="AN148" s="765" t="s">
        <v>283</v>
      </c>
      <c r="AO148" s="765" t="s">
        <v>283</v>
      </c>
      <c r="AP148" s="765" t="s">
        <v>283</v>
      </c>
      <c r="AQ148" s="765" t="s">
        <v>283</v>
      </c>
      <c r="AR148" s="765" t="s">
        <v>283</v>
      </c>
      <c r="AS148" s="765" t="s">
        <v>283</v>
      </c>
      <c r="AT148" s="765" t="s">
        <v>283</v>
      </c>
    </row>
    <row r="149" spans="1:46" ht="15">
      <c r="A149" s="765" t="s">
        <v>283</v>
      </c>
      <c r="B149" s="769" t="s">
        <v>283</v>
      </c>
      <c r="C149" s="773" t="s">
        <v>568</v>
      </c>
      <c r="D149" s="774" t="s">
        <v>283</v>
      </c>
      <c r="E149" s="774" t="s">
        <v>283</v>
      </c>
      <c r="F149" s="774" t="s">
        <v>283</v>
      </c>
      <c r="G149" s="774" t="s">
        <v>283</v>
      </c>
      <c r="H149" s="774" t="s">
        <v>283</v>
      </c>
      <c r="I149" s="774" t="s">
        <v>283</v>
      </c>
      <c r="J149" s="774" t="s">
        <v>283</v>
      </c>
      <c r="K149" s="774" t="s">
        <v>283</v>
      </c>
      <c r="L149" s="771"/>
      <c r="M149" s="771"/>
      <c r="N149" s="771"/>
      <c r="O149" s="771"/>
      <c r="P149" s="771"/>
      <c r="Q149" s="771"/>
      <c r="R149" s="771"/>
      <c r="S149" s="771"/>
      <c r="T149" s="771"/>
      <c r="U149" s="771"/>
      <c r="V149" s="772" t="s">
        <v>283</v>
      </c>
      <c r="W149" s="765" t="s">
        <v>283</v>
      </c>
      <c r="X149" s="765" t="s">
        <v>283</v>
      </c>
      <c r="Y149" s="765" t="s">
        <v>283</v>
      </c>
      <c r="Z149" s="765" t="s">
        <v>283</v>
      </c>
      <c r="AA149" s="765" t="s">
        <v>283</v>
      </c>
      <c r="AB149" s="765" t="s">
        <v>283</v>
      </c>
      <c r="AC149" s="765" t="s">
        <v>283</v>
      </c>
      <c r="AD149" s="765" t="s">
        <v>283</v>
      </c>
      <c r="AE149" s="765" t="s">
        <v>283</v>
      </c>
      <c r="AF149" s="765" t="s">
        <v>283</v>
      </c>
      <c r="AG149" s="765" t="s">
        <v>283</v>
      </c>
      <c r="AH149" s="765" t="s">
        <v>283</v>
      </c>
      <c r="AI149" s="765" t="s">
        <v>283</v>
      </c>
      <c r="AJ149" s="765" t="s">
        <v>283</v>
      </c>
      <c r="AK149" s="765" t="s">
        <v>283</v>
      </c>
      <c r="AL149" s="765" t="s">
        <v>283</v>
      </c>
      <c r="AM149" s="765" t="s">
        <v>283</v>
      </c>
      <c r="AN149" s="765" t="s">
        <v>283</v>
      </c>
      <c r="AO149" s="765" t="s">
        <v>283</v>
      </c>
      <c r="AP149" s="765" t="s">
        <v>283</v>
      </c>
      <c r="AQ149" s="765" t="s">
        <v>283</v>
      </c>
      <c r="AR149" s="765" t="s">
        <v>283</v>
      </c>
      <c r="AS149" s="765" t="s">
        <v>283</v>
      </c>
      <c r="AT149" s="765" t="s">
        <v>283</v>
      </c>
    </row>
    <row r="150" spans="1:46" ht="15">
      <c r="A150" s="765" t="s">
        <v>283</v>
      </c>
      <c r="B150" s="769" t="s">
        <v>283</v>
      </c>
      <c r="C150" s="773" t="s">
        <v>569</v>
      </c>
      <c r="D150" s="780">
        <v>18000</v>
      </c>
      <c r="E150" s="780">
        <v>15429</v>
      </c>
      <c r="F150" s="780">
        <v>1000</v>
      </c>
      <c r="G150" s="780">
        <v>35000</v>
      </c>
      <c r="H150" s="780">
        <v>4500</v>
      </c>
      <c r="I150" s="780">
        <v>22500</v>
      </c>
      <c r="J150" s="780">
        <v>12608</v>
      </c>
      <c r="K150" s="779">
        <v>0.82</v>
      </c>
      <c r="L150" s="771"/>
      <c r="M150" s="783">
        <v>35000</v>
      </c>
      <c r="N150" s="783">
        <v>25000</v>
      </c>
      <c r="O150" s="783">
        <v>20000</v>
      </c>
      <c r="P150" s="783">
        <v>18000</v>
      </c>
      <c r="Q150" s="783">
        <v>3000</v>
      </c>
      <c r="R150" s="783">
        <v>1000</v>
      </c>
      <c r="S150" s="783">
        <v>6000</v>
      </c>
      <c r="T150" s="773"/>
      <c r="U150" s="773"/>
      <c r="V150" s="772" t="s">
        <v>283</v>
      </c>
      <c r="W150" s="765" t="s">
        <v>283</v>
      </c>
      <c r="X150" s="765" t="s">
        <v>283</v>
      </c>
      <c r="Y150" s="765" t="s">
        <v>283</v>
      </c>
      <c r="Z150" s="765" t="s">
        <v>283</v>
      </c>
      <c r="AA150" s="765" t="s">
        <v>283</v>
      </c>
      <c r="AB150" s="765" t="s">
        <v>283</v>
      </c>
      <c r="AC150" s="765" t="s">
        <v>283</v>
      </c>
      <c r="AD150" s="765" t="s">
        <v>283</v>
      </c>
      <c r="AE150" s="765" t="s">
        <v>283</v>
      </c>
      <c r="AF150" s="765" t="s">
        <v>283</v>
      </c>
      <c r="AG150" s="765" t="s">
        <v>283</v>
      </c>
      <c r="AH150" s="765" t="s">
        <v>283</v>
      </c>
      <c r="AI150" s="765" t="s">
        <v>283</v>
      </c>
      <c r="AJ150" s="765" t="s">
        <v>283</v>
      </c>
      <c r="AK150" s="765" t="s">
        <v>283</v>
      </c>
      <c r="AL150" s="765" t="s">
        <v>283</v>
      </c>
      <c r="AM150" s="765" t="s">
        <v>283</v>
      </c>
      <c r="AN150" s="765" t="s">
        <v>283</v>
      </c>
      <c r="AO150" s="765" t="s">
        <v>283</v>
      </c>
      <c r="AP150" s="765" t="s">
        <v>283</v>
      </c>
      <c r="AQ150" s="765" t="s">
        <v>283</v>
      </c>
      <c r="AR150" s="765" t="s">
        <v>283</v>
      </c>
      <c r="AS150" s="765" t="s">
        <v>283</v>
      </c>
      <c r="AT150" s="765" t="s">
        <v>283</v>
      </c>
    </row>
    <row r="151" spans="1:46" ht="15">
      <c r="A151" s="765" t="s">
        <v>283</v>
      </c>
      <c r="B151" s="769" t="s">
        <v>283</v>
      </c>
      <c r="C151" s="776" t="s">
        <v>570</v>
      </c>
      <c r="D151" s="787">
        <v>18000</v>
      </c>
      <c r="E151" s="787">
        <v>15429</v>
      </c>
      <c r="F151" s="787">
        <v>1000</v>
      </c>
      <c r="G151" s="787">
        <v>35000</v>
      </c>
      <c r="H151" s="787">
        <v>4500</v>
      </c>
      <c r="I151" s="787">
        <v>22500</v>
      </c>
      <c r="J151" s="787">
        <v>12608</v>
      </c>
      <c r="K151" s="786">
        <v>0.82</v>
      </c>
      <c r="L151" s="790" t="s">
        <v>283</v>
      </c>
      <c r="M151" s="792">
        <v>35000</v>
      </c>
      <c r="N151" s="792">
        <v>25000</v>
      </c>
      <c r="O151" s="792">
        <v>20000</v>
      </c>
      <c r="P151" s="792">
        <v>18000</v>
      </c>
      <c r="Q151" s="792">
        <v>3000</v>
      </c>
      <c r="R151" s="792">
        <v>1000</v>
      </c>
      <c r="S151" s="792">
        <v>6000</v>
      </c>
      <c r="T151" s="791" t="s">
        <v>283</v>
      </c>
      <c r="U151" s="791" t="s">
        <v>283</v>
      </c>
      <c r="V151" s="772" t="s">
        <v>283</v>
      </c>
      <c r="W151" s="765" t="s">
        <v>283</v>
      </c>
      <c r="X151" s="765" t="s">
        <v>283</v>
      </c>
      <c r="Y151" s="765" t="s">
        <v>283</v>
      </c>
      <c r="Z151" s="765" t="s">
        <v>283</v>
      </c>
      <c r="AA151" s="765" t="s">
        <v>283</v>
      </c>
      <c r="AB151" s="765" t="s">
        <v>283</v>
      </c>
      <c r="AC151" s="765" t="s">
        <v>283</v>
      </c>
      <c r="AD151" s="765" t="s">
        <v>283</v>
      </c>
      <c r="AE151" s="765" t="s">
        <v>283</v>
      </c>
      <c r="AF151" s="765" t="s">
        <v>283</v>
      </c>
      <c r="AG151" s="765" t="s">
        <v>283</v>
      </c>
      <c r="AH151" s="765" t="s">
        <v>283</v>
      </c>
      <c r="AI151" s="765" t="s">
        <v>283</v>
      </c>
      <c r="AJ151" s="765" t="s">
        <v>283</v>
      </c>
      <c r="AK151" s="765" t="s">
        <v>283</v>
      </c>
      <c r="AL151" s="765" t="s">
        <v>283</v>
      </c>
      <c r="AM151" s="765" t="s">
        <v>283</v>
      </c>
      <c r="AN151" s="765" t="s">
        <v>283</v>
      </c>
      <c r="AO151" s="765" t="s">
        <v>283</v>
      </c>
      <c r="AP151" s="765" t="s">
        <v>283</v>
      </c>
      <c r="AQ151" s="765" t="s">
        <v>283</v>
      </c>
      <c r="AR151" s="765" t="s">
        <v>283</v>
      </c>
      <c r="AS151" s="765" t="s">
        <v>283</v>
      </c>
      <c r="AT151" s="765" t="s">
        <v>283</v>
      </c>
    </row>
    <row r="152" spans="1:46" ht="15">
      <c r="A152" s="765" t="s">
        <v>283</v>
      </c>
      <c r="B152" s="769" t="s">
        <v>283</v>
      </c>
      <c r="C152" s="773" t="s">
        <v>571</v>
      </c>
      <c r="D152" s="774" t="s">
        <v>283</v>
      </c>
      <c r="E152" s="774" t="s">
        <v>283</v>
      </c>
      <c r="F152" s="774" t="s">
        <v>283</v>
      </c>
      <c r="G152" s="774" t="s">
        <v>283</v>
      </c>
      <c r="H152" s="774" t="s">
        <v>283</v>
      </c>
      <c r="I152" s="774" t="s">
        <v>283</v>
      </c>
      <c r="J152" s="774" t="s">
        <v>283</v>
      </c>
      <c r="K152" s="774" t="s">
        <v>283</v>
      </c>
      <c r="L152" s="771"/>
      <c r="M152" s="771"/>
      <c r="N152" s="771"/>
      <c r="O152" s="771"/>
      <c r="P152" s="771"/>
      <c r="Q152" s="771"/>
      <c r="R152" s="771"/>
      <c r="S152" s="771"/>
      <c r="T152" s="771"/>
      <c r="U152" s="771"/>
      <c r="V152" s="772" t="s">
        <v>283</v>
      </c>
      <c r="W152" s="765" t="s">
        <v>283</v>
      </c>
      <c r="X152" s="765" t="s">
        <v>283</v>
      </c>
      <c r="Y152" s="765" t="s">
        <v>283</v>
      </c>
      <c r="Z152" s="765" t="s">
        <v>283</v>
      </c>
      <c r="AA152" s="765" t="s">
        <v>283</v>
      </c>
      <c r="AB152" s="765" t="s">
        <v>283</v>
      </c>
      <c r="AC152" s="765" t="s">
        <v>283</v>
      </c>
      <c r="AD152" s="765" t="s">
        <v>283</v>
      </c>
      <c r="AE152" s="765" t="s">
        <v>283</v>
      </c>
      <c r="AF152" s="765" t="s">
        <v>283</v>
      </c>
      <c r="AG152" s="765" t="s">
        <v>283</v>
      </c>
      <c r="AH152" s="765" t="s">
        <v>283</v>
      </c>
      <c r="AI152" s="765" t="s">
        <v>283</v>
      </c>
      <c r="AJ152" s="765" t="s">
        <v>283</v>
      </c>
      <c r="AK152" s="765" t="s">
        <v>283</v>
      </c>
      <c r="AL152" s="765" t="s">
        <v>283</v>
      </c>
      <c r="AM152" s="765" t="s">
        <v>283</v>
      </c>
      <c r="AN152" s="765" t="s">
        <v>283</v>
      </c>
      <c r="AO152" s="765" t="s">
        <v>283</v>
      </c>
      <c r="AP152" s="765" t="s">
        <v>283</v>
      </c>
      <c r="AQ152" s="765" t="s">
        <v>283</v>
      </c>
      <c r="AR152" s="765" t="s">
        <v>283</v>
      </c>
      <c r="AS152" s="765" t="s">
        <v>283</v>
      </c>
      <c r="AT152" s="765" t="s">
        <v>283</v>
      </c>
    </row>
    <row r="153" spans="1:46" ht="15">
      <c r="A153" s="765" t="s">
        <v>283</v>
      </c>
      <c r="B153" s="769" t="s">
        <v>283</v>
      </c>
      <c r="C153" s="773" t="s">
        <v>572</v>
      </c>
      <c r="D153" s="774" t="s">
        <v>283</v>
      </c>
      <c r="E153" s="774" t="s">
        <v>283</v>
      </c>
      <c r="F153" s="774" t="s">
        <v>283</v>
      </c>
      <c r="G153" s="774" t="s">
        <v>283</v>
      </c>
      <c r="H153" s="774" t="s">
        <v>283</v>
      </c>
      <c r="I153" s="774" t="s">
        <v>283</v>
      </c>
      <c r="J153" s="774" t="s">
        <v>283</v>
      </c>
      <c r="K153" s="774" t="s">
        <v>283</v>
      </c>
      <c r="L153" s="771"/>
      <c r="M153" s="771"/>
      <c r="N153" s="771"/>
      <c r="O153" s="771"/>
      <c r="P153" s="771"/>
      <c r="Q153" s="771"/>
      <c r="R153" s="771"/>
      <c r="S153" s="771"/>
      <c r="T153" s="771"/>
      <c r="U153" s="771"/>
      <c r="V153" s="772" t="s">
        <v>283</v>
      </c>
      <c r="W153" s="765" t="s">
        <v>283</v>
      </c>
      <c r="X153" s="765" t="s">
        <v>283</v>
      </c>
      <c r="Y153" s="765" t="s">
        <v>283</v>
      </c>
      <c r="Z153" s="765" t="s">
        <v>283</v>
      </c>
      <c r="AA153" s="765" t="s">
        <v>283</v>
      </c>
      <c r="AB153" s="765" t="s">
        <v>283</v>
      </c>
      <c r="AC153" s="765" t="s">
        <v>283</v>
      </c>
      <c r="AD153" s="765" t="s">
        <v>283</v>
      </c>
      <c r="AE153" s="765" t="s">
        <v>283</v>
      </c>
      <c r="AF153" s="765" t="s">
        <v>283</v>
      </c>
      <c r="AG153" s="765" t="s">
        <v>283</v>
      </c>
      <c r="AH153" s="765" t="s">
        <v>283</v>
      </c>
      <c r="AI153" s="765" t="s">
        <v>283</v>
      </c>
      <c r="AJ153" s="765" t="s">
        <v>283</v>
      </c>
      <c r="AK153" s="765" t="s">
        <v>283</v>
      </c>
      <c r="AL153" s="765" t="s">
        <v>283</v>
      </c>
      <c r="AM153" s="765" t="s">
        <v>283</v>
      </c>
      <c r="AN153" s="765" t="s">
        <v>283</v>
      </c>
      <c r="AO153" s="765" t="s">
        <v>283</v>
      </c>
      <c r="AP153" s="765" t="s">
        <v>283</v>
      </c>
      <c r="AQ153" s="765" t="s">
        <v>283</v>
      </c>
      <c r="AR153" s="765" t="s">
        <v>283</v>
      </c>
      <c r="AS153" s="765" t="s">
        <v>283</v>
      </c>
      <c r="AT153" s="765" t="s">
        <v>283</v>
      </c>
    </row>
    <row r="154" spans="1:46" ht="15">
      <c r="A154" s="765" t="s">
        <v>283</v>
      </c>
      <c r="B154" s="769" t="s">
        <v>283</v>
      </c>
      <c r="C154" s="773" t="s">
        <v>573</v>
      </c>
      <c r="D154" s="780">
        <v>6000</v>
      </c>
      <c r="E154" s="780">
        <v>7600</v>
      </c>
      <c r="F154" s="780">
        <v>3000</v>
      </c>
      <c r="G154" s="780">
        <v>12000</v>
      </c>
      <c r="H154" s="780">
        <v>5000</v>
      </c>
      <c r="I154" s="780">
        <v>12000</v>
      </c>
      <c r="J154" s="780">
        <v>4159</v>
      </c>
      <c r="K154" s="779">
        <v>0.55000000000000004</v>
      </c>
      <c r="L154" s="771"/>
      <c r="M154" s="773"/>
      <c r="N154" s="773"/>
      <c r="O154" s="783">
        <v>5000</v>
      </c>
      <c r="P154" s="783">
        <v>12000</v>
      </c>
      <c r="Q154" s="783">
        <v>12000</v>
      </c>
      <c r="R154" s="783">
        <v>3000</v>
      </c>
      <c r="S154" s="783">
        <v>6000</v>
      </c>
      <c r="T154" s="773"/>
      <c r="U154" s="773"/>
      <c r="V154" s="772" t="s">
        <v>283</v>
      </c>
      <c r="W154" s="765" t="s">
        <v>283</v>
      </c>
      <c r="X154" s="765" t="s">
        <v>283</v>
      </c>
      <c r="Y154" s="765" t="s">
        <v>283</v>
      </c>
      <c r="Z154" s="765" t="s">
        <v>283</v>
      </c>
      <c r="AA154" s="765" t="s">
        <v>283</v>
      </c>
      <c r="AB154" s="765" t="s">
        <v>283</v>
      </c>
      <c r="AC154" s="765" t="s">
        <v>283</v>
      </c>
      <c r="AD154" s="765" t="s">
        <v>283</v>
      </c>
      <c r="AE154" s="765" t="s">
        <v>283</v>
      </c>
      <c r="AF154" s="765" t="s">
        <v>283</v>
      </c>
      <c r="AG154" s="765" t="s">
        <v>283</v>
      </c>
      <c r="AH154" s="765" t="s">
        <v>283</v>
      </c>
      <c r="AI154" s="765" t="s">
        <v>283</v>
      </c>
      <c r="AJ154" s="765" t="s">
        <v>283</v>
      </c>
      <c r="AK154" s="765" t="s">
        <v>283</v>
      </c>
      <c r="AL154" s="765" t="s">
        <v>283</v>
      </c>
      <c r="AM154" s="765" t="s">
        <v>283</v>
      </c>
      <c r="AN154" s="765" t="s">
        <v>283</v>
      </c>
      <c r="AO154" s="765" t="s">
        <v>283</v>
      </c>
      <c r="AP154" s="765" t="s">
        <v>283</v>
      </c>
      <c r="AQ154" s="765" t="s">
        <v>283</v>
      </c>
      <c r="AR154" s="765" t="s">
        <v>283</v>
      </c>
      <c r="AS154" s="765" t="s">
        <v>283</v>
      </c>
      <c r="AT154" s="765" t="s">
        <v>283</v>
      </c>
    </row>
    <row r="155" spans="1:46" ht="15">
      <c r="A155" s="765" t="s">
        <v>283</v>
      </c>
      <c r="B155" s="769" t="s">
        <v>283</v>
      </c>
      <c r="C155" s="776" t="s">
        <v>574</v>
      </c>
      <c r="D155" s="787">
        <v>6000</v>
      </c>
      <c r="E155" s="787">
        <v>7600</v>
      </c>
      <c r="F155" s="787">
        <v>3000</v>
      </c>
      <c r="G155" s="787">
        <v>12000</v>
      </c>
      <c r="H155" s="787">
        <v>5000</v>
      </c>
      <c r="I155" s="787">
        <v>12000</v>
      </c>
      <c r="J155" s="787">
        <v>4159</v>
      </c>
      <c r="K155" s="786">
        <v>0.55000000000000004</v>
      </c>
      <c r="L155" s="790" t="s">
        <v>283</v>
      </c>
      <c r="M155" s="791" t="s">
        <v>283</v>
      </c>
      <c r="N155" s="791" t="s">
        <v>283</v>
      </c>
      <c r="O155" s="792">
        <v>5000</v>
      </c>
      <c r="P155" s="792">
        <v>12000</v>
      </c>
      <c r="Q155" s="792">
        <v>12000</v>
      </c>
      <c r="R155" s="792">
        <v>3000</v>
      </c>
      <c r="S155" s="792">
        <v>6000</v>
      </c>
      <c r="T155" s="791" t="s">
        <v>283</v>
      </c>
      <c r="U155" s="791" t="s">
        <v>283</v>
      </c>
      <c r="V155" s="772" t="s">
        <v>283</v>
      </c>
      <c r="W155" s="765" t="s">
        <v>283</v>
      </c>
      <c r="X155" s="765" t="s">
        <v>283</v>
      </c>
      <c r="Y155" s="765" t="s">
        <v>283</v>
      </c>
      <c r="Z155" s="765" t="s">
        <v>283</v>
      </c>
      <c r="AA155" s="765" t="s">
        <v>283</v>
      </c>
      <c r="AB155" s="765" t="s">
        <v>283</v>
      </c>
      <c r="AC155" s="765" t="s">
        <v>283</v>
      </c>
      <c r="AD155" s="765" t="s">
        <v>283</v>
      </c>
      <c r="AE155" s="765" t="s">
        <v>283</v>
      </c>
      <c r="AF155" s="765" t="s">
        <v>283</v>
      </c>
      <c r="AG155" s="765" t="s">
        <v>283</v>
      </c>
      <c r="AH155" s="765" t="s">
        <v>283</v>
      </c>
      <c r="AI155" s="765" t="s">
        <v>283</v>
      </c>
      <c r="AJ155" s="765" t="s">
        <v>283</v>
      </c>
      <c r="AK155" s="765" t="s">
        <v>283</v>
      </c>
      <c r="AL155" s="765" t="s">
        <v>283</v>
      </c>
      <c r="AM155" s="765" t="s">
        <v>283</v>
      </c>
      <c r="AN155" s="765" t="s">
        <v>283</v>
      </c>
      <c r="AO155" s="765" t="s">
        <v>283</v>
      </c>
      <c r="AP155" s="765" t="s">
        <v>283</v>
      </c>
      <c r="AQ155" s="765" t="s">
        <v>283</v>
      </c>
      <c r="AR155" s="765" t="s">
        <v>283</v>
      </c>
      <c r="AS155" s="765" t="s">
        <v>283</v>
      </c>
      <c r="AT155" s="765" t="s">
        <v>283</v>
      </c>
    </row>
    <row r="156" spans="1:46" ht="15">
      <c r="A156" s="765" t="s">
        <v>283</v>
      </c>
      <c r="B156" s="769" t="s">
        <v>283</v>
      </c>
      <c r="C156" s="776" t="s">
        <v>575</v>
      </c>
      <c r="D156" s="787">
        <v>6000</v>
      </c>
      <c r="E156" s="787">
        <v>7600</v>
      </c>
      <c r="F156" s="787">
        <v>3000</v>
      </c>
      <c r="G156" s="787">
        <v>12000</v>
      </c>
      <c r="H156" s="787">
        <v>5000</v>
      </c>
      <c r="I156" s="787">
        <v>12000</v>
      </c>
      <c r="J156" s="787">
        <v>4159</v>
      </c>
      <c r="K156" s="786">
        <v>0.55000000000000004</v>
      </c>
      <c r="L156" s="790" t="s">
        <v>283</v>
      </c>
      <c r="M156" s="791" t="s">
        <v>283</v>
      </c>
      <c r="N156" s="791" t="s">
        <v>283</v>
      </c>
      <c r="O156" s="792">
        <v>5000</v>
      </c>
      <c r="P156" s="792">
        <v>12000</v>
      </c>
      <c r="Q156" s="792">
        <v>12000</v>
      </c>
      <c r="R156" s="792">
        <v>3000</v>
      </c>
      <c r="S156" s="792">
        <v>6000</v>
      </c>
      <c r="T156" s="791" t="s">
        <v>283</v>
      </c>
      <c r="U156" s="791" t="s">
        <v>283</v>
      </c>
      <c r="V156" s="772" t="s">
        <v>283</v>
      </c>
      <c r="W156" s="765" t="s">
        <v>283</v>
      </c>
      <c r="X156" s="765" t="s">
        <v>283</v>
      </c>
      <c r="Y156" s="765" t="s">
        <v>283</v>
      </c>
      <c r="Z156" s="765" t="s">
        <v>283</v>
      </c>
      <c r="AA156" s="765" t="s">
        <v>283</v>
      </c>
      <c r="AB156" s="765" t="s">
        <v>283</v>
      </c>
      <c r="AC156" s="765" t="s">
        <v>283</v>
      </c>
      <c r="AD156" s="765" t="s">
        <v>283</v>
      </c>
      <c r="AE156" s="765" t="s">
        <v>283</v>
      </c>
      <c r="AF156" s="765" t="s">
        <v>283</v>
      </c>
      <c r="AG156" s="765" t="s">
        <v>283</v>
      </c>
      <c r="AH156" s="765" t="s">
        <v>283</v>
      </c>
      <c r="AI156" s="765" t="s">
        <v>283</v>
      </c>
      <c r="AJ156" s="765" t="s">
        <v>283</v>
      </c>
      <c r="AK156" s="765" t="s">
        <v>283</v>
      </c>
      <c r="AL156" s="765" t="s">
        <v>283</v>
      </c>
      <c r="AM156" s="765" t="s">
        <v>283</v>
      </c>
      <c r="AN156" s="765" t="s">
        <v>283</v>
      </c>
      <c r="AO156" s="765" t="s">
        <v>283</v>
      </c>
      <c r="AP156" s="765" t="s">
        <v>283</v>
      </c>
      <c r="AQ156" s="765" t="s">
        <v>283</v>
      </c>
      <c r="AR156" s="765" t="s">
        <v>283</v>
      </c>
      <c r="AS156" s="765" t="s">
        <v>283</v>
      </c>
      <c r="AT156" s="765" t="s">
        <v>283</v>
      </c>
    </row>
    <row r="157" spans="1:46" ht="15">
      <c r="A157" s="765" t="s">
        <v>283</v>
      </c>
      <c r="B157" s="769" t="s">
        <v>283</v>
      </c>
      <c r="C157" s="773" t="s">
        <v>576</v>
      </c>
      <c r="D157" s="780">
        <v>9511500</v>
      </c>
      <c r="E157" s="780">
        <v>9511500</v>
      </c>
      <c r="F157" s="780">
        <v>8256000</v>
      </c>
      <c r="G157" s="780">
        <v>10767000</v>
      </c>
      <c r="H157" s="780">
        <v>8883750</v>
      </c>
      <c r="I157" s="780">
        <v>10139250</v>
      </c>
      <c r="J157" s="780">
        <v>1775545</v>
      </c>
      <c r="K157" s="779">
        <v>0.19</v>
      </c>
      <c r="L157" s="771"/>
      <c r="M157" s="773"/>
      <c r="N157" s="773"/>
      <c r="O157" s="773"/>
      <c r="P157" s="773"/>
      <c r="Q157" s="773"/>
      <c r="R157" s="783">
        <v>10767000</v>
      </c>
      <c r="S157" s="783">
        <v>8256000</v>
      </c>
      <c r="T157" s="773"/>
      <c r="U157" s="773"/>
      <c r="V157" s="772" t="s">
        <v>283</v>
      </c>
      <c r="W157" s="765" t="s">
        <v>283</v>
      </c>
      <c r="X157" s="765" t="s">
        <v>283</v>
      </c>
      <c r="Y157" s="765" t="s">
        <v>283</v>
      </c>
      <c r="Z157" s="765" t="s">
        <v>283</v>
      </c>
      <c r="AA157" s="765" t="s">
        <v>283</v>
      </c>
      <c r="AB157" s="765" t="s">
        <v>283</v>
      </c>
      <c r="AC157" s="765" t="s">
        <v>283</v>
      </c>
      <c r="AD157" s="765" t="s">
        <v>283</v>
      </c>
      <c r="AE157" s="765" t="s">
        <v>283</v>
      </c>
      <c r="AF157" s="765" t="s">
        <v>283</v>
      </c>
      <c r="AG157" s="765" t="s">
        <v>283</v>
      </c>
      <c r="AH157" s="765" t="s">
        <v>283</v>
      </c>
      <c r="AI157" s="765" t="s">
        <v>283</v>
      </c>
      <c r="AJ157" s="765" t="s">
        <v>283</v>
      </c>
      <c r="AK157" s="765" t="s">
        <v>283</v>
      </c>
      <c r="AL157" s="765" t="s">
        <v>283</v>
      </c>
      <c r="AM157" s="765" t="s">
        <v>283</v>
      </c>
      <c r="AN157" s="765" t="s">
        <v>283</v>
      </c>
      <c r="AO157" s="765" t="s">
        <v>283</v>
      </c>
      <c r="AP157" s="765" t="s">
        <v>283</v>
      </c>
      <c r="AQ157" s="765" t="s">
        <v>283</v>
      </c>
      <c r="AR157" s="765" t="s">
        <v>283</v>
      </c>
      <c r="AS157" s="765" t="s">
        <v>283</v>
      </c>
      <c r="AT157" s="765" t="s">
        <v>283</v>
      </c>
    </row>
    <row r="158" spans="1:46" ht="15">
      <c r="A158" s="765" t="s">
        <v>283</v>
      </c>
      <c r="B158" s="769" t="s">
        <v>283</v>
      </c>
      <c r="C158" s="776" t="s">
        <v>577</v>
      </c>
      <c r="D158" s="787">
        <v>1416000</v>
      </c>
      <c r="E158" s="787">
        <v>3530143</v>
      </c>
      <c r="F158" s="787">
        <v>352000</v>
      </c>
      <c r="G158" s="787">
        <v>10900000</v>
      </c>
      <c r="H158" s="787">
        <v>722500</v>
      </c>
      <c r="I158" s="787">
        <v>5299000</v>
      </c>
      <c r="J158" s="787">
        <v>4300892</v>
      </c>
      <c r="K158" s="786">
        <v>1.22</v>
      </c>
      <c r="L158" s="790" t="s">
        <v>283</v>
      </c>
      <c r="M158" s="792">
        <v>599000</v>
      </c>
      <c r="N158" s="792">
        <v>352000</v>
      </c>
      <c r="O158" s="792">
        <v>846000</v>
      </c>
      <c r="P158" s="792">
        <v>1416000</v>
      </c>
      <c r="Q158" s="792">
        <v>2133000</v>
      </c>
      <c r="R158" s="792">
        <v>10900000</v>
      </c>
      <c r="S158" s="792">
        <v>8465000</v>
      </c>
      <c r="T158" s="791" t="s">
        <v>283</v>
      </c>
      <c r="U158" s="791" t="s">
        <v>283</v>
      </c>
      <c r="V158" s="772" t="s">
        <v>283</v>
      </c>
      <c r="W158" s="765" t="s">
        <v>283</v>
      </c>
      <c r="X158" s="765" t="s">
        <v>283</v>
      </c>
      <c r="Y158" s="765" t="s">
        <v>283</v>
      </c>
      <c r="Z158" s="765" t="s">
        <v>283</v>
      </c>
      <c r="AA158" s="765" t="s">
        <v>283</v>
      </c>
      <c r="AB158" s="765" t="s">
        <v>283</v>
      </c>
      <c r="AC158" s="765" t="s">
        <v>283</v>
      </c>
      <c r="AD158" s="765" t="s">
        <v>283</v>
      </c>
      <c r="AE158" s="765" t="s">
        <v>283</v>
      </c>
      <c r="AF158" s="765" t="s">
        <v>283</v>
      </c>
      <c r="AG158" s="765" t="s">
        <v>283</v>
      </c>
      <c r="AH158" s="765" t="s">
        <v>283</v>
      </c>
      <c r="AI158" s="765" t="s">
        <v>283</v>
      </c>
      <c r="AJ158" s="765" t="s">
        <v>283</v>
      </c>
      <c r="AK158" s="765" t="s">
        <v>283</v>
      </c>
      <c r="AL158" s="765" t="s">
        <v>283</v>
      </c>
      <c r="AM158" s="765" t="s">
        <v>283</v>
      </c>
      <c r="AN158" s="765" t="s">
        <v>283</v>
      </c>
      <c r="AO158" s="765" t="s">
        <v>283</v>
      </c>
      <c r="AP158" s="765" t="s">
        <v>283</v>
      </c>
      <c r="AQ158" s="765" t="s">
        <v>283</v>
      </c>
      <c r="AR158" s="765" t="s">
        <v>283</v>
      </c>
      <c r="AS158" s="765" t="s">
        <v>283</v>
      </c>
      <c r="AT158" s="765" t="s">
        <v>283</v>
      </c>
    </row>
    <row r="159" spans="1:46" ht="15">
      <c r="A159" s="765" t="s">
        <v>283</v>
      </c>
      <c r="B159" s="769" t="s">
        <v>283</v>
      </c>
      <c r="C159" s="776" t="s">
        <v>54</v>
      </c>
      <c r="D159" s="787">
        <v>2944000</v>
      </c>
      <c r="E159" s="787">
        <v>4176485</v>
      </c>
      <c r="F159" s="787">
        <v>28752</v>
      </c>
      <c r="G159" s="787">
        <v>11736000</v>
      </c>
      <c r="H159" s="787">
        <v>2324000</v>
      </c>
      <c r="I159" s="787">
        <v>5226000</v>
      </c>
      <c r="J159" s="787">
        <v>3938816</v>
      </c>
      <c r="K159" s="786">
        <v>0.94</v>
      </c>
      <c r="L159" s="790" t="s">
        <v>283</v>
      </c>
      <c r="M159" s="792">
        <v>5226000</v>
      </c>
      <c r="N159" s="792">
        <v>2944000</v>
      </c>
      <c r="O159" s="792">
        <v>2324000</v>
      </c>
      <c r="P159" s="792">
        <v>2513000</v>
      </c>
      <c r="Q159" s="792">
        <v>3159000</v>
      </c>
      <c r="R159" s="792">
        <v>11736000</v>
      </c>
      <c r="S159" s="792">
        <v>9248000</v>
      </c>
      <c r="T159" s="792">
        <v>409616</v>
      </c>
      <c r="U159" s="792">
        <v>28752</v>
      </c>
      <c r="V159" s="772" t="s">
        <v>283</v>
      </c>
      <c r="W159" s="765" t="s">
        <v>283</v>
      </c>
      <c r="X159" s="765" t="s">
        <v>283</v>
      </c>
      <c r="Y159" s="765" t="s">
        <v>283</v>
      </c>
      <c r="Z159" s="765" t="s">
        <v>283</v>
      </c>
      <c r="AA159" s="765" t="s">
        <v>283</v>
      </c>
      <c r="AB159" s="765" t="s">
        <v>283</v>
      </c>
      <c r="AC159" s="765" t="s">
        <v>283</v>
      </c>
      <c r="AD159" s="765" t="s">
        <v>283</v>
      </c>
      <c r="AE159" s="765" t="s">
        <v>283</v>
      </c>
      <c r="AF159" s="765" t="s">
        <v>283</v>
      </c>
      <c r="AG159" s="765" t="s">
        <v>283</v>
      </c>
      <c r="AH159" s="765" t="s">
        <v>283</v>
      </c>
      <c r="AI159" s="765" t="s">
        <v>283</v>
      </c>
      <c r="AJ159" s="765" t="s">
        <v>283</v>
      </c>
      <c r="AK159" s="765" t="s">
        <v>283</v>
      </c>
      <c r="AL159" s="765" t="s">
        <v>283</v>
      </c>
      <c r="AM159" s="765" t="s">
        <v>283</v>
      </c>
      <c r="AN159" s="765" t="s">
        <v>283</v>
      </c>
      <c r="AO159" s="765" t="s">
        <v>283</v>
      </c>
      <c r="AP159" s="765" t="s">
        <v>283</v>
      </c>
      <c r="AQ159" s="765" t="s">
        <v>283</v>
      </c>
      <c r="AR159" s="765" t="s">
        <v>283</v>
      </c>
      <c r="AS159" s="765" t="s">
        <v>283</v>
      </c>
      <c r="AT159" s="765" t="s">
        <v>283</v>
      </c>
    </row>
    <row r="160" spans="1:46" ht="15">
      <c r="A160" s="765" t="s">
        <v>283</v>
      </c>
      <c r="B160" s="769" t="s">
        <v>283</v>
      </c>
      <c r="C160" s="778" t="s">
        <v>578</v>
      </c>
      <c r="D160" s="774" t="s">
        <v>283</v>
      </c>
      <c r="E160" s="774" t="s">
        <v>283</v>
      </c>
      <c r="F160" s="774" t="s">
        <v>283</v>
      </c>
      <c r="G160" s="774" t="s">
        <v>283</v>
      </c>
      <c r="H160" s="774" t="s">
        <v>283</v>
      </c>
      <c r="I160" s="774" t="s">
        <v>283</v>
      </c>
      <c r="J160" s="774" t="s">
        <v>283</v>
      </c>
      <c r="K160" s="774" t="s">
        <v>283</v>
      </c>
      <c r="L160" s="774" t="s">
        <v>283</v>
      </c>
      <c r="M160" s="774" t="s">
        <v>283</v>
      </c>
      <c r="N160" s="774" t="s">
        <v>283</v>
      </c>
      <c r="O160" s="774" t="s">
        <v>283</v>
      </c>
      <c r="P160" s="774" t="s">
        <v>283</v>
      </c>
      <c r="Q160" s="774" t="s">
        <v>283</v>
      </c>
      <c r="R160" s="774" t="s">
        <v>283</v>
      </c>
      <c r="S160" s="774" t="s">
        <v>283</v>
      </c>
      <c r="T160" s="774" t="s">
        <v>283</v>
      </c>
      <c r="U160" s="774" t="s">
        <v>283</v>
      </c>
      <c r="V160" s="772" t="s">
        <v>283</v>
      </c>
      <c r="W160" s="765" t="s">
        <v>283</v>
      </c>
      <c r="X160" s="765" t="s">
        <v>283</v>
      </c>
      <c r="Y160" s="765" t="s">
        <v>283</v>
      </c>
      <c r="Z160" s="765" t="s">
        <v>283</v>
      </c>
      <c r="AA160" s="765" t="s">
        <v>283</v>
      </c>
      <c r="AB160" s="765" t="s">
        <v>283</v>
      </c>
      <c r="AC160" s="765" t="s">
        <v>283</v>
      </c>
      <c r="AD160" s="765" t="s">
        <v>283</v>
      </c>
      <c r="AE160" s="765" t="s">
        <v>283</v>
      </c>
      <c r="AF160" s="765" t="s">
        <v>283</v>
      </c>
      <c r="AG160" s="765" t="s">
        <v>283</v>
      </c>
      <c r="AH160" s="765" t="s">
        <v>283</v>
      </c>
      <c r="AI160" s="765" t="s">
        <v>283</v>
      </c>
      <c r="AJ160" s="765" t="s">
        <v>283</v>
      </c>
      <c r="AK160" s="765" t="s">
        <v>283</v>
      </c>
      <c r="AL160" s="765" t="s">
        <v>283</v>
      </c>
      <c r="AM160" s="765" t="s">
        <v>283</v>
      </c>
      <c r="AN160" s="765" t="s">
        <v>283</v>
      </c>
      <c r="AO160" s="765" t="s">
        <v>283</v>
      </c>
      <c r="AP160" s="765" t="s">
        <v>283</v>
      </c>
      <c r="AQ160" s="765" t="s">
        <v>283</v>
      </c>
      <c r="AR160" s="765" t="s">
        <v>283</v>
      </c>
      <c r="AS160" s="765" t="s">
        <v>283</v>
      </c>
      <c r="AT160" s="765" t="s">
        <v>283</v>
      </c>
    </row>
    <row r="161" spans="1:46" ht="15">
      <c r="A161" s="765" t="s">
        <v>283</v>
      </c>
      <c r="B161" s="769" t="s">
        <v>283</v>
      </c>
      <c r="C161" s="773" t="s">
        <v>579</v>
      </c>
      <c r="D161" s="774" t="s">
        <v>283</v>
      </c>
      <c r="E161" s="774" t="s">
        <v>283</v>
      </c>
      <c r="F161" s="774" t="s">
        <v>283</v>
      </c>
      <c r="G161" s="774" t="s">
        <v>283</v>
      </c>
      <c r="H161" s="774" t="s">
        <v>283</v>
      </c>
      <c r="I161" s="774" t="s">
        <v>283</v>
      </c>
      <c r="J161" s="774" t="s">
        <v>283</v>
      </c>
      <c r="K161" s="774" t="s">
        <v>283</v>
      </c>
      <c r="L161" s="771"/>
      <c r="M161" s="771"/>
      <c r="N161" s="771"/>
      <c r="O161" s="771"/>
      <c r="P161" s="771"/>
      <c r="Q161" s="771"/>
      <c r="R161" s="771"/>
      <c r="S161" s="771"/>
      <c r="T161" s="771"/>
      <c r="U161" s="771"/>
      <c r="V161" s="772" t="s">
        <v>283</v>
      </c>
      <c r="W161" s="765" t="s">
        <v>283</v>
      </c>
      <c r="X161" s="765" t="s">
        <v>283</v>
      </c>
      <c r="Y161" s="765" t="s">
        <v>283</v>
      </c>
      <c r="Z161" s="765" t="s">
        <v>283</v>
      </c>
      <c r="AA161" s="765" t="s">
        <v>283</v>
      </c>
      <c r="AB161" s="765" t="s">
        <v>283</v>
      </c>
      <c r="AC161" s="765" t="s">
        <v>283</v>
      </c>
      <c r="AD161" s="765" t="s">
        <v>283</v>
      </c>
      <c r="AE161" s="765" t="s">
        <v>283</v>
      </c>
      <c r="AF161" s="765" t="s">
        <v>283</v>
      </c>
      <c r="AG161" s="765" t="s">
        <v>283</v>
      </c>
      <c r="AH161" s="765" t="s">
        <v>283</v>
      </c>
      <c r="AI161" s="765" t="s">
        <v>283</v>
      </c>
      <c r="AJ161" s="765" t="s">
        <v>283</v>
      </c>
      <c r="AK161" s="765" t="s">
        <v>283</v>
      </c>
      <c r="AL161" s="765" t="s">
        <v>283</v>
      </c>
      <c r="AM161" s="765" t="s">
        <v>283</v>
      </c>
      <c r="AN161" s="765" t="s">
        <v>283</v>
      </c>
      <c r="AO161" s="765" t="s">
        <v>283</v>
      </c>
      <c r="AP161" s="765" t="s">
        <v>283</v>
      </c>
      <c r="AQ161" s="765" t="s">
        <v>283</v>
      </c>
      <c r="AR161" s="765" t="s">
        <v>283</v>
      </c>
      <c r="AS161" s="765" t="s">
        <v>283</v>
      </c>
      <c r="AT161" s="765" t="s">
        <v>283</v>
      </c>
    </row>
    <row r="162" spans="1:46" ht="15">
      <c r="A162" s="765" t="s">
        <v>283</v>
      </c>
      <c r="B162" s="769" t="s">
        <v>283</v>
      </c>
      <c r="C162" s="773" t="s">
        <v>580</v>
      </c>
      <c r="D162" s="774" t="s">
        <v>283</v>
      </c>
      <c r="E162" s="774" t="s">
        <v>283</v>
      </c>
      <c r="F162" s="774" t="s">
        <v>283</v>
      </c>
      <c r="G162" s="774" t="s">
        <v>283</v>
      </c>
      <c r="H162" s="774" t="s">
        <v>283</v>
      </c>
      <c r="I162" s="774" t="s">
        <v>283</v>
      </c>
      <c r="J162" s="774" t="s">
        <v>283</v>
      </c>
      <c r="K162" s="774" t="s">
        <v>283</v>
      </c>
      <c r="L162" s="771"/>
      <c r="M162" s="771"/>
      <c r="N162" s="771"/>
      <c r="O162" s="771"/>
      <c r="P162" s="771"/>
      <c r="Q162" s="771"/>
      <c r="R162" s="771"/>
      <c r="S162" s="771"/>
      <c r="T162" s="771"/>
      <c r="U162" s="771"/>
      <c r="V162" s="772" t="s">
        <v>283</v>
      </c>
      <c r="W162" s="765" t="s">
        <v>283</v>
      </c>
      <c r="X162" s="765" t="s">
        <v>283</v>
      </c>
      <c r="Y162" s="765" t="s">
        <v>283</v>
      </c>
      <c r="Z162" s="765" t="s">
        <v>283</v>
      </c>
      <c r="AA162" s="765" t="s">
        <v>283</v>
      </c>
      <c r="AB162" s="765" t="s">
        <v>283</v>
      </c>
      <c r="AC162" s="765" t="s">
        <v>283</v>
      </c>
      <c r="AD162" s="765" t="s">
        <v>283</v>
      </c>
      <c r="AE162" s="765" t="s">
        <v>283</v>
      </c>
      <c r="AF162" s="765" t="s">
        <v>283</v>
      </c>
      <c r="AG162" s="765" t="s">
        <v>283</v>
      </c>
      <c r="AH162" s="765" t="s">
        <v>283</v>
      </c>
      <c r="AI162" s="765" t="s">
        <v>283</v>
      </c>
      <c r="AJ162" s="765" t="s">
        <v>283</v>
      </c>
      <c r="AK162" s="765" t="s">
        <v>283</v>
      </c>
      <c r="AL162" s="765" t="s">
        <v>283</v>
      </c>
      <c r="AM162" s="765" t="s">
        <v>283</v>
      </c>
      <c r="AN162" s="765" t="s">
        <v>283</v>
      </c>
      <c r="AO162" s="765" t="s">
        <v>283</v>
      </c>
      <c r="AP162" s="765" t="s">
        <v>283</v>
      </c>
      <c r="AQ162" s="765" t="s">
        <v>283</v>
      </c>
      <c r="AR162" s="765" t="s">
        <v>283</v>
      </c>
      <c r="AS162" s="765" t="s">
        <v>283</v>
      </c>
      <c r="AT162" s="765" t="s">
        <v>283</v>
      </c>
    </row>
    <row r="163" spans="1:46" ht="15">
      <c r="A163" s="765" t="s">
        <v>283</v>
      </c>
      <c r="B163" s="769" t="s">
        <v>283</v>
      </c>
      <c r="C163" s="773" t="s">
        <v>581</v>
      </c>
      <c r="D163" s="774" t="s">
        <v>283</v>
      </c>
      <c r="E163" s="774" t="s">
        <v>283</v>
      </c>
      <c r="F163" s="774" t="s">
        <v>283</v>
      </c>
      <c r="G163" s="774" t="s">
        <v>283</v>
      </c>
      <c r="H163" s="774" t="s">
        <v>283</v>
      </c>
      <c r="I163" s="774" t="s">
        <v>283</v>
      </c>
      <c r="J163" s="774" t="s">
        <v>283</v>
      </c>
      <c r="K163" s="774" t="s">
        <v>283</v>
      </c>
      <c r="L163" s="771"/>
      <c r="M163" s="771"/>
      <c r="N163" s="771"/>
      <c r="O163" s="771"/>
      <c r="P163" s="771"/>
      <c r="Q163" s="771"/>
      <c r="R163" s="771"/>
      <c r="S163" s="771"/>
      <c r="T163" s="771"/>
      <c r="U163" s="771"/>
      <c r="V163" s="772" t="s">
        <v>283</v>
      </c>
      <c r="W163" s="765" t="s">
        <v>283</v>
      </c>
      <c r="X163" s="765" t="s">
        <v>283</v>
      </c>
      <c r="Y163" s="765" t="s">
        <v>283</v>
      </c>
      <c r="Z163" s="765" t="s">
        <v>283</v>
      </c>
      <c r="AA163" s="765" t="s">
        <v>283</v>
      </c>
      <c r="AB163" s="765" t="s">
        <v>283</v>
      </c>
      <c r="AC163" s="765" t="s">
        <v>283</v>
      </c>
      <c r="AD163" s="765" t="s">
        <v>283</v>
      </c>
      <c r="AE163" s="765" t="s">
        <v>283</v>
      </c>
      <c r="AF163" s="765" t="s">
        <v>283</v>
      </c>
      <c r="AG163" s="765" t="s">
        <v>283</v>
      </c>
      <c r="AH163" s="765" t="s">
        <v>283</v>
      </c>
      <c r="AI163" s="765" t="s">
        <v>283</v>
      </c>
      <c r="AJ163" s="765" t="s">
        <v>283</v>
      </c>
      <c r="AK163" s="765" t="s">
        <v>283</v>
      </c>
      <c r="AL163" s="765" t="s">
        <v>283</v>
      </c>
      <c r="AM163" s="765" t="s">
        <v>283</v>
      </c>
      <c r="AN163" s="765" t="s">
        <v>283</v>
      </c>
      <c r="AO163" s="765" t="s">
        <v>283</v>
      </c>
      <c r="AP163" s="765" t="s">
        <v>283</v>
      </c>
      <c r="AQ163" s="765" t="s">
        <v>283</v>
      </c>
      <c r="AR163" s="765" t="s">
        <v>283</v>
      </c>
      <c r="AS163" s="765" t="s">
        <v>283</v>
      </c>
      <c r="AT163" s="765" t="s">
        <v>283</v>
      </c>
    </row>
    <row r="164" spans="1:46" ht="15">
      <c r="A164" s="765" t="s">
        <v>283</v>
      </c>
      <c r="B164" s="769" t="s">
        <v>283</v>
      </c>
      <c r="C164" s="773" t="s">
        <v>582</v>
      </c>
      <c r="D164" s="779">
        <v>0</v>
      </c>
      <c r="E164" s="780">
        <v>17362</v>
      </c>
      <c r="F164" s="779">
        <v>0</v>
      </c>
      <c r="G164" s="780">
        <v>52635</v>
      </c>
      <c r="H164" s="779">
        <v>0</v>
      </c>
      <c r="I164" s="780">
        <v>38654</v>
      </c>
      <c r="J164" s="780">
        <v>26900</v>
      </c>
      <c r="K164" s="779">
        <v>1.55</v>
      </c>
      <c r="L164" s="771"/>
      <c r="M164" s="773"/>
      <c r="N164" s="773"/>
      <c r="O164" s="773">
        <v>0</v>
      </c>
      <c r="P164" s="773"/>
      <c r="Q164" s="773">
        <v>0</v>
      </c>
      <c r="R164" s="773">
        <v>0</v>
      </c>
      <c r="S164" s="773">
        <v>0</v>
      </c>
      <c r="T164" s="783">
        <v>51539</v>
      </c>
      <c r="U164" s="783">
        <v>52635</v>
      </c>
      <c r="V164" s="772" t="s">
        <v>283</v>
      </c>
      <c r="W164" s="765" t="s">
        <v>283</v>
      </c>
      <c r="X164" s="765" t="s">
        <v>283</v>
      </c>
      <c r="Y164" s="765" t="s">
        <v>283</v>
      </c>
      <c r="Z164" s="765" t="s">
        <v>283</v>
      </c>
      <c r="AA164" s="765" t="s">
        <v>283</v>
      </c>
      <c r="AB164" s="765" t="s">
        <v>283</v>
      </c>
      <c r="AC164" s="765" t="s">
        <v>283</v>
      </c>
      <c r="AD164" s="765" t="s">
        <v>283</v>
      </c>
      <c r="AE164" s="765" t="s">
        <v>283</v>
      </c>
      <c r="AF164" s="765" t="s">
        <v>283</v>
      </c>
      <c r="AG164" s="765" t="s">
        <v>283</v>
      </c>
      <c r="AH164" s="765" t="s">
        <v>283</v>
      </c>
      <c r="AI164" s="765" t="s">
        <v>283</v>
      </c>
      <c r="AJ164" s="765" t="s">
        <v>283</v>
      </c>
      <c r="AK164" s="765" t="s">
        <v>283</v>
      </c>
      <c r="AL164" s="765" t="s">
        <v>283</v>
      </c>
      <c r="AM164" s="765" t="s">
        <v>283</v>
      </c>
      <c r="AN164" s="765" t="s">
        <v>283</v>
      </c>
      <c r="AO164" s="765" t="s">
        <v>283</v>
      </c>
      <c r="AP164" s="765" t="s">
        <v>283</v>
      </c>
      <c r="AQ164" s="765" t="s">
        <v>283</v>
      </c>
      <c r="AR164" s="765" t="s">
        <v>283</v>
      </c>
      <c r="AS164" s="765" t="s">
        <v>283</v>
      </c>
      <c r="AT164" s="765" t="s">
        <v>283</v>
      </c>
    </row>
    <row r="165" spans="1:46" ht="15">
      <c r="A165" s="765" t="s">
        <v>283</v>
      </c>
      <c r="B165" s="769" t="s">
        <v>283</v>
      </c>
      <c r="C165" s="773" t="s">
        <v>583</v>
      </c>
      <c r="D165" s="780">
        <v>22099000</v>
      </c>
      <c r="E165" s="780">
        <v>15304500</v>
      </c>
      <c r="F165" s="780">
        <v>79000</v>
      </c>
      <c r="G165" s="780">
        <v>23861000</v>
      </c>
      <c r="H165" s="780">
        <v>5487250</v>
      </c>
      <c r="I165" s="780">
        <v>23329000</v>
      </c>
      <c r="J165" s="780">
        <v>11797827</v>
      </c>
      <c r="K165" s="779">
        <v>0.77</v>
      </c>
      <c r="L165" s="771"/>
      <c r="M165" s="783">
        <v>23861000</v>
      </c>
      <c r="N165" s="783">
        <v>23549000</v>
      </c>
      <c r="O165" s="783">
        <v>22669000</v>
      </c>
      <c r="P165" s="773"/>
      <c r="Q165" s="783">
        <v>21529000</v>
      </c>
      <c r="R165" s="783">
        <v>140000</v>
      </c>
      <c r="S165" s="783">
        <v>79000</v>
      </c>
      <c r="T165" s="773"/>
      <c r="U165" s="773"/>
      <c r="V165" s="772" t="s">
        <v>283</v>
      </c>
      <c r="W165" s="765" t="s">
        <v>283</v>
      </c>
      <c r="X165" s="765" t="s">
        <v>283</v>
      </c>
      <c r="Y165" s="765" t="s">
        <v>283</v>
      </c>
      <c r="Z165" s="765" t="s">
        <v>283</v>
      </c>
      <c r="AA165" s="765" t="s">
        <v>283</v>
      </c>
      <c r="AB165" s="765" t="s">
        <v>283</v>
      </c>
      <c r="AC165" s="765" t="s">
        <v>283</v>
      </c>
      <c r="AD165" s="765" t="s">
        <v>283</v>
      </c>
      <c r="AE165" s="765" t="s">
        <v>283</v>
      </c>
      <c r="AF165" s="765" t="s">
        <v>283</v>
      </c>
      <c r="AG165" s="765" t="s">
        <v>283</v>
      </c>
      <c r="AH165" s="765" t="s">
        <v>283</v>
      </c>
      <c r="AI165" s="765" t="s">
        <v>283</v>
      </c>
      <c r="AJ165" s="765" t="s">
        <v>283</v>
      </c>
      <c r="AK165" s="765" t="s">
        <v>283</v>
      </c>
      <c r="AL165" s="765" t="s">
        <v>283</v>
      </c>
      <c r="AM165" s="765" t="s">
        <v>283</v>
      </c>
      <c r="AN165" s="765" t="s">
        <v>283</v>
      </c>
      <c r="AO165" s="765" t="s">
        <v>283</v>
      </c>
      <c r="AP165" s="765" t="s">
        <v>283</v>
      </c>
      <c r="AQ165" s="765" t="s">
        <v>283</v>
      </c>
      <c r="AR165" s="765" t="s">
        <v>283</v>
      </c>
      <c r="AS165" s="765" t="s">
        <v>283</v>
      </c>
      <c r="AT165" s="765" t="s">
        <v>283</v>
      </c>
    </row>
    <row r="166" spans="1:46" ht="15">
      <c r="A166" s="765" t="s">
        <v>283</v>
      </c>
      <c r="B166" s="769" t="s">
        <v>283</v>
      </c>
      <c r="C166" s="776" t="s">
        <v>584</v>
      </c>
      <c r="D166" s="787">
        <v>22278000</v>
      </c>
      <c r="E166" s="787">
        <v>16300714</v>
      </c>
      <c r="F166" s="787">
        <v>79000</v>
      </c>
      <c r="G166" s="787">
        <v>23861000</v>
      </c>
      <c r="H166" s="787">
        <v>10834500</v>
      </c>
      <c r="I166" s="787">
        <v>23109000</v>
      </c>
      <c r="J166" s="787">
        <v>11087728</v>
      </c>
      <c r="K166" s="786">
        <v>0.68</v>
      </c>
      <c r="L166" s="790" t="s">
        <v>283</v>
      </c>
      <c r="M166" s="792">
        <v>23861000</v>
      </c>
      <c r="N166" s="792">
        <v>23549000</v>
      </c>
      <c r="O166" s="792">
        <v>22669000</v>
      </c>
      <c r="P166" s="792">
        <v>22278000</v>
      </c>
      <c r="Q166" s="792">
        <v>21529000</v>
      </c>
      <c r="R166" s="792">
        <v>140000</v>
      </c>
      <c r="S166" s="792">
        <v>79000</v>
      </c>
      <c r="T166" s="791" t="s">
        <v>283</v>
      </c>
      <c r="U166" s="791" t="s">
        <v>283</v>
      </c>
      <c r="V166" s="772" t="s">
        <v>283</v>
      </c>
      <c r="W166" s="765" t="s">
        <v>283</v>
      </c>
      <c r="X166" s="765" t="s">
        <v>283</v>
      </c>
      <c r="Y166" s="765" t="s">
        <v>283</v>
      </c>
      <c r="Z166" s="765" t="s">
        <v>283</v>
      </c>
      <c r="AA166" s="765" t="s">
        <v>283</v>
      </c>
      <c r="AB166" s="765" t="s">
        <v>283</v>
      </c>
      <c r="AC166" s="765" t="s">
        <v>283</v>
      </c>
      <c r="AD166" s="765" t="s">
        <v>283</v>
      </c>
      <c r="AE166" s="765" t="s">
        <v>283</v>
      </c>
      <c r="AF166" s="765" t="s">
        <v>283</v>
      </c>
      <c r="AG166" s="765" t="s">
        <v>283</v>
      </c>
      <c r="AH166" s="765" t="s">
        <v>283</v>
      </c>
      <c r="AI166" s="765" t="s">
        <v>283</v>
      </c>
      <c r="AJ166" s="765" t="s">
        <v>283</v>
      </c>
      <c r="AK166" s="765" t="s">
        <v>283</v>
      </c>
      <c r="AL166" s="765" t="s">
        <v>283</v>
      </c>
      <c r="AM166" s="765" t="s">
        <v>283</v>
      </c>
      <c r="AN166" s="765" t="s">
        <v>283</v>
      </c>
      <c r="AO166" s="765" t="s">
        <v>283</v>
      </c>
      <c r="AP166" s="765" t="s">
        <v>283</v>
      </c>
      <c r="AQ166" s="765" t="s">
        <v>283</v>
      </c>
      <c r="AR166" s="765" t="s">
        <v>283</v>
      </c>
      <c r="AS166" s="765" t="s">
        <v>283</v>
      </c>
      <c r="AT166" s="765" t="s">
        <v>283</v>
      </c>
    </row>
    <row r="167" spans="1:46" ht="15">
      <c r="A167" s="765" t="s">
        <v>283</v>
      </c>
      <c r="B167" s="769" t="s">
        <v>283</v>
      </c>
      <c r="C167" s="776" t="s">
        <v>585</v>
      </c>
      <c r="D167" s="787">
        <v>22278000</v>
      </c>
      <c r="E167" s="787">
        <v>16300714</v>
      </c>
      <c r="F167" s="787">
        <v>79000</v>
      </c>
      <c r="G167" s="787">
        <v>23861000</v>
      </c>
      <c r="H167" s="787">
        <v>10834500</v>
      </c>
      <c r="I167" s="787">
        <v>23109000</v>
      </c>
      <c r="J167" s="787">
        <v>11087728</v>
      </c>
      <c r="K167" s="786">
        <v>0.68</v>
      </c>
      <c r="L167" s="790" t="s">
        <v>283</v>
      </c>
      <c r="M167" s="792">
        <v>23861000</v>
      </c>
      <c r="N167" s="792">
        <v>23549000</v>
      </c>
      <c r="O167" s="792">
        <v>22669000</v>
      </c>
      <c r="P167" s="792">
        <v>22278000</v>
      </c>
      <c r="Q167" s="792">
        <v>21529000</v>
      </c>
      <c r="R167" s="792">
        <v>140000</v>
      </c>
      <c r="S167" s="792">
        <v>79000</v>
      </c>
      <c r="T167" s="791" t="s">
        <v>283</v>
      </c>
      <c r="U167" s="791" t="s">
        <v>283</v>
      </c>
      <c r="V167" s="772" t="s">
        <v>283</v>
      </c>
      <c r="W167" s="765" t="s">
        <v>283</v>
      </c>
      <c r="X167" s="765" t="s">
        <v>283</v>
      </c>
      <c r="Y167" s="765" t="s">
        <v>283</v>
      </c>
      <c r="Z167" s="765" t="s">
        <v>283</v>
      </c>
      <c r="AA167" s="765" t="s">
        <v>283</v>
      </c>
      <c r="AB167" s="765" t="s">
        <v>283</v>
      </c>
      <c r="AC167" s="765" t="s">
        <v>283</v>
      </c>
      <c r="AD167" s="765" t="s">
        <v>283</v>
      </c>
      <c r="AE167" s="765" t="s">
        <v>283</v>
      </c>
      <c r="AF167" s="765" t="s">
        <v>283</v>
      </c>
      <c r="AG167" s="765" t="s">
        <v>283</v>
      </c>
      <c r="AH167" s="765" t="s">
        <v>283</v>
      </c>
      <c r="AI167" s="765" t="s">
        <v>283</v>
      </c>
      <c r="AJ167" s="765" t="s">
        <v>283</v>
      </c>
      <c r="AK167" s="765" t="s">
        <v>283</v>
      </c>
      <c r="AL167" s="765" t="s">
        <v>283</v>
      </c>
      <c r="AM167" s="765" t="s">
        <v>283</v>
      </c>
      <c r="AN167" s="765" t="s">
        <v>283</v>
      </c>
      <c r="AO167" s="765" t="s">
        <v>283</v>
      </c>
      <c r="AP167" s="765" t="s">
        <v>283</v>
      </c>
      <c r="AQ167" s="765" t="s">
        <v>283</v>
      </c>
      <c r="AR167" s="765" t="s">
        <v>283</v>
      </c>
      <c r="AS167" s="765" t="s">
        <v>283</v>
      </c>
      <c r="AT167" s="765" t="s">
        <v>283</v>
      </c>
    </row>
    <row r="168" spans="1:46" ht="15">
      <c r="A168" s="765" t="s">
        <v>283</v>
      </c>
      <c r="B168" s="769" t="s">
        <v>283</v>
      </c>
      <c r="C168" s="773" t="s">
        <v>586</v>
      </c>
      <c r="D168" s="780">
        <v>433000</v>
      </c>
      <c r="E168" s="780">
        <v>433000</v>
      </c>
      <c r="F168" s="780">
        <v>350000</v>
      </c>
      <c r="G168" s="780">
        <v>516000</v>
      </c>
      <c r="H168" s="780">
        <v>381500</v>
      </c>
      <c r="I168" s="780">
        <v>484500</v>
      </c>
      <c r="J168" s="780">
        <v>75587</v>
      </c>
      <c r="K168" s="779">
        <v>0.17</v>
      </c>
      <c r="L168" s="771"/>
      <c r="M168" s="783">
        <v>350000</v>
      </c>
      <c r="N168" s="783">
        <v>392000</v>
      </c>
      <c r="O168" s="783">
        <v>474000</v>
      </c>
      <c r="P168" s="783">
        <v>516000</v>
      </c>
      <c r="Q168" s="773"/>
      <c r="R168" s="773"/>
      <c r="S168" s="773"/>
      <c r="T168" s="773"/>
      <c r="U168" s="773"/>
      <c r="V168" s="772" t="s">
        <v>283</v>
      </c>
      <c r="W168" s="765" t="s">
        <v>283</v>
      </c>
      <c r="X168" s="765" t="s">
        <v>283</v>
      </c>
      <c r="Y168" s="765" t="s">
        <v>283</v>
      </c>
      <c r="Z168" s="765" t="s">
        <v>283</v>
      </c>
      <c r="AA168" s="765" t="s">
        <v>283</v>
      </c>
      <c r="AB168" s="765" t="s">
        <v>283</v>
      </c>
      <c r="AC168" s="765" t="s">
        <v>283</v>
      </c>
      <c r="AD168" s="765" t="s">
        <v>283</v>
      </c>
      <c r="AE168" s="765" t="s">
        <v>283</v>
      </c>
      <c r="AF168" s="765" t="s">
        <v>283</v>
      </c>
      <c r="AG168" s="765" t="s">
        <v>283</v>
      </c>
      <c r="AH168" s="765" t="s">
        <v>283</v>
      </c>
      <c r="AI168" s="765" t="s">
        <v>283</v>
      </c>
      <c r="AJ168" s="765" t="s">
        <v>283</v>
      </c>
      <c r="AK168" s="765" t="s">
        <v>283</v>
      </c>
      <c r="AL168" s="765" t="s">
        <v>283</v>
      </c>
      <c r="AM168" s="765" t="s">
        <v>283</v>
      </c>
      <c r="AN168" s="765" t="s">
        <v>283</v>
      </c>
      <c r="AO168" s="765" t="s">
        <v>283</v>
      </c>
      <c r="AP168" s="765" t="s">
        <v>283</v>
      </c>
      <c r="AQ168" s="765" t="s">
        <v>283</v>
      </c>
      <c r="AR168" s="765" t="s">
        <v>283</v>
      </c>
      <c r="AS168" s="765" t="s">
        <v>283</v>
      </c>
      <c r="AT168" s="765" t="s">
        <v>283</v>
      </c>
    </row>
    <row r="169" spans="1:46" ht="15">
      <c r="A169" s="765" t="s">
        <v>283</v>
      </c>
      <c r="B169" s="769" t="s">
        <v>283</v>
      </c>
      <c r="C169" s="773" t="s">
        <v>587</v>
      </c>
      <c r="D169" s="782">
        <v>-14402000</v>
      </c>
      <c r="E169" s="782">
        <v>-11205750</v>
      </c>
      <c r="F169" s="782">
        <v>-17470000</v>
      </c>
      <c r="G169" s="782">
        <v>-18327</v>
      </c>
      <c r="H169" s="782">
        <v>-16764000</v>
      </c>
      <c r="I169" s="782">
        <v>-7982000</v>
      </c>
      <c r="J169" s="780">
        <v>7098882</v>
      </c>
      <c r="K169" s="781">
        <v>-0.63</v>
      </c>
      <c r="L169" s="771"/>
      <c r="M169" s="785">
        <v>-17470000</v>
      </c>
      <c r="N169" s="785">
        <v>-17347000</v>
      </c>
      <c r="O169" s="785">
        <v>-16764000</v>
      </c>
      <c r="P169" s="785">
        <v>-16277000</v>
      </c>
      <c r="Q169" s="785">
        <v>-14402000</v>
      </c>
      <c r="R169" s="785">
        <v>-10490000</v>
      </c>
      <c r="S169" s="785">
        <v>-7982000</v>
      </c>
      <c r="T169" s="785">
        <v>-101420</v>
      </c>
      <c r="U169" s="785">
        <v>-18327</v>
      </c>
      <c r="V169" s="772" t="s">
        <v>283</v>
      </c>
      <c r="W169" s="765" t="s">
        <v>283</v>
      </c>
      <c r="X169" s="765" t="s">
        <v>283</v>
      </c>
      <c r="Y169" s="765" t="s">
        <v>283</v>
      </c>
      <c r="Z169" s="765" t="s">
        <v>283</v>
      </c>
      <c r="AA169" s="765" t="s">
        <v>283</v>
      </c>
      <c r="AB169" s="765" t="s">
        <v>283</v>
      </c>
      <c r="AC169" s="765" t="s">
        <v>283</v>
      </c>
      <c r="AD169" s="765" t="s">
        <v>283</v>
      </c>
      <c r="AE169" s="765" t="s">
        <v>283</v>
      </c>
      <c r="AF169" s="765" t="s">
        <v>283</v>
      </c>
      <c r="AG169" s="765" t="s">
        <v>283</v>
      </c>
      <c r="AH169" s="765" t="s">
        <v>283</v>
      </c>
      <c r="AI169" s="765" t="s">
        <v>283</v>
      </c>
      <c r="AJ169" s="765" t="s">
        <v>283</v>
      </c>
      <c r="AK169" s="765" t="s">
        <v>283</v>
      </c>
      <c r="AL169" s="765" t="s">
        <v>283</v>
      </c>
      <c r="AM169" s="765" t="s">
        <v>283</v>
      </c>
      <c r="AN169" s="765" t="s">
        <v>283</v>
      </c>
      <c r="AO169" s="765" t="s">
        <v>283</v>
      </c>
      <c r="AP169" s="765" t="s">
        <v>283</v>
      </c>
      <c r="AQ169" s="765" t="s">
        <v>283</v>
      </c>
      <c r="AR169" s="765" t="s">
        <v>283</v>
      </c>
      <c r="AS169" s="765" t="s">
        <v>283</v>
      </c>
      <c r="AT169" s="765" t="s">
        <v>283</v>
      </c>
    </row>
    <row r="170" spans="1:46" ht="15">
      <c r="A170" s="765" t="s">
        <v>283</v>
      </c>
      <c r="B170" s="769" t="s">
        <v>283</v>
      </c>
      <c r="C170" s="773" t="s">
        <v>588</v>
      </c>
      <c r="D170" s="774" t="s">
        <v>283</v>
      </c>
      <c r="E170" s="774" t="s">
        <v>283</v>
      </c>
      <c r="F170" s="774" t="s">
        <v>283</v>
      </c>
      <c r="G170" s="774" t="s">
        <v>283</v>
      </c>
      <c r="H170" s="774" t="s">
        <v>283</v>
      </c>
      <c r="I170" s="774" t="s">
        <v>283</v>
      </c>
      <c r="J170" s="774" t="s">
        <v>283</v>
      </c>
      <c r="K170" s="774" t="s">
        <v>283</v>
      </c>
      <c r="L170" s="771"/>
      <c r="M170" s="771"/>
      <c r="N170" s="771"/>
      <c r="O170" s="771"/>
      <c r="P170" s="771"/>
      <c r="Q170" s="771"/>
      <c r="R170" s="771"/>
      <c r="S170" s="771"/>
      <c r="T170" s="771"/>
      <c r="U170" s="771"/>
      <c r="V170" s="772" t="s">
        <v>283</v>
      </c>
      <c r="W170" s="765" t="s">
        <v>283</v>
      </c>
      <c r="X170" s="765" t="s">
        <v>283</v>
      </c>
      <c r="Y170" s="765" t="s">
        <v>283</v>
      </c>
      <c r="Z170" s="765" t="s">
        <v>283</v>
      </c>
      <c r="AA170" s="765" t="s">
        <v>283</v>
      </c>
      <c r="AB170" s="765" t="s">
        <v>283</v>
      </c>
      <c r="AC170" s="765" t="s">
        <v>283</v>
      </c>
      <c r="AD170" s="765" t="s">
        <v>283</v>
      </c>
      <c r="AE170" s="765" t="s">
        <v>283</v>
      </c>
      <c r="AF170" s="765" t="s">
        <v>283</v>
      </c>
      <c r="AG170" s="765" t="s">
        <v>283</v>
      </c>
      <c r="AH170" s="765" t="s">
        <v>283</v>
      </c>
      <c r="AI170" s="765" t="s">
        <v>283</v>
      </c>
      <c r="AJ170" s="765" t="s">
        <v>283</v>
      </c>
      <c r="AK170" s="765" t="s">
        <v>283</v>
      </c>
      <c r="AL170" s="765" t="s">
        <v>283</v>
      </c>
      <c r="AM170" s="765" t="s">
        <v>283</v>
      </c>
      <c r="AN170" s="765" t="s">
        <v>283</v>
      </c>
      <c r="AO170" s="765" t="s">
        <v>283</v>
      </c>
      <c r="AP170" s="765" t="s">
        <v>283</v>
      </c>
      <c r="AQ170" s="765" t="s">
        <v>283</v>
      </c>
      <c r="AR170" s="765" t="s">
        <v>283</v>
      </c>
      <c r="AS170" s="765" t="s">
        <v>283</v>
      </c>
      <c r="AT170" s="765" t="s">
        <v>283</v>
      </c>
    </row>
    <row r="171" spans="1:46" ht="15">
      <c r="A171" s="765" t="s">
        <v>283</v>
      </c>
      <c r="B171" s="769" t="s">
        <v>283</v>
      </c>
      <c r="C171" s="773" t="s">
        <v>589</v>
      </c>
      <c r="D171" s="780">
        <v>52000</v>
      </c>
      <c r="E171" s="780">
        <v>34500</v>
      </c>
      <c r="F171" s="782">
        <v>-119000</v>
      </c>
      <c r="G171" s="780">
        <v>153000</v>
      </c>
      <c r="H171" s="782">
        <v>-55250</v>
      </c>
      <c r="I171" s="780">
        <v>141750</v>
      </c>
      <c r="J171" s="780">
        <v>132927</v>
      </c>
      <c r="K171" s="779">
        <v>3.85</v>
      </c>
      <c r="L171" s="771"/>
      <c r="M171" s="785">
        <v>-34000</v>
      </c>
      <c r="N171" s="785">
        <v>-119000</v>
      </c>
      <c r="O171" s="783">
        <v>138000</v>
      </c>
      <c r="P171" s="783">
        <v>153000</v>
      </c>
      <c r="Q171" s="773"/>
      <c r="R171" s="773"/>
      <c r="S171" s="773"/>
      <c r="T171" s="773"/>
      <c r="U171" s="773"/>
      <c r="V171" s="772" t="s">
        <v>283</v>
      </c>
      <c r="W171" s="765" t="s">
        <v>283</v>
      </c>
      <c r="X171" s="765" t="s">
        <v>283</v>
      </c>
      <c r="Y171" s="765" t="s">
        <v>283</v>
      </c>
      <c r="Z171" s="765" t="s">
        <v>283</v>
      </c>
      <c r="AA171" s="765" t="s">
        <v>283</v>
      </c>
      <c r="AB171" s="765" t="s">
        <v>283</v>
      </c>
      <c r="AC171" s="765" t="s">
        <v>283</v>
      </c>
      <c r="AD171" s="765" t="s">
        <v>283</v>
      </c>
      <c r="AE171" s="765" t="s">
        <v>283</v>
      </c>
      <c r="AF171" s="765" t="s">
        <v>283</v>
      </c>
      <c r="AG171" s="765" t="s">
        <v>283</v>
      </c>
      <c r="AH171" s="765" t="s">
        <v>283</v>
      </c>
      <c r="AI171" s="765" t="s">
        <v>283</v>
      </c>
      <c r="AJ171" s="765" t="s">
        <v>283</v>
      </c>
      <c r="AK171" s="765" t="s">
        <v>283</v>
      </c>
      <c r="AL171" s="765" t="s">
        <v>283</v>
      </c>
      <c r="AM171" s="765" t="s">
        <v>283</v>
      </c>
      <c r="AN171" s="765" t="s">
        <v>283</v>
      </c>
      <c r="AO171" s="765" t="s">
        <v>283</v>
      </c>
      <c r="AP171" s="765" t="s">
        <v>283</v>
      </c>
      <c r="AQ171" s="765" t="s">
        <v>283</v>
      </c>
      <c r="AR171" s="765" t="s">
        <v>283</v>
      </c>
      <c r="AS171" s="765" t="s">
        <v>283</v>
      </c>
      <c r="AT171" s="765" t="s">
        <v>283</v>
      </c>
    </row>
    <row r="172" spans="1:46" ht="15">
      <c r="A172" s="765" t="s">
        <v>283</v>
      </c>
      <c r="B172" s="769" t="s">
        <v>283</v>
      </c>
      <c r="C172" s="773" t="s">
        <v>590</v>
      </c>
      <c r="D172" s="782">
        <v>-67500</v>
      </c>
      <c r="E172" s="782">
        <v>-47500</v>
      </c>
      <c r="F172" s="782">
        <v>-76000</v>
      </c>
      <c r="G172" s="780">
        <v>21000</v>
      </c>
      <c r="H172" s="782">
        <v>-70000</v>
      </c>
      <c r="I172" s="782">
        <v>-45000</v>
      </c>
      <c r="J172" s="780">
        <v>45844</v>
      </c>
      <c r="K172" s="781">
        <v>-0.97</v>
      </c>
      <c r="L172" s="771"/>
      <c r="M172" s="783">
        <v>21000</v>
      </c>
      <c r="N172" s="785">
        <v>-76000</v>
      </c>
      <c r="O172" s="785">
        <v>-68000</v>
      </c>
      <c r="P172" s="785">
        <v>-67000</v>
      </c>
      <c r="Q172" s="773"/>
      <c r="R172" s="773"/>
      <c r="S172" s="773"/>
      <c r="T172" s="773"/>
      <c r="U172" s="773"/>
      <c r="V172" s="772" t="s">
        <v>283</v>
      </c>
      <c r="W172" s="765" t="s">
        <v>283</v>
      </c>
      <c r="X172" s="765" t="s">
        <v>283</v>
      </c>
      <c r="Y172" s="765" t="s">
        <v>283</v>
      </c>
      <c r="Z172" s="765" t="s">
        <v>283</v>
      </c>
      <c r="AA172" s="765" t="s">
        <v>283</v>
      </c>
      <c r="AB172" s="765" t="s">
        <v>283</v>
      </c>
      <c r="AC172" s="765" t="s">
        <v>283</v>
      </c>
      <c r="AD172" s="765" t="s">
        <v>283</v>
      </c>
      <c r="AE172" s="765" t="s">
        <v>283</v>
      </c>
      <c r="AF172" s="765" t="s">
        <v>283</v>
      </c>
      <c r="AG172" s="765" t="s">
        <v>283</v>
      </c>
      <c r="AH172" s="765" t="s">
        <v>283</v>
      </c>
      <c r="AI172" s="765" t="s">
        <v>283</v>
      </c>
      <c r="AJ172" s="765" t="s">
        <v>283</v>
      </c>
      <c r="AK172" s="765" t="s">
        <v>283</v>
      </c>
      <c r="AL172" s="765" t="s">
        <v>283</v>
      </c>
      <c r="AM172" s="765" t="s">
        <v>283</v>
      </c>
      <c r="AN172" s="765" t="s">
        <v>283</v>
      </c>
      <c r="AO172" s="765" t="s">
        <v>283</v>
      </c>
      <c r="AP172" s="765" t="s">
        <v>283</v>
      </c>
      <c r="AQ172" s="765" t="s">
        <v>283</v>
      </c>
      <c r="AR172" s="765" t="s">
        <v>283</v>
      </c>
      <c r="AS172" s="765" t="s">
        <v>283</v>
      </c>
      <c r="AT172" s="765" t="s">
        <v>283</v>
      </c>
    </row>
    <row r="173" spans="1:46" ht="15">
      <c r="A173" s="765" t="s">
        <v>283</v>
      </c>
      <c r="B173" s="769" t="s">
        <v>283</v>
      </c>
      <c r="C173" s="776" t="s">
        <v>591</v>
      </c>
      <c r="D173" s="787">
        <v>86000</v>
      </c>
      <c r="E173" s="787">
        <v>1159571</v>
      </c>
      <c r="F173" s="789">
        <v>-195000</v>
      </c>
      <c r="G173" s="787">
        <v>3951000</v>
      </c>
      <c r="H173" s="787">
        <v>28500</v>
      </c>
      <c r="I173" s="787">
        <v>2109000</v>
      </c>
      <c r="J173" s="787">
        <v>1810268</v>
      </c>
      <c r="K173" s="786">
        <v>1.56</v>
      </c>
      <c r="L173" s="790" t="s">
        <v>283</v>
      </c>
      <c r="M173" s="794">
        <v>-13000</v>
      </c>
      <c r="N173" s="794">
        <v>-195000</v>
      </c>
      <c r="O173" s="792">
        <v>70000</v>
      </c>
      <c r="P173" s="792">
        <v>86000</v>
      </c>
      <c r="Q173" s="792">
        <v>606000</v>
      </c>
      <c r="R173" s="792">
        <v>3951000</v>
      </c>
      <c r="S173" s="792">
        <v>3612000</v>
      </c>
      <c r="T173" s="791" t="s">
        <v>283</v>
      </c>
      <c r="U173" s="791" t="s">
        <v>283</v>
      </c>
      <c r="V173" s="772" t="s">
        <v>283</v>
      </c>
      <c r="W173" s="765" t="s">
        <v>283</v>
      </c>
      <c r="X173" s="765" t="s">
        <v>283</v>
      </c>
      <c r="Y173" s="765" t="s">
        <v>283</v>
      </c>
      <c r="Z173" s="765" t="s">
        <v>283</v>
      </c>
      <c r="AA173" s="765" t="s">
        <v>283</v>
      </c>
      <c r="AB173" s="765" t="s">
        <v>283</v>
      </c>
      <c r="AC173" s="765" t="s">
        <v>283</v>
      </c>
      <c r="AD173" s="765" t="s">
        <v>283</v>
      </c>
      <c r="AE173" s="765" t="s">
        <v>283</v>
      </c>
      <c r="AF173" s="765" t="s">
        <v>283</v>
      </c>
      <c r="AG173" s="765" t="s">
        <v>283</v>
      </c>
      <c r="AH173" s="765" t="s">
        <v>283</v>
      </c>
      <c r="AI173" s="765" t="s">
        <v>283</v>
      </c>
      <c r="AJ173" s="765" t="s">
        <v>283</v>
      </c>
      <c r="AK173" s="765" t="s">
        <v>283</v>
      </c>
      <c r="AL173" s="765" t="s">
        <v>283</v>
      </c>
      <c r="AM173" s="765" t="s">
        <v>283</v>
      </c>
      <c r="AN173" s="765" t="s">
        <v>283</v>
      </c>
      <c r="AO173" s="765" t="s">
        <v>283</v>
      </c>
      <c r="AP173" s="765" t="s">
        <v>283</v>
      </c>
      <c r="AQ173" s="765" t="s">
        <v>283</v>
      </c>
      <c r="AR173" s="765" t="s">
        <v>283</v>
      </c>
      <c r="AS173" s="765" t="s">
        <v>283</v>
      </c>
      <c r="AT173" s="765" t="s">
        <v>283</v>
      </c>
    </row>
    <row r="174" spans="1:46" ht="15">
      <c r="A174" s="765" t="s">
        <v>283</v>
      </c>
      <c r="B174" s="769" t="s">
        <v>283</v>
      </c>
      <c r="C174" s="776" t="s">
        <v>592</v>
      </c>
      <c r="D174" s="787">
        <v>6449000</v>
      </c>
      <c r="E174" s="787">
        <v>3317429</v>
      </c>
      <c r="F174" s="789">
        <v>-6399000</v>
      </c>
      <c r="G174" s="787">
        <v>7733000</v>
      </c>
      <c r="H174" s="787">
        <v>1054000</v>
      </c>
      <c r="I174" s="787">
        <v>6665500</v>
      </c>
      <c r="J174" s="787">
        <v>5965515</v>
      </c>
      <c r="K174" s="786">
        <v>1.8</v>
      </c>
      <c r="L174" s="790" t="s">
        <v>283</v>
      </c>
      <c r="M174" s="792">
        <v>6728000</v>
      </c>
      <c r="N174" s="792">
        <v>6399000</v>
      </c>
      <c r="O174" s="792">
        <v>6449000</v>
      </c>
      <c r="P174" s="792">
        <v>6603000</v>
      </c>
      <c r="Q174" s="792">
        <v>7733000</v>
      </c>
      <c r="R174" s="794">
        <v>-6399000</v>
      </c>
      <c r="S174" s="794">
        <v>-4291000</v>
      </c>
      <c r="T174" s="791" t="s">
        <v>283</v>
      </c>
      <c r="U174" s="791" t="s">
        <v>283</v>
      </c>
      <c r="V174" s="772" t="s">
        <v>283</v>
      </c>
      <c r="W174" s="765" t="s">
        <v>283</v>
      </c>
      <c r="X174" s="765" t="s">
        <v>283</v>
      </c>
      <c r="Y174" s="765" t="s">
        <v>283</v>
      </c>
      <c r="Z174" s="765" t="s">
        <v>283</v>
      </c>
      <c r="AA174" s="765" t="s">
        <v>283</v>
      </c>
      <c r="AB174" s="765" t="s">
        <v>283</v>
      </c>
      <c r="AC174" s="765" t="s">
        <v>283</v>
      </c>
      <c r="AD174" s="765" t="s">
        <v>283</v>
      </c>
      <c r="AE174" s="765" t="s">
        <v>283</v>
      </c>
      <c r="AF174" s="765" t="s">
        <v>283</v>
      </c>
      <c r="AG174" s="765" t="s">
        <v>283</v>
      </c>
      <c r="AH174" s="765" t="s">
        <v>283</v>
      </c>
      <c r="AI174" s="765" t="s">
        <v>283</v>
      </c>
      <c r="AJ174" s="765" t="s">
        <v>283</v>
      </c>
      <c r="AK174" s="765" t="s">
        <v>283</v>
      </c>
      <c r="AL174" s="765" t="s">
        <v>283</v>
      </c>
      <c r="AM174" s="765" t="s">
        <v>283</v>
      </c>
      <c r="AN174" s="765" t="s">
        <v>283</v>
      </c>
      <c r="AO174" s="765" t="s">
        <v>283</v>
      </c>
      <c r="AP174" s="765" t="s">
        <v>283</v>
      </c>
      <c r="AQ174" s="765" t="s">
        <v>283</v>
      </c>
      <c r="AR174" s="765" t="s">
        <v>283</v>
      </c>
      <c r="AS174" s="765" t="s">
        <v>283</v>
      </c>
      <c r="AT174" s="765" t="s">
        <v>283</v>
      </c>
    </row>
    <row r="175" spans="1:46" ht="15">
      <c r="A175" s="765" t="s">
        <v>283</v>
      </c>
      <c r="B175" s="769" t="s">
        <v>283</v>
      </c>
      <c r="C175" s="773" t="s">
        <v>593</v>
      </c>
      <c r="D175" s="780">
        <v>54000</v>
      </c>
      <c r="E175" s="780">
        <v>73143</v>
      </c>
      <c r="F175" s="782">
        <v>-48000</v>
      </c>
      <c r="G175" s="780">
        <v>286000</v>
      </c>
      <c r="H175" s="780">
        <v>24000</v>
      </c>
      <c r="I175" s="780">
        <v>86000</v>
      </c>
      <c r="J175" s="780">
        <v>105105</v>
      </c>
      <c r="K175" s="779">
        <v>1.44</v>
      </c>
      <c r="L175" s="771"/>
      <c r="M175" s="783">
        <v>29000</v>
      </c>
      <c r="N175" s="785">
        <v>-48000</v>
      </c>
      <c r="O175" s="783">
        <v>19000</v>
      </c>
      <c r="P175" s="783">
        <v>54000</v>
      </c>
      <c r="Q175" s="783">
        <v>286000</v>
      </c>
      <c r="R175" s="783">
        <v>105000</v>
      </c>
      <c r="S175" s="783">
        <v>67000</v>
      </c>
      <c r="T175" s="773"/>
      <c r="U175" s="773"/>
      <c r="V175" s="772" t="s">
        <v>283</v>
      </c>
      <c r="W175" s="765" t="s">
        <v>283</v>
      </c>
      <c r="X175" s="765" t="s">
        <v>283</v>
      </c>
      <c r="Y175" s="765" t="s">
        <v>283</v>
      </c>
      <c r="Z175" s="765" t="s">
        <v>283</v>
      </c>
      <c r="AA175" s="765" t="s">
        <v>283</v>
      </c>
      <c r="AB175" s="765" t="s">
        <v>283</v>
      </c>
      <c r="AC175" s="765" t="s">
        <v>283</v>
      </c>
      <c r="AD175" s="765" t="s">
        <v>283</v>
      </c>
      <c r="AE175" s="765" t="s">
        <v>283</v>
      </c>
      <c r="AF175" s="765" t="s">
        <v>283</v>
      </c>
      <c r="AG175" s="765" t="s">
        <v>283</v>
      </c>
      <c r="AH175" s="765" t="s">
        <v>283</v>
      </c>
      <c r="AI175" s="765" t="s">
        <v>283</v>
      </c>
      <c r="AJ175" s="765" t="s">
        <v>283</v>
      </c>
      <c r="AK175" s="765" t="s">
        <v>283</v>
      </c>
      <c r="AL175" s="765" t="s">
        <v>283</v>
      </c>
      <c r="AM175" s="765" t="s">
        <v>283</v>
      </c>
      <c r="AN175" s="765" t="s">
        <v>283</v>
      </c>
      <c r="AO175" s="765" t="s">
        <v>283</v>
      </c>
      <c r="AP175" s="765" t="s">
        <v>283</v>
      </c>
      <c r="AQ175" s="765" t="s">
        <v>283</v>
      </c>
      <c r="AR175" s="765" t="s">
        <v>283</v>
      </c>
      <c r="AS175" s="765" t="s">
        <v>283</v>
      </c>
      <c r="AT175" s="765" t="s">
        <v>283</v>
      </c>
    </row>
    <row r="176" spans="1:46" ht="15">
      <c r="A176" s="765" t="s">
        <v>283</v>
      </c>
      <c r="B176" s="769" t="s">
        <v>283</v>
      </c>
      <c r="C176" s="776" t="s">
        <v>57</v>
      </c>
      <c r="D176" s="787">
        <v>6468000</v>
      </c>
      <c r="E176" s="787">
        <v>3390571</v>
      </c>
      <c r="F176" s="789">
        <v>-6294000</v>
      </c>
      <c r="G176" s="787">
        <v>8019000</v>
      </c>
      <c r="H176" s="787">
        <v>1063500</v>
      </c>
      <c r="I176" s="787">
        <v>6707000</v>
      </c>
      <c r="J176" s="787">
        <v>5964228</v>
      </c>
      <c r="K176" s="786">
        <v>1.76</v>
      </c>
      <c r="L176" s="790" t="s">
        <v>283</v>
      </c>
      <c r="M176" s="792">
        <v>6757000</v>
      </c>
      <c r="N176" s="792">
        <v>6351000</v>
      </c>
      <c r="O176" s="792">
        <v>6468000</v>
      </c>
      <c r="P176" s="792">
        <v>6657000</v>
      </c>
      <c r="Q176" s="792">
        <v>8019000</v>
      </c>
      <c r="R176" s="794">
        <v>-6294000</v>
      </c>
      <c r="S176" s="794">
        <v>-4224000</v>
      </c>
      <c r="T176" s="791" t="s">
        <v>283</v>
      </c>
      <c r="U176" s="791" t="s">
        <v>283</v>
      </c>
      <c r="V176" s="772" t="s">
        <v>283</v>
      </c>
      <c r="W176" s="765" t="s">
        <v>283</v>
      </c>
      <c r="X176" s="765" t="s">
        <v>283</v>
      </c>
      <c r="Y176" s="765" t="s">
        <v>283</v>
      </c>
      <c r="Z176" s="765" t="s">
        <v>283</v>
      </c>
      <c r="AA176" s="765" t="s">
        <v>283</v>
      </c>
      <c r="AB176" s="765" t="s">
        <v>283</v>
      </c>
      <c r="AC176" s="765" t="s">
        <v>283</v>
      </c>
      <c r="AD176" s="765" t="s">
        <v>283</v>
      </c>
      <c r="AE176" s="765" t="s">
        <v>283</v>
      </c>
      <c r="AF176" s="765" t="s">
        <v>283</v>
      </c>
      <c r="AG176" s="765" t="s">
        <v>283</v>
      </c>
      <c r="AH176" s="765" t="s">
        <v>283</v>
      </c>
      <c r="AI176" s="765" t="s">
        <v>283</v>
      </c>
      <c r="AJ176" s="765" t="s">
        <v>283</v>
      </c>
      <c r="AK176" s="765" t="s">
        <v>283</v>
      </c>
      <c r="AL176" s="765" t="s">
        <v>283</v>
      </c>
      <c r="AM176" s="765" t="s">
        <v>283</v>
      </c>
      <c r="AN176" s="765" t="s">
        <v>283</v>
      </c>
      <c r="AO176" s="765" t="s">
        <v>283</v>
      </c>
      <c r="AP176" s="765" t="s">
        <v>283</v>
      </c>
      <c r="AQ176" s="765" t="s">
        <v>283</v>
      </c>
      <c r="AR176" s="765" t="s">
        <v>283</v>
      </c>
      <c r="AS176" s="765" t="s">
        <v>283</v>
      </c>
      <c r="AT176" s="765" t="s">
        <v>283</v>
      </c>
    </row>
    <row r="177" spans="1:46" ht="15">
      <c r="A177" s="765" t="s">
        <v>283</v>
      </c>
      <c r="B177" s="769" t="s">
        <v>283</v>
      </c>
      <c r="C177" s="778" t="s">
        <v>594</v>
      </c>
      <c r="D177" s="774" t="s">
        <v>283</v>
      </c>
      <c r="E177" s="774" t="s">
        <v>283</v>
      </c>
      <c r="F177" s="774" t="s">
        <v>283</v>
      </c>
      <c r="G177" s="774" t="s">
        <v>283</v>
      </c>
      <c r="H177" s="774" t="s">
        <v>283</v>
      </c>
      <c r="I177" s="774" t="s">
        <v>283</v>
      </c>
      <c r="J177" s="774" t="s">
        <v>283</v>
      </c>
      <c r="K177" s="774" t="s">
        <v>283</v>
      </c>
      <c r="L177" s="774" t="s">
        <v>283</v>
      </c>
      <c r="M177" s="774" t="s">
        <v>283</v>
      </c>
      <c r="N177" s="774" t="s">
        <v>283</v>
      </c>
      <c r="O177" s="774" t="s">
        <v>283</v>
      </c>
      <c r="P177" s="774" t="s">
        <v>283</v>
      </c>
      <c r="Q177" s="774" t="s">
        <v>283</v>
      </c>
      <c r="R177" s="774" t="s">
        <v>283</v>
      </c>
      <c r="S177" s="774" t="s">
        <v>283</v>
      </c>
      <c r="T177" s="774" t="s">
        <v>283</v>
      </c>
      <c r="U177" s="774" t="s">
        <v>283</v>
      </c>
      <c r="V177" s="772" t="s">
        <v>283</v>
      </c>
      <c r="W177" s="765" t="s">
        <v>283</v>
      </c>
      <c r="X177" s="765" t="s">
        <v>283</v>
      </c>
      <c r="Y177" s="765" t="s">
        <v>283</v>
      </c>
      <c r="Z177" s="765" t="s">
        <v>283</v>
      </c>
      <c r="AA177" s="765" t="s">
        <v>283</v>
      </c>
      <c r="AB177" s="765" t="s">
        <v>283</v>
      </c>
      <c r="AC177" s="765" t="s">
        <v>283</v>
      </c>
      <c r="AD177" s="765" t="s">
        <v>283</v>
      </c>
      <c r="AE177" s="765" t="s">
        <v>283</v>
      </c>
      <c r="AF177" s="765" t="s">
        <v>283</v>
      </c>
      <c r="AG177" s="765" t="s">
        <v>283</v>
      </c>
      <c r="AH177" s="765" t="s">
        <v>283</v>
      </c>
      <c r="AI177" s="765" t="s">
        <v>283</v>
      </c>
      <c r="AJ177" s="765" t="s">
        <v>283</v>
      </c>
      <c r="AK177" s="765" t="s">
        <v>283</v>
      </c>
      <c r="AL177" s="765" t="s">
        <v>283</v>
      </c>
      <c r="AM177" s="765" t="s">
        <v>283</v>
      </c>
      <c r="AN177" s="765" t="s">
        <v>283</v>
      </c>
      <c r="AO177" s="765" t="s">
        <v>283</v>
      </c>
      <c r="AP177" s="765" t="s">
        <v>283</v>
      </c>
      <c r="AQ177" s="765" t="s">
        <v>283</v>
      </c>
      <c r="AR177" s="765" t="s">
        <v>283</v>
      </c>
      <c r="AS177" s="765" t="s">
        <v>283</v>
      </c>
      <c r="AT177" s="765" t="s">
        <v>283</v>
      </c>
    </row>
    <row r="178" spans="1:46" ht="15">
      <c r="A178" s="765" t="s">
        <v>283</v>
      </c>
      <c r="B178" s="769" t="s">
        <v>283</v>
      </c>
      <c r="C178" s="773" t="s">
        <v>595</v>
      </c>
      <c r="D178" s="774" t="s">
        <v>283</v>
      </c>
      <c r="E178" s="774" t="s">
        <v>283</v>
      </c>
      <c r="F178" s="774" t="s">
        <v>283</v>
      </c>
      <c r="G178" s="774" t="s">
        <v>283</v>
      </c>
      <c r="H178" s="774" t="s">
        <v>283</v>
      </c>
      <c r="I178" s="774" t="s">
        <v>283</v>
      </c>
      <c r="J178" s="774" t="s">
        <v>283</v>
      </c>
      <c r="K178" s="774" t="s">
        <v>283</v>
      </c>
      <c r="L178" s="771"/>
      <c r="M178" s="771"/>
      <c r="N178" s="771"/>
      <c r="O178" s="771"/>
      <c r="P178" s="771"/>
      <c r="Q178" s="771"/>
      <c r="R178" s="771"/>
      <c r="S178" s="771"/>
      <c r="T178" s="771"/>
      <c r="U178" s="771"/>
      <c r="V178" s="772" t="s">
        <v>283</v>
      </c>
      <c r="W178" s="765" t="s">
        <v>283</v>
      </c>
      <c r="X178" s="765" t="s">
        <v>283</v>
      </c>
      <c r="Y178" s="765" t="s">
        <v>283</v>
      </c>
      <c r="Z178" s="765" t="s">
        <v>283</v>
      </c>
      <c r="AA178" s="765" t="s">
        <v>283</v>
      </c>
      <c r="AB178" s="765" t="s">
        <v>283</v>
      </c>
      <c r="AC178" s="765" t="s">
        <v>283</v>
      </c>
      <c r="AD178" s="765" t="s">
        <v>283</v>
      </c>
      <c r="AE178" s="765" t="s">
        <v>283</v>
      </c>
      <c r="AF178" s="765" t="s">
        <v>283</v>
      </c>
      <c r="AG178" s="765" t="s">
        <v>283</v>
      </c>
      <c r="AH178" s="765" t="s">
        <v>283</v>
      </c>
      <c r="AI178" s="765" t="s">
        <v>283</v>
      </c>
      <c r="AJ178" s="765" t="s">
        <v>283</v>
      </c>
      <c r="AK178" s="765" t="s">
        <v>283</v>
      </c>
      <c r="AL178" s="765" t="s">
        <v>283</v>
      </c>
      <c r="AM178" s="765" t="s">
        <v>283</v>
      </c>
      <c r="AN178" s="765" t="s">
        <v>283</v>
      </c>
      <c r="AO178" s="765" t="s">
        <v>283</v>
      </c>
      <c r="AP178" s="765" t="s">
        <v>283</v>
      </c>
      <c r="AQ178" s="765" t="s">
        <v>283</v>
      </c>
      <c r="AR178" s="765" t="s">
        <v>283</v>
      </c>
      <c r="AS178" s="765" t="s">
        <v>283</v>
      </c>
      <c r="AT178" s="765" t="s">
        <v>283</v>
      </c>
    </row>
    <row r="179" spans="1:46" ht="15">
      <c r="A179" s="765" t="s">
        <v>283</v>
      </c>
      <c r="B179" s="769" t="s">
        <v>283</v>
      </c>
      <c r="C179" s="773" t="s">
        <v>596</v>
      </c>
      <c r="D179" s="780">
        <v>3949285223</v>
      </c>
      <c r="E179" s="780">
        <v>3939153032</v>
      </c>
      <c r="F179" s="780">
        <v>3741980208</v>
      </c>
      <c r="G179" s="780">
        <v>4089290878</v>
      </c>
      <c r="H179" s="780">
        <v>3886966021</v>
      </c>
      <c r="I179" s="780">
        <v>4009791438</v>
      </c>
      <c r="J179" s="780">
        <v>121549632</v>
      </c>
      <c r="K179" s="779">
        <v>0.03</v>
      </c>
      <c r="L179" s="771"/>
      <c r="M179" s="783">
        <v>4089290878</v>
      </c>
      <c r="N179" s="783">
        <v>4070297652</v>
      </c>
      <c r="O179" s="783">
        <v>3933743051</v>
      </c>
      <c r="P179" s="783">
        <v>3840188991</v>
      </c>
      <c r="Q179" s="783">
        <v>3741980208</v>
      </c>
      <c r="R179" s="783">
        <v>3949285223</v>
      </c>
      <c r="S179" s="783">
        <v>3949285223</v>
      </c>
      <c r="T179" s="773"/>
      <c r="U179" s="773"/>
      <c r="V179" s="772" t="s">
        <v>283</v>
      </c>
      <c r="W179" s="765" t="s">
        <v>283</v>
      </c>
      <c r="X179" s="765" t="s">
        <v>283</v>
      </c>
      <c r="Y179" s="765" t="s">
        <v>283</v>
      </c>
      <c r="Z179" s="765" t="s">
        <v>283</v>
      </c>
      <c r="AA179" s="765" t="s">
        <v>283</v>
      </c>
      <c r="AB179" s="765" t="s">
        <v>283</v>
      </c>
      <c r="AC179" s="765" t="s">
        <v>283</v>
      </c>
      <c r="AD179" s="765" t="s">
        <v>283</v>
      </c>
      <c r="AE179" s="765" t="s">
        <v>283</v>
      </c>
      <c r="AF179" s="765" t="s">
        <v>283</v>
      </c>
      <c r="AG179" s="765" t="s">
        <v>283</v>
      </c>
      <c r="AH179" s="765" t="s">
        <v>283</v>
      </c>
      <c r="AI179" s="765" t="s">
        <v>283</v>
      </c>
      <c r="AJ179" s="765" t="s">
        <v>283</v>
      </c>
      <c r="AK179" s="765" t="s">
        <v>283</v>
      </c>
      <c r="AL179" s="765" t="s">
        <v>283</v>
      </c>
      <c r="AM179" s="765" t="s">
        <v>283</v>
      </c>
      <c r="AN179" s="765" t="s">
        <v>283</v>
      </c>
      <c r="AO179" s="765" t="s">
        <v>283</v>
      </c>
      <c r="AP179" s="765" t="s">
        <v>283</v>
      </c>
      <c r="AQ179" s="765" t="s">
        <v>283</v>
      </c>
      <c r="AR179" s="765" t="s">
        <v>283</v>
      </c>
      <c r="AS179" s="765" t="s">
        <v>283</v>
      </c>
      <c r="AT179" s="765" t="s">
        <v>283</v>
      </c>
    </row>
    <row r="180" spans="1:46" ht="15">
      <c r="A180" s="765" t="s">
        <v>283</v>
      </c>
      <c r="B180" s="769" t="s">
        <v>283</v>
      </c>
      <c r="C180" s="773" t="s">
        <v>597</v>
      </c>
      <c r="D180" s="779">
        <v>0</v>
      </c>
      <c r="E180" s="779">
        <v>0</v>
      </c>
      <c r="F180" s="779">
        <v>0</v>
      </c>
      <c r="G180" s="779">
        <v>0</v>
      </c>
      <c r="H180" s="779">
        <v>0</v>
      </c>
      <c r="I180" s="779">
        <v>0</v>
      </c>
      <c r="J180" s="779" t="s">
        <v>283</v>
      </c>
      <c r="K180" s="779" t="s">
        <v>283</v>
      </c>
      <c r="L180" s="771"/>
      <c r="M180" s="773"/>
      <c r="N180" s="773"/>
      <c r="O180" s="773">
        <v>0</v>
      </c>
      <c r="P180" s="773"/>
      <c r="Q180" s="773"/>
      <c r="R180" s="773"/>
      <c r="S180" s="773"/>
      <c r="T180" s="773"/>
      <c r="U180" s="773"/>
      <c r="V180" s="772" t="s">
        <v>283</v>
      </c>
      <c r="W180" s="765" t="s">
        <v>283</v>
      </c>
      <c r="X180" s="765" t="s">
        <v>283</v>
      </c>
      <c r="Y180" s="765" t="s">
        <v>283</v>
      </c>
      <c r="Z180" s="765" t="s">
        <v>283</v>
      </c>
      <c r="AA180" s="765" t="s">
        <v>283</v>
      </c>
      <c r="AB180" s="765" t="s">
        <v>283</v>
      </c>
      <c r="AC180" s="765" t="s">
        <v>283</v>
      </c>
      <c r="AD180" s="765" t="s">
        <v>283</v>
      </c>
      <c r="AE180" s="765" t="s">
        <v>283</v>
      </c>
      <c r="AF180" s="765" t="s">
        <v>283</v>
      </c>
      <c r="AG180" s="765" t="s">
        <v>283</v>
      </c>
      <c r="AH180" s="765" t="s">
        <v>283</v>
      </c>
      <c r="AI180" s="765" t="s">
        <v>283</v>
      </c>
      <c r="AJ180" s="765" t="s">
        <v>283</v>
      </c>
      <c r="AK180" s="765" t="s">
        <v>283</v>
      </c>
      <c r="AL180" s="765" t="s">
        <v>283</v>
      </c>
      <c r="AM180" s="765" t="s">
        <v>283</v>
      </c>
      <c r="AN180" s="765" t="s">
        <v>283</v>
      </c>
      <c r="AO180" s="765" t="s">
        <v>283</v>
      </c>
      <c r="AP180" s="765" t="s">
        <v>283</v>
      </c>
      <c r="AQ180" s="765" t="s">
        <v>283</v>
      </c>
      <c r="AR180" s="765" t="s">
        <v>283</v>
      </c>
      <c r="AS180" s="765" t="s">
        <v>283</v>
      </c>
      <c r="AT180" s="765" t="s">
        <v>283</v>
      </c>
    </row>
    <row r="181" spans="1:46" ht="15">
      <c r="A181" s="765" t="s">
        <v>283</v>
      </c>
      <c r="B181" s="769" t="s">
        <v>283</v>
      </c>
      <c r="C181" s="776" t="s">
        <v>598</v>
      </c>
      <c r="D181" s="787">
        <v>3949285223</v>
      </c>
      <c r="E181" s="787">
        <v>3939153032</v>
      </c>
      <c r="F181" s="787">
        <v>3741980208</v>
      </c>
      <c r="G181" s="787">
        <v>4089290878</v>
      </c>
      <c r="H181" s="787">
        <v>3886966021</v>
      </c>
      <c r="I181" s="787">
        <v>4009791438</v>
      </c>
      <c r="J181" s="787">
        <v>121549632</v>
      </c>
      <c r="K181" s="786">
        <v>0.03</v>
      </c>
      <c r="L181" s="790" t="s">
        <v>283</v>
      </c>
      <c r="M181" s="792">
        <v>4089290878</v>
      </c>
      <c r="N181" s="792">
        <v>4070297652</v>
      </c>
      <c r="O181" s="792">
        <v>3933743051</v>
      </c>
      <c r="P181" s="792">
        <v>3840188991</v>
      </c>
      <c r="Q181" s="792">
        <v>3741980208</v>
      </c>
      <c r="R181" s="792">
        <v>3949285223</v>
      </c>
      <c r="S181" s="792">
        <v>3949285223</v>
      </c>
      <c r="T181" s="791" t="s">
        <v>283</v>
      </c>
      <c r="U181" s="791" t="s">
        <v>283</v>
      </c>
      <c r="V181" s="772" t="s">
        <v>283</v>
      </c>
      <c r="W181" s="765" t="s">
        <v>283</v>
      </c>
      <c r="X181" s="765" t="s">
        <v>283</v>
      </c>
      <c r="Y181" s="765" t="s">
        <v>283</v>
      </c>
      <c r="Z181" s="765" t="s">
        <v>283</v>
      </c>
      <c r="AA181" s="765" t="s">
        <v>283</v>
      </c>
      <c r="AB181" s="765" t="s">
        <v>283</v>
      </c>
      <c r="AC181" s="765" t="s">
        <v>283</v>
      </c>
      <c r="AD181" s="765" t="s">
        <v>283</v>
      </c>
      <c r="AE181" s="765" t="s">
        <v>283</v>
      </c>
      <c r="AF181" s="765" t="s">
        <v>283</v>
      </c>
      <c r="AG181" s="765" t="s">
        <v>283</v>
      </c>
      <c r="AH181" s="765" t="s">
        <v>283</v>
      </c>
      <c r="AI181" s="765" t="s">
        <v>283</v>
      </c>
      <c r="AJ181" s="765" t="s">
        <v>283</v>
      </c>
      <c r="AK181" s="765" t="s">
        <v>283</v>
      </c>
      <c r="AL181" s="765" t="s">
        <v>283</v>
      </c>
      <c r="AM181" s="765" t="s">
        <v>283</v>
      </c>
      <c r="AN181" s="765" t="s">
        <v>283</v>
      </c>
      <c r="AO181" s="765" t="s">
        <v>283</v>
      </c>
      <c r="AP181" s="765" t="s">
        <v>283</v>
      </c>
      <c r="AQ181" s="765" t="s">
        <v>283</v>
      </c>
      <c r="AR181" s="765" t="s">
        <v>283</v>
      </c>
      <c r="AS181" s="765" t="s">
        <v>283</v>
      </c>
      <c r="AT181" s="765" t="s">
        <v>283</v>
      </c>
    </row>
    <row r="182" spans="1:46" ht="15">
      <c r="A182" s="765" t="s">
        <v>283</v>
      </c>
      <c r="B182" s="769" t="s">
        <v>283</v>
      </c>
      <c r="C182" s="778" t="s">
        <v>599</v>
      </c>
      <c r="D182" s="774" t="s">
        <v>283</v>
      </c>
      <c r="E182" s="774" t="s">
        <v>283</v>
      </c>
      <c r="F182" s="774" t="s">
        <v>283</v>
      </c>
      <c r="G182" s="774" t="s">
        <v>283</v>
      </c>
      <c r="H182" s="774" t="s">
        <v>283</v>
      </c>
      <c r="I182" s="774" t="s">
        <v>283</v>
      </c>
      <c r="J182" s="774" t="s">
        <v>283</v>
      </c>
      <c r="K182" s="774" t="s">
        <v>283</v>
      </c>
      <c r="L182" s="774" t="s">
        <v>283</v>
      </c>
      <c r="M182" s="774" t="s">
        <v>283</v>
      </c>
      <c r="N182" s="774" t="s">
        <v>283</v>
      </c>
      <c r="O182" s="774" t="s">
        <v>283</v>
      </c>
      <c r="P182" s="774" t="s">
        <v>283</v>
      </c>
      <c r="Q182" s="774" t="s">
        <v>283</v>
      </c>
      <c r="R182" s="774" t="s">
        <v>283</v>
      </c>
      <c r="S182" s="774" t="s">
        <v>283</v>
      </c>
      <c r="T182" s="774" t="s">
        <v>283</v>
      </c>
      <c r="U182" s="774" t="s">
        <v>283</v>
      </c>
      <c r="V182" s="772" t="s">
        <v>283</v>
      </c>
      <c r="W182" s="765" t="s">
        <v>283</v>
      </c>
      <c r="X182" s="765" t="s">
        <v>283</v>
      </c>
      <c r="Y182" s="765" t="s">
        <v>283</v>
      </c>
      <c r="Z182" s="765" t="s">
        <v>283</v>
      </c>
      <c r="AA182" s="765" t="s">
        <v>283</v>
      </c>
      <c r="AB182" s="765" t="s">
        <v>283</v>
      </c>
      <c r="AC182" s="765" t="s">
        <v>283</v>
      </c>
      <c r="AD182" s="765" t="s">
        <v>283</v>
      </c>
      <c r="AE182" s="765" t="s">
        <v>283</v>
      </c>
      <c r="AF182" s="765" t="s">
        <v>283</v>
      </c>
      <c r="AG182" s="765" t="s">
        <v>283</v>
      </c>
      <c r="AH182" s="765" t="s">
        <v>283</v>
      </c>
      <c r="AI182" s="765" t="s">
        <v>283</v>
      </c>
      <c r="AJ182" s="765" t="s">
        <v>283</v>
      </c>
      <c r="AK182" s="765" t="s">
        <v>283</v>
      </c>
      <c r="AL182" s="765" t="s">
        <v>283</v>
      </c>
      <c r="AM182" s="765" t="s">
        <v>283</v>
      </c>
      <c r="AN182" s="765" t="s">
        <v>283</v>
      </c>
      <c r="AO182" s="765" t="s">
        <v>283</v>
      </c>
      <c r="AP182" s="765" t="s">
        <v>283</v>
      </c>
      <c r="AQ182" s="765" t="s">
        <v>283</v>
      </c>
      <c r="AR182" s="765" t="s">
        <v>283</v>
      </c>
      <c r="AS182" s="765" t="s">
        <v>283</v>
      </c>
      <c r="AT182" s="765" t="s">
        <v>283</v>
      </c>
    </row>
    <row r="183" spans="1:46" ht="15">
      <c r="A183" s="765" t="s">
        <v>283</v>
      </c>
      <c r="B183" s="769" t="s">
        <v>283</v>
      </c>
      <c r="C183" s="773" t="s">
        <v>600</v>
      </c>
      <c r="D183" s="774" t="s">
        <v>283</v>
      </c>
      <c r="E183" s="774" t="s">
        <v>283</v>
      </c>
      <c r="F183" s="774" t="s">
        <v>283</v>
      </c>
      <c r="G183" s="774" t="s">
        <v>283</v>
      </c>
      <c r="H183" s="774" t="s">
        <v>283</v>
      </c>
      <c r="I183" s="774" t="s">
        <v>283</v>
      </c>
      <c r="J183" s="774" t="s">
        <v>283</v>
      </c>
      <c r="K183" s="774" t="s">
        <v>283</v>
      </c>
      <c r="L183" s="771"/>
      <c r="M183" s="771"/>
      <c r="N183" s="771"/>
      <c r="O183" s="771"/>
      <c r="P183" s="771"/>
      <c r="Q183" s="771"/>
      <c r="R183" s="771"/>
      <c r="S183" s="771"/>
      <c r="T183" s="771"/>
      <c r="U183" s="771"/>
      <c r="V183" s="772" t="s">
        <v>283</v>
      </c>
      <c r="W183" s="765" t="s">
        <v>283</v>
      </c>
      <c r="X183" s="765" t="s">
        <v>283</v>
      </c>
      <c r="Y183" s="765" t="s">
        <v>283</v>
      </c>
      <c r="Z183" s="765" t="s">
        <v>283</v>
      </c>
      <c r="AA183" s="765" t="s">
        <v>283</v>
      </c>
      <c r="AB183" s="765" t="s">
        <v>283</v>
      </c>
      <c r="AC183" s="765" t="s">
        <v>283</v>
      </c>
      <c r="AD183" s="765" t="s">
        <v>283</v>
      </c>
      <c r="AE183" s="765" t="s">
        <v>283</v>
      </c>
      <c r="AF183" s="765" t="s">
        <v>283</v>
      </c>
      <c r="AG183" s="765" t="s">
        <v>283</v>
      </c>
      <c r="AH183" s="765" t="s">
        <v>283</v>
      </c>
      <c r="AI183" s="765" t="s">
        <v>283</v>
      </c>
      <c r="AJ183" s="765" t="s">
        <v>283</v>
      </c>
      <c r="AK183" s="765" t="s">
        <v>283</v>
      </c>
      <c r="AL183" s="765" t="s">
        <v>283</v>
      </c>
      <c r="AM183" s="765" t="s">
        <v>283</v>
      </c>
      <c r="AN183" s="765" t="s">
        <v>283</v>
      </c>
      <c r="AO183" s="765" t="s">
        <v>283</v>
      </c>
      <c r="AP183" s="765" t="s">
        <v>283</v>
      </c>
      <c r="AQ183" s="765" t="s">
        <v>283</v>
      </c>
      <c r="AR183" s="765" t="s">
        <v>283</v>
      </c>
      <c r="AS183" s="765" t="s">
        <v>283</v>
      </c>
      <c r="AT183" s="765" t="s">
        <v>283</v>
      </c>
    </row>
    <row r="184" spans="1:46" ht="15">
      <c r="A184" s="765" t="s">
        <v>283</v>
      </c>
      <c r="B184" s="769" t="s">
        <v>283</v>
      </c>
      <c r="C184" s="773" t="s">
        <v>601</v>
      </c>
      <c r="D184" s="780">
        <v>142000</v>
      </c>
      <c r="E184" s="780">
        <v>152600</v>
      </c>
      <c r="F184" s="780">
        <v>93000</v>
      </c>
      <c r="G184" s="780">
        <v>205000</v>
      </c>
      <c r="H184" s="780">
        <v>135000</v>
      </c>
      <c r="I184" s="780">
        <v>188000</v>
      </c>
      <c r="J184" s="780">
        <v>44646</v>
      </c>
      <c r="K184" s="779">
        <v>0.28999999999999998</v>
      </c>
      <c r="L184" s="771"/>
      <c r="M184" s="783">
        <v>135000</v>
      </c>
      <c r="N184" s="783">
        <v>93000</v>
      </c>
      <c r="O184" s="783">
        <v>142000</v>
      </c>
      <c r="P184" s="783">
        <v>188000</v>
      </c>
      <c r="Q184" s="783">
        <v>205000</v>
      </c>
      <c r="R184" s="773"/>
      <c r="S184" s="773"/>
      <c r="T184" s="773"/>
      <c r="U184" s="773"/>
      <c r="V184" s="772" t="s">
        <v>283</v>
      </c>
      <c r="W184" s="765" t="s">
        <v>283</v>
      </c>
      <c r="X184" s="765" t="s">
        <v>283</v>
      </c>
      <c r="Y184" s="765" t="s">
        <v>283</v>
      </c>
      <c r="Z184" s="765" t="s">
        <v>283</v>
      </c>
      <c r="AA184" s="765" t="s">
        <v>283</v>
      </c>
      <c r="AB184" s="765" t="s">
        <v>283</v>
      </c>
      <c r="AC184" s="765" t="s">
        <v>283</v>
      </c>
      <c r="AD184" s="765" t="s">
        <v>283</v>
      </c>
      <c r="AE184" s="765" t="s">
        <v>283</v>
      </c>
      <c r="AF184" s="765" t="s">
        <v>283</v>
      </c>
      <c r="AG184" s="765" t="s">
        <v>283</v>
      </c>
      <c r="AH184" s="765" t="s">
        <v>283</v>
      </c>
      <c r="AI184" s="765" t="s">
        <v>283</v>
      </c>
      <c r="AJ184" s="765" t="s">
        <v>283</v>
      </c>
      <c r="AK184" s="765" t="s">
        <v>283</v>
      </c>
      <c r="AL184" s="765" t="s">
        <v>283</v>
      </c>
      <c r="AM184" s="765" t="s">
        <v>283</v>
      </c>
      <c r="AN184" s="765" t="s">
        <v>283</v>
      </c>
      <c r="AO184" s="765" t="s">
        <v>283</v>
      </c>
      <c r="AP184" s="765" t="s">
        <v>283</v>
      </c>
      <c r="AQ184" s="765" t="s">
        <v>283</v>
      </c>
      <c r="AR184" s="765" t="s">
        <v>283</v>
      </c>
      <c r="AS184" s="765" t="s">
        <v>283</v>
      </c>
      <c r="AT184" s="765" t="s">
        <v>283</v>
      </c>
    </row>
    <row r="185" spans="1:46" ht="15">
      <c r="A185" s="765" t="s">
        <v>283</v>
      </c>
      <c r="B185" s="769" t="s">
        <v>283</v>
      </c>
      <c r="C185" s="773" t="s">
        <v>602</v>
      </c>
      <c r="D185" s="780">
        <v>1321000</v>
      </c>
      <c r="E185" s="780">
        <v>1225400</v>
      </c>
      <c r="F185" s="780">
        <v>128000</v>
      </c>
      <c r="G185" s="780">
        <v>2367000</v>
      </c>
      <c r="H185" s="780">
        <v>607000</v>
      </c>
      <c r="I185" s="780">
        <v>1704000</v>
      </c>
      <c r="J185" s="780">
        <v>884329</v>
      </c>
      <c r="K185" s="779">
        <v>0.72</v>
      </c>
      <c r="L185" s="771"/>
      <c r="M185" s="783">
        <v>1704000</v>
      </c>
      <c r="N185" s="783">
        <v>128000</v>
      </c>
      <c r="O185" s="783">
        <v>607000</v>
      </c>
      <c r="P185" s="783">
        <v>1321000</v>
      </c>
      <c r="Q185" s="783">
        <v>2367000</v>
      </c>
      <c r="R185" s="773"/>
      <c r="S185" s="773"/>
      <c r="T185" s="773"/>
      <c r="U185" s="773"/>
      <c r="V185" s="772" t="s">
        <v>283</v>
      </c>
      <c r="W185" s="765" t="s">
        <v>283</v>
      </c>
      <c r="X185" s="765" t="s">
        <v>283</v>
      </c>
      <c r="Y185" s="765" t="s">
        <v>283</v>
      </c>
      <c r="Z185" s="765" t="s">
        <v>283</v>
      </c>
      <c r="AA185" s="765" t="s">
        <v>283</v>
      </c>
      <c r="AB185" s="765" t="s">
        <v>283</v>
      </c>
      <c r="AC185" s="765" t="s">
        <v>283</v>
      </c>
      <c r="AD185" s="765" t="s">
        <v>283</v>
      </c>
      <c r="AE185" s="765" t="s">
        <v>283</v>
      </c>
      <c r="AF185" s="765" t="s">
        <v>283</v>
      </c>
      <c r="AG185" s="765" t="s">
        <v>283</v>
      </c>
      <c r="AH185" s="765" t="s">
        <v>283</v>
      </c>
      <c r="AI185" s="765" t="s">
        <v>283</v>
      </c>
      <c r="AJ185" s="765" t="s">
        <v>283</v>
      </c>
      <c r="AK185" s="765" t="s">
        <v>283</v>
      </c>
      <c r="AL185" s="765" t="s">
        <v>283</v>
      </c>
      <c r="AM185" s="765" t="s">
        <v>283</v>
      </c>
      <c r="AN185" s="765" t="s">
        <v>283</v>
      </c>
      <c r="AO185" s="765" t="s">
        <v>283</v>
      </c>
      <c r="AP185" s="765" t="s">
        <v>283</v>
      </c>
      <c r="AQ185" s="765" t="s">
        <v>283</v>
      </c>
      <c r="AR185" s="765" t="s">
        <v>283</v>
      </c>
      <c r="AS185" s="765" t="s">
        <v>283</v>
      </c>
      <c r="AT185" s="765" t="s">
        <v>283</v>
      </c>
    </row>
    <row r="186" spans="1:46" ht="15">
      <c r="A186" s="765" t="s">
        <v>283</v>
      </c>
      <c r="B186" s="769" t="s">
        <v>283</v>
      </c>
      <c r="C186" s="773" t="s">
        <v>603</v>
      </c>
      <c r="D186" s="782">
        <v>-69000</v>
      </c>
      <c r="E186" s="782">
        <v>-120750</v>
      </c>
      <c r="F186" s="782">
        <v>-330000</v>
      </c>
      <c r="G186" s="782">
        <v>-15000</v>
      </c>
      <c r="H186" s="782">
        <v>-171000</v>
      </c>
      <c r="I186" s="782">
        <v>-18750</v>
      </c>
      <c r="J186" s="780">
        <v>147339</v>
      </c>
      <c r="K186" s="781">
        <v>-1.22</v>
      </c>
      <c r="L186" s="771"/>
      <c r="M186" s="785">
        <v>-20000</v>
      </c>
      <c r="N186" s="785">
        <v>-15000</v>
      </c>
      <c r="O186" s="785">
        <v>-118000</v>
      </c>
      <c r="P186" s="785">
        <v>-330000</v>
      </c>
      <c r="Q186" s="773"/>
      <c r="R186" s="773"/>
      <c r="S186" s="773"/>
      <c r="T186" s="773"/>
      <c r="U186" s="773"/>
      <c r="V186" s="772" t="s">
        <v>283</v>
      </c>
      <c r="W186" s="765" t="s">
        <v>283</v>
      </c>
      <c r="X186" s="765" t="s">
        <v>283</v>
      </c>
      <c r="Y186" s="765" t="s">
        <v>283</v>
      </c>
      <c r="Z186" s="765" t="s">
        <v>283</v>
      </c>
      <c r="AA186" s="765" t="s">
        <v>283</v>
      </c>
      <c r="AB186" s="765" t="s">
        <v>283</v>
      </c>
      <c r="AC186" s="765" t="s">
        <v>283</v>
      </c>
      <c r="AD186" s="765" t="s">
        <v>283</v>
      </c>
      <c r="AE186" s="765" t="s">
        <v>283</v>
      </c>
      <c r="AF186" s="765" t="s">
        <v>283</v>
      </c>
      <c r="AG186" s="765" t="s">
        <v>283</v>
      </c>
      <c r="AH186" s="765" t="s">
        <v>283</v>
      </c>
      <c r="AI186" s="765" t="s">
        <v>283</v>
      </c>
      <c r="AJ186" s="765" t="s">
        <v>283</v>
      </c>
      <c r="AK186" s="765" t="s">
        <v>283</v>
      </c>
      <c r="AL186" s="765" t="s">
        <v>283</v>
      </c>
      <c r="AM186" s="765" t="s">
        <v>283</v>
      </c>
      <c r="AN186" s="765" t="s">
        <v>283</v>
      </c>
      <c r="AO186" s="765" t="s">
        <v>283</v>
      </c>
      <c r="AP186" s="765" t="s">
        <v>283</v>
      </c>
      <c r="AQ186" s="765" t="s">
        <v>283</v>
      </c>
      <c r="AR186" s="765" t="s">
        <v>283</v>
      </c>
      <c r="AS186" s="765" t="s">
        <v>283</v>
      </c>
      <c r="AT186" s="765" t="s">
        <v>283</v>
      </c>
    </row>
    <row r="187" spans="1:46" ht="15">
      <c r="A187" s="765" t="s">
        <v>283</v>
      </c>
      <c r="B187" s="769" t="s">
        <v>283</v>
      </c>
      <c r="C187" s="776" t="s">
        <v>604</v>
      </c>
      <c r="D187" s="787">
        <v>1179000</v>
      </c>
      <c r="E187" s="787">
        <v>1281400</v>
      </c>
      <c r="F187" s="787">
        <v>206000</v>
      </c>
      <c r="G187" s="787">
        <v>2572000</v>
      </c>
      <c r="H187" s="787">
        <v>631000</v>
      </c>
      <c r="I187" s="787">
        <v>1819000</v>
      </c>
      <c r="J187" s="787">
        <v>941362</v>
      </c>
      <c r="K187" s="786">
        <v>0.73</v>
      </c>
      <c r="L187" s="790" t="s">
        <v>283</v>
      </c>
      <c r="M187" s="792">
        <v>1819000</v>
      </c>
      <c r="N187" s="792">
        <v>206000</v>
      </c>
      <c r="O187" s="792">
        <v>631000</v>
      </c>
      <c r="P187" s="792">
        <v>1179000</v>
      </c>
      <c r="Q187" s="792">
        <v>2572000</v>
      </c>
      <c r="R187" s="791" t="s">
        <v>283</v>
      </c>
      <c r="S187" s="791" t="s">
        <v>283</v>
      </c>
      <c r="T187" s="791" t="s">
        <v>283</v>
      </c>
      <c r="U187" s="791" t="s">
        <v>283</v>
      </c>
      <c r="V187" s="772" t="s">
        <v>283</v>
      </c>
      <c r="W187" s="765" t="s">
        <v>283</v>
      </c>
      <c r="X187" s="765" t="s">
        <v>283</v>
      </c>
      <c r="Y187" s="765" t="s">
        <v>283</v>
      </c>
      <c r="Z187" s="765" t="s">
        <v>283</v>
      </c>
      <c r="AA187" s="765" t="s">
        <v>283</v>
      </c>
      <c r="AB187" s="765" t="s">
        <v>283</v>
      </c>
      <c r="AC187" s="765" t="s">
        <v>283</v>
      </c>
      <c r="AD187" s="765" t="s">
        <v>283</v>
      </c>
      <c r="AE187" s="765" t="s">
        <v>283</v>
      </c>
      <c r="AF187" s="765" t="s">
        <v>283</v>
      </c>
      <c r="AG187" s="765" t="s">
        <v>283</v>
      </c>
      <c r="AH187" s="765" t="s">
        <v>283</v>
      </c>
      <c r="AI187" s="765" t="s">
        <v>283</v>
      </c>
      <c r="AJ187" s="765" t="s">
        <v>283</v>
      </c>
      <c r="AK187" s="765" t="s">
        <v>283</v>
      </c>
      <c r="AL187" s="765" t="s">
        <v>283</v>
      </c>
      <c r="AM187" s="765" t="s">
        <v>283</v>
      </c>
      <c r="AN187" s="765" t="s">
        <v>283</v>
      </c>
      <c r="AO187" s="765" t="s">
        <v>283</v>
      </c>
      <c r="AP187" s="765" t="s">
        <v>283</v>
      </c>
      <c r="AQ187" s="765" t="s">
        <v>283</v>
      </c>
      <c r="AR187" s="765" t="s">
        <v>283</v>
      </c>
      <c r="AS187" s="765" t="s">
        <v>283</v>
      </c>
      <c r="AT187" s="765" t="s">
        <v>283</v>
      </c>
    </row>
    <row r="188" spans="1:46" ht="15">
      <c r="A188" s="765" t="s">
        <v>283</v>
      </c>
      <c r="B188" s="769" t="s">
        <v>283</v>
      </c>
      <c r="C188" s="773" t="s">
        <v>605</v>
      </c>
      <c r="D188" s="774" t="s">
        <v>283</v>
      </c>
      <c r="E188" s="774" t="s">
        <v>283</v>
      </c>
      <c r="F188" s="774" t="s">
        <v>283</v>
      </c>
      <c r="G188" s="774" t="s">
        <v>283</v>
      </c>
      <c r="H188" s="774" t="s">
        <v>283</v>
      </c>
      <c r="I188" s="774" t="s">
        <v>283</v>
      </c>
      <c r="J188" s="774" t="s">
        <v>283</v>
      </c>
      <c r="K188" s="774" t="s">
        <v>283</v>
      </c>
      <c r="L188" s="771"/>
      <c r="M188" s="771"/>
      <c r="N188" s="771"/>
      <c r="O188" s="771"/>
      <c r="P188" s="771"/>
      <c r="Q188" s="771"/>
      <c r="R188" s="771"/>
      <c r="S188" s="771"/>
      <c r="T188" s="771"/>
      <c r="U188" s="771"/>
      <c r="V188" s="772" t="s">
        <v>283</v>
      </c>
      <c r="W188" s="765" t="s">
        <v>283</v>
      </c>
      <c r="X188" s="765" t="s">
        <v>283</v>
      </c>
      <c r="Y188" s="765" t="s">
        <v>283</v>
      </c>
      <c r="Z188" s="765" t="s">
        <v>283</v>
      </c>
      <c r="AA188" s="765" t="s">
        <v>283</v>
      </c>
      <c r="AB188" s="765" t="s">
        <v>283</v>
      </c>
      <c r="AC188" s="765" t="s">
        <v>283</v>
      </c>
      <c r="AD188" s="765" t="s">
        <v>283</v>
      </c>
      <c r="AE188" s="765" t="s">
        <v>283</v>
      </c>
      <c r="AF188" s="765" t="s">
        <v>283</v>
      </c>
      <c r="AG188" s="765" t="s">
        <v>283</v>
      </c>
      <c r="AH188" s="765" t="s">
        <v>283</v>
      </c>
      <c r="AI188" s="765" t="s">
        <v>283</v>
      </c>
      <c r="AJ188" s="765" t="s">
        <v>283</v>
      </c>
      <c r="AK188" s="765" t="s">
        <v>283</v>
      </c>
      <c r="AL188" s="765" t="s">
        <v>283</v>
      </c>
      <c r="AM188" s="765" t="s">
        <v>283</v>
      </c>
      <c r="AN188" s="765" t="s">
        <v>283</v>
      </c>
      <c r="AO188" s="765" t="s">
        <v>283</v>
      </c>
      <c r="AP188" s="765" t="s">
        <v>283</v>
      </c>
      <c r="AQ188" s="765" t="s">
        <v>283</v>
      </c>
      <c r="AR188" s="765" t="s">
        <v>283</v>
      </c>
      <c r="AS188" s="765" t="s">
        <v>283</v>
      </c>
      <c r="AT188" s="765" t="s">
        <v>283</v>
      </c>
    </row>
    <row r="189" spans="1:46" ht="15">
      <c r="A189" s="765" t="s">
        <v>283</v>
      </c>
      <c r="B189" s="769" t="s">
        <v>283</v>
      </c>
      <c r="C189" s="773" t="s">
        <v>606</v>
      </c>
      <c r="D189" s="780">
        <v>47000</v>
      </c>
      <c r="E189" s="780">
        <v>44000</v>
      </c>
      <c r="F189" s="780">
        <v>23000</v>
      </c>
      <c r="G189" s="780">
        <v>59000</v>
      </c>
      <c r="H189" s="780">
        <v>42000</v>
      </c>
      <c r="I189" s="780">
        <v>49000</v>
      </c>
      <c r="J189" s="780">
        <v>13266</v>
      </c>
      <c r="K189" s="779">
        <v>0.3</v>
      </c>
      <c r="L189" s="771"/>
      <c r="M189" s="783">
        <v>59000</v>
      </c>
      <c r="N189" s="783">
        <v>42000</v>
      </c>
      <c r="O189" s="783">
        <v>49000</v>
      </c>
      <c r="P189" s="783">
        <v>47000</v>
      </c>
      <c r="Q189" s="783">
        <v>23000</v>
      </c>
      <c r="R189" s="773"/>
      <c r="S189" s="773"/>
      <c r="T189" s="773"/>
      <c r="U189" s="773"/>
      <c r="V189" s="772" t="s">
        <v>283</v>
      </c>
      <c r="W189" s="765" t="s">
        <v>283</v>
      </c>
      <c r="X189" s="765" t="s">
        <v>283</v>
      </c>
      <c r="Y189" s="765" t="s">
        <v>283</v>
      </c>
      <c r="Z189" s="765" t="s">
        <v>283</v>
      </c>
      <c r="AA189" s="765" t="s">
        <v>283</v>
      </c>
      <c r="AB189" s="765" t="s">
        <v>283</v>
      </c>
      <c r="AC189" s="765" t="s">
        <v>283</v>
      </c>
      <c r="AD189" s="765" t="s">
        <v>283</v>
      </c>
      <c r="AE189" s="765" t="s">
        <v>283</v>
      </c>
      <c r="AF189" s="765" t="s">
        <v>283</v>
      </c>
      <c r="AG189" s="765" t="s">
        <v>283</v>
      </c>
      <c r="AH189" s="765" t="s">
        <v>283</v>
      </c>
      <c r="AI189" s="765" t="s">
        <v>283</v>
      </c>
      <c r="AJ189" s="765" t="s">
        <v>283</v>
      </c>
      <c r="AK189" s="765" t="s">
        <v>283</v>
      </c>
      <c r="AL189" s="765" t="s">
        <v>283</v>
      </c>
      <c r="AM189" s="765" t="s">
        <v>283</v>
      </c>
      <c r="AN189" s="765" t="s">
        <v>283</v>
      </c>
      <c r="AO189" s="765" t="s">
        <v>283</v>
      </c>
      <c r="AP189" s="765" t="s">
        <v>283</v>
      </c>
      <c r="AQ189" s="765" t="s">
        <v>283</v>
      </c>
      <c r="AR189" s="765" t="s">
        <v>283</v>
      </c>
      <c r="AS189" s="765" t="s">
        <v>283</v>
      </c>
      <c r="AT189" s="765" t="s">
        <v>283</v>
      </c>
    </row>
    <row r="190" spans="1:46" ht="15">
      <c r="A190" s="765" t="s">
        <v>283</v>
      </c>
      <c r="B190" s="769" t="s">
        <v>283</v>
      </c>
      <c r="C190" s="773" t="s">
        <v>607</v>
      </c>
      <c r="D190" s="780">
        <v>90000</v>
      </c>
      <c r="E190" s="780">
        <v>97600</v>
      </c>
      <c r="F190" s="780">
        <v>58000</v>
      </c>
      <c r="G190" s="780">
        <v>153000</v>
      </c>
      <c r="H190" s="780">
        <v>80000</v>
      </c>
      <c r="I190" s="780">
        <v>107000</v>
      </c>
      <c r="J190" s="780">
        <v>35683</v>
      </c>
      <c r="K190" s="779">
        <v>0.37</v>
      </c>
      <c r="L190" s="771"/>
      <c r="M190" s="783">
        <v>153000</v>
      </c>
      <c r="N190" s="783">
        <v>90000</v>
      </c>
      <c r="O190" s="783">
        <v>80000</v>
      </c>
      <c r="P190" s="783">
        <v>107000</v>
      </c>
      <c r="Q190" s="783">
        <v>58000</v>
      </c>
      <c r="R190" s="773"/>
      <c r="S190" s="773"/>
      <c r="T190" s="773"/>
      <c r="U190" s="773"/>
      <c r="V190" s="772" t="s">
        <v>283</v>
      </c>
      <c r="W190" s="765" t="s">
        <v>283</v>
      </c>
      <c r="X190" s="765" t="s">
        <v>283</v>
      </c>
      <c r="Y190" s="765" t="s">
        <v>283</v>
      </c>
      <c r="Z190" s="765" t="s">
        <v>283</v>
      </c>
      <c r="AA190" s="765" t="s">
        <v>283</v>
      </c>
      <c r="AB190" s="765" t="s">
        <v>283</v>
      </c>
      <c r="AC190" s="765" t="s">
        <v>283</v>
      </c>
      <c r="AD190" s="765" t="s">
        <v>283</v>
      </c>
      <c r="AE190" s="765" t="s">
        <v>283</v>
      </c>
      <c r="AF190" s="765" t="s">
        <v>283</v>
      </c>
      <c r="AG190" s="765" t="s">
        <v>283</v>
      </c>
      <c r="AH190" s="765" t="s">
        <v>283</v>
      </c>
      <c r="AI190" s="765" t="s">
        <v>283</v>
      </c>
      <c r="AJ190" s="765" t="s">
        <v>283</v>
      </c>
      <c r="AK190" s="765" t="s">
        <v>283</v>
      </c>
      <c r="AL190" s="765" t="s">
        <v>283</v>
      </c>
      <c r="AM190" s="765" t="s">
        <v>283</v>
      </c>
      <c r="AN190" s="765" t="s">
        <v>283</v>
      </c>
      <c r="AO190" s="765" t="s">
        <v>283</v>
      </c>
      <c r="AP190" s="765" t="s">
        <v>283</v>
      </c>
      <c r="AQ190" s="765" t="s">
        <v>283</v>
      </c>
      <c r="AR190" s="765" t="s">
        <v>283</v>
      </c>
      <c r="AS190" s="765" t="s">
        <v>283</v>
      </c>
      <c r="AT190" s="765" t="s">
        <v>283</v>
      </c>
    </row>
    <row r="191" spans="1:46" ht="15">
      <c r="A191" s="765" t="s">
        <v>283</v>
      </c>
      <c r="B191" s="769" t="s">
        <v>283</v>
      </c>
      <c r="C191" s="773" t="s">
        <v>608</v>
      </c>
      <c r="D191" s="780">
        <v>98000</v>
      </c>
      <c r="E191" s="780">
        <v>97000</v>
      </c>
      <c r="F191" s="780">
        <v>76000</v>
      </c>
      <c r="G191" s="780">
        <v>116000</v>
      </c>
      <c r="H191" s="780">
        <v>86000</v>
      </c>
      <c r="I191" s="780">
        <v>109000</v>
      </c>
      <c r="J191" s="780">
        <v>16340</v>
      </c>
      <c r="K191" s="779">
        <v>0.17</v>
      </c>
      <c r="L191" s="771"/>
      <c r="M191" s="783">
        <v>76000</v>
      </c>
      <c r="N191" s="783">
        <v>86000</v>
      </c>
      <c r="O191" s="783">
        <v>98000</v>
      </c>
      <c r="P191" s="783">
        <v>109000</v>
      </c>
      <c r="Q191" s="783">
        <v>116000</v>
      </c>
      <c r="R191" s="773"/>
      <c r="S191" s="773"/>
      <c r="T191" s="773"/>
      <c r="U191" s="773"/>
      <c r="V191" s="772" t="s">
        <v>283</v>
      </c>
      <c r="W191" s="765" t="s">
        <v>283</v>
      </c>
      <c r="X191" s="765" t="s">
        <v>283</v>
      </c>
      <c r="Y191" s="765" t="s">
        <v>283</v>
      </c>
      <c r="Z191" s="765" t="s">
        <v>283</v>
      </c>
      <c r="AA191" s="765" t="s">
        <v>283</v>
      </c>
      <c r="AB191" s="765" t="s">
        <v>283</v>
      </c>
      <c r="AC191" s="765" t="s">
        <v>283</v>
      </c>
      <c r="AD191" s="765" t="s">
        <v>283</v>
      </c>
      <c r="AE191" s="765" t="s">
        <v>283</v>
      </c>
      <c r="AF191" s="765" t="s">
        <v>283</v>
      </c>
      <c r="AG191" s="765" t="s">
        <v>283</v>
      </c>
      <c r="AH191" s="765" t="s">
        <v>283</v>
      </c>
      <c r="AI191" s="765" t="s">
        <v>283</v>
      </c>
      <c r="AJ191" s="765" t="s">
        <v>283</v>
      </c>
      <c r="AK191" s="765" t="s">
        <v>283</v>
      </c>
      <c r="AL191" s="765" t="s">
        <v>283</v>
      </c>
      <c r="AM191" s="765" t="s">
        <v>283</v>
      </c>
      <c r="AN191" s="765" t="s">
        <v>283</v>
      </c>
      <c r="AO191" s="765" t="s">
        <v>283</v>
      </c>
      <c r="AP191" s="765" t="s">
        <v>283</v>
      </c>
      <c r="AQ191" s="765" t="s">
        <v>283</v>
      </c>
      <c r="AR191" s="765" t="s">
        <v>283</v>
      </c>
      <c r="AS191" s="765" t="s">
        <v>283</v>
      </c>
      <c r="AT191" s="765" t="s">
        <v>283</v>
      </c>
    </row>
    <row r="192" spans="1:46" ht="15">
      <c r="A192" s="765" t="s">
        <v>283</v>
      </c>
      <c r="B192" s="769" t="s">
        <v>283</v>
      </c>
      <c r="C192" s="773" t="s">
        <v>609</v>
      </c>
      <c r="D192" s="782">
        <v>-62500</v>
      </c>
      <c r="E192" s="782">
        <v>-64000</v>
      </c>
      <c r="F192" s="782">
        <v>-77000</v>
      </c>
      <c r="G192" s="782">
        <v>-54000</v>
      </c>
      <c r="H192" s="782">
        <v>-68000</v>
      </c>
      <c r="I192" s="782">
        <v>-58500</v>
      </c>
      <c r="J192" s="780">
        <v>9764</v>
      </c>
      <c r="K192" s="781">
        <v>-0.15</v>
      </c>
      <c r="L192" s="771"/>
      <c r="M192" s="785">
        <v>-54000</v>
      </c>
      <c r="N192" s="785">
        <v>-60000</v>
      </c>
      <c r="O192" s="785">
        <v>-65000</v>
      </c>
      <c r="P192" s="785">
        <v>-77000</v>
      </c>
      <c r="Q192" s="773"/>
      <c r="R192" s="773"/>
      <c r="S192" s="773"/>
      <c r="T192" s="773"/>
      <c r="U192" s="773"/>
      <c r="V192" s="772" t="s">
        <v>283</v>
      </c>
      <c r="W192" s="765" t="s">
        <v>283</v>
      </c>
      <c r="X192" s="765" t="s">
        <v>283</v>
      </c>
      <c r="Y192" s="765" t="s">
        <v>283</v>
      </c>
      <c r="Z192" s="765" t="s">
        <v>283</v>
      </c>
      <c r="AA192" s="765" t="s">
        <v>283</v>
      </c>
      <c r="AB192" s="765" t="s">
        <v>283</v>
      </c>
      <c r="AC192" s="765" t="s">
        <v>283</v>
      </c>
      <c r="AD192" s="765" t="s">
        <v>283</v>
      </c>
      <c r="AE192" s="765" t="s">
        <v>283</v>
      </c>
      <c r="AF192" s="765" t="s">
        <v>283</v>
      </c>
      <c r="AG192" s="765" t="s">
        <v>283</v>
      </c>
      <c r="AH192" s="765" t="s">
        <v>283</v>
      </c>
      <c r="AI192" s="765" t="s">
        <v>283</v>
      </c>
      <c r="AJ192" s="765" t="s">
        <v>283</v>
      </c>
      <c r="AK192" s="765" t="s">
        <v>283</v>
      </c>
      <c r="AL192" s="765" t="s">
        <v>283</v>
      </c>
      <c r="AM192" s="765" t="s">
        <v>283</v>
      </c>
      <c r="AN192" s="765" t="s">
        <v>283</v>
      </c>
      <c r="AO192" s="765" t="s">
        <v>283</v>
      </c>
      <c r="AP192" s="765" t="s">
        <v>283</v>
      </c>
      <c r="AQ192" s="765" t="s">
        <v>283</v>
      </c>
      <c r="AR192" s="765" t="s">
        <v>283</v>
      </c>
      <c r="AS192" s="765" t="s">
        <v>283</v>
      </c>
      <c r="AT192" s="765" t="s">
        <v>283</v>
      </c>
    </row>
    <row r="193" spans="1:46" ht="15">
      <c r="A193" s="765" t="s">
        <v>283</v>
      </c>
      <c r="B193" s="769" t="s">
        <v>283</v>
      </c>
      <c r="C193" s="776" t="s">
        <v>610</v>
      </c>
      <c r="D193" s="787">
        <v>186000</v>
      </c>
      <c r="E193" s="787">
        <v>187400</v>
      </c>
      <c r="F193" s="787">
        <v>158000</v>
      </c>
      <c r="G193" s="787">
        <v>234000</v>
      </c>
      <c r="H193" s="787">
        <v>162000</v>
      </c>
      <c r="I193" s="787">
        <v>197000</v>
      </c>
      <c r="J193" s="787">
        <v>30721</v>
      </c>
      <c r="K193" s="786">
        <v>0.16</v>
      </c>
      <c r="L193" s="790" t="s">
        <v>283</v>
      </c>
      <c r="M193" s="792">
        <v>234000</v>
      </c>
      <c r="N193" s="792">
        <v>158000</v>
      </c>
      <c r="O193" s="792">
        <v>162000</v>
      </c>
      <c r="P193" s="792">
        <v>186000</v>
      </c>
      <c r="Q193" s="792">
        <v>197000</v>
      </c>
      <c r="R193" s="791" t="s">
        <v>283</v>
      </c>
      <c r="S193" s="791" t="s">
        <v>283</v>
      </c>
      <c r="T193" s="791" t="s">
        <v>283</v>
      </c>
      <c r="U193" s="791" t="s">
        <v>283</v>
      </c>
      <c r="V193" s="772" t="s">
        <v>283</v>
      </c>
      <c r="W193" s="765" t="s">
        <v>283</v>
      </c>
      <c r="X193" s="765" t="s">
        <v>283</v>
      </c>
      <c r="Y193" s="765" t="s">
        <v>283</v>
      </c>
      <c r="Z193" s="765" t="s">
        <v>283</v>
      </c>
      <c r="AA193" s="765" t="s">
        <v>283</v>
      </c>
      <c r="AB193" s="765" t="s">
        <v>283</v>
      </c>
      <c r="AC193" s="765" t="s">
        <v>283</v>
      </c>
      <c r="AD193" s="765" t="s">
        <v>283</v>
      </c>
      <c r="AE193" s="765" t="s">
        <v>283</v>
      </c>
      <c r="AF193" s="765" t="s">
        <v>283</v>
      </c>
      <c r="AG193" s="765" t="s">
        <v>283</v>
      </c>
      <c r="AH193" s="765" t="s">
        <v>283</v>
      </c>
      <c r="AI193" s="765" t="s">
        <v>283</v>
      </c>
      <c r="AJ193" s="765" t="s">
        <v>283</v>
      </c>
      <c r="AK193" s="765" t="s">
        <v>283</v>
      </c>
      <c r="AL193" s="765" t="s">
        <v>283</v>
      </c>
      <c r="AM193" s="765" t="s">
        <v>283</v>
      </c>
      <c r="AN193" s="765" t="s">
        <v>283</v>
      </c>
      <c r="AO193" s="765" t="s">
        <v>283</v>
      </c>
      <c r="AP193" s="765" t="s">
        <v>283</v>
      </c>
      <c r="AQ193" s="765" t="s">
        <v>283</v>
      </c>
      <c r="AR193" s="765" t="s">
        <v>283</v>
      </c>
      <c r="AS193" s="765" t="s">
        <v>283</v>
      </c>
      <c r="AT193" s="765" t="s">
        <v>283</v>
      </c>
    </row>
    <row r="194" spans="1:46" ht="15">
      <c r="A194" s="765" t="s">
        <v>283</v>
      </c>
      <c r="B194" s="769" t="s">
        <v>283</v>
      </c>
      <c r="C194" s="773" t="s">
        <v>611</v>
      </c>
      <c r="D194" s="774" t="s">
        <v>283</v>
      </c>
      <c r="E194" s="774" t="s">
        <v>283</v>
      </c>
      <c r="F194" s="774" t="s">
        <v>283</v>
      </c>
      <c r="G194" s="774" t="s">
        <v>283</v>
      </c>
      <c r="H194" s="774" t="s">
        <v>283</v>
      </c>
      <c r="I194" s="774" t="s">
        <v>283</v>
      </c>
      <c r="J194" s="774" t="s">
        <v>283</v>
      </c>
      <c r="K194" s="774" t="s">
        <v>283</v>
      </c>
      <c r="L194" s="771"/>
      <c r="M194" s="771"/>
      <c r="N194" s="771"/>
      <c r="O194" s="771"/>
      <c r="P194" s="771"/>
      <c r="Q194" s="771"/>
      <c r="R194" s="771"/>
      <c r="S194" s="771"/>
      <c r="T194" s="771"/>
      <c r="U194" s="771"/>
      <c r="V194" s="772" t="s">
        <v>283</v>
      </c>
      <c r="W194" s="765" t="s">
        <v>283</v>
      </c>
      <c r="X194" s="765" t="s">
        <v>283</v>
      </c>
      <c r="Y194" s="765" t="s">
        <v>283</v>
      </c>
      <c r="Z194" s="765" t="s">
        <v>283</v>
      </c>
      <c r="AA194" s="765" t="s">
        <v>283</v>
      </c>
      <c r="AB194" s="765" t="s">
        <v>283</v>
      </c>
      <c r="AC194" s="765" t="s">
        <v>283</v>
      </c>
      <c r="AD194" s="765" t="s">
        <v>283</v>
      </c>
      <c r="AE194" s="765" t="s">
        <v>283</v>
      </c>
      <c r="AF194" s="765" t="s">
        <v>283</v>
      </c>
      <c r="AG194" s="765" t="s">
        <v>283</v>
      </c>
      <c r="AH194" s="765" t="s">
        <v>283</v>
      </c>
      <c r="AI194" s="765" t="s">
        <v>283</v>
      </c>
      <c r="AJ194" s="765" t="s">
        <v>283</v>
      </c>
      <c r="AK194" s="765" t="s">
        <v>283</v>
      </c>
      <c r="AL194" s="765" t="s">
        <v>283</v>
      </c>
      <c r="AM194" s="765" t="s">
        <v>283</v>
      </c>
      <c r="AN194" s="765" t="s">
        <v>283</v>
      </c>
      <c r="AO194" s="765" t="s">
        <v>283</v>
      </c>
      <c r="AP194" s="765" t="s">
        <v>283</v>
      </c>
      <c r="AQ194" s="765" t="s">
        <v>283</v>
      </c>
      <c r="AR194" s="765" t="s">
        <v>283</v>
      </c>
      <c r="AS194" s="765" t="s">
        <v>283</v>
      </c>
      <c r="AT194" s="765" t="s">
        <v>283</v>
      </c>
    </row>
    <row r="195" spans="1:46" ht="15">
      <c r="A195" s="765" t="s">
        <v>283</v>
      </c>
      <c r="B195" s="769" t="s">
        <v>283</v>
      </c>
      <c r="C195" s="773" t="s">
        <v>612</v>
      </c>
      <c r="D195" s="780">
        <v>966000</v>
      </c>
      <c r="E195" s="780">
        <v>1295167</v>
      </c>
      <c r="F195" s="780">
        <v>108000</v>
      </c>
      <c r="G195" s="780">
        <v>2725000</v>
      </c>
      <c r="H195" s="780">
        <v>776000</v>
      </c>
      <c r="I195" s="780">
        <v>1961500</v>
      </c>
      <c r="J195" s="780">
        <v>989002</v>
      </c>
      <c r="K195" s="779">
        <v>0.76</v>
      </c>
      <c r="L195" s="771"/>
      <c r="M195" s="783">
        <v>2725000</v>
      </c>
      <c r="N195" s="783">
        <v>2236000</v>
      </c>
      <c r="O195" s="783">
        <v>1138000</v>
      </c>
      <c r="P195" s="783">
        <v>794000</v>
      </c>
      <c r="Q195" s="783">
        <v>770000</v>
      </c>
      <c r="R195" s="783">
        <v>108000</v>
      </c>
      <c r="S195" s="773"/>
      <c r="T195" s="773"/>
      <c r="U195" s="773"/>
      <c r="V195" s="772" t="s">
        <v>283</v>
      </c>
      <c r="W195" s="765" t="s">
        <v>283</v>
      </c>
      <c r="X195" s="765" t="s">
        <v>283</v>
      </c>
      <c r="Y195" s="765" t="s">
        <v>283</v>
      </c>
      <c r="Z195" s="765" t="s">
        <v>283</v>
      </c>
      <c r="AA195" s="765" t="s">
        <v>283</v>
      </c>
      <c r="AB195" s="765" t="s">
        <v>283</v>
      </c>
      <c r="AC195" s="765" t="s">
        <v>283</v>
      </c>
      <c r="AD195" s="765" t="s">
        <v>283</v>
      </c>
      <c r="AE195" s="765" t="s">
        <v>283</v>
      </c>
      <c r="AF195" s="765" t="s">
        <v>283</v>
      </c>
      <c r="AG195" s="765" t="s">
        <v>283</v>
      </c>
      <c r="AH195" s="765" t="s">
        <v>283</v>
      </c>
      <c r="AI195" s="765" t="s">
        <v>283</v>
      </c>
      <c r="AJ195" s="765" t="s">
        <v>283</v>
      </c>
      <c r="AK195" s="765" t="s">
        <v>283</v>
      </c>
      <c r="AL195" s="765" t="s">
        <v>283</v>
      </c>
      <c r="AM195" s="765" t="s">
        <v>283</v>
      </c>
      <c r="AN195" s="765" t="s">
        <v>283</v>
      </c>
      <c r="AO195" s="765" t="s">
        <v>283</v>
      </c>
      <c r="AP195" s="765" t="s">
        <v>283</v>
      </c>
      <c r="AQ195" s="765" t="s">
        <v>283</v>
      </c>
      <c r="AR195" s="765" t="s">
        <v>283</v>
      </c>
      <c r="AS195" s="765" t="s">
        <v>283</v>
      </c>
      <c r="AT195" s="765" t="s">
        <v>283</v>
      </c>
    </row>
    <row r="196" spans="1:46" ht="15">
      <c r="A196" s="765" t="s">
        <v>283</v>
      </c>
      <c r="B196" s="769" t="s">
        <v>283</v>
      </c>
      <c r="C196" s="773" t="s">
        <v>613</v>
      </c>
      <c r="D196" s="780">
        <v>124000</v>
      </c>
      <c r="E196" s="780">
        <v>150333</v>
      </c>
      <c r="F196" s="780">
        <v>10000</v>
      </c>
      <c r="G196" s="780">
        <v>434000</v>
      </c>
      <c r="H196" s="780">
        <v>70250</v>
      </c>
      <c r="I196" s="780">
        <v>149250</v>
      </c>
      <c r="J196" s="780">
        <v>148936</v>
      </c>
      <c r="K196" s="779">
        <v>0.99</v>
      </c>
      <c r="L196" s="771"/>
      <c r="M196" s="783">
        <v>156000</v>
      </c>
      <c r="N196" s="783">
        <v>54000</v>
      </c>
      <c r="O196" s="783">
        <v>129000</v>
      </c>
      <c r="P196" s="783">
        <v>119000</v>
      </c>
      <c r="Q196" s="783">
        <v>10000</v>
      </c>
      <c r="R196" s="783">
        <v>434000</v>
      </c>
      <c r="S196" s="773"/>
      <c r="T196" s="773"/>
      <c r="U196" s="773"/>
      <c r="V196" s="772" t="s">
        <v>283</v>
      </c>
      <c r="W196" s="765" t="s">
        <v>283</v>
      </c>
      <c r="X196" s="765" t="s">
        <v>283</v>
      </c>
      <c r="Y196" s="765" t="s">
        <v>283</v>
      </c>
      <c r="Z196" s="765" t="s">
        <v>283</v>
      </c>
      <c r="AA196" s="765" t="s">
        <v>283</v>
      </c>
      <c r="AB196" s="765" t="s">
        <v>283</v>
      </c>
      <c r="AC196" s="765" t="s">
        <v>283</v>
      </c>
      <c r="AD196" s="765" t="s">
        <v>283</v>
      </c>
      <c r="AE196" s="765" t="s">
        <v>283</v>
      </c>
      <c r="AF196" s="765" t="s">
        <v>283</v>
      </c>
      <c r="AG196" s="765" t="s">
        <v>283</v>
      </c>
      <c r="AH196" s="765" t="s">
        <v>283</v>
      </c>
      <c r="AI196" s="765" t="s">
        <v>283</v>
      </c>
      <c r="AJ196" s="765" t="s">
        <v>283</v>
      </c>
      <c r="AK196" s="765" t="s">
        <v>283</v>
      </c>
      <c r="AL196" s="765" t="s">
        <v>283</v>
      </c>
      <c r="AM196" s="765" t="s">
        <v>283</v>
      </c>
      <c r="AN196" s="765" t="s">
        <v>283</v>
      </c>
      <c r="AO196" s="765" t="s">
        <v>283</v>
      </c>
      <c r="AP196" s="765" t="s">
        <v>283</v>
      </c>
      <c r="AQ196" s="765" t="s">
        <v>283</v>
      </c>
      <c r="AR196" s="765" t="s">
        <v>283</v>
      </c>
      <c r="AS196" s="765" t="s">
        <v>283</v>
      </c>
      <c r="AT196" s="765" t="s">
        <v>283</v>
      </c>
    </row>
    <row r="197" spans="1:46" ht="15">
      <c r="A197" s="765" t="s">
        <v>283</v>
      </c>
      <c r="B197" s="769" t="s">
        <v>283</v>
      </c>
      <c r="C197" s="776" t="s">
        <v>614</v>
      </c>
      <c r="D197" s="787">
        <v>1090000</v>
      </c>
      <c r="E197" s="787">
        <v>1445500</v>
      </c>
      <c r="F197" s="787">
        <v>542000</v>
      </c>
      <c r="G197" s="787">
        <v>2881000</v>
      </c>
      <c r="H197" s="787">
        <v>813250</v>
      </c>
      <c r="I197" s="787">
        <v>2034250</v>
      </c>
      <c r="J197" s="787">
        <v>932573</v>
      </c>
      <c r="K197" s="786">
        <v>0.65</v>
      </c>
      <c r="L197" s="790" t="s">
        <v>283</v>
      </c>
      <c r="M197" s="792">
        <v>2881000</v>
      </c>
      <c r="N197" s="792">
        <v>2290000</v>
      </c>
      <c r="O197" s="792">
        <v>1267000</v>
      </c>
      <c r="P197" s="792">
        <v>913000</v>
      </c>
      <c r="Q197" s="792">
        <v>780000</v>
      </c>
      <c r="R197" s="792">
        <v>542000</v>
      </c>
      <c r="S197" s="791" t="s">
        <v>283</v>
      </c>
      <c r="T197" s="791" t="s">
        <v>283</v>
      </c>
      <c r="U197" s="791" t="s">
        <v>283</v>
      </c>
      <c r="V197" s="772" t="s">
        <v>283</v>
      </c>
      <c r="W197" s="765" t="s">
        <v>283</v>
      </c>
      <c r="X197" s="765" t="s">
        <v>283</v>
      </c>
      <c r="Y197" s="765" t="s">
        <v>283</v>
      </c>
      <c r="Z197" s="765" t="s">
        <v>283</v>
      </c>
      <c r="AA197" s="765" t="s">
        <v>283</v>
      </c>
      <c r="AB197" s="765" t="s">
        <v>283</v>
      </c>
      <c r="AC197" s="765" t="s">
        <v>283</v>
      </c>
      <c r="AD197" s="765" t="s">
        <v>283</v>
      </c>
      <c r="AE197" s="765" t="s">
        <v>283</v>
      </c>
      <c r="AF197" s="765" t="s">
        <v>283</v>
      </c>
      <c r="AG197" s="765" t="s">
        <v>283</v>
      </c>
      <c r="AH197" s="765" t="s">
        <v>283</v>
      </c>
      <c r="AI197" s="765" t="s">
        <v>283</v>
      </c>
      <c r="AJ197" s="765" t="s">
        <v>283</v>
      </c>
      <c r="AK197" s="765" t="s">
        <v>283</v>
      </c>
      <c r="AL197" s="765" t="s">
        <v>283</v>
      </c>
      <c r="AM197" s="765" t="s">
        <v>283</v>
      </c>
      <c r="AN197" s="765" t="s">
        <v>283</v>
      </c>
      <c r="AO197" s="765" t="s">
        <v>283</v>
      </c>
      <c r="AP197" s="765" t="s">
        <v>283</v>
      </c>
      <c r="AQ197" s="765" t="s">
        <v>283</v>
      </c>
      <c r="AR197" s="765" t="s">
        <v>283</v>
      </c>
      <c r="AS197" s="765" t="s">
        <v>283</v>
      </c>
      <c r="AT197" s="765" t="s">
        <v>283</v>
      </c>
    </row>
    <row r="198" spans="1:46" ht="15">
      <c r="A198" s="765" t="s">
        <v>283</v>
      </c>
      <c r="B198" s="769" t="s">
        <v>283</v>
      </c>
      <c r="C198" s="773" t="s">
        <v>615</v>
      </c>
      <c r="D198" s="774" t="s">
        <v>283</v>
      </c>
      <c r="E198" s="774" t="s">
        <v>283</v>
      </c>
      <c r="F198" s="774" t="s">
        <v>283</v>
      </c>
      <c r="G198" s="774" t="s">
        <v>283</v>
      </c>
      <c r="H198" s="774" t="s">
        <v>283</v>
      </c>
      <c r="I198" s="774" t="s">
        <v>283</v>
      </c>
      <c r="J198" s="774" t="s">
        <v>283</v>
      </c>
      <c r="K198" s="774" t="s">
        <v>283</v>
      </c>
      <c r="L198" s="771"/>
      <c r="M198" s="771"/>
      <c r="N198" s="771"/>
      <c r="O198" s="771"/>
      <c r="P198" s="771"/>
      <c r="Q198" s="771"/>
      <c r="R198" s="771"/>
      <c r="S198" s="771"/>
      <c r="T198" s="771"/>
      <c r="U198" s="771"/>
      <c r="V198" s="772" t="s">
        <v>283</v>
      </c>
      <c r="W198" s="765" t="s">
        <v>283</v>
      </c>
      <c r="X198" s="765" t="s">
        <v>283</v>
      </c>
      <c r="Y198" s="765" t="s">
        <v>283</v>
      </c>
      <c r="Z198" s="765" t="s">
        <v>283</v>
      </c>
      <c r="AA198" s="765" t="s">
        <v>283</v>
      </c>
      <c r="AB198" s="765" t="s">
        <v>283</v>
      </c>
      <c r="AC198" s="765" t="s">
        <v>283</v>
      </c>
      <c r="AD198" s="765" t="s">
        <v>283</v>
      </c>
      <c r="AE198" s="765" t="s">
        <v>283</v>
      </c>
      <c r="AF198" s="765" t="s">
        <v>283</v>
      </c>
      <c r="AG198" s="765" t="s">
        <v>283</v>
      </c>
      <c r="AH198" s="765" t="s">
        <v>283</v>
      </c>
      <c r="AI198" s="765" t="s">
        <v>283</v>
      </c>
      <c r="AJ198" s="765" t="s">
        <v>283</v>
      </c>
      <c r="AK198" s="765" t="s">
        <v>283</v>
      </c>
      <c r="AL198" s="765" t="s">
        <v>283</v>
      </c>
      <c r="AM198" s="765" t="s">
        <v>283</v>
      </c>
      <c r="AN198" s="765" t="s">
        <v>283</v>
      </c>
      <c r="AO198" s="765" t="s">
        <v>283</v>
      </c>
      <c r="AP198" s="765" t="s">
        <v>283</v>
      </c>
      <c r="AQ198" s="765" t="s">
        <v>283</v>
      </c>
      <c r="AR198" s="765" t="s">
        <v>283</v>
      </c>
      <c r="AS198" s="765" t="s">
        <v>283</v>
      </c>
      <c r="AT198" s="765" t="s">
        <v>283</v>
      </c>
    </row>
    <row r="199" spans="1:46" ht="15">
      <c r="A199" s="765" t="s">
        <v>283</v>
      </c>
      <c r="B199" s="769" t="s">
        <v>283</v>
      </c>
      <c r="C199" s="773" t="s">
        <v>616</v>
      </c>
      <c r="D199" s="780">
        <v>47000</v>
      </c>
      <c r="E199" s="780">
        <v>44000</v>
      </c>
      <c r="F199" s="780">
        <v>23000</v>
      </c>
      <c r="G199" s="780">
        <v>59000</v>
      </c>
      <c r="H199" s="780">
        <v>42000</v>
      </c>
      <c r="I199" s="780">
        <v>49000</v>
      </c>
      <c r="J199" s="780">
        <v>13266</v>
      </c>
      <c r="K199" s="779">
        <v>0.3</v>
      </c>
      <c r="L199" s="771"/>
      <c r="M199" s="783">
        <v>59000</v>
      </c>
      <c r="N199" s="783">
        <v>42000</v>
      </c>
      <c r="O199" s="783">
        <v>49000</v>
      </c>
      <c r="P199" s="783">
        <v>47000</v>
      </c>
      <c r="Q199" s="783">
        <v>23000</v>
      </c>
      <c r="R199" s="773"/>
      <c r="S199" s="773"/>
      <c r="T199" s="773"/>
      <c r="U199" s="773"/>
      <c r="V199" s="772" t="s">
        <v>283</v>
      </c>
      <c r="W199" s="765" t="s">
        <v>283</v>
      </c>
      <c r="X199" s="765" t="s">
        <v>283</v>
      </c>
      <c r="Y199" s="765" t="s">
        <v>283</v>
      </c>
      <c r="Z199" s="765" t="s">
        <v>283</v>
      </c>
      <c r="AA199" s="765" t="s">
        <v>283</v>
      </c>
      <c r="AB199" s="765" t="s">
        <v>283</v>
      </c>
      <c r="AC199" s="765" t="s">
        <v>283</v>
      </c>
      <c r="AD199" s="765" t="s">
        <v>283</v>
      </c>
      <c r="AE199" s="765" t="s">
        <v>283</v>
      </c>
      <c r="AF199" s="765" t="s">
        <v>283</v>
      </c>
      <c r="AG199" s="765" t="s">
        <v>283</v>
      </c>
      <c r="AH199" s="765" t="s">
        <v>283</v>
      </c>
      <c r="AI199" s="765" t="s">
        <v>283</v>
      </c>
      <c r="AJ199" s="765" t="s">
        <v>283</v>
      </c>
      <c r="AK199" s="765" t="s">
        <v>283</v>
      </c>
      <c r="AL199" s="765" t="s">
        <v>283</v>
      </c>
      <c r="AM199" s="765" t="s">
        <v>283</v>
      </c>
      <c r="AN199" s="765" t="s">
        <v>283</v>
      </c>
      <c r="AO199" s="765" t="s">
        <v>283</v>
      </c>
      <c r="AP199" s="765" t="s">
        <v>283</v>
      </c>
      <c r="AQ199" s="765" t="s">
        <v>283</v>
      </c>
      <c r="AR199" s="765" t="s">
        <v>283</v>
      </c>
      <c r="AS199" s="765" t="s">
        <v>283</v>
      </c>
      <c r="AT199" s="765" t="s">
        <v>283</v>
      </c>
    </row>
    <row r="200" spans="1:46" ht="15">
      <c r="A200" s="765" t="s">
        <v>283</v>
      </c>
      <c r="B200" s="769" t="s">
        <v>283</v>
      </c>
      <c r="C200" s="773" t="s">
        <v>617</v>
      </c>
      <c r="D200" s="780">
        <v>90000</v>
      </c>
      <c r="E200" s="780">
        <v>97600</v>
      </c>
      <c r="F200" s="780">
        <v>58000</v>
      </c>
      <c r="G200" s="780">
        <v>153000</v>
      </c>
      <c r="H200" s="780">
        <v>80000</v>
      </c>
      <c r="I200" s="780">
        <v>107000</v>
      </c>
      <c r="J200" s="780">
        <v>35683</v>
      </c>
      <c r="K200" s="779">
        <v>0.37</v>
      </c>
      <c r="L200" s="771"/>
      <c r="M200" s="783">
        <v>153000</v>
      </c>
      <c r="N200" s="783">
        <v>90000</v>
      </c>
      <c r="O200" s="783">
        <v>80000</v>
      </c>
      <c r="P200" s="783">
        <v>107000</v>
      </c>
      <c r="Q200" s="783">
        <v>58000</v>
      </c>
      <c r="R200" s="773"/>
      <c r="S200" s="773"/>
      <c r="T200" s="773"/>
      <c r="U200" s="773"/>
      <c r="V200" s="772" t="s">
        <v>283</v>
      </c>
      <c r="W200" s="765" t="s">
        <v>283</v>
      </c>
      <c r="X200" s="765" t="s">
        <v>283</v>
      </c>
      <c r="Y200" s="765" t="s">
        <v>283</v>
      </c>
      <c r="Z200" s="765" t="s">
        <v>283</v>
      </c>
      <c r="AA200" s="765" t="s">
        <v>283</v>
      </c>
      <c r="AB200" s="765" t="s">
        <v>283</v>
      </c>
      <c r="AC200" s="765" t="s">
        <v>283</v>
      </c>
      <c r="AD200" s="765" t="s">
        <v>283</v>
      </c>
      <c r="AE200" s="765" t="s">
        <v>283</v>
      </c>
      <c r="AF200" s="765" t="s">
        <v>283</v>
      </c>
      <c r="AG200" s="765" t="s">
        <v>283</v>
      </c>
      <c r="AH200" s="765" t="s">
        <v>283</v>
      </c>
      <c r="AI200" s="765" t="s">
        <v>283</v>
      </c>
      <c r="AJ200" s="765" t="s">
        <v>283</v>
      </c>
      <c r="AK200" s="765" t="s">
        <v>283</v>
      </c>
      <c r="AL200" s="765" t="s">
        <v>283</v>
      </c>
      <c r="AM200" s="765" t="s">
        <v>283</v>
      </c>
      <c r="AN200" s="765" t="s">
        <v>283</v>
      </c>
      <c r="AO200" s="765" t="s">
        <v>283</v>
      </c>
      <c r="AP200" s="765" t="s">
        <v>283</v>
      </c>
      <c r="AQ200" s="765" t="s">
        <v>283</v>
      </c>
      <c r="AR200" s="765" t="s">
        <v>283</v>
      </c>
      <c r="AS200" s="765" t="s">
        <v>283</v>
      </c>
      <c r="AT200" s="765" t="s">
        <v>283</v>
      </c>
    </row>
    <row r="201" spans="1:46" ht="15">
      <c r="A201" s="765" t="s">
        <v>283</v>
      </c>
      <c r="B201" s="769" t="s">
        <v>283</v>
      </c>
      <c r="C201" s="773" t="s">
        <v>618</v>
      </c>
      <c r="D201" s="780">
        <v>98000</v>
      </c>
      <c r="E201" s="780">
        <v>97000</v>
      </c>
      <c r="F201" s="780">
        <v>76000</v>
      </c>
      <c r="G201" s="780">
        <v>116000</v>
      </c>
      <c r="H201" s="780">
        <v>86000</v>
      </c>
      <c r="I201" s="780">
        <v>109000</v>
      </c>
      <c r="J201" s="780">
        <v>16340</v>
      </c>
      <c r="K201" s="779">
        <v>0.17</v>
      </c>
      <c r="L201" s="771"/>
      <c r="M201" s="783">
        <v>76000</v>
      </c>
      <c r="N201" s="783">
        <v>86000</v>
      </c>
      <c r="O201" s="783">
        <v>98000</v>
      </c>
      <c r="P201" s="783">
        <v>109000</v>
      </c>
      <c r="Q201" s="783">
        <v>116000</v>
      </c>
      <c r="R201" s="773"/>
      <c r="S201" s="773"/>
      <c r="T201" s="773"/>
      <c r="U201" s="773"/>
      <c r="V201" s="772" t="s">
        <v>283</v>
      </c>
      <c r="W201" s="765" t="s">
        <v>283</v>
      </c>
      <c r="X201" s="765" t="s">
        <v>283</v>
      </c>
      <c r="Y201" s="765" t="s">
        <v>283</v>
      </c>
      <c r="Z201" s="765" t="s">
        <v>283</v>
      </c>
      <c r="AA201" s="765" t="s">
        <v>283</v>
      </c>
      <c r="AB201" s="765" t="s">
        <v>283</v>
      </c>
      <c r="AC201" s="765" t="s">
        <v>283</v>
      </c>
      <c r="AD201" s="765" t="s">
        <v>283</v>
      </c>
      <c r="AE201" s="765" t="s">
        <v>283</v>
      </c>
      <c r="AF201" s="765" t="s">
        <v>283</v>
      </c>
      <c r="AG201" s="765" t="s">
        <v>283</v>
      </c>
      <c r="AH201" s="765" t="s">
        <v>283</v>
      </c>
      <c r="AI201" s="765" t="s">
        <v>283</v>
      </c>
      <c r="AJ201" s="765" t="s">
        <v>283</v>
      </c>
      <c r="AK201" s="765" t="s">
        <v>283</v>
      </c>
      <c r="AL201" s="765" t="s">
        <v>283</v>
      </c>
      <c r="AM201" s="765" t="s">
        <v>283</v>
      </c>
      <c r="AN201" s="765" t="s">
        <v>283</v>
      </c>
      <c r="AO201" s="765" t="s">
        <v>283</v>
      </c>
      <c r="AP201" s="765" t="s">
        <v>283</v>
      </c>
      <c r="AQ201" s="765" t="s">
        <v>283</v>
      </c>
      <c r="AR201" s="765" t="s">
        <v>283</v>
      </c>
      <c r="AS201" s="765" t="s">
        <v>283</v>
      </c>
      <c r="AT201" s="765" t="s">
        <v>283</v>
      </c>
    </row>
    <row r="202" spans="1:46" ht="15">
      <c r="A202" s="765" t="s">
        <v>283</v>
      </c>
      <c r="B202" s="769" t="s">
        <v>283</v>
      </c>
      <c r="C202" s="773" t="s">
        <v>619</v>
      </c>
      <c r="D202" s="782">
        <v>-62500</v>
      </c>
      <c r="E202" s="782">
        <v>-64000</v>
      </c>
      <c r="F202" s="782">
        <v>-77000</v>
      </c>
      <c r="G202" s="782">
        <v>-54000</v>
      </c>
      <c r="H202" s="782">
        <v>-68000</v>
      </c>
      <c r="I202" s="782">
        <v>-58500</v>
      </c>
      <c r="J202" s="780">
        <v>9764</v>
      </c>
      <c r="K202" s="781">
        <v>-0.15</v>
      </c>
      <c r="L202" s="771"/>
      <c r="M202" s="785">
        <v>-54000</v>
      </c>
      <c r="N202" s="785">
        <v>-60000</v>
      </c>
      <c r="O202" s="785">
        <v>-65000</v>
      </c>
      <c r="P202" s="785">
        <v>-77000</v>
      </c>
      <c r="Q202" s="773"/>
      <c r="R202" s="773"/>
      <c r="S202" s="773"/>
      <c r="T202" s="773"/>
      <c r="U202" s="773"/>
      <c r="V202" s="772" t="s">
        <v>283</v>
      </c>
      <c r="W202" s="765" t="s">
        <v>283</v>
      </c>
      <c r="X202" s="765" t="s">
        <v>283</v>
      </c>
      <c r="Y202" s="765" t="s">
        <v>283</v>
      </c>
      <c r="Z202" s="765" t="s">
        <v>283</v>
      </c>
      <c r="AA202" s="765" t="s">
        <v>283</v>
      </c>
      <c r="AB202" s="765" t="s">
        <v>283</v>
      </c>
      <c r="AC202" s="765" t="s">
        <v>283</v>
      </c>
      <c r="AD202" s="765" t="s">
        <v>283</v>
      </c>
      <c r="AE202" s="765" t="s">
        <v>283</v>
      </c>
      <c r="AF202" s="765" t="s">
        <v>283</v>
      </c>
      <c r="AG202" s="765" t="s">
        <v>283</v>
      </c>
      <c r="AH202" s="765" t="s">
        <v>283</v>
      </c>
      <c r="AI202" s="765" t="s">
        <v>283</v>
      </c>
      <c r="AJ202" s="765" t="s">
        <v>283</v>
      </c>
      <c r="AK202" s="765" t="s">
        <v>283</v>
      </c>
      <c r="AL202" s="765" t="s">
        <v>283</v>
      </c>
      <c r="AM202" s="765" t="s">
        <v>283</v>
      </c>
      <c r="AN202" s="765" t="s">
        <v>283</v>
      </c>
      <c r="AO202" s="765" t="s">
        <v>283</v>
      </c>
      <c r="AP202" s="765" t="s">
        <v>283</v>
      </c>
      <c r="AQ202" s="765" t="s">
        <v>283</v>
      </c>
      <c r="AR202" s="765" t="s">
        <v>283</v>
      </c>
      <c r="AS202" s="765" t="s">
        <v>283</v>
      </c>
      <c r="AT202" s="765" t="s">
        <v>283</v>
      </c>
    </row>
    <row r="203" spans="1:46" ht="15">
      <c r="A203" s="765" t="s">
        <v>283</v>
      </c>
      <c r="B203" s="769" t="s">
        <v>283</v>
      </c>
      <c r="C203" s="776" t="s">
        <v>620</v>
      </c>
      <c r="D203" s="787">
        <v>186000</v>
      </c>
      <c r="E203" s="787">
        <v>187400</v>
      </c>
      <c r="F203" s="787">
        <v>158000</v>
      </c>
      <c r="G203" s="787">
        <v>234000</v>
      </c>
      <c r="H203" s="787">
        <v>162000</v>
      </c>
      <c r="I203" s="787">
        <v>197000</v>
      </c>
      <c r="J203" s="787">
        <v>30721</v>
      </c>
      <c r="K203" s="786">
        <v>0.16</v>
      </c>
      <c r="L203" s="790" t="s">
        <v>283</v>
      </c>
      <c r="M203" s="792">
        <v>234000</v>
      </c>
      <c r="N203" s="792">
        <v>158000</v>
      </c>
      <c r="O203" s="792">
        <v>162000</v>
      </c>
      <c r="P203" s="792">
        <v>186000</v>
      </c>
      <c r="Q203" s="792">
        <v>197000</v>
      </c>
      <c r="R203" s="791" t="s">
        <v>283</v>
      </c>
      <c r="S203" s="791" t="s">
        <v>283</v>
      </c>
      <c r="T203" s="791" t="s">
        <v>283</v>
      </c>
      <c r="U203" s="791" t="s">
        <v>283</v>
      </c>
      <c r="V203" s="772" t="s">
        <v>283</v>
      </c>
      <c r="W203" s="765" t="s">
        <v>283</v>
      </c>
      <c r="X203" s="765" t="s">
        <v>283</v>
      </c>
      <c r="Y203" s="765" t="s">
        <v>283</v>
      </c>
      <c r="Z203" s="765" t="s">
        <v>283</v>
      </c>
      <c r="AA203" s="765" t="s">
        <v>283</v>
      </c>
      <c r="AB203" s="765" t="s">
        <v>283</v>
      </c>
      <c r="AC203" s="765" t="s">
        <v>283</v>
      </c>
      <c r="AD203" s="765" t="s">
        <v>283</v>
      </c>
      <c r="AE203" s="765" t="s">
        <v>283</v>
      </c>
      <c r="AF203" s="765" t="s">
        <v>283</v>
      </c>
      <c r="AG203" s="765" t="s">
        <v>283</v>
      </c>
      <c r="AH203" s="765" t="s">
        <v>283</v>
      </c>
      <c r="AI203" s="765" t="s">
        <v>283</v>
      </c>
      <c r="AJ203" s="765" t="s">
        <v>283</v>
      </c>
      <c r="AK203" s="765" t="s">
        <v>283</v>
      </c>
      <c r="AL203" s="765" t="s">
        <v>283</v>
      </c>
      <c r="AM203" s="765" t="s">
        <v>283</v>
      </c>
      <c r="AN203" s="765" t="s">
        <v>283</v>
      </c>
      <c r="AO203" s="765" t="s">
        <v>283</v>
      </c>
      <c r="AP203" s="765" t="s">
        <v>283</v>
      </c>
      <c r="AQ203" s="765" t="s">
        <v>283</v>
      </c>
      <c r="AR203" s="765" t="s">
        <v>283</v>
      </c>
      <c r="AS203" s="765" t="s">
        <v>283</v>
      </c>
      <c r="AT203" s="765" t="s">
        <v>283</v>
      </c>
    </row>
    <row r="204" spans="1:46" ht="15">
      <c r="A204" s="765" t="s">
        <v>283</v>
      </c>
      <c r="B204" s="769" t="s">
        <v>283</v>
      </c>
      <c r="C204" s="773" t="s">
        <v>621</v>
      </c>
      <c r="D204" s="774" t="s">
        <v>283</v>
      </c>
      <c r="E204" s="774" t="s">
        <v>283</v>
      </c>
      <c r="F204" s="774" t="s">
        <v>283</v>
      </c>
      <c r="G204" s="774" t="s">
        <v>283</v>
      </c>
      <c r="H204" s="774" t="s">
        <v>283</v>
      </c>
      <c r="I204" s="774" t="s">
        <v>283</v>
      </c>
      <c r="J204" s="774" t="s">
        <v>283</v>
      </c>
      <c r="K204" s="774" t="s">
        <v>283</v>
      </c>
      <c r="L204" s="771"/>
      <c r="M204" s="771"/>
      <c r="N204" s="771"/>
      <c r="O204" s="771"/>
      <c r="P204" s="771"/>
      <c r="Q204" s="771"/>
      <c r="R204" s="771"/>
      <c r="S204" s="771"/>
      <c r="T204" s="771"/>
      <c r="U204" s="771"/>
      <c r="V204" s="772" t="s">
        <v>283</v>
      </c>
      <c r="W204" s="765" t="s">
        <v>283</v>
      </c>
      <c r="X204" s="765" t="s">
        <v>283</v>
      </c>
      <c r="Y204" s="765" t="s">
        <v>283</v>
      </c>
      <c r="Z204" s="765" t="s">
        <v>283</v>
      </c>
      <c r="AA204" s="765" t="s">
        <v>283</v>
      </c>
      <c r="AB204" s="765" t="s">
        <v>283</v>
      </c>
      <c r="AC204" s="765" t="s">
        <v>283</v>
      </c>
      <c r="AD204" s="765" t="s">
        <v>283</v>
      </c>
      <c r="AE204" s="765" t="s">
        <v>283</v>
      </c>
      <c r="AF204" s="765" t="s">
        <v>283</v>
      </c>
      <c r="AG204" s="765" t="s">
        <v>283</v>
      </c>
      <c r="AH204" s="765" t="s">
        <v>283</v>
      </c>
      <c r="AI204" s="765" t="s">
        <v>283</v>
      </c>
      <c r="AJ204" s="765" t="s">
        <v>283</v>
      </c>
      <c r="AK204" s="765" t="s">
        <v>283</v>
      </c>
      <c r="AL204" s="765" t="s">
        <v>283</v>
      </c>
      <c r="AM204" s="765" t="s">
        <v>283</v>
      </c>
      <c r="AN204" s="765" t="s">
        <v>283</v>
      </c>
      <c r="AO204" s="765" t="s">
        <v>283</v>
      </c>
      <c r="AP204" s="765" t="s">
        <v>283</v>
      </c>
      <c r="AQ204" s="765" t="s">
        <v>283</v>
      </c>
      <c r="AR204" s="765" t="s">
        <v>283</v>
      </c>
      <c r="AS204" s="765" t="s">
        <v>283</v>
      </c>
      <c r="AT204" s="765" t="s">
        <v>283</v>
      </c>
    </row>
    <row r="205" spans="1:46" ht="15">
      <c r="A205" s="765" t="s">
        <v>283</v>
      </c>
      <c r="B205" s="769" t="s">
        <v>283</v>
      </c>
      <c r="C205" s="773" t="s">
        <v>622</v>
      </c>
      <c r="D205" s="780">
        <v>1179000</v>
      </c>
      <c r="E205" s="780">
        <v>1459000</v>
      </c>
      <c r="F205" s="780">
        <v>108000</v>
      </c>
      <c r="G205" s="780">
        <v>2919000</v>
      </c>
      <c r="H205" s="780">
        <v>1005750</v>
      </c>
      <c r="I205" s="780">
        <v>2110500</v>
      </c>
      <c r="J205" s="780">
        <v>1020085</v>
      </c>
      <c r="K205" s="779">
        <v>0.7</v>
      </c>
      <c r="L205" s="771"/>
      <c r="M205" s="783">
        <v>2919000</v>
      </c>
      <c r="N205" s="783">
        <v>2371000</v>
      </c>
      <c r="O205" s="783">
        <v>1329000</v>
      </c>
      <c r="P205" s="783">
        <v>1029000</v>
      </c>
      <c r="Q205" s="783">
        <v>998000</v>
      </c>
      <c r="R205" s="783">
        <v>108000</v>
      </c>
      <c r="S205" s="773"/>
      <c r="T205" s="773"/>
      <c r="U205" s="773"/>
      <c r="V205" s="772" t="s">
        <v>283</v>
      </c>
      <c r="W205" s="765" t="s">
        <v>283</v>
      </c>
      <c r="X205" s="765" t="s">
        <v>283</v>
      </c>
      <c r="Y205" s="765" t="s">
        <v>283</v>
      </c>
      <c r="Z205" s="765" t="s">
        <v>283</v>
      </c>
      <c r="AA205" s="765" t="s">
        <v>283</v>
      </c>
      <c r="AB205" s="765" t="s">
        <v>283</v>
      </c>
      <c r="AC205" s="765" t="s">
        <v>283</v>
      </c>
      <c r="AD205" s="765" t="s">
        <v>283</v>
      </c>
      <c r="AE205" s="765" t="s">
        <v>283</v>
      </c>
      <c r="AF205" s="765" t="s">
        <v>283</v>
      </c>
      <c r="AG205" s="765" t="s">
        <v>283</v>
      </c>
      <c r="AH205" s="765" t="s">
        <v>283</v>
      </c>
      <c r="AI205" s="765" t="s">
        <v>283</v>
      </c>
      <c r="AJ205" s="765" t="s">
        <v>283</v>
      </c>
      <c r="AK205" s="765" t="s">
        <v>283</v>
      </c>
      <c r="AL205" s="765" t="s">
        <v>283</v>
      </c>
      <c r="AM205" s="765" t="s">
        <v>283</v>
      </c>
      <c r="AN205" s="765" t="s">
        <v>283</v>
      </c>
      <c r="AO205" s="765" t="s">
        <v>283</v>
      </c>
      <c r="AP205" s="765" t="s">
        <v>283</v>
      </c>
      <c r="AQ205" s="765" t="s">
        <v>283</v>
      </c>
      <c r="AR205" s="765" t="s">
        <v>283</v>
      </c>
      <c r="AS205" s="765" t="s">
        <v>283</v>
      </c>
      <c r="AT205" s="765" t="s">
        <v>283</v>
      </c>
    </row>
    <row r="206" spans="1:46" ht="15">
      <c r="A206" s="765" t="s">
        <v>283</v>
      </c>
      <c r="B206" s="769" t="s">
        <v>283</v>
      </c>
      <c r="C206" s="773" t="s">
        <v>623</v>
      </c>
      <c r="D206" s="780">
        <v>1181500</v>
      </c>
      <c r="E206" s="780">
        <v>1252833</v>
      </c>
      <c r="F206" s="780">
        <v>272000</v>
      </c>
      <c r="G206" s="780">
        <v>2435000</v>
      </c>
      <c r="H206" s="780">
        <v>529500</v>
      </c>
      <c r="I206" s="780">
        <v>1896500</v>
      </c>
      <c r="J206" s="780">
        <v>881504</v>
      </c>
      <c r="K206" s="779">
        <v>0.7</v>
      </c>
      <c r="L206" s="771"/>
      <c r="M206" s="783">
        <v>2013000</v>
      </c>
      <c r="N206" s="783">
        <v>272000</v>
      </c>
      <c r="O206" s="783">
        <v>816000</v>
      </c>
      <c r="P206" s="783">
        <v>1547000</v>
      </c>
      <c r="Q206" s="783">
        <v>2435000</v>
      </c>
      <c r="R206" s="783">
        <v>434000</v>
      </c>
      <c r="S206" s="773"/>
      <c r="T206" s="773"/>
      <c r="U206" s="773"/>
      <c r="V206" s="772" t="s">
        <v>283</v>
      </c>
      <c r="W206" s="765" t="s">
        <v>283</v>
      </c>
      <c r="X206" s="765" t="s">
        <v>283</v>
      </c>
      <c r="Y206" s="765" t="s">
        <v>283</v>
      </c>
      <c r="Z206" s="765" t="s">
        <v>283</v>
      </c>
      <c r="AA206" s="765" t="s">
        <v>283</v>
      </c>
      <c r="AB206" s="765" t="s">
        <v>283</v>
      </c>
      <c r="AC206" s="765" t="s">
        <v>283</v>
      </c>
      <c r="AD206" s="765" t="s">
        <v>283</v>
      </c>
      <c r="AE206" s="765" t="s">
        <v>283</v>
      </c>
      <c r="AF206" s="765" t="s">
        <v>283</v>
      </c>
      <c r="AG206" s="765" t="s">
        <v>283</v>
      </c>
      <c r="AH206" s="765" t="s">
        <v>283</v>
      </c>
      <c r="AI206" s="765" t="s">
        <v>283</v>
      </c>
      <c r="AJ206" s="765" t="s">
        <v>283</v>
      </c>
      <c r="AK206" s="765" t="s">
        <v>283</v>
      </c>
      <c r="AL206" s="765" t="s">
        <v>283</v>
      </c>
      <c r="AM206" s="765" t="s">
        <v>283</v>
      </c>
      <c r="AN206" s="765" t="s">
        <v>283</v>
      </c>
      <c r="AO206" s="765" t="s">
        <v>283</v>
      </c>
      <c r="AP206" s="765" t="s">
        <v>283</v>
      </c>
      <c r="AQ206" s="765" t="s">
        <v>283</v>
      </c>
      <c r="AR206" s="765" t="s">
        <v>283</v>
      </c>
      <c r="AS206" s="765" t="s">
        <v>283</v>
      </c>
      <c r="AT206" s="765" t="s">
        <v>283</v>
      </c>
    </row>
    <row r="207" spans="1:46" ht="15">
      <c r="A207" s="765" t="s">
        <v>283</v>
      </c>
      <c r="B207" s="769" t="s">
        <v>283</v>
      </c>
      <c r="C207" s="773" t="s">
        <v>624</v>
      </c>
      <c r="D207" s="780">
        <v>98000</v>
      </c>
      <c r="E207" s="780">
        <v>97000</v>
      </c>
      <c r="F207" s="780">
        <v>76000</v>
      </c>
      <c r="G207" s="780">
        <v>116000</v>
      </c>
      <c r="H207" s="780">
        <v>86000</v>
      </c>
      <c r="I207" s="780">
        <v>109000</v>
      </c>
      <c r="J207" s="780">
        <v>16340</v>
      </c>
      <c r="K207" s="779">
        <v>0.17</v>
      </c>
      <c r="L207" s="771"/>
      <c r="M207" s="783">
        <v>76000</v>
      </c>
      <c r="N207" s="783">
        <v>86000</v>
      </c>
      <c r="O207" s="783">
        <v>98000</v>
      </c>
      <c r="P207" s="783">
        <v>109000</v>
      </c>
      <c r="Q207" s="783">
        <v>116000</v>
      </c>
      <c r="R207" s="773"/>
      <c r="S207" s="773"/>
      <c r="T207" s="773"/>
      <c r="U207" s="773"/>
      <c r="V207" s="772" t="s">
        <v>283</v>
      </c>
      <c r="W207" s="765" t="s">
        <v>283</v>
      </c>
      <c r="X207" s="765" t="s">
        <v>283</v>
      </c>
      <c r="Y207" s="765" t="s">
        <v>283</v>
      </c>
      <c r="Z207" s="765" t="s">
        <v>283</v>
      </c>
      <c r="AA207" s="765" t="s">
        <v>283</v>
      </c>
      <c r="AB207" s="765" t="s">
        <v>283</v>
      </c>
      <c r="AC207" s="765" t="s">
        <v>283</v>
      </c>
      <c r="AD207" s="765" t="s">
        <v>283</v>
      </c>
      <c r="AE207" s="765" t="s">
        <v>283</v>
      </c>
      <c r="AF207" s="765" t="s">
        <v>283</v>
      </c>
      <c r="AG207" s="765" t="s">
        <v>283</v>
      </c>
      <c r="AH207" s="765" t="s">
        <v>283</v>
      </c>
      <c r="AI207" s="765" t="s">
        <v>283</v>
      </c>
      <c r="AJ207" s="765" t="s">
        <v>283</v>
      </c>
      <c r="AK207" s="765" t="s">
        <v>283</v>
      </c>
      <c r="AL207" s="765" t="s">
        <v>283</v>
      </c>
      <c r="AM207" s="765" t="s">
        <v>283</v>
      </c>
      <c r="AN207" s="765" t="s">
        <v>283</v>
      </c>
      <c r="AO207" s="765" t="s">
        <v>283</v>
      </c>
      <c r="AP207" s="765" t="s">
        <v>283</v>
      </c>
      <c r="AQ207" s="765" t="s">
        <v>283</v>
      </c>
      <c r="AR207" s="765" t="s">
        <v>283</v>
      </c>
      <c r="AS207" s="765" t="s">
        <v>283</v>
      </c>
      <c r="AT207" s="765" t="s">
        <v>283</v>
      </c>
    </row>
    <row r="208" spans="1:46" ht="15">
      <c r="A208" s="765" t="s">
        <v>283</v>
      </c>
      <c r="B208" s="769" t="s">
        <v>283</v>
      </c>
      <c r="C208" s="773" t="s">
        <v>625</v>
      </c>
      <c r="D208" s="782">
        <v>-129000</v>
      </c>
      <c r="E208" s="782">
        <v>-184750</v>
      </c>
      <c r="F208" s="782">
        <v>-407000</v>
      </c>
      <c r="G208" s="782">
        <v>-74000</v>
      </c>
      <c r="H208" s="782">
        <v>-239000</v>
      </c>
      <c r="I208" s="782">
        <v>-74750</v>
      </c>
      <c r="J208" s="780">
        <v>156747</v>
      </c>
      <c r="K208" s="781">
        <v>-0.85</v>
      </c>
      <c r="L208" s="771"/>
      <c r="M208" s="785">
        <v>-74000</v>
      </c>
      <c r="N208" s="785">
        <v>-75000</v>
      </c>
      <c r="O208" s="785">
        <v>-183000</v>
      </c>
      <c r="P208" s="785">
        <v>-407000</v>
      </c>
      <c r="Q208" s="773"/>
      <c r="R208" s="773"/>
      <c r="S208" s="773"/>
      <c r="T208" s="773"/>
      <c r="U208" s="773"/>
      <c r="V208" s="772" t="s">
        <v>283</v>
      </c>
      <c r="W208" s="765" t="s">
        <v>283</v>
      </c>
      <c r="X208" s="765" t="s">
        <v>283</v>
      </c>
      <c r="Y208" s="765" t="s">
        <v>283</v>
      </c>
      <c r="Z208" s="765" t="s">
        <v>283</v>
      </c>
      <c r="AA208" s="765" t="s">
        <v>283</v>
      </c>
      <c r="AB208" s="765" t="s">
        <v>283</v>
      </c>
      <c r="AC208" s="765" t="s">
        <v>283</v>
      </c>
      <c r="AD208" s="765" t="s">
        <v>283</v>
      </c>
      <c r="AE208" s="765" t="s">
        <v>283</v>
      </c>
      <c r="AF208" s="765" t="s">
        <v>283</v>
      </c>
      <c r="AG208" s="765" t="s">
        <v>283</v>
      </c>
      <c r="AH208" s="765" t="s">
        <v>283</v>
      </c>
      <c r="AI208" s="765" t="s">
        <v>283</v>
      </c>
      <c r="AJ208" s="765" t="s">
        <v>283</v>
      </c>
      <c r="AK208" s="765" t="s">
        <v>283</v>
      </c>
      <c r="AL208" s="765" t="s">
        <v>283</v>
      </c>
      <c r="AM208" s="765" t="s">
        <v>283</v>
      </c>
      <c r="AN208" s="765" t="s">
        <v>283</v>
      </c>
      <c r="AO208" s="765" t="s">
        <v>283</v>
      </c>
      <c r="AP208" s="765" t="s">
        <v>283</v>
      </c>
      <c r="AQ208" s="765" t="s">
        <v>283</v>
      </c>
      <c r="AR208" s="765" t="s">
        <v>283</v>
      </c>
      <c r="AS208" s="765" t="s">
        <v>283</v>
      </c>
      <c r="AT208" s="765" t="s">
        <v>283</v>
      </c>
    </row>
    <row r="209" spans="1:46" ht="15">
      <c r="A209" s="765" t="s">
        <v>283</v>
      </c>
      <c r="B209" s="769" t="s">
        <v>283</v>
      </c>
      <c r="C209" s="776" t="s">
        <v>626</v>
      </c>
      <c r="D209" s="787">
        <v>2466000</v>
      </c>
      <c r="E209" s="787">
        <v>2669500</v>
      </c>
      <c r="F209" s="787">
        <v>542000</v>
      </c>
      <c r="G209" s="787">
        <v>4934000</v>
      </c>
      <c r="H209" s="787">
        <v>2114500</v>
      </c>
      <c r="I209" s="787">
        <v>3325250</v>
      </c>
      <c r="J209" s="787">
        <v>1480050</v>
      </c>
      <c r="K209" s="786">
        <v>0.55000000000000004</v>
      </c>
      <c r="L209" s="790" t="s">
        <v>283</v>
      </c>
      <c r="M209" s="792">
        <v>4934000</v>
      </c>
      <c r="N209" s="792">
        <v>2654000</v>
      </c>
      <c r="O209" s="792">
        <v>2060000</v>
      </c>
      <c r="P209" s="792">
        <v>2278000</v>
      </c>
      <c r="Q209" s="792">
        <v>3549000</v>
      </c>
      <c r="R209" s="792">
        <v>542000</v>
      </c>
      <c r="S209" s="791" t="s">
        <v>283</v>
      </c>
      <c r="T209" s="791" t="s">
        <v>283</v>
      </c>
      <c r="U209" s="791" t="s">
        <v>283</v>
      </c>
      <c r="V209" s="772" t="s">
        <v>283</v>
      </c>
      <c r="W209" s="765" t="s">
        <v>283</v>
      </c>
      <c r="X209" s="765" t="s">
        <v>283</v>
      </c>
      <c r="Y209" s="765" t="s">
        <v>283</v>
      </c>
      <c r="Z209" s="765" t="s">
        <v>283</v>
      </c>
      <c r="AA209" s="765" t="s">
        <v>283</v>
      </c>
      <c r="AB209" s="765" t="s">
        <v>283</v>
      </c>
      <c r="AC209" s="765" t="s">
        <v>283</v>
      </c>
      <c r="AD209" s="765" t="s">
        <v>283</v>
      </c>
      <c r="AE209" s="765" t="s">
        <v>283</v>
      </c>
      <c r="AF209" s="765" t="s">
        <v>283</v>
      </c>
      <c r="AG209" s="765" t="s">
        <v>283</v>
      </c>
      <c r="AH209" s="765" t="s">
        <v>283</v>
      </c>
      <c r="AI209" s="765" t="s">
        <v>283</v>
      </c>
      <c r="AJ209" s="765" t="s">
        <v>283</v>
      </c>
      <c r="AK209" s="765" t="s">
        <v>283</v>
      </c>
      <c r="AL209" s="765" t="s">
        <v>283</v>
      </c>
      <c r="AM209" s="765" t="s">
        <v>283</v>
      </c>
      <c r="AN209" s="765" t="s">
        <v>283</v>
      </c>
      <c r="AO209" s="765" t="s">
        <v>283</v>
      </c>
      <c r="AP209" s="765" t="s">
        <v>283</v>
      </c>
      <c r="AQ209" s="765" t="s">
        <v>283</v>
      </c>
      <c r="AR209" s="765" t="s">
        <v>283</v>
      </c>
      <c r="AS209" s="765" t="s">
        <v>283</v>
      </c>
      <c r="AT209" s="765" t="s">
        <v>283</v>
      </c>
    </row>
    <row r="210" spans="1:46" ht="15">
      <c r="A210" s="765" t="s">
        <v>283</v>
      </c>
      <c r="B210" s="769" t="s">
        <v>283</v>
      </c>
      <c r="C210" s="778" t="s">
        <v>627</v>
      </c>
      <c r="D210" s="774" t="s">
        <v>283</v>
      </c>
      <c r="E210" s="774" t="s">
        <v>283</v>
      </c>
      <c r="F210" s="774" t="s">
        <v>283</v>
      </c>
      <c r="G210" s="774" t="s">
        <v>283</v>
      </c>
      <c r="H210" s="774" t="s">
        <v>283</v>
      </c>
      <c r="I210" s="774" t="s">
        <v>283</v>
      </c>
      <c r="J210" s="774" t="s">
        <v>283</v>
      </c>
      <c r="K210" s="774" t="s">
        <v>283</v>
      </c>
      <c r="L210" s="774" t="s">
        <v>283</v>
      </c>
      <c r="M210" s="774" t="s">
        <v>283</v>
      </c>
      <c r="N210" s="774" t="s">
        <v>283</v>
      </c>
      <c r="O210" s="774" t="s">
        <v>283</v>
      </c>
      <c r="P210" s="774" t="s">
        <v>283</v>
      </c>
      <c r="Q210" s="774" t="s">
        <v>283</v>
      </c>
      <c r="R210" s="774" t="s">
        <v>283</v>
      </c>
      <c r="S210" s="774" t="s">
        <v>283</v>
      </c>
      <c r="T210" s="774" t="s">
        <v>283</v>
      </c>
      <c r="U210" s="774" t="s">
        <v>283</v>
      </c>
      <c r="V210" s="772" t="s">
        <v>283</v>
      </c>
      <c r="W210" s="765" t="s">
        <v>283</v>
      </c>
      <c r="X210" s="765" t="s">
        <v>283</v>
      </c>
      <c r="Y210" s="765" t="s">
        <v>283</v>
      </c>
      <c r="Z210" s="765" t="s">
        <v>283</v>
      </c>
      <c r="AA210" s="765" t="s">
        <v>283</v>
      </c>
      <c r="AB210" s="765" t="s">
        <v>283</v>
      </c>
      <c r="AC210" s="765" t="s">
        <v>283</v>
      </c>
      <c r="AD210" s="765" t="s">
        <v>283</v>
      </c>
      <c r="AE210" s="765" t="s">
        <v>283</v>
      </c>
      <c r="AF210" s="765" t="s">
        <v>283</v>
      </c>
      <c r="AG210" s="765" t="s">
        <v>283</v>
      </c>
      <c r="AH210" s="765" t="s">
        <v>283</v>
      </c>
      <c r="AI210" s="765" t="s">
        <v>283</v>
      </c>
      <c r="AJ210" s="765" t="s">
        <v>283</v>
      </c>
      <c r="AK210" s="765" t="s">
        <v>283</v>
      </c>
      <c r="AL210" s="765" t="s">
        <v>283</v>
      </c>
      <c r="AM210" s="765" t="s">
        <v>283</v>
      </c>
      <c r="AN210" s="765" t="s">
        <v>283</v>
      </c>
      <c r="AO210" s="765" t="s">
        <v>283</v>
      </c>
      <c r="AP210" s="765" t="s">
        <v>283</v>
      </c>
      <c r="AQ210" s="765" t="s">
        <v>283</v>
      </c>
      <c r="AR210" s="765" t="s">
        <v>283</v>
      </c>
      <c r="AS210" s="765" t="s">
        <v>283</v>
      </c>
      <c r="AT210" s="765" t="s">
        <v>283</v>
      </c>
    </row>
    <row r="211" spans="1:46" ht="15">
      <c r="A211" s="765" t="s">
        <v>283</v>
      </c>
      <c r="B211" s="769" t="s">
        <v>283</v>
      </c>
      <c r="C211" s="773" t="s">
        <v>628</v>
      </c>
      <c r="D211" s="780">
        <v>364000</v>
      </c>
      <c r="E211" s="780">
        <v>816222</v>
      </c>
      <c r="F211" s="779">
        <v>0</v>
      </c>
      <c r="G211" s="780">
        <v>2175000</v>
      </c>
      <c r="H211" s="780">
        <v>251000</v>
      </c>
      <c r="I211" s="780">
        <v>1365000</v>
      </c>
      <c r="J211" s="780">
        <v>848238</v>
      </c>
      <c r="K211" s="779">
        <v>1.04</v>
      </c>
      <c r="L211" s="771"/>
      <c r="M211" s="783">
        <v>2053000</v>
      </c>
      <c r="N211" s="783">
        <v>364000</v>
      </c>
      <c r="O211" s="783">
        <v>793000</v>
      </c>
      <c r="P211" s="783">
        <v>1365000</v>
      </c>
      <c r="Q211" s="783">
        <v>2175000</v>
      </c>
      <c r="R211" s="783">
        <v>251000</v>
      </c>
      <c r="S211" s="783">
        <v>345000</v>
      </c>
      <c r="T211" s="773">
        <v>0</v>
      </c>
      <c r="U211" s="773">
        <v>0</v>
      </c>
      <c r="V211" s="772" t="s">
        <v>283</v>
      </c>
      <c r="W211" s="765" t="s">
        <v>283</v>
      </c>
      <c r="X211" s="765" t="s">
        <v>283</v>
      </c>
      <c r="Y211" s="765" t="s">
        <v>283</v>
      </c>
      <c r="Z211" s="765" t="s">
        <v>283</v>
      </c>
      <c r="AA211" s="765" t="s">
        <v>283</v>
      </c>
      <c r="AB211" s="765" t="s">
        <v>283</v>
      </c>
      <c r="AC211" s="765" t="s">
        <v>283</v>
      </c>
      <c r="AD211" s="765" t="s">
        <v>283</v>
      </c>
      <c r="AE211" s="765" t="s">
        <v>283</v>
      </c>
      <c r="AF211" s="765" t="s">
        <v>283</v>
      </c>
      <c r="AG211" s="765" t="s">
        <v>283</v>
      </c>
      <c r="AH211" s="765" t="s">
        <v>283</v>
      </c>
      <c r="AI211" s="765" t="s">
        <v>283</v>
      </c>
      <c r="AJ211" s="765" t="s">
        <v>283</v>
      </c>
      <c r="AK211" s="765" t="s">
        <v>283</v>
      </c>
      <c r="AL211" s="765" t="s">
        <v>283</v>
      </c>
      <c r="AM211" s="765" t="s">
        <v>283</v>
      </c>
      <c r="AN211" s="765" t="s">
        <v>283</v>
      </c>
      <c r="AO211" s="765" t="s">
        <v>283</v>
      </c>
      <c r="AP211" s="765" t="s">
        <v>283</v>
      </c>
      <c r="AQ211" s="765" t="s">
        <v>283</v>
      </c>
      <c r="AR211" s="765" t="s">
        <v>283</v>
      </c>
      <c r="AS211" s="765" t="s">
        <v>283</v>
      </c>
      <c r="AT211" s="765" t="s">
        <v>283</v>
      </c>
    </row>
    <row r="212" spans="1:46" ht="15">
      <c r="A212" s="765" t="s">
        <v>283</v>
      </c>
      <c r="B212" s="769" t="s">
        <v>283</v>
      </c>
      <c r="C212" s="773" t="s">
        <v>629</v>
      </c>
      <c r="D212" s="782">
        <v>-3721000</v>
      </c>
      <c r="E212" s="782">
        <v>-3245667</v>
      </c>
      <c r="F212" s="782">
        <v>-5903000</v>
      </c>
      <c r="G212" s="779">
        <v>0</v>
      </c>
      <c r="H212" s="782">
        <v>-4751000</v>
      </c>
      <c r="I212" s="782">
        <v>-2270000</v>
      </c>
      <c r="J212" s="780">
        <v>2141796</v>
      </c>
      <c r="K212" s="781">
        <v>-0.66</v>
      </c>
      <c r="L212" s="771"/>
      <c r="M212" s="785">
        <v>-4751000</v>
      </c>
      <c r="N212" s="785">
        <v>-5265000</v>
      </c>
      <c r="O212" s="785">
        <v>-4250000</v>
      </c>
      <c r="P212" s="785">
        <v>-3721000</v>
      </c>
      <c r="Q212" s="785">
        <v>-5903000</v>
      </c>
      <c r="R212" s="785">
        <v>-3051000</v>
      </c>
      <c r="S212" s="785">
        <v>-2270000</v>
      </c>
      <c r="T212" s="773">
        <v>0</v>
      </c>
      <c r="U212" s="773">
        <v>0</v>
      </c>
      <c r="V212" s="772" t="s">
        <v>283</v>
      </c>
      <c r="W212" s="765" t="s">
        <v>283</v>
      </c>
      <c r="X212" s="765" t="s">
        <v>283</v>
      </c>
      <c r="Y212" s="765" t="s">
        <v>283</v>
      </c>
      <c r="Z212" s="765" t="s">
        <v>283</v>
      </c>
      <c r="AA212" s="765" t="s">
        <v>283</v>
      </c>
      <c r="AB212" s="765" t="s">
        <v>283</v>
      </c>
      <c r="AC212" s="765" t="s">
        <v>283</v>
      </c>
      <c r="AD212" s="765" t="s">
        <v>283</v>
      </c>
      <c r="AE212" s="765" t="s">
        <v>283</v>
      </c>
      <c r="AF212" s="765" t="s">
        <v>283</v>
      </c>
      <c r="AG212" s="765" t="s">
        <v>283</v>
      </c>
      <c r="AH212" s="765" t="s">
        <v>283</v>
      </c>
      <c r="AI212" s="765" t="s">
        <v>283</v>
      </c>
      <c r="AJ212" s="765" t="s">
        <v>283</v>
      </c>
      <c r="AK212" s="765" t="s">
        <v>283</v>
      </c>
      <c r="AL212" s="765" t="s">
        <v>283</v>
      </c>
      <c r="AM212" s="765" t="s">
        <v>283</v>
      </c>
      <c r="AN212" s="765" t="s">
        <v>283</v>
      </c>
      <c r="AO212" s="765" t="s">
        <v>283</v>
      </c>
      <c r="AP212" s="765" t="s">
        <v>283</v>
      </c>
      <c r="AQ212" s="765" t="s">
        <v>283</v>
      </c>
      <c r="AR212" s="765" t="s">
        <v>283</v>
      </c>
      <c r="AS212" s="765" t="s">
        <v>283</v>
      </c>
      <c r="AT212" s="765" t="s">
        <v>283</v>
      </c>
    </row>
    <row r="213" spans="1:46" ht="15">
      <c r="A213" s="765" t="s">
        <v>283</v>
      </c>
      <c r="B213" s="769" t="s">
        <v>283</v>
      </c>
      <c r="C213" s="773" t="s">
        <v>630</v>
      </c>
      <c r="D213" s="780">
        <v>158000</v>
      </c>
      <c r="E213" s="780">
        <v>135857</v>
      </c>
      <c r="F213" s="780">
        <v>39000</v>
      </c>
      <c r="G213" s="780">
        <v>234000</v>
      </c>
      <c r="H213" s="780">
        <v>86000</v>
      </c>
      <c r="I213" s="780">
        <v>174000</v>
      </c>
      <c r="J213" s="780">
        <v>71193</v>
      </c>
      <c r="K213" s="779">
        <v>0.52</v>
      </c>
      <c r="L213" s="771"/>
      <c r="M213" s="783">
        <v>234000</v>
      </c>
      <c r="N213" s="783">
        <v>158000</v>
      </c>
      <c r="O213" s="783">
        <v>162000</v>
      </c>
      <c r="P213" s="783">
        <v>186000</v>
      </c>
      <c r="Q213" s="783">
        <v>123000</v>
      </c>
      <c r="R213" s="783">
        <v>39000</v>
      </c>
      <c r="S213" s="783">
        <v>49000</v>
      </c>
      <c r="T213" s="773"/>
      <c r="U213" s="773"/>
      <c r="V213" s="772" t="s">
        <v>283</v>
      </c>
      <c r="W213" s="765" t="s">
        <v>283</v>
      </c>
      <c r="X213" s="765" t="s">
        <v>283</v>
      </c>
      <c r="Y213" s="765" t="s">
        <v>283</v>
      </c>
      <c r="Z213" s="765" t="s">
        <v>283</v>
      </c>
      <c r="AA213" s="765" t="s">
        <v>283</v>
      </c>
      <c r="AB213" s="765" t="s">
        <v>283</v>
      </c>
      <c r="AC213" s="765" t="s">
        <v>283</v>
      </c>
      <c r="AD213" s="765" t="s">
        <v>283</v>
      </c>
      <c r="AE213" s="765" t="s">
        <v>283</v>
      </c>
      <c r="AF213" s="765" t="s">
        <v>283</v>
      </c>
      <c r="AG213" s="765" t="s">
        <v>283</v>
      </c>
      <c r="AH213" s="765" t="s">
        <v>283</v>
      </c>
      <c r="AI213" s="765" t="s">
        <v>283</v>
      </c>
      <c r="AJ213" s="765" t="s">
        <v>283</v>
      </c>
      <c r="AK213" s="765" t="s">
        <v>283</v>
      </c>
      <c r="AL213" s="765" t="s">
        <v>283</v>
      </c>
      <c r="AM213" s="765" t="s">
        <v>283</v>
      </c>
      <c r="AN213" s="765" t="s">
        <v>283</v>
      </c>
      <c r="AO213" s="765" t="s">
        <v>283</v>
      </c>
      <c r="AP213" s="765" t="s">
        <v>283</v>
      </c>
      <c r="AQ213" s="765" t="s">
        <v>283</v>
      </c>
      <c r="AR213" s="765" t="s">
        <v>283</v>
      </c>
      <c r="AS213" s="765" t="s">
        <v>283</v>
      </c>
      <c r="AT213" s="765" t="s">
        <v>283</v>
      </c>
    </row>
    <row r="214" spans="1:46" ht="15">
      <c r="A214" s="765" t="s">
        <v>283</v>
      </c>
      <c r="B214" s="769" t="s">
        <v>283</v>
      </c>
      <c r="C214" s="773" t="s">
        <v>631</v>
      </c>
      <c r="D214" s="780">
        <v>6007000</v>
      </c>
      <c r="E214" s="780">
        <v>3070000</v>
      </c>
      <c r="F214" s="782">
        <v>-6399000</v>
      </c>
      <c r="G214" s="780">
        <v>7733000</v>
      </c>
      <c r="H214" s="780">
        <v>842000</v>
      </c>
      <c r="I214" s="780">
        <v>6232500</v>
      </c>
      <c r="J214" s="780">
        <v>5812343</v>
      </c>
      <c r="K214" s="779">
        <v>1.89</v>
      </c>
      <c r="L214" s="771"/>
      <c r="M214" s="783">
        <v>6378000</v>
      </c>
      <c r="N214" s="783">
        <v>6007000</v>
      </c>
      <c r="O214" s="783">
        <v>5975000</v>
      </c>
      <c r="P214" s="783">
        <v>6087000</v>
      </c>
      <c r="Q214" s="783">
        <v>7733000</v>
      </c>
      <c r="R214" s="785">
        <v>-6399000</v>
      </c>
      <c r="S214" s="785">
        <v>-4291000</v>
      </c>
      <c r="T214" s="773"/>
      <c r="U214" s="773"/>
      <c r="V214" s="772" t="s">
        <v>283</v>
      </c>
      <c r="W214" s="765" t="s">
        <v>283</v>
      </c>
      <c r="X214" s="765" t="s">
        <v>283</v>
      </c>
      <c r="Y214" s="765" t="s">
        <v>283</v>
      </c>
      <c r="Z214" s="765" t="s">
        <v>283</v>
      </c>
      <c r="AA214" s="765" t="s">
        <v>283</v>
      </c>
      <c r="AB214" s="765" t="s">
        <v>283</v>
      </c>
      <c r="AC214" s="765" t="s">
        <v>283</v>
      </c>
      <c r="AD214" s="765" t="s">
        <v>283</v>
      </c>
      <c r="AE214" s="765" t="s">
        <v>283</v>
      </c>
      <c r="AF214" s="765" t="s">
        <v>283</v>
      </c>
      <c r="AG214" s="765" t="s">
        <v>283</v>
      </c>
      <c r="AH214" s="765" t="s">
        <v>283</v>
      </c>
      <c r="AI214" s="765" t="s">
        <v>283</v>
      </c>
      <c r="AJ214" s="765" t="s">
        <v>283</v>
      </c>
      <c r="AK214" s="765" t="s">
        <v>283</v>
      </c>
      <c r="AL214" s="765" t="s">
        <v>283</v>
      </c>
      <c r="AM214" s="765" t="s">
        <v>283</v>
      </c>
      <c r="AN214" s="765" t="s">
        <v>283</v>
      </c>
      <c r="AO214" s="765" t="s">
        <v>283</v>
      </c>
      <c r="AP214" s="765" t="s">
        <v>283</v>
      </c>
      <c r="AQ214" s="765" t="s">
        <v>283</v>
      </c>
      <c r="AR214" s="765" t="s">
        <v>283</v>
      </c>
      <c r="AS214" s="765" t="s">
        <v>283</v>
      </c>
      <c r="AT214" s="765" t="s">
        <v>283</v>
      </c>
    </row>
    <row r="215" spans="1:46" ht="15">
      <c r="A215" s="765" t="s">
        <v>283</v>
      </c>
      <c r="B215" s="769" t="s">
        <v>283</v>
      </c>
      <c r="C215" s="773" t="s">
        <v>632</v>
      </c>
      <c r="D215" s="780">
        <v>8792000</v>
      </c>
      <c r="E215" s="780">
        <v>6833917</v>
      </c>
      <c r="F215" s="780">
        <v>60370</v>
      </c>
      <c r="G215" s="780">
        <v>11983000</v>
      </c>
      <c r="H215" s="780">
        <v>5024000</v>
      </c>
      <c r="I215" s="780">
        <v>9295000</v>
      </c>
      <c r="J215" s="780">
        <v>4347090</v>
      </c>
      <c r="K215" s="779">
        <v>0.64</v>
      </c>
      <c r="L215" s="771"/>
      <c r="M215" s="783">
        <v>11983000</v>
      </c>
      <c r="N215" s="783">
        <v>9295000</v>
      </c>
      <c r="O215" s="783">
        <v>8792000</v>
      </c>
      <c r="P215" s="783">
        <v>9170000</v>
      </c>
      <c r="Q215" s="783">
        <v>11178000</v>
      </c>
      <c r="R215" s="783">
        <v>5442000</v>
      </c>
      <c r="S215" s="783">
        <v>5024000</v>
      </c>
      <c r="T215" s="783">
        <v>560881</v>
      </c>
      <c r="U215" s="783">
        <v>60370</v>
      </c>
      <c r="V215" s="772" t="s">
        <v>283</v>
      </c>
      <c r="W215" s="765" t="s">
        <v>283</v>
      </c>
      <c r="X215" s="765" t="s">
        <v>283</v>
      </c>
      <c r="Y215" s="765" t="s">
        <v>283</v>
      </c>
      <c r="Z215" s="765" t="s">
        <v>283</v>
      </c>
      <c r="AA215" s="765" t="s">
        <v>283</v>
      </c>
      <c r="AB215" s="765" t="s">
        <v>283</v>
      </c>
      <c r="AC215" s="765" t="s">
        <v>283</v>
      </c>
      <c r="AD215" s="765" t="s">
        <v>283</v>
      </c>
      <c r="AE215" s="765" t="s">
        <v>283</v>
      </c>
      <c r="AF215" s="765" t="s">
        <v>283</v>
      </c>
      <c r="AG215" s="765" t="s">
        <v>283</v>
      </c>
      <c r="AH215" s="765" t="s">
        <v>283</v>
      </c>
      <c r="AI215" s="765" t="s">
        <v>283</v>
      </c>
      <c r="AJ215" s="765" t="s">
        <v>283</v>
      </c>
      <c r="AK215" s="765" t="s">
        <v>283</v>
      </c>
      <c r="AL215" s="765" t="s">
        <v>283</v>
      </c>
      <c r="AM215" s="765" t="s">
        <v>283</v>
      </c>
      <c r="AN215" s="765" t="s">
        <v>283</v>
      </c>
      <c r="AO215" s="765" t="s">
        <v>283</v>
      </c>
      <c r="AP215" s="765" t="s">
        <v>283</v>
      </c>
      <c r="AQ215" s="765" t="s">
        <v>283</v>
      </c>
      <c r="AR215" s="765" t="s">
        <v>283</v>
      </c>
      <c r="AS215" s="765" t="s">
        <v>283</v>
      </c>
      <c r="AT215" s="765" t="s">
        <v>283</v>
      </c>
    </row>
    <row r="216" spans="1:46" ht="15">
      <c r="A216" s="765" t="s">
        <v>283</v>
      </c>
      <c r="B216" s="769" t="s">
        <v>283</v>
      </c>
      <c r="C216" s="773" t="s">
        <v>633</v>
      </c>
      <c r="D216" s="780">
        <v>7876000</v>
      </c>
      <c r="E216" s="780">
        <v>6098361</v>
      </c>
      <c r="F216" s="780">
        <v>60370</v>
      </c>
      <c r="G216" s="780">
        <v>10926000</v>
      </c>
      <c r="H216" s="780">
        <v>3844000</v>
      </c>
      <c r="I216" s="780">
        <v>8320000</v>
      </c>
      <c r="J216" s="780">
        <v>4033723</v>
      </c>
      <c r="K216" s="779">
        <v>0.66</v>
      </c>
      <c r="L216" s="771"/>
      <c r="M216" s="783">
        <v>10926000</v>
      </c>
      <c r="N216" s="783">
        <v>8320000</v>
      </c>
      <c r="O216" s="783">
        <v>7876000</v>
      </c>
      <c r="P216" s="783">
        <v>8266000</v>
      </c>
      <c r="Q216" s="783">
        <v>10503000</v>
      </c>
      <c r="R216" s="783">
        <v>4529000</v>
      </c>
      <c r="S216" s="783">
        <v>3844000</v>
      </c>
      <c r="T216" s="783">
        <v>560881</v>
      </c>
      <c r="U216" s="783">
        <v>60370</v>
      </c>
      <c r="V216" s="772" t="s">
        <v>283</v>
      </c>
      <c r="W216" s="765" t="s">
        <v>283</v>
      </c>
      <c r="X216" s="765" t="s">
        <v>283</v>
      </c>
      <c r="Y216" s="765" t="s">
        <v>283</v>
      </c>
      <c r="Z216" s="765" t="s">
        <v>283</v>
      </c>
      <c r="AA216" s="765" t="s">
        <v>283</v>
      </c>
      <c r="AB216" s="765" t="s">
        <v>283</v>
      </c>
      <c r="AC216" s="765" t="s">
        <v>283</v>
      </c>
      <c r="AD216" s="765" t="s">
        <v>283</v>
      </c>
      <c r="AE216" s="765" t="s">
        <v>283</v>
      </c>
      <c r="AF216" s="765" t="s">
        <v>283</v>
      </c>
      <c r="AG216" s="765" t="s">
        <v>283</v>
      </c>
      <c r="AH216" s="765" t="s">
        <v>283</v>
      </c>
      <c r="AI216" s="765" t="s">
        <v>283</v>
      </c>
      <c r="AJ216" s="765" t="s">
        <v>283</v>
      </c>
      <c r="AK216" s="765" t="s">
        <v>283</v>
      </c>
      <c r="AL216" s="765" t="s">
        <v>283</v>
      </c>
      <c r="AM216" s="765" t="s">
        <v>283</v>
      </c>
      <c r="AN216" s="765" t="s">
        <v>283</v>
      </c>
      <c r="AO216" s="765" t="s">
        <v>283</v>
      </c>
      <c r="AP216" s="765" t="s">
        <v>283</v>
      </c>
      <c r="AQ216" s="765" t="s">
        <v>283</v>
      </c>
      <c r="AR216" s="765" t="s">
        <v>283</v>
      </c>
      <c r="AS216" s="765" t="s">
        <v>283</v>
      </c>
      <c r="AT216" s="765" t="s">
        <v>283</v>
      </c>
    </row>
    <row r="217" spans="1:46" ht="15">
      <c r="A217" s="765" t="s">
        <v>283</v>
      </c>
      <c r="B217" s="769" t="s">
        <v>283</v>
      </c>
      <c r="C217" s="773" t="s">
        <v>634</v>
      </c>
      <c r="D217" s="780">
        <v>5552000</v>
      </c>
      <c r="E217" s="780">
        <v>2444857</v>
      </c>
      <c r="F217" s="782">
        <v>-7207000</v>
      </c>
      <c r="G217" s="780">
        <v>7344000</v>
      </c>
      <c r="H217" s="782">
        <v>-14000</v>
      </c>
      <c r="I217" s="780">
        <v>5726500</v>
      </c>
      <c r="J217" s="780">
        <v>6035316</v>
      </c>
      <c r="K217" s="779">
        <v>2.4700000000000002</v>
      </c>
      <c r="L217" s="771"/>
      <c r="M217" s="783">
        <v>5700000</v>
      </c>
      <c r="N217" s="783">
        <v>5376000</v>
      </c>
      <c r="O217" s="783">
        <v>5552000</v>
      </c>
      <c r="P217" s="783">
        <v>5753000</v>
      </c>
      <c r="Q217" s="783">
        <v>7344000</v>
      </c>
      <c r="R217" s="785">
        <v>-7207000</v>
      </c>
      <c r="S217" s="785">
        <v>-5404000</v>
      </c>
      <c r="T217" s="773"/>
      <c r="U217" s="773"/>
      <c r="V217" s="772" t="s">
        <v>283</v>
      </c>
      <c r="W217" s="765" t="s">
        <v>283</v>
      </c>
      <c r="X217" s="765" t="s">
        <v>283</v>
      </c>
      <c r="Y217" s="765" t="s">
        <v>283</v>
      </c>
      <c r="Z217" s="765" t="s">
        <v>283</v>
      </c>
      <c r="AA217" s="765" t="s">
        <v>283</v>
      </c>
      <c r="AB217" s="765" t="s">
        <v>283</v>
      </c>
      <c r="AC217" s="765" t="s">
        <v>283</v>
      </c>
      <c r="AD217" s="765" t="s">
        <v>283</v>
      </c>
      <c r="AE217" s="765" t="s">
        <v>283</v>
      </c>
      <c r="AF217" s="765" t="s">
        <v>283</v>
      </c>
      <c r="AG217" s="765" t="s">
        <v>283</v>
      </c>
      <c r="AH217" s="765" t="s">
        <v>283</v>
      </c>
      <c r="AI217" s="765" t="s">
        <v>283</v>
      </c>
      <c r="AJ217" s="765" t="s">
        <v>283</v>
      </c>
      <c r="AK217" s="765" t="s">
        <v>283</v>
      </c>
      <c r="AL217" s="765" t="s">
        <v>283</v>
      </c>
      <c r="AM217" s="765" t="s">
        <v>283</v>
      </c>
      <c r="AN217" s="765" t="s">
        <v>283</v>
      </c>
      <c r="AO217" s="765" t="s">
        <v>283</v>
      </c>
      <c r="AP217" s="765" t="s">
        <v>283</v>
      </c>
      <c r="AQ217" s="765" t="s">
        <v>283</v>
      </c>
      <c r="AR217" s="765" t="s">
        <v>283</v>
      </c>
      <c r="AS217" s="765" t="s">
        <v>283</v>
      </c>
      <c r="AT217" s="765" t="s">
        <v>283</v>
      </c>
    </row>
    <row r="218" spans="1:46" ht="15">
      <c r="A218" s="765" t="s">
        <v>283</v>
      </c>
      <c r="B218" s="769" t="s">
        <v>283</v>
      </c>
      <c r="C218" s="773" t="s">
        <v>635</v>
      </c>
      <c r="D218" s="780">
        <v>3453000</v>
      </c>
      <c r="E218" s="780">
        <v>3201466</v>
      </c>
      <c r="F218" s="782">
        <v>-403865</v>
      </c>
      <c r="G218" s="780">
        <v>7649000</v>
      </c>
      <c r="H218" s="780">
        <v>2357000</v>
      </c>
      <c r="I218" s="780">
        <v>4290000</v>
      </c>
      <c r="J218" s="780">
        <v>2441807</v>
      </c>
      <c r="K218" s="779">
        <v>0.76</v>
      </c>
      <c r="L218" s="771"/>
      <c r="M218" s="783">
        <v>3453000</v>
      </c>
      <c r="N218" s="783">
        <v>3974000</v>
      </c>
      <c r="O218" s="783">
        <v>4290000</v>
      </c>
      <c r="P218" s="783">
        <v>4591000</v>
      </c>
      <c r="Q218" s="783">
        <v>7649000</v>
      </c>
      <c r="R218" s="783">
        <v>2919000</v>
      </c>
      <c r="S218" s="783">
        <v>2357000</v>
      </c>
      <c r="T218" s="785">
        <v>-403865</v>
      </c>
      <c r="U218" s="785">
        <v>-15938</v>
      </c>
      <c r="V218" s="772" t="s">
        <v>283</v>
      </c>
      <c r="W218" s="765" t="s">
        <v>283</v>
      </c>
      <c r="X218" s="765" t="s">
        <v>283</v>
      </c>
      <c r="Y218" s="765" t="s">
        <v>283</v>
      </c>
      <c r="Z218" s="765" t="s">
        <v>283</v>
      </c>
      <c r="AA218" s="765" t="s">
        <v>283</v>
      </c>
      <c r="AB218" s="765" t="s">
        <v>283</v>
      </c>
      <c r="AC218" s="765" t="s">
        <v>283</v>
      </c>
      <c r="AD218" s="765" t="s">
        <v>283</v>
      </c>
      <c r="AE218" s="765" t="s">
        <v>283</v>
      </c>
      <c r="AF218" s="765" t="s">
        <v>283</v>
      </c>
      <c r="AG218" s="765" t="s">
        <v>283</v>
      </c>
      <c r="AH218" s="765" t="s">
        <v>283</v>
      </c>
      <c r="AI218" s="765" t="s">
        <v>283</v>
      </c>
      <c r="AJ218" s="765" t="s">
        <v>283</v>
      </c>
      <c r="AK218" s="765" t="s">
        <v>283</v>
      </c>
      <c r="AL218" s="765" t="s">
        <v>283</v>
      </c>
      <c r="AM218" s="765" t="s">
        <v>283</v>
      </c>
      <c r="AN218" s="765" t="s">
        <v>283</v>
      </c>
      <c r="AO218" s="765" t="s">
        <v>283</v>
      </c>
      <c r="AP218" s="765" t="s">
        <v>283</v>
      </c>
      <c r="AQ218" s="765" t="s">
        <v>283</v>
      </c>
      <c r="AR218" s="765" t="s">
        <v>283</v>
      </c>
      <c r="AS218" s="765" t="s">
        <v>283</v>
      </c>
      <c r="AT218" s="765" t="s">
        <v>283</v>
      </c>
    </row>
    <row r="219" spans="1:46" ht="15">
      <c r="A219" s="765" t="s">
        <v>283</v>
      </c>
      <c r="B219" s="769" t="s">
        <v>283</v>
      </c>
      <c r="C219" s="773" t="s">
        <v>636</v>
      </c>
      <c r="D219" s="780">
        <v>6715000</v>
      </c>
      <c r="E219" s="780">
        <v>3453333</v>
      </c>
      <c r="F219" s="782">
        <v>-6043000</v>
      </c>
      <c r="G219" s="780">
        <v>10194000</v>
      </c>
      <c r="H219" s="779">
        <v>0</v>
      </c>
      <c r="I219" s="780">
        <v>8022000</v>
      </c>
      <c r="J219" s="780">
        <v>5999317</v>
      </c>
      <c r="K219" s="779">
        <v>1.74</v>
      </c>
      <c r="L219" s="771"/>
      <c r="M219" s="783">
        <v>8810000</v>
      </c>
      <c r="N219" s="783">
        <v>6715000</v>
      </c>
      <c r="O219" s="783">
        <v>7261000</v>
      </c>
      <c r="P219" s="783">
        <v>8022000</v>
      </c>
      <c r="Q219" s="783">
        <v>10194000</v>
      </c>
      <c r="R219" s="785">
        <v>-6043000</v>
      </c>
      <c r="S219" s="785">
        <v>-3879000</v>
      </c>
      <c r="T219" s="773">
        <v>0</v>
      </c>
      <c r="U219" s="773">
        <v>0</v>
      </c>
      <c r="V219" s="772" t="s">
        <v>283</v>
      </c>
      <c r="W219" s="765" t="s">
        <v>283</v>
      </c>
      <c r="X219" s="765" t="s">
        <v>283</v>
      </c>
      <c r="Y219" s="765" t="s">
        <v>283</v>
      </c>
      <c r="Z219" s="765" t="s">
        <v>283</v>
      </c>
      <c r="AA219" s="765" t="s">
        <v>283</v>
      </c>
      <c r="AB219" s="765" t="s">
        <v>283</v>
      </c>
      <c r="AC219" s="765" t="s">
        <v>283</v>
      </c>
      <c r="AD219" s="765" t="s">
        <v>283</v>
      </c>
      <c r="AE219" s="765" t="s">
        <v>283</v>
      </c>
      <c r="AF219" s="765" t="s">
        <v>283</v>
      </c>
      <c r="AG219" s="765" t="s">
        <v>283</v>
      </c>
      <c r="AH219" s="765" t="s">
        <v>283</v>
      </c>
      <c r="AI219" s="765" t="s">
        <v>283</v>
      </c>
      <c r="AJ219" s="765" t="s">
        <v>283</v>
      </c>
      <c r="AK219" s="765" t="s">
        <v>283</v>
      </c>
      <c r="AL219" s="765" t="s">
        <v>283</v>
      </c>
      <c r="AM219" s="765" t="s">
        <v>283</v>
      </c>
      <c r="AN219" s="765" t="s">
        <v>283</v>
      </c>
      <c r="AO219" s="765" t="s">
        <v>283</v>
      </c>
      <c r="AP219" s="765" t="s">
        <v>283</v>
      </c>
      <c r="AQ219" s="765" t="s">
        <v>283</v>
      </c>
      <c r="AR219" s="765" t="s">
        <v>283</v>
      </c>
      <c r="AS219" s="765" t="s">
        <v>283</v>
      </c>
      <c r="AT219" s="765" t="s">
        <v>283</v>
      </c>
    </row>
    <row r="220" spans="1:46" ht="15">
      <c r="A220" s="765" t="s">
        <v>283</v>
      </c>
      <c r="B220" s="769" t="s">
        <v>283</v>
      </c>
      <c r="C220" s="773" t="s">
        <v>637</v>
      </c>
      <c r="D220" s="780">
        <v>3912000000</v>
      </c>
      <c r="E220" s="780">
        <v>3932979323</v>
      </c>
      <c r="F220" s="780">
        <v>3741980208</v>
      </c>
      <c r="G220" s="780">
        <v>4089290878</v>
      </c>
      <c r="H220" s="780">
        <v>3851327877</v>
      </c>
      <c r="I220" s="780">
        <v>4070297652</v>
      </c>
      <c r="J220" s="780">
        <v>147374844</v>
      </c>
      <c r="K220" s="779">
        <v>0.04</v>
      </c>
      <c r="L220" s="771"/>
      <c r="M220" s="783">
        <v>4089290878</v>
      </c>
      <c r="N220" s="783">
        <v>4070297652</v>
      </c>
      <c r="O220" s="783">
        <v>3912000000</v>
      </c>
      <c r="P220" s="783">
        <v>3851327877</v>
      </c>
      <c r="Q220" s="783">
        <v>3741980208</v>
      </c>
      <c r="R220" s="773"/>
      <c r="S220" s="773"/>
      <c r="T220" s="773"/>
      <c r="U220" s="773"/>
      <c r="V220" s="772" t="s">
        <v>283</v>
      </c>
      <c r="W220" s="765" t="s">
        <v>283</v>
      </c>
      <c r="X220" s="765" t="s">
        <v>283</v>
      </c>
      <c r="Y220" s="765" t="s">
        <v>283</v>
      </c>
      <c r="Z220" s="765" t="s">
        <v>283</v>
      </c>
      <c r="AA220" s="765" t="s">
        <v>283</v>
      </c>
      <c r="AB220" s="765" t="s">
        <v>283</v>
      </c>
      <c r="AC220" s="765" t="s">
        <v>283</v>
      </c>
      <c r="AD220" s="765" t="s">
        <v>283</v>
      </c>
      <c r="AE220" s="765" t="s">
        <v>283</v>
      </c>
      <c r="AF220" s="765" t="s">
        <v>283</v>
      </c>
      <c r="AG220" s="765" t="s">
        <v>283</v>
      </c>
      <c r="AH220" s="765" t="s">
        <v>283</v>
      </c>
      <c r="AI220" s="765" t="s">
        <v>283</v>
      </c>
      <c r="AJ220" s="765" t="s">
        <v>283</v>
      </c>
      <c r="AK220" s="765" t="s">
        <v>283</v>
      </c>
      <c r="AL220" s="765" t="s">
        <v>283</v>
      </c>
      <c r="AM220" s="765" t="s">
        <v>283</v>
      </c>
      <c r="AN220" s="765" t="s">
        <v>283</v>
      </c>
      <c r="AO220" s="765" t="s">
        <v>283</v>
      </c>
      <c r="AP220" s="765" t="s">
        <v>283</v>
      </c>
      <c r="AQ220" s="765" t="s">
        <v>283</v>
      </c>
      <c r="AR220" s="765" t="s">
        <v>283</v>
      </c>
      <c r="AS220" s="765" t="s">
        <v>283</v>
      </c>
      <c r="AT220" s="765" t="s">
        <v>283</v>
      </c>
    </row>
    <row r="221" spans="1:46" ht="15">
      <c r="A221" s="765" t="s">
        <v>283</v>
      </c>
      <c r="B221" s="769" t="s">
        <v>283</v>
      </c>
      <c r="C221" s="773" t="s">
        <v>638</v>
      </c>
      <c r="D221" s="780">
        <v>11267</v>
      </c>
      <c r="E221" s="780">
        <v>10576</v>
      </c>
      <c r="F221" s="780">
        <v>8834</v>
      </c>
      <c r="G221" s="780">
        <v>12012</v>
      </c>
      <c r="H221" s="780">
        <v>8834</v>
      </c>
      <c r="I221" s="780">
        <v>11934</v>
      </c>
      <c r="J221" s="780">
        <v>1617</v>
      </c>
      <c r="K221" s="779">
        <v>0.15</v>
      </c>
      <c r="L221" s="771"/>
      <c r="M221" s="783">
        <v>12012</v>
      </c>
      <c r="N221" s="783">
        <v>11267</v>
      </c>
      <c r="O221" s="783">
        <v>11934</v>
      </c>
      <c r="P221" s="783">
        <v>8834</v>
      </c>
      <c r="Q221" s="783">
        <v>8834</v>
      </c>
      <c r="R221" s="773"/>
      <c r="S221" s="773"/>
      <c r="T221" s="773"/>
      <c r="U221" s="773"/>
      <c r="V221" s="772" t="s">
        <v>283</v>
      </c>
      <c r="W221" s="765" t="s">
        <v>283</v>
      </c>
      <c r="X221" s="765" t="s">
        <v>283</v>
      </c>
      <c r="Y221" s="765" t="s">
        <v>283</v>
      </c>
      <c r="Z221" s="765" t="s">
        <v>283</v>
      </c>
      <c r="AA221" s="765" t="s">
        <v>283</v>
      </c>
      <c r="AB221" s="765" t="s">
        <v>283</v>
      </c>
      <c r="AC221" s="765" t="s">
        <v>283</v>
      </c>
      <c r="AD221" s="765" t="s">
        <v>283</v>
      </c>
      <c r="AE221" s="765" t="s">
        <v>283</v>
      </c>
      <c r="AF221" s="765" t="s">
        <v>283</v>
      </c>
      <c r="AG221" s="765" t="s">
        <v>283</v>
      </c>
      <c r="AH221" s="765" t="s">
        <v>283</v>
      </c>
      <c r="AI221" s="765" t="s">
        <v>283</v>
      </c>
      <c r="AJ221" s="765" t="s">
        <v>283</v>
      </c>
      <c r="AK221" s="765" t="s">
        <v>283</v>
      </c>
      <c r="AL221" s="765" t="s">
        <v>283</v>
      </c>
      <c r="AM221" s="765" t="s">
        <v>283</v>
      </c>
      <c r="AN221" s="765" t="s">
        <v>283</v>
      </c>
      <c r="AO221" s="765" t="s">
        <v>283</v>
      </c>
      <c r="AP221" s="765" t="s">
        <v>283</v>
      </c>
      <c r="AQ221" s="765" t="s">
        <v>283</v>
      </c>
      <c r="AR221" s="765" t="s">
        <v>283</v>
      </c>
      <c r="AS221" s="765" t="s">
        <v>283</v>
      </c>
      <c r="AT221" s="765" t="s">
        <v>283</v>
      </c>
    </row>
    <row r="222" spans="1:46" ht="15">
      <c r="A222" s="765" t="s">
        <v>283</v>
      </c>
      <c r="B222" s="769" t="s">
        <v>283</v>
      </c>
      <c r="C222" s="778" t="s">
        <v>639</v>
      </c>
      <c r="D222" s="774" t="s">
        <v>283</v>
      </c>
      <c r="E222" s="774" t="s">
        <v>283</v>
      </c>
      <c r="F222" s="774" t="s">
        <v>283</v>
      </c>
      <c r="G222" s="774" t="s">
        <v>283</v>
      </c>
      <c r="H222" s="774" t="s">
        <v>283</v>
      </c>
      <c r="I222" s="774" t="s">
        <v>283</v>
      </c>
      <c r="J222" s="774" t="s">
        <v>283</v>
      </c>
      <c r="K222" s="774" t="s">
        <v>283</v>
      </c>
      <c r="L222" s="774" t="s">
        <v>283</v>
      </c>
      <c r="M222" s="774" t="s">
        <v>283</v>
      </c>
      <c r="N222" s="774" t="s">
        <v>283</v>
      </c>
      <c r="O222" s="774" t="s">
        <v>283</v>
      </c>
      <c r="P222" s="774" t="s">
        <v>283</v>
      </c>
      <c r="Q222" s="774" t="s">
        <v>283</v>
      </c>
      <c r="R222" s="774" t="s">
        <v>283</v>
      </c>
      <c r="S222" s="774" t="s">
        <v>283</v>
      </c>
      <c r="T222" s="774" t="s">
        <v>283</v>
      </c>
      <c r="U222" s="774" t="s">
        <v>283</v>
      </c>
      <c r="V222" s="772" t="s">
        <v>283</v>
      </c>
      <c r="W222" s="765" t="s">
        <v>283</v>
      </c>
      <c r="X222" s="765" t="s">
        <v>283</v>
      </c>
      <c r="Y222" s="765" t="s">
        <v>283</v>
      </c>
      <c r="Z222" s="765" t="s">
        <v>283</v>
      </c>
      <c r="AA222" s="765" t="s">
        <v>283</v>
      </c>
      <c r="AB222" s="765" t="s">
        <v>283</v>
      </c>
      <c r="AC222" s="765" t="s">
        <v>283</v>
      </c>
      <c r="AD222" s="765" t="s">
        <v>283</v>
      </c>
      <c r="AE222" s="765" t="s">
        <v>283</v>
      </c>
      <c r="AF222" s="765" t="s">
        <v>283</v>
      </c>
      <c r="AG222" s="765" t="s">
        <v>283</v>
      </c>
      <c r="AH222" s="765" t="s">
        <v>283</v>
      </c>
      <c r="AI222" s="765" t="s">
        <v>283</v>
      </c>
      <c r="AJ222" s="765" t="s">
        <v>283</v>
      </c>
      <c r="AK222" s="765" t="s">
        <v>283</v>
      </c>
      <c r="AL222" s="765" t="s">
        <v>283</v>
      </c>
      <c r="AM222" s="765" t="s">
        <v>283</v>
      </c>
      <c r="AN222" s="765" t="s">
        <v>283</v>
      </c>
      <c r="AO222" s="765" t="s">
        <v>283</v>
      </c>
      <c r="AP222" s="765" t="s">
        <v>283</v>
      </c>
      <c r="AQ222" s="765" t="s">
        <v>283</v>
      </c>
      <c r="AR222" s="765" t="s">
        <v>283</v>
      </c>
      <c r="AS222" s="765" t="s">
        <v>283</v>
      </c>
      <c r="AT222" s="765" t="s">
        <v>283</v>
      </c>
    </row>
    <row r="223" spans="1:46" ht="15">
      <c r="A223" s="765" t="s">
        <v>283</v>
      </c>
      <c r="B223" s="769" t="s">
        <v>283</v>
      </c>
      <c r="C223" s="773" t="s">
        <v>640</v>
      </c>
      <c r="D223" s="779">
        <v>1.56</v>
      </c>
      <c r="E223" s="779">
        <v>1.64</v>
      </c>
      <c r="F223" s="779">
        <v>1.48</v>
      </c>
      <c r="G223" s="779">
        <v>2.0699999999999998</v>
      </c>
      <c r="H223" s="779">
        <v>1.52</v>
      </c>
      <c r="I223" s="779">
        <v>1.59</v>
      </c>
      <c r="J223" s="779">
        <v>0.24</v>
      </c>
      <c r="K223" s="779">
        <v>0.15</v>
      </c>
      <c r="L223" s="771"/>
      <c r="M223" s="773">
        <v>1.56</v>
      </c>
      <c r="N223" s="773">
        <v>1.48</v>
      </c>
      <c r="O223" s="773">
        <v>1.52</v>
      </c>
      <c r="P223" s="773">
        <v>1.59</v>
      </c>
      <c r="Q223" s="773">
        <v>2.0699999999999998</v>
      </c>
      <c r="R223" s="773"/>
      <c r="S223" s="773"/>
      <c r="T223" s="773"/>
      <c r="U223" s="773"/>
      <c r="V223" s="772" t="s">
        <v>283</v>
      </c>
      <c r="W223" s="765" t="s">
        <v>283</v>
      </c>
      <c r="X223" s="765" t="s">
        <v>283</v>
      </c>
      <c r="Y223" s="765" t="s">
        <v>283</v>
      </c>
      <c r="Z223" s="765" t="s">
        <v>283</v>
      </c>
      <c r="AA223" s="765" t="s">
        <v>283</v>
      </c>
      <c r="AB223" s="765" t="s">
        <v>283</v>
      </c>
      <c r="AC223" s="765" t="s">
        <v>283</v>
      </c>
      <c r="AD223" s="765" t="s">
        <v>283</v>
      </c>
      <c r="AE223" s="765" t="s">
        <v>283</v>
      </c>
      <c r="AF223" s="765" t="s">
        <v>283</v>
      </c>
      <c r="AG223" s="765" t="s">
        <v>283</v>
      </c>
      <c r="AH223" s="765" t="s">
        <v>283</v>
      </c>
      <c r="AI223" s="765" t="s">
        <v>283</v>
      </c>
      <c r="AJ223" s="765" t="s">
        <v>283</v>
      </c>
      <c r="AK223" s="765" t="s">
        <v>283</v>
      </c>
      <c r="AL223" s="765" t="s">
        <v>283</v>
      </c>
      <c r="AM223" s="765" t="s">
        <v>283</v>
      </c>
      <c r="AN223" s="765" t="s">
        <v>283</v>
      </c>
      <c r="AO223" s="765" t="s">
        <v>283</v>
      </c>
      <c r="AP223" s="765" t="s">
        <v>283</v>
      </c>
      <c r="AQ223" s="765" t="s">
        <v>283</v>
      </c>
      <c r="AR223" s="765" t="s">
        <v>283</v>
      </c>
      <c r="AS223" s="765" t="s">
        <v>283</v>
      </c>
      <c r="AT223" s="765" t="s">
        <v>283</v>
      </c>
    </row>
    <row r="224" spans="1:46" ht="15">
      <c r="A224" s="765" t="s">
        <v>283</v>
      </c>
      <c r="B224" s="769" t="s">
        <v>283</v>
      </c>
      <c r="C224" s="773" t="s">
        <v>641</v>
      </c>
      <c r="D224" s="779">
        <v>0.8</v>
      </c>
      <c r="E224" s="779">
        <v>0.83</v>
      </c>
      <c r="F224" s="779">
        <v>0.51</v>
      </c>
      <c r="G224" s="779">
        <v>1.29</v>
      </c>
      <c r="H224" s="779">
        <v>0.73</v>
      </c>
      <c r="I224" s="779">
        <v>0.84</v>
      </c>
      <c r="J224" s="779">
        <v>0.28999999999999998</v>
      </c>
      <c r="K224" s="779">
        <v>0.34</v>
      </c>
      <c r="L224" s="771"/>
      <c r="M224" s="773">
        <v>0.84</v>
      </c>
      <c r="N224" s="773">
        <v>0.73</v>
      </c>
      <c r="O224" s="773">
        <v>0.8</v>
      </c>
      <c r="P224" s="773">
        <v>0.51</v>
      </c>
      <c r="Q224" s="773">
        <v>1.29</v>
      </c>
      <c r="R224" s="773"/>
      <c r="S224" s="773"/>
      <c r="T224" s="773"/>
      <c r="U224" s="773"/>
      <c r="V224" s="772" t="s">
        <v>283</v>
      </c>
      <c r="W224" s="765" t="s">
        <v>283</v>
      </c>
      <c r="X224" s="765" t="s">
        <v>283</v>
      </c>
      <c r="Y224" s="765" t="s">
        <v>283</v>
      </c>
      <c r="Z224" s="765" t="s">
        <v>283</v>
      </c>
      <c r="AA224" s="765" t="s">
        <v>283</v>
      </c>
      <c r="AB224" s="765" t="s">
        <v>283</v>
      </c>
      <c r="AC224" s="765" t="s">
        <v>283</v>
      </c>
      <c r="AD224" s="765" t="s">
        <v>283</v>
      </c>
      <c r="AE224" s="765" t="s">
        <v>283</v>
      </c>
      <c r="AF224" s="765" t="s">
        <v>283</v>
      </c>
      <c r="AG224" s="765" t="s">
        <v>283</v>
      </c>
      <c r="AH224" s="765" t="s">
        <v>283</v>
      </c>
      <c r="AI224" s="765" t="s">
        <v>283</v>
      </c>
      <c r="AJ224" s="765" t="s">
        <v>283</v>
      </c>
      <c r="AK224" s="765" t="s">
        <v>283</v>
      </c>
      <c r="AL224" s="765" t="s">
        <v>283</v>
      </c>
      <c r="AM224" s="765" t="s">
        <v>283</v>
      </c>
      <c r="AN224" s="765" t="s">
        <v>283</v>
      </c>
      <c r="AO224" s="765" t="s">
        <v>283</v>
      </c>
      <c r="AP224" s="765" t="s">
        <v>283</v>
      </c>
      <c r="AQ224" s="765" t="s">
        <v>283</v>
      </c>
      <c r="AR224" s="765" t="s">
        <v>283</v>
      </c>
      <c r="AS224" s="765" t="s">
        <v>283</v>
      </c>
      <c r="AT224" s="765" t="s">
        <v>283</v>
      </c>
    </row>
    <row r="225" spans="1:46" ht="15">
      <c r="A225" s="765" t="s">
        <v>283</v>
      </c>
      <c r="B225" s="769" t="s">
        <v>283</v>
      </c>
      <c r="C225" s="773" t="s">
        <v>642</v>
      </c>
      <c r="D225" s="779">
        <v>1.38</v>
      </c>
      <c r="E225" s="779">
        <v>1.56</v>
      </c>
      <c r="F225" s="779">
        <v>1.28</v>
      </c>
      <c r="G225" s="779">
        <v>2.16</v>
      </c>
      <c r="H225" s="779">
        <v>1.32</v>
      </c>
      <c r="I225" s="779">
        <v>1.66</v>
      </c>
      <c r="J225" s="779">
        <v>0.37</v>
      </c>
      <c r="K225" s="779">
        <v>0.23</v>
      </c>
      <c r="L225" s="771"/>
      <c r="M225" s="773">
        <v>1.66</v>
      </c>
      <c r="N225" s="773">
        <v>1.38</v>
      </c>
      <c r="O225" s="773">
        <v>1.28</v>
      </c>
      <c r="P225" s="773">
        <v>1.32</v>
      </c>
      <c r="Q225" s="773">
        <v>2.16</v>
      </c>
      <c r="R225" s="773"/>
      <c r="S225" s="773"/>
      <c r="T225" s="773"/>
      <c r="U225" s="773"/>
      <c r="V225" s="772" t="s">
        <v>283</v>
      </c>
      <c r="W225" s="765" t="s">
        <v>283</v>
      </c>
      <c r="X225" s="765" t="s">
        <v>283</v>
      </c>
      <c r="Y225" s="765" t="s">
        <v>283</v>
      </c>
      <c r="Z225" s="765" t="s">
        <v>283</v>
      </c>
      <c r="AA225" s="765" t="s">
        <v>283</v>
      </c>
      <c r="AB225" s="765" t="s">
        <v>283</v>
      </c>
      <c r="AC225" s="765" t="s">
        <v>283</v>
      </c>
      <c r="AD225" s="765" t="s">
        <v>283</v>
      </c>
      <c r="AE225" s="765" t="s">
        <v>283</v>
      </c>
      <c r="AF225" s="765" t="s">
        <v>283</v>
      </c>
      <c r="AG225" s="765" t="s">
        <v>283</v>
      </c>
      <c r="AH225" s="765" t="s">
        <v>283</v>
      </c>
      <c r="AI225" s="765" t="s">
        <v>283</v>
      </c>
      <c r="AJ225" s="765" t="s">
        <v>283</v>
      </c>
      <c r="AK225" s="765" t="s">
        <v>283</v>
      </c>
      <c r="AL225" s="765" t="s">
        <v>283</v>
      </c>
      <c r="AM225" s="765" t="s">
        <v>283</v>
      </c>
      <c r="AN225" s="765" t="s">
        <v>283</v>
      </c>
      <c r="AO225" s="765" t="s">
        <v>283</v>
      </c>
      <c r="AP225" s="765" t="s">
        <v>283</v>
      </c>
      <c r="AQ225" s="765" t="s">
        <v>283</v>
      </c>
      <c r="AR225" s="765" t="s">
        <v>283</v>
      </c>
      <c r="AS225" s="765" t="s">
        <v>283</v>
      </c>
      <c r="AT225" s="765" t="s">
        <v>283</v>
      </c>
    </row>
    <row r="226" spans="1:46" ht="15">
      <c r="A226" s="765" t="s">
        <v>283</v>
      </c>
      <c r="B226" s="769" t="s">
        <v>283</v>
      </c>
      <c r="C226" s="773" t="s">
        <v>643</v>
      </c>
      <c r="D226" s="779">
        <v>0.24</v>
      </c>
      <c r="E226" s="779">
        <v>0.23</v>
      </c>
      <c r="F226" s="779">
        <v>0.18</v>
      </c>
      <c r="G226" s="779">
        <v>0.26</v>
      </c>
      <c r="H226" s="779">
        <v>0.23</v>
      </c>
      <c r="I226" s="779">
        <v>0.24</v>
      </c>
      <c r="J226" s="779">
        <v>0.03</v>
      </c>
      <c r="K226" s="779">
        <v>0.13</v>
      </c>
      <c r="L226" s="771"/>
      <c r="M226" s="773">
        <v>0.26</v>
      </c>
      <c r="N226" s="773">
        <v>0.24</v>
      </c>
      <c r="O226" s="773">
        <v>0.23</v>
      </c>
      <c r="P226" s="773">
        <v>0.24</v>
      </c>
      <c r="Q226" s="773">
        <v>0.18</v>
      </c>
      <c r="R226" s="773"/>
      <c r="S226" s="773"/>
      <c r="T226" s="773"/>
      <c r="U226" s="773"/>
      <c r="V226" s="772" t="s">
        <v>283</v>
      </c>
      <c r="W226" s="765" t="s">
        <v>283</v>
      </c>
      <c r="X226" s="765" t="s">
        <v>283</v>
      </c>
      <c r="Y226" s="765" t="s">
        <v>283</v>
      </c>
      <c r="Z226" s="765" t="s">
        <v>283</v>
      </c>
      <c r="AA226" s="765" t="s">
        <v>283</v>
      </c>
      <c r="AB226" s="765" t="s">
        <v>283</v>
      </c>
      <c r="AC226" s="765" t="s">
        <v>283</v>
      </c>
      <c r="AD226" s="765" t="s">
        <v>283</v>
      </c>
      <c r="AE226" s="765" t="s">
        <v>283</v>
      </c>
      <c r="AF226" s="765" t="s">
        <v>283</v>
      </c>
      <c r="AG226" s="765" t="s">
        <v>283</v>
      </c>
      <c r="AH226" s="765" t="s">
        <v>283</v>
      </c>
      <c r="AI226" s="765" t="s">
        <v>283</v>
      </c>
      <c r="AJ226" s="765" t="s">
        <v>283</v>
      </c>
      <c r="AK226" s="765" t="s">
        <v>283</v>
      </c>
      <c r="AL226" s="765" t="s">
        <v>283</v>
      </c>
      <c r="AM226" s="765" t="s">
        <v>283</v>
      </c>
      <c r="AN226" s="765" t="s">
        <v>283</v>
      </c>
      <c r="AO226" s="765" t="s">
        <v>283</v>
      </c>
      <c r="AP226" s="765" t="s">
        <v>283</v>
      </c>
      <c r="AQ226" s="765" t="s">
        <v>283</v>
      </c>
      <c r="AR226" s="765" t="s">
        <v>283</v>
      </c>
      <c r="AS226" s="765" t="s">
        <v>283</v>
      </c>
      <c r="AT226" s="765" t="s">
        <v>283</v>
      </c>
    </row>
    <row r="227" spans="1:46" ht="15">
      <c r="A227" s="765" t="s">
        <v>283</v>
      </c>
      <c r="B227" s="769" t="s">
        <v>283</v>
      </c>
      <c r="C227" s="773" t="s">
        <v>644</v>
      </c>
      <c r="D227" s="779">
        <v>2.39</v>
      </c>
      <c r="E227" s="779">
        <v>2.56</v>
      </c>
      <c r="F227" s="779">
        <v>2.2400000000000002</v>
      </c>
      <c r="G227" s="779">
        <v>2.99</v>
      </c>
      <c r="H227" s="779">
        <v>2.2799999999999998</v>
      </c>
      <c r="I227" s="779">
        <v>2.93</v>
      </c>
      <c r="J227" s="779">
        <v>0.36</v>
      </c>
      <c r="K227" s="779">
        <v>0.14000000000000001</v>
      </c>
      <c r="L227" s="771"/>
      <c r="M227" s="773">
        <v>2.93</v>
      </c>
      <c r="N227" s="773">
        <v>2.2799999999999998</v>
      </c>
      <c r="O227" s="773">
        <v>2.2400000000000002</v>
      </c>
      <c r="P227" s="773">
        <v>2.39</v>
      </c>
      <c r="Q227" s="773">
        <v>2.99</v>
      </c>
      <c r="R227" s="773"/>
      <c r="S227" s="773"/>
      <c r="T227" s="773"/>
      <c r="U227" s="773"/>
      <c r="V227" s="772" t="s">
        <v>283</v>
      </c>
      <c r="W227" s="765" t="s">
        <v>283</v>
      </c>
      <c r="X227" s="765" t="s">
        <v>283</v>
      </c>
      <c r="Y227" s="765" t="s">
        <v>283</v>
      </c>
      <c r="Z227" s="765" t="s">
        <v>283</v>
      </c>
      <c r="AA227" s="765" t="s">
        <v>283</v>
      </c>
      <c r="AB227" s="765" t="s">
        <v>283</v>
      </c>
      <c r="AC227" s="765" t="s">
        <v>283</v>
      </c>
      <c r="AD227" s="765" t="s">
        <v>283</v>
      </c>
      <c r="AE227" s="765" t="s">
        <v>283</v>
      </c>
      <c r="AF227" s="765" t="s">
        <v>283</v>
      </c>
      <c r="AG227" s="765" t="s">
        <v>283</v>
      </c>
      <c r="AH227" s="765" t="s">
        <v>283</v>
      </c>
      <c r="AI227" s="765" t="s">
        <v>283</v>
      </c>
      <c r="AJ227" s="765" t="s">
        <v>283</v>
      </c>
      <c r="AK227" s="765" t="s">
        <v>283</v>
      </c>
      <c r="AL227" s="765" t="s">
        <v>283</v>
      </c>
      <c r="AM227" s="765" t="s">
        <v>283</v>
      </c>
      <c r="AN227" s="765" t="s">
        <v>283</v>
      </c>
      <c r="AO227" s="765" t="s">
        <v>283</v>
      </c>
      <c r="AP227" s="765" t="s">
        <v>283</v>
      </c>
      <c r="AQ227" s="765" t="s">
        <v>283</v>
      </c>
      <c r="AR227" s="765" t="s">
        <v>283</v>
      </c>
      <c r="AS227" s="765" t="s">
        <v>283</v>
      </c>
      <c r="AT227" s="765" t="s">
        <v>283</v>
      </c>
    </row>
    <row r="228" spans="1:46" ht="15">
      <c r="A228" s="765" t="s">
        <v>283</v>
      </c>
      <c r="B228" s="769" t="s">
        <v>283</v>
      </c>
      <c r="C228" s="778" t="s">
        <v>421</v>
      </c>
      <c r="D228" s="774" t="s">
        <v>283</v>
      </c>
      <c r="E228" s="774" t="s">
        <v>283</v>
      </c>
      <c r="F228" s="774" t="s">
        <v>283</v>
      </c>
      <c r="G228" s="774" t="s">
        <v>283</v>
      </c>
      <c r="H228" s="774" t="s">
        <v>283</v>
      </c>
      <c r="I228" s="774" t="s">
        <v>283</v>
      </c>
      <c r="J228" s="774" t="s">
        <v>283</v>
      </c>
      <c r="K228" s="774" t="s">
        <v>283</v>
      </c>
      <c r="L228" s="774" t="s">
        <v>283</v>
      </c>
      <c r="M228" s="774" t="s">
        <v>283</v>
      </c>
      <c r="N228" s="774" t="s">
        <v>283</v>
      </c>
      <c r="O228" s="774" t="s">
        <v>283</v>
      </c>
      <c r="P228" s="774" t="s">
        <v>283</v>
      </c>
      <c r="Q228" s="774" t="s">
        <v>283</v>
      </c>
      <c r="R228" s="774" t="s">
        <v>283</v>
      </c>
      <c r="S228" s="774" t="s">
        <v>283</v>
      </c>
      <c r="T228" s="774" t="s">
        <v>283</v>
      </c>
      <c r="U228" s="774" t="s">
        <v>283</v>
      </c>
      <c r="V228" s="772" t="s">
        <v>283</v>
      </c>
      <c r="W228" s="765" t="s">
        <v>283</v>
      </c>
      <c r="X228" s="765" t="s">
        <v>283</v>
      </c>
      <c r="Y228" s="765" t="s">
        <v>283</v>
      </c>
      <c r="Z228" s="765" t="s">
        <v>283</v>
      </c>
      <c r="AA228" s="765" t="s">
        <v>283</v>
      </c>
      <c r="AB228" s="765" t="s">
        <v>283</v>
      </c>
      <c r="AC228" s="765" t="s">
        <v>283</v>
      </c>
      <c r="AD228" s="765" t="s">
        <v>283</v>
      </c>
      <c r="AE228" s="765" t="s">
        <v>283</v>
      </c>
      <c r="AF228" s="765" t="s">
        <v>283</v>
      </c>
      <c r="AG228" s="765" t="s">
        <v>283</v>
      </c>
      <c r="AH228" s="765" t="s">
        <v>283</v>
      </c>
      <c r="AI228" s="765" t="s">
        <v>283</v>
      </c>
      <c r="AJ228" s="765" t="s">
        <v>283</v>
      </c>
      <c r="AK228" s="765" t="s">
        <v>283</v>
      </c>
      <c r="AL228" s="765" t="s">
        <v>283</v>
      </c>
      <c r="AM228" s="765" t="s">
        <v>283</v>
      </c>
      <c r="AN228" s="765" t="s">
        <v>283</v>
      </c>
      <c r="AO228" s="765" t="s">
        <v>283</v>
      </c>
      <c r="AP228" s="765" t="s">
        <v>283</v>
      </c>
      <c r="AQ228" s="765" t="s">
        <v>283</v>
      </c>
      <c r="AR228" s="765" t="s">
        <v>283</v>
      </c>
      <c r="AS228" s="765" t="s">
        <v>283</v>
      </c>
      <c r="AT228" s="765" t="s">
        <v>283</v>
      </c>
    </row>
    <row r="229" spans="1:46" ht="15">
      <c r="A229" s="765" t="s">
        <v>283</v>
      </c>
      <c r="B229" s="769" t="s">
        <v>283</v>
      </c>
      <c r="C229" s="773" t="s">
        <v>422</v>
      </c>
      <c r="D229" s="779" t="s">
        <v>283</v>
      </c>
      <c r="E229" s="779" t="s">
        <v>283</v>
      </c>
      <c r="F229" s="779" t="s">
        <v>283</v>
      </c>
      <c r="G229" s="779" t="s">
        <v>283</v>
      </c>
      <c r="H229" s="779" t="s">
        <v>283</v>
      </c>
      <c r="I229" s="779" t="s">
        <v>283</v>
      </c>
      <c r="J229" s="779" t="s">
        <v>283</v>
      </c>
      <c r="K229" s="779" t="s">
        <v>283</v>
      </c>
      <c r="L229" s="771"/>
      <c r="M229" s="773" t="s">
        <v>423</v>
      </c>
      <c r="N229" s="773" t="s">
        <v>423</v>
      </c>
      <c r="O229" s="773" t="s">
        <v>423</v>
      </c>
      <c r="P229" s="773" t="s">
        <v>423</v>
      </c>
      <c r="Q229" s="773" t="s">
        <v>423</v>
      </c>
      <c r="R229" s="773" t="s">
        <v>423</v>
      </c>
      <c r="S229" s="773" t="s">
        <v>423</v>
      </c>
      <c r="T229" s="773" t="s">
        <v>423</v>
      </c>
      <c r="U229" s="773" t="s">
        <v>423</v>
      </c>
      <c r="V229" s="772" t="s">
        <v>283</v>
      </c>
      <c r="W229" s="765" t="s">
        <v>283</v>
      </c>
      <c r="X229" s="765" t="s">
        <v>283</v>
      </c>
      <c r="Y229" s="765" t="s">
        <v>283</v>
      </c>
      <c r="Z229" s="765" t="s">
        <v>283</v>
      </c>
      <c r="AA229" s="765" t="s">
        <v>283</v>
      </c>
      <c r="AB229" s="765" t="s">
        <v>283</v>
      </c>
      <c r="AC229" s="765" t="s">
        <v>283</v>
      </c>
      <c r="AD229" s="765" t="s">
        <v>283</v>
      </c>
      <c r="AE229" s="765" t="s">
        <v>283</v>
      </c>
      <c r="AF229" s="765" t="s">
        <v>283</v>
      </c>
      <c r="AG229" s="765" t="s">
        <v>283</v>
      </c>
      <c r="AH229" s="765" t="s">
        <v>283</v>
      </c>
      <c r="AI229" s="765" t="s">
        <v>283</v>
      </c>
      <c r="AJ229" s="765" t="s">
        <v>283</v>
      </c>
      <c r="AK229" s="765" t="s">
        <v>283</v>
      </c>
      <c r="AL229" s="765" t="s">
        <v>283</v>
      </c>
      <c r="AM229" s="765" t="s">
        <v>283</v>
      </c>
      <c r="AN229" s="765" t="s">
        <v>283</v>
      </c>
      <c r="AO229" s="765" t="s">
        <v>283</v>
      </c>
      <c r="AP229" s="765" t="s">
        <v>283</v>
      </c>
      <c r="AQ229" s="765" t="s">
        <v>283</v>
      </c>
      <c r="AR229" s="765" t="s">
        <v>283</v>
      </c>
      <c r="AS229" s="765" t="s">
        <v>283</v>
      </c>
      <c r="AT229" s="765" t="s">
        <v>283</v>
      </c>
    </row>
    <row r="230" spans="1:46" ht="15">
      <c r="A230" s="765" t="s">
        <v>283</v>
      </c>
      <c r="B230" s="769" t="s">
        <v>283</v>
      </c>
      <c r="C230" s="773" t="s">
        <v>424</v>
      </c>
      <c r="D230" s="779" t="s">
        <v>283</v>
      </c>
      <c r="E230" s="779" t="s">
        <v>283</v>
      </c>
      <c r="F230" s="779" t="s">
        <v>283</v>
      </c>
      <c r="G230" s="779" t="s">
        <v>283</v>
      </c>
      <c r="H230" s="779" t="s">
        <v>283</v>
      </c>
      <c r="I230" s="779" t="s">
        <v>283</v>
      </c>
      <c r="J230" s="779" t="s">
        <v>283</v>
      </c>
      <c r="K230" s="779" t="s">
        <v>283</v>
      </c>
      <c r="L230" s="771"/>
      <c r="M230" s="773" t="s">
        <v>423</v>
      </c>
      <c r="N230" s="773" t="s">
        <v>423</v>
      </c>
      <c r="O230" s="773" t="s">
        <v>423</v>
      </c>
      <c r="P230" s="773" t="s">
        <v>423</v>
      </c>
      <c r="Q230" s="773" t="s">
        <v>423</v>
      </c>
      <c r="R230" s="773" t="s">
        <v>423</v>
      </c>
      <c r="S230" s="773" t="s">
        <v>423</v>
      </c>
      <c r="T230" s="773" t="s">
        <v>425</v>
      </c>
      <c r="U230" s="773" t="s">
        <v>425</v>
      </c>
      <c r="V230" s="772" t="s">
        <v>283</v>
      </c>
      <c r="W230" s="765" t="s">
        <v>283</v>
      </c>
      <c r="X230" s="765" t="s">
        <v>283</v>
      </c>
      <c r="Y230" s="765" t="s">
        <v>283</v>
      </c>
      <c r="Z230" s="765" t="s">
        <v>283</v>
      </c>
      <c r="AA230" s="765" t="s">
        <v>283</v>
      </c>
      <c r="AB230" s="765" t="s">
        <v>283</v>
      </c>
      <c r="AC230" s="765" t="s">
        <v>283</v>
      </c>
      <c r="AD230" s="765" t="s">
        <v>283</v>
      </c>
      <c r="AE230" s="765" t="s">
        <v>283</v>
      </c>
      <c r="AF230" s="765" t="s">
        <v>283</v>
      </c>
      <c r="AG230" s="765" t="s">
        <v>283</v>
      </c>
      <c r="AH230" s="765" t="s">
        <v>283</v>
      </c>
      <c r="AI230" s="765" t="s">
        <v>283</v>
      </c>
      <c r="AJ230" s="765" t="s">
        <v>283</v>
      </c>
      <c r="AK230" s="765" t="s">
        <v>283</v>
      </c>
      <c r="AL230" s="765" t="s">
        <v>283</v>
      </c>
      <c r="AM230" s="765" t="s">
        <v>283</v>
      </c>
      <c r="AN230" s="765" t="s">
        <v>283</v>
      </c>
      <c r="AO230" s="765" t="s">
        <v>283</v>
      </c>
      <c r="AP230" s="765" t="s">
        <v>283</v>
      </c>
      <c r="AQ230" s="765" t="s">
        <v>283</v>
      </c>
      <c r="AR230" s="765" t="s">
        <v>283</v>
      </c>
      <c r="AS230" s="765" t="s">
        <v>283</v>
      </c>
      <c r="AT230" s="765" t="s">
        <v>283</v>
      </c>
    </row>
    <row r="231" spans="1:46" ht="15">
      <c r="A231" s="765" t="s">
        <v>283</v>
      </c>
      <c r="B231" s="769" t="s">
        <v>283</v>
      </c>
      <c r="C231" s="773" t="s">
        <v>426</v>
      </c>
      <c r="D231" s="779" t="s">
        <v>283</v>
      </c>
      <c r="E231" s="779" t="s">
        <v>283</v>
      </c>
      <c r="F231" s="779" t="s">
        <v>283</v>
      </c>
      <c r="G231" s="779" t="s">
        <v>283</v>
      </c>
      <c r="H231" s="779" t="s">
        <v>283</v>
      </c>
      <c r="I231" s="779" t="s">
        <v>283</v>
      </c>
      <c r="J231" s="779" t="s">
        <v>283</v>
      </c>
      <c r="K231" s="779" t="s">
        <v>283</v>
      </c>
      <c r="L231" s="771"/>
      <c r="M231" s="773" t="s">
        <v>425</v>
      </c>
      <c r="N231" s="773" t="s">
        <v>425</v>
      </c>
      <c r="O231" s="773" t="s">
        <v>425</v>
      </c>
      <c r="P231" s="773" t="s">
        <v>425</v>
      </c>
      <c r="Q231" s="773" t="s">
        <v>425</v>
      </c>
      <c r="R231" s="773" t="s">
        <v>425</v>
      </c>
      <c r="S231" s="773" t="s">
        <v>425</v>
      </c>
      <c r="T231" s="773" t="s">
        <v>423</v>
      </c>
      <c r="U231" s="773" t="s">
        <v>423</v>
      </c>
      <c r="V231" s="772" t="s">
        <v>283</v>
      </c>
      <c r="W231" s="765" t="s">
        <v>283</v>
      </c>
      <c r="X231" s="765" t="s">
        <v>283</v>
      </c>
      <c r="Y231" s="765" t="s">
        <v>283</v>
      </c>
      <c r="Z231" s="765" t="s">
        <v>283</v>
      </c>
      <c r="AA231" s="765" t="s">
        <v>283</v>
      </c>
      <c r="AB231" s="765" t="s">
        <v>283</v>
      </c>
      <c r="AC231" s="765" t="s">
        <v>283</v>
      </c>
      <c r="AD231" s="765" t="s">
        <v>283</v>
      </c>
      <c r="AE231" s="765" t="s">
        <v>283</v>
      </c>
      <c r="AF231" s="765" t="s">
        <v>283</v>
      </c>
      <c r="AG231" s="765" t="s">
        <v>283</v>
      </c>
      <c r="AH231" s="765" t="s">
        <v>283</v>
      </c>
      <c r="AI231" s="765" t="s">
        <v>283</v>
      </c>
      <c r="AJ231" s="765" t="s">
        <v>283</v>
      </c>
      <c r="AK231" s="765" t="s">
        <v>283</v>
      </c>
      <c r="AL231" s="765" t="s">
        <v>283</v>
      </c>
      <c r="AM231" s="765" t="s">
        <v>283</v>
      </c>
      <c r="AN231" s="765" t="s">
        <v>283</v>
      </c>
      <c r="AO231" s="765" t="s">
        <v>283</v>
      </c>
      <c r="AP231" s="765" t="s">
        <v>283</v>
      </c>
      <c r="AQ231" s="765" t="s">
        <v>283</v>
      </c>
      <c r="AR231" s="765" t="s">
        <v>283</v>
      </c>
      <c r="AS231" s="765" t="s">
        <v>283</v>
      </c>
      <c r="AT231" s="765" t="s">
        <v>283</v>
      </c>
    </row>
    <row r="232" spans="1:46" ht="15">
      <c r="A232" s="765" t="s">
        <v>283</v>
      </c>
      <c r="B232" s="769" t="s">
        <v>283</v>
      </c>
      <c r="C232" s="773" t="s">
        <v>427</v>
      </c>
      <c r="D232" s="779" t="s">
        <v>283</v>
      </c>
      <c r="E232" s="779" t="s">
        <v>283</v>
      </c>
      <c r="F232" s="779" t="s">
        <v>283</v>
      </c>
      <c r="G232" s="779" t="s">
        <v>283</v>
      </c>
      <c r="H232" s="779" t="s">
        <v>283</v>
      </c>
      <c r="I232" s="779" t="s">
        <v>283</v>
      </c>
      <c r="J232" s="779" t="s">
        <v>283</v>
      </c>
      <c r="K232" s="779" t="s">
        <v>283</v>
      </c>
      <c r="L232" s="771"/>
      <c r="M232" s="773" t="s">
        <v>423</v>
      </c>
      <c r="N232" s="773" t="s">
        <v>423</v>
      </c>
      <c r="O232" s="773" t="s">
        <v>423</v>
      </c>
      <c r="P232" s="773" t="s">
        <v>423</v>
      </c>
      <c r="Q232" s="773" t="s">
        <v>423</v>
      </c>
      <c r="R232" s="773" t="s">
        <v>423</v>
      </c>
      <c r="S232" s="773" t="s">
        <v>423</v>
      </c>
      <c r="T232" s="773" t="s">
        <v>423</v>
      </c>
      <c r="U232" s="773" t="s">
        <v>423</v>
      </c>
      <c r="V232" s="772" t="s">
        <v>283</v>
      </c>
      <c r="W232" s="765" t="s">
        <v>283</v>
      </c>
      <c r="X232" s="765" t="s">
        <v>283</v>
      </c>
      <c r="Y232" s="765" t="s">
        <v>283</v>
      </c>
      <c r="Z232" s="765" t="s">
        <v>283</v>
      </c>
      <c r="AA232" s="765" t="s">
        <v>283</v>
      </c>
      <c r="AB232" s="765" t="s">
        <v>283</v>
      </c>
      <c r="AC232" s="765" t="s">
        <v>283</v>
      </c>
      <c r="AD232" s="765" t="s">
        <v>283</v>
      </c>
      <c r="AE232" s="765" t="s">
        <v>283</v>
      </c>
      <c r="AF232" s="765" t="s">
        <v>283</v>
      </c>
      <c r="AG232" s="765" t="s">
        <v>283</v>
      </c>
      <c r="AH232" s="765" t="s">
        <v>283</v>
      </c>
      <c r="AI232" s="765" t="s">
        <v>283</v>
      </c>
      <c r="AJ232" s="765" t="s">
        <v>283</v>
      </c>
      <c r="AK232" s="765" t="s">
        <v>283</v>
      </c>
      <c r="AL232" s="765" t="s">
        <v>283</v>
      </c>
      <c r="AM232" s="765" t="s">
        <v>283</v>
      </c>
      <c r="AN232" s="765" t="s">
        <v>283</v>
      </c>
      <c r="AO232" s="765" t="s">
        <v>283</v>
      </c>
      <c r="AP232" s="765" t="s">
        <v>283</v>
      </c>
      <c r="AQ232" s="765" t="s">
        <v>283</v>
      </c>
      <c r="AR232" s="765" t="s">
        <v>283</v>
      </c>
      <c r="AS232" s="765" t="s">
        <v>283</v>
      </c>
      <c r="AT232" s="765" t="s">
        <v>283</v>
      </c>
    </row>
    <row r="233" spans="1:46" ht="15">
      <c r="A233" s="765" t="s">
        <v>283</v>
      </c>
      <c r="B233" s="769" t="s">
        <v>283</v>
      </c>
      <c r="C233" s="771"/>
      <c r="D233" s="771"/>
      <c r="E233" s="771"/>
      <c r="F233" s="771"/>
      <c r="G233" s="771"/>
      <c r="H233" s="771"/>
      <c r="I233" s="771"/>
      <c r="J233" s="771"/>
      <c r="K233" s="771"/>
      <c r="L233" s="771"/>
      <c r="M233" s="771"/>
      <c r="N233" s="771"/>
      <c r="O233" s="771"/>
      <c r="P233" s="771"/>
      <c r="Q233" s="771"/>
      <c r="R233" s="771"/>
      <c r="S233" s="771"/>
      <c r="T233" s="771"/>
      <c r="U233" s="771"/>
      <c r="V233" s="772" t="s">
        <v>283</v>
      </c>
      <c r="W233" s="765" t="s">
        <v>283</v>
      </c>
      <c r="X233" s="765" t="s">
        <v>283</v>
      </c>
      <c r="Y233" s="765" t="s">
        <v>283</v>
      </c>
      <c r="Z233" s="765" t="s">
        <v>283</v>
      </c>
      <c r="AA233" s="765" t="s">
        <v>283</v>
      </c>
      <c r="AB233" s="765" t="s">
        <v>283</v>
      </c>
      <c r="AC233" s="765" t="s">
        <v>283</v>
      </c>
      <c r="AD233" s="765" t="s">
        <v>283</v>
      </c>
      <c r="AE233" s="765" t="s">
        <v>283</v>
      </c>
      <c r="AF233" s="765" t="s">
        <v>283</v>
      </c>
      <c r="AG233" s="765" t="s">
        <v>283</v>
      </c>
      <c r="AH233" s="765" t="s">
        <v>283</v>
      </c>
      <c r="AI233" s="765" t="s">
        <v>283</v>
      </c>
      <c r="AJ233" s="765" t="s">
        <v>283</v>
      </c>
      <c r="AK233" s="765" t="s">
        <v>283</v>
      </c>
      <c r="AL233" s="765" t="s">
        <v>283</v>
      </c>
      <c r="AM233" s="765" t="s">
        <v>283</v>
      </c>
      <c r="AN233" s="765" t="s">
        <v>283</v>
      </c>
      <c r="AO233" s="765" t="s">
        <v>283</v>
      </c>
      <c r="AP233" s="765" t="s">
        <v>283</v>
      </c>
      <c r="AQ233" s="765" t="s">
        <v>283</v>
      </c>
      <c r="AR233" s="765" t="s">
        <v>283</v>
      </c>
      <c r="AS233" s="765" t="s">
        <v>283</v>
      </c>
      <c r="AT233" s="765" t="s">
        <v>283</v>
      </c>
    </row>
    <row r="234" spans="1:46" ht="15">
      <c r="A234" s="765" t="s">
        <v>283</v>
      </c>
      <c r="B234" s="769" t="s">
        <v>283</v>
      </c>
      <c r="C234" s="771"/>
      <c r="D234" s="771"/>
      <c r="E234" s="771"/>
      <c r="F234" s="771"/>
      <c r="G234" s="771"/>
      <c r="H234" s="771"/>
      <c r="I234" s="771"/>
      <c r="J234" s="771"/>
      <c r="K234" s="771"/>
      <c r="L234" s="771"/>
      <c r="M234" s="771"/>
      <c r="N234" s="771"/>
      <c r="O234" s="771"/>
      <c r="P234" s="771"/>
      <c r="Q234" s="771"/>
      <c r="R234" s="771"/>
      <c r="S234" s="771"/>
      <c r="T234" s="771"/>
      <c r="U234" s="771"/>
      <c r="V234" s="772" t="s">
        <v>283</v>
      </c>
      <c r="W234" s="765" t="s">
        <v>283</v>
      </c>
      <c r="X234" s="765" t="s">
        <v>283</v>
      </c>
      <c r="Y234" s="765" t="s">
        <v>283</v>
      </c>
      <c r="Z234" s="765" t="s">
        <v>283</v>
      </c>
      <c r="AA234" s="765" t="s">
        <v>283</v>
      </c>
      <c r="AB234" s="765" t="s">
        <v>283</v>
      </c>
      <c r="AC234" s="765" t="s">
        <v>283</v>
      </c>
      <c r="AD234" s="765" t="s">
        <v>283</v>
      </c>
      <c r="AE234" s="765" t="s">
        <v>283</v>
      </c>
      <c r="AF234" s="765" t="s">
        <v>283</v>
      </c>
      <c r="AG234" s="765" t="s">
        <v>283</v>
      </c>
      <c r="AH234" s="765" t="s">
        <v>283</v>
      </c>
      <c r="AI234" s="765" t="s">
        <v>283</v>
      </c>
      <c r="AJ234" s="765" t="s">
        <v>283</v>
      </c>
      <c r="AK234" s="765" t="s">
        <v>283</v>
      </c>
      <c r="AL234" s="765" t="s">
        <v>283</v>
      </c>
      <c r="AM234" s="765" t="s">
        <v>283</v>
      </c>
      <c r="AN234" s="765" t="s">
        <v>283</v>
      </c>
      <c r="AO234" s="765" t="s">
        <v>283</v>
      </c>
      <c r="AP234" s="765" t="s">
        <v>283</v>
      </c>
      <c r="AQ234" s="765" t="s">
        <v>283</v>
      </c>
      <c r="AR234" s="765" t="s">
        <v>283</v>
      </c>
      <c r="AS234" s="765" t="s">
        <v>283</v>
      </c>
      <c r="AT234" s="765" t="s">
        <v>283</v>
      </c>
    </row>
    <row r="235" spans="1:46" ht="15">
      <c r="A235" s="765" t="s">
        <v>283</v>
      </c>
      <c r="B235" s="769" t="s">
        <v>283</v>
      </c>
      <c r="C235" s="773" t="s">
        <v>428</v>
      </c>
      <c r="D235" s="771"/>
      <c r="E235" s="771"/>
      <c r="F235" s="771"/>
      <c r="G235" s="771"/>
      <c r="H235" s="771"/>
      <c r="I235" s="771"/>
      <c r="J235" s="771"/>
      <c r="K235" s="771"/>
      <c r="L235" s="771"/>
      <c r="M235" s="771"/>
      <c r="N235" s="771"/>
      <c r="O235" s="771"/>
      <c r="P235" s="771"/>
      <c r="Q235" s="771"/>
      <c r="R235" s="771"/>
      <c r="S235" s="771"/>
      <c r="T235" s="771"/>
      <c r="U235" s="771"/>
      <c r="V235" s="772" t="s">
        <v>283</v>
      </c>
      <c r="W235" s="765" t="s">
        <v>283</v>
      </c>
      <c r="X235" s="765" t="s">
        <v>283</v>
      </c>
      <c r="Y235" s="765" t="s">
        <v>283</v>
      </c>
      <c r="Z235" s="765" t="s">
        <v>283</v>
      </c>
      <c r="AA235" s="765" t="s">
        <v>283</v>
      </c>
      <c r="AB235" s="765" t="s">
        <v>283</v>
      </c>
      <c r="AC235" s="765" t="s">
        <v>283</v>
      </c>
      <c r="AD235" s="765" t="s">
        <v>283</v>
      </c>
      <c r="AE235" s="765" t="s">
        <v>283</v>
      </c>
      <c r="AF235" s="765" t="s">
        <v>283</v>
      </c>
      <c r="AG235" s="765" t="s">
        <v>283</v>
      </c>
      <c r="AH235" s="765" t="s">
        <v>283</v>
      </c>
      <c r="AI235" s="765" t="s">
        <v>283</v>
      </c>
      <c r="AJ235" s="765" t="s">
        <v>283</v>
      </c>
      <c r="AK235" s="765" t="s">
        <v>283</v>
      </c>
      <c r="AL235" s="765" t="s">
        <v>283</v>
      </c>
      <c r="AM235" s="765" t="s">
        <v>283</v>
      </c>
      <c r="AN235" s="765" t="s">
        <v>283</v>
      </c>
      <c r="AO235" s="765" t="s">
        <v>283</v>
      </c>
      <c r="AP235" s="765" t="s">
        <v>283</v>
      </c>
      <c r="AQ235" s="765" t="s">
        <v>283</v>
      </c>
      <c r="AR235" s="765" t="s">
        <v>283</v>
      </c>
      <c r="AS235" s="765" t="s">
        <v>283</v>
      </c>
      <c r="AT235" s="765" t="s">
        <v>283</v>
      </c>
    </row>
    <row r="236" spans="1:46" ht="15">
      <c r="A236" s="765" t="s">
        <v>283</v>
      </c>
      <c r="B236" s="769" t="s">
        <v>283</v>
      </c>
      <c r="C236" s="771"/>
      <c r="D236" s="771"/>
      <c r="E236" s="771"/>
      <c r="F236" s="771"/>
      <c r="G236" s="771"/>
      <c r="H236" s="771"/>
      <c r="I236" s="771"/>
      <c r="J236" s="771"/>
      <c r="K236" s="771"/>
      <c r="L236" s="771"/>
      <c r="M236" s="771"/>
      <c r="N236" s="771"/>
      <c r="O236" s="771"/>
      <c r="P236" s="771"/>
      <c r="Q236" s="771"/>
      <c r="R236" s="771"/>
      <c r="S236" s="771"/>
      <c r="T236" s="771"/>
      <c r="U236" s="771"/>
      <c r="V236" s="772" t="s">
        <v>283</v>
      </c>
      <c r="W236" s="765" t="s">
        <v>283</v>
      </c>
      <c r="X236" s="765" t="s">
        <v>283</v>
      </c>
      <c r="Y236" s="765" t="s">
        <v>283</v>
      </c>
      <c r="Z236" s="765" t="s">
        <v>283</v>
      </c>
      <c r="AA236" s="765" t="s">
        <v>283</v>
      </c>
      <c r="AB236" s="765" t="s">
        <v>283</v>
      </c>
      <c r="AC236" s="765" t="s">
        <v>283</v>
      </c>
      <c r="AD236" s="765" t="s">
        <v>283</v>
      </c>
      <c r="AE236" s="765" t="s">
        <v>283</v>
      </c>
      <c r="AF236" s="765" t="s">
        <v>283</v>
      </c>
      <c r="AG236" s="765" t="s">
        <v>283</v>
      </c>
      <c r="AH236" s="765" t="s">
        <v>283</v>
      </c>
      <c r="AI236" s="765" t="s">
        <v>283</v>
      </c>
      <c r="AJ236" s="765" t="s">
        <v>283</v>
      </c>
      <c r="AK236" s="765" t="s">
        <v>283</v>
      </c>
      <c r="AL236" s="765" t="s">
        <v>283</v>
      </c>
      <c r="AM236" s="765" t="s">
        <v>283</v>
      </c>
      <c r="AN236" s="765" t="s">
        <v>283</v>
      </c>
      <c r="AO236" s="765" t="s">
        <v>283</v>
      </c>
      <c r="AP236" s="765" t="s">
        <v>283</v>
      </c>
      <c r="AQ236" s="765" t="s">
        <v>283</v>
      </c>
      <c r="AR236" s="765" t="s">
        <v>283</v>
      </c>
      <c r="AS236" s="765" t="s">
        <v>283</v>
      </c>
      <c r="AT236" s="765" t="s">
        <v>283</v>
      </c>
    </row>
    <row r="237" spans="1:46" ht="15">
      <c r="A237" s="765" t="s">
        <v>283</v>
      </c>
      <c r="B237" s="795" t="s">
        <v>283</v>
      </c>
      <c r="C237" s="796" t="s">
        <v>283</v>
      </c>
      <c r="D237" s="796" t="s">
        <v>283</v>
      </c>
      <c r="E237" s="796" t="s">
        <v>283</v>
      </c>
      <c r="F237" s="796" t="s">
        <v>283</v>
      </c>
      <c r="G237" s="796" t="s">
        <v>283</v>
      </c>
      <c r="H237" s="796" t="s">
        <v>283</v>
      </c>
      <c r="I237" s="796" t="s">
        <v>283</v>
      </c>
      <c r="J237" s="796" t="s">
        <v>283</v>
      </c>
      <c r="K237" s="796" t="s">
        <v>283</v>
      </c>
      <c r="L237" s="796" t="s">
        <v>283</v>
      </c>
      <c r="M237" s="796" t="s">
        <v>283</v>
      </c>
      <c r="N237" s="796" t="s">
        <v>283</v>
      </c>
      <c r="O237" s="796" t="s">
        <v>283</v>
      </c>
      <c r="P237" s="796" t="s">
        <v>283</v>
      </c>
      <c r="Q237" s="796" t="s">
        <v>283</v>
      </c>
      <c r="R237" s="796" t="s">
        <v>283</v>
      </c>
      <c r="S237" s="796" t="s">
        <v>283</v>
      </c>
      <c r="T237" s="796" t="s">
        <v>283</v>
      </c>
      <c r="U237" s="796" t="s">
        <v>283</v>
      </c>
      <c r="V237" s="797" t="s">
        <v>283</v>
      </c>
      <c r="W237" s="765" t="s">
        <v>283</v>
      </c>
      <c r="X237" s="765" t="s">
        <v>283</v>
      </c>
      <c r="Y237" s="765" t="s">
        <v>283</v>
      </c>
      <c r="Z237" s="765" t="s">
        <v>283</v>
      </c>
      <c r="AA237" s="765" t="s">
        <v>283</v>
      </c>
      <c r="AB237" s="765" t="s">
        <v>283</v>
      </c>
      <c r="AC237" s="765" t="s">
        <v>283</v>
      </c>
      <c r="AD237" s="765" t="s">
        <v>283</v>
      </c>
      <c r="AE237" s="765" t="s">
        <v>283</v>
      </c>
      <c r="AF237" s="765" t="s">
        <v>283</v>
      </c>
      <c r="AG237" s="765" t="s">
        <v>283</v>
      </c>
      <c r="AH237" s="765" t="s">
        <v>283</v>
      </c>
      <c r="AI237" s="765" t="s">
        <v>283</v>
      </c>
      <c r="AJ237" s="765" t="s">
        <v>283</v>
      </c>
      <c r="AK237" s="765" t="s">
        <v>283</v>
      </c>
      <c r="AL237" s="765" t="s">
        <v>283</v>
      </c>
      <c r="AM237" s="765" t="s">
        <v>283</v>
      </c>
      <c r="AN237" s="765" t="s">
        <v>283</v>
      </c>
      <c r="AO237" s="765" t="s">
        <v>283</v>
      </c>
      <c r="AP237" s="765" t="s">
        <v>283</v>
      </c>
      <c r="AQ237" s="765" t="s">
        <v>283</v>
      </c>
      <c r="AR237" s="765" t="s">
        <v>283</v>
      </c>
      <c r="AS237" s="765" t="s">
        <v>283</v>
      </c>
      <c r="AT237" s="765" t="s">
        <v>283</v>
      </c>
    </row>
    <row r="238" spans="1:46" ht="15">
      <c r="A238" s="765" t="s">
        <v>283</v>
      </c>
      <c r="B238" s="765" t="s">
        <v>283</v>
      </c>
      <c r="C238" s="765" t="s">
        <v>283</v>
      </c>
      <c r="D238" s="765" t="s">
        <v>283</v>
      </c>
      <c r="E238" s="765" t="s">
        <v>283</v>
      </c>
      <c r="F238" s="765" t="s">
        <v>283</v>
      </c>
      <c r="G238" s="765" t="s">
        <v>283</v>
      </c>
      <c r="H238" s="765" t="s">
        <v>283</v>
      </c>
      <c r="I238" s="765" t="s">
        <v>283</v>
      </c>
      <c r="J238" s="765" t="s">
        <v>283</v>
      </c>
      <c r="K238" s="765" t="s">
        <v>283</v>
      </c>
      <c r="L238" s="765" t="s">
        <v>283</v>
      </c>
      <c r="M238" s="765" t="s">
        <v>283</v>
      </c>
      <c r="N238" s="765" t="s">
        <v>283</v>
      </c>
      <c r="O238" s="765" t="s">
        <v>283</v>
      </c>
      <c r="P238" s="765" t="s">
        <v>283</v>
      </c>
      <c r="Q238" s="765" t="s">
        <v>283</v>
      </c>
      <c r="R238" s="765" t="s">
        <v>283</v>
      </c>
      <c r="S238" s="765" t="s">
        <v>283</v>
      </c>
      <c r="T238" s="765" t="s">
        <v>283</v>
      </c>
      <c r="U238" s="765" t="s">
        <v>283</v>
      </c>
      <c r="V238" s="765" t="s">
        <v>283</v>
      </c>
      <c r="W238" s="765" t="s">
        <v>283</v>
      </c>
      <c r="X238" s="765" t="s">
        <v>283</v>
      </c>
      <c r="Y238" s="765" t="s">
        <v>283</v>
      </c>
      <c r="Z238" s="765" t="s">
        <v>283</v>
      </c>
      <c r="AA238" s="765" t="s">
        <v>283</v>
      </c>
      <c r="AB238" s="765" t="s">
        <v>283</v>
      </c>
      <c r="AC238" s="765" t="s">
        <v>283</v>
      </c>
      <c r="AD238" s="765" t="s">
        <v>283</v>
      </c>
      <c r="AE238" s="765" t="s">
        <v>283</v>
      </c>
      <c r="AF238" s="765" t="s">
        <v>283</v>
      </c>
      <c r="AG238" s="765" t="s">
        <v>283</v>
      </c>
      <c r="AH238" s="765" t="s">
        <v>283</v>
      </c>
      <c r="AI238" s="765" t="s">
        <v>283</v>
      </c>
      <c r="AJ238" s="765" t="s">
        <v>283</v>
      </c>
      <c r="AK238" s="765" t="s">
        <v>283</v>
      </c>
      <c r="AL238" s="765" t="s">
        <v>283</v>
      </c>
      <c r="AM238" s="765" t="s">
        <v>283</v>
      </c>
      <c r="AN238" s="765" t="s">
        <v>283</v>
      </c>
      <c r="AO238" s="765" t="s">
        <v>283</v>
      </c>
      <c r="AP238" s="765" t="s">
        <v>283</v>
      </c>
      <c r="AQ238" s="765" t="s">
        <v>283</v>
      </c>
      <c r="AR238" s="765" t="s">
        <v>283</v>
      </c>
      <c r="AS238" s="765" t="s">
        <v>283</v>
      </c>
      <c r="AT238" s="765" t="s">
        <v>283</v>
      </c>
    </row>
  </sheetData>
  <mergeCells count="1">
    <mergeCell ref="D4:E4"/>
  </mergeCells>
  <hyperlinks>
    <hyperlink ref="T7" r:id="rId1" xr:uid="{4B34F96F-A20D-410A-890F-01502BC21ACF}"/>
    <hyperlink ref="U7" r:id="rId2" xr:uid="{CA2C3735-909A-462C-A6E1-A5823EB6C8D5}"/>
    <hyperlink ref="M8" r:id="rId3" xr:uid="{07AA30B1-173D-4D6F-9CFE-163B3B1FBDC1}"/>
    <hyperlink ref="N8" r:id="rId4" xr:uid="{BFD9E00D-6762-42A8-BE81-04CDD3086925}"/>
    <hyperlink ref="O8" r:id="rId5" xr:uid="{F4B9EA60-7C23-4DD7-A1F3-8AB55DABBCA5}"/>
    <hyperlink ref="P8" r:id="rId6" xr:uid="{FD9847FA-33E3-4DC0-8FBD-C8B5DBFBD801}"/>
    <hyperlink ref="Q8" r:id="rId7" xr:uid="{6EF1252B-D248-4DD4-ACA0-927437798318}"/>
    <hyperlink ref="R8" r:id="rId8" xr:uid="{D8F86784-6698-46AD-8D40-8918DAA3C97E}"/>
    <hyperlink ref="S8" r:id="rId9" xr:uid="{31B9E21A-F00A-4B8A-9710-4ADE3034F4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493A4-FD99-46FD-8C9A-92D11C68524E}">
  <dimension ref="A1:AT142"/>
  <sheetViews>
    <sheetView topLeftCell="B52" workbookViewId="0">
      <selection activeCell="Q65" sqref="Q65"/>
    </sheetView>
  </sheetViews>
  <sheetFormatPr defaultRowHeight="11.25"/>
  <cols>
    <col min="3" max="3" width="104.6640625" bestFit="1" customWidth="1"/>
  </cols>
  <sheetData>
    <row r="1" spans="1:46" ht="15">
      <c r="A1" s="765" t="s">
        <v>283</v>
      </c>
      <c r="B1" s="765" t="s">
        <v>283</v>
      </c>
      <c r="C1" s="765" t="s">
        <v>283</v>
      </c>
      <c r="D1" s="765" t="s">
        <v>283</v>
      </c>
      <c r="E1" s="765" t="s">
        <v>283</v>
      </c>
      <c r="F1" s="765" t="s">
        <v>283</v>
      </c>
      <c r="G1" s="765" t="s">
        <v>283</v>
      </c>
      <c r="H1" s="765" t="s">
        <v>283</v>
      </c>
      <c r="I1" s="765" t="s">
        <v>283</v>
      </c>
      <c r="J1" s="765" t="s">
        <v>283</v>
      </c>
      <c r="K1" s="765" t="s">
        <v>283</v>
      </c>
      <c r="L1" s="765" t="s">
        <v>283</v>
      </c>
      <c r="M1" s="765" t="s">
        <v>283</v>
      </c>
      <c r="N1" s="765" t="s">
        <v>283</v>
      </c>
      <c r="O1" s="765" t="s">
        <v>283</v>
      </c>
      <c r="P1" s="765" t="s">
        <v>283</v>
      </c>
      <c r="Q1" s="765" t="s">
        <v>283</v>
      </c>
      <c r="R1" s="765" t="s">
        <v>283</v>
      </c>
      <c r="S1" s="765" t="s">
        <v>283</v>
      </c>
      <c r="T1" s="765" t="s">
        <v>283</v>
      </c>
      <c r="U1" s="765" t="s">
        <v>283</v>
      </c>
      <c r="V1" s="765" t="s">
        <v>283</v>
      </c>
      <c r="W1" s="765" t="s">
        <v>283</v>
      </c>
      <c r="X1" s="765" t="s">
        <v>283</v>
      </c>
      <c r="Y1" s="765" t="s">
        <v>283</v>
      </c>
      <c r="Z1" s="765" t="s">
        <v>283</v>
      </c>
      <c r="AA1" s="765" t="s">
        <v>283</v>
      </c>
      <c r="AB1" s="765" t="s">
        <v>283</v>
      </c>
      <c r="AC1" s="765" t="s">
        <v>283</v>
      </c>
      <c r="AD1" s="765" t="s">
        <v>283</v>
      </c>
      <c r="AE1" s="765" t="s">
        <v>283</v>
      </c>
      <c r="AF1" s="765" t="s">
        <v>283</v>
      </c>
      <c r="AG1" s="765" t="s">
        <v>283</v>
      </c>
      <c r="AH1" s="765" t="s">
        <v>283</v>
      </c>
      <c r="AI1" s="765" t="s">
        <v>283</v>
      </c>
      <c r="AJ1" s="765" t="s">
        <v>283</v>
      </c>
      <c r="AK1" s="765" t="s">
        <v>283</v>
      </c>
      <c r="AL1" s="765" t="s">
        <v>283</v>
      </c>
      <c r="AM1" s="765" t="s">
        <v>283</v>
      </c>
      <c r="AN1" s="765" t="s">
        <v>283</v>
      </c>
      <c r="AO1" s="765" t="s">
        <v>283</v>
      </c>
      <c r="AP1" s="765" t="s">
        <v>283</v>
      </c>
      <c r="AQ1" s="765" t="s">
        <v>283</v>
      </c>
      <c r="AR1" s="765" t="s">
        <v>283</v>
      </c>
      <c r="AS1" s="765" t="s">
        <v>283</v>
      </c>
      <c r="AT1" s="765" t="s">
        <v>283</v>
      </c>
    </row>
    <row r="2" spans="1:46" ht="15">
      <c r="A2" s="765" t="s">
        <v>283</v>
      </c>
      <c r="B2" s="766" t="s">
        <v>283</v>
      </c>
      <c r="C2" s="767" t="s">
        <v>283</v>
      </c>
      <c r="D2" s="767" t="s">
        <v>283</v>
      </c>
      <c r="E2" s="767" t="s">
        <v>283</v>
      </c>
      <c r="F2" s="767" t="s">
        <v>283</v>
      </c>
      <c r="G2" s="767" t="s">
        <v>283</v>
      </c>
      <c r="H2" s="767" t="s">
        <v>283</v>
      </c>
      <c r="I2" s="767" t="s">
        <v>283</v>
      </c>
      <c r="J2" s="767" t="s">
        <v>283</v>
      </c>
      <c r="K2" s="767" t="s">
        <v>283</v>
      </c>
      <c r="L2" s="767" t="s">
        <v>283</v>
      </c>
      <c r="M2" s="767" t="s">
        <v>283</v>
      </c>
      <c r="N2" s="767" t="s">
        <v>283</v>
      </c>
      <c r="O2" s="767" t="s">
        <v>283</v>
      </c>
      <c r="P2" s="767" t="s">
        <v>283</v>
      </c>
      <c r="Q2" s="767" t="s">
        <v>283</v>
      </c>
      <c r="R2" s="767" t="s">
        <v>283</v>
      </c>
      <c r="S2" s="767" t="s">
        <v>283</v>
      </c>
      <c r="T2" s="767" t="s">
        <v>283</v>
      </c>
      <c r="U2" s="767" t="s">
        <v>283</v>
      </c>
      <c r="V2" s="768" t="s">
        <v>283</v>
      </c>
      <c r="W2" s="765" t="s">
        <v>283</v>
      </c>
      <c r="X2" s="765" t="s">
        <v>283</v>
      </c>
      <c r="Y2" s="765" t="s">
        <v>283</v>
      </c>
      <c r="Z2" s="765" t="s">
        <v>283</v>
      </c>
      <c r="AA2" s="765" t="s">
        <v>283</v>
      </c>
      <c r="AB2" s="765" t="s">
        <v>283</v>
      </c>
      <c r="AC2" s="765" t="s">
        <v>283</v>
      </c>
      <c r="AD2" s="765" t="s">
        <v>283</v>
      </c>
      <c r="AE2" s="765" t="s">
        <v>283</v>
      </c>
      <c r="AF2" s="765" t="s">
        <v>283</v>
      </c>
      <c r="AG2" s="765" t="s">
        <v>283</v>
      </c>
      <c r="AH2" s="765" t="s">
        <v>283</v>
      </c>
      <c r="AI2" s="765" t="s">
        <v>283</v>
      </c>
      <c r="AJ2" s="765" t="s">
        <v>283</v>
      </c>
      <c r="AK2" s="765" t="s">
        <v>283</v>
      </c>
      <c r="AL2" s="765" t="s">
        <v>283</v>
      </c>
      <c r="AM2" s="765" t="s">
        <v>283</v>
      </c>
      <c r="AN2" s="765" t="s">
        <v>283</v>
      </c>
      <c r="AO2" s="765" t="s">
        <v>283</v>
      </c>
      <c r="AP2" s="765" t="s">
        <v>283</v>
      </c>
      <c r="AQ2" s="765" t="s">
        <v>283</v>
      </c>
      <c r="AR2" s="765" t="s">
        <v>283</v>
      </c>
      <c r="AS2" s="765" t="s">
        <v>283</v>
      </c>
      <c r="AT2" s="765" t="s">
        <v>283</v>
      </c>
    </row>
    <row r="3" spans="1:46" ht="21">
      <c r="A3" s="765" t="s">
        <v>283</v>
      </c>
      <c r="B3" s="769" t="s">
        <v>283</v>
      </c>
      <c r="C3" s="770" t="s">
        <v>645</v>
      </c>
      <c r="D3" s="771"/>
      <c r="E3" s="771"/>
      <c r="F3" s="771"/>
      <c r="G3" s="771"/>
      <c r="H3" s="771"/>
      <c r="I3" s="771"/>
      <c r="J3" s="771"/>
      <c r="K3" s="771"/>
      <c r="L3" s="771"/>
      <c r="M3" s="771"/>
      <c r="N3" s="771"/>
      <c r="O3" s="771"/>
      <c r="P3" s="771"/>
      <c r="Q3" s="771"/>
      <c r="R3" s="771"/>
      <c r="S3" s="771"/>
      <c r="T3" s="771"/>
      <c r="U3" s="771"/>
      <c r="V3" s="772" t="s">
        <v>283</v>
      </c>
      <c r="W3" s="765" t="s">
        <v>283</v>
      </c>
      <c r="X3" s="765" t="s">
        <v>283</v>
      </c>
      <c r="Y3" s="765" t="s">
        <v>283</v>
      </c>
      <c r="Z3" s="765" t="s">
        <v>283</v>
      </c>
      <c r="AA3" s="765" t="s">
        <v>283</v>
      </c>
      <c r="AB3" s="765" t="s">
        <v>283</v>
      </c>
      <c r="AC3" s="765" t="s">
        <v>283</v>
      </c>
      <c r="AD3" s="765" t="s">
        <v>283</v>
      </c>
      <c r="AE3" s="765" t="s">
        <v>283</v>
      </c>
      <c r="AF3" s="765" t="s">
        <v>283</v>
      </c>
      <c r="AG3" s="765" t="s">
        <v>283</v>
      </c>
      <c r="AH3" s="765" t="s">
        <v>283</v>
      </c>
      <c r="AI3" s="765" t="s">
        <v>283</v>
      </c>
      <c r="AJ3" s="765" t="s">
        <v>283</v>
      </c>
      <c r="AK3" s="765" t="s">
        <v>283</v>
      </c>
      <c r="AL3" s="765" t="s">
        <v>283</v>
      </c>
      <c r="AM3" s="765" t="s">
        <v>283</v>
      </c>
      <c r="AN3" s="765" t="s">
        <v>283</v>
      </c>
      <c r="AO3" s="765" t="s">
        <v>283</v>
      </c>
      <c r="AP3" s="765" t="s">
        <v>283</v>
      </c>
      <c r="AQ3" s="765" t="s">
        <v>283</v>
      </c>
      <c r="AR3" s="765" t="s">
        <v>283</v>
      </c>
      <c r="AS3" s="765" t="s">
        <v>283</v>
      </c>
      <c r="AT3" s="765" t="s">
        <v>283</v>
      </c>
    </row>
    <row r="4" spans="1:46" ht="11.25" customHeight="1">
      <c r="A4" s="765" t="s">
        <v>283</v>
      </c>
      <c r="B4" s="769" t="s">
        <v>283</v>
      </c>
      <c r="C4" s="773" t="s">
        <v>285</v>
      </c>
      <c r="D4" s="932" t="s">
        <v>286</v>
      </c>
      <c r="E4" s="932"/>
      <c r="F4" s="774" t="s">
        <v>283</v>
      </c>
      <c r="G4" s="774" t="s">
        <v>283</v>
      </c>
      <c r="H4" s="774" t="s">
        <v>283</v>
      </c>
      <c r="I4" s="774" t="s">
        <v>283</v>
      </c>
      <c r="J4" s="774" t="s">
        <v>283</v>
      </c>
      <c r="K4" s="774" t="s">
        <v>283</v>
      </c>
      <c r="L4" s="771"/>
      <c r="M4" s="771"/>
      <c r="N4" s="771"/>
      <c r="O4" s="771"/>
      <c r="P4" s="771"/>
      <c r="Q4" s="771"/>
      <c r="R4" s="771"/>
      <c r="S4" s="771"/>
      <c r="T4" s="771"/>
      <c r="U4" s="771"/>
      <c r="V4" s="772" t="s">
        <v>283</v>
      </c>
      <c r="W4" s="765" t="s">
        <v>283</v>
      </c>
      <c r="X4" s="765" t="s">
        <v>283</v>
      </c>
      <c r="Y4" s="765" t="s">
        <v>283</v>
      </c>
      <c r="Z4" s="765" t="s">
        <v>283</v>
      </c>
      <c r="AA4" s="765" t="s">
        <v>283</v>
      </c>
      <c r="AB4" s="765" t="s">
        <v>283</v>
      </c>
      <c r="AC4" s="765" t="s">
        <v>283</v>
      </c>
      <c r="AD4" s="765" t="s">
        <v>283</v>
      </c>
      <c r="AE4" s="765" t="s">
        <v>283</v>
      </c>
      <c r="AF4" s="765" t="s">
        <v>283</v>
      </c>
      <c r="AG4" s="765" t="s">
        <v>283</v>
      </c>
      <c r="AH4" s="765" t="s">
        <v>283</v>
      </c>
      <c r="AI4" s="765" t="s">
        <v>283</v>
      </c>
      <c r="AJ4" s="765" t="s">
        <v>283</v>
      </c>
      <c r="AK4" s="765" t="s">
        <v>283</v>
      </c>
      <c r="AL4" s="765" t="s">
        <v>283</v>
      </c>
      <c r="AM4" s="765" t="s">
        <v>283</v>
      </c>
      <c r="AN4" s="765" t="s">
        <v>283</v>
      </c>
      <c r="AO4" s="765" t="s">
        <v>283</v>
      </c>
      <c r="AP4" s="765" t="s">
        <v>283</v>
      </c>
      <c r="AQ4" s="765" t="s">
        <v>283</v>
      </c>
      <c r="AR4" s="765" t="s">
        <v>283</v>
      </c>
      <c r="AS4" s="765" t="s">
        <v>283</v>
      </c>
      <c r="AT4" s="765" t="s">
        <v>283</v>
      </c>
    </row>
    <row r="5" spans="1:46" ht="59.25">
      <c r="A5" s="765" t="s">
        <v>283</v>
      </c>
      <c r="B5" s="769" t="s">
        <v>283</v>
      </c>
      <c r="C5" s="773" t="s">
        <v>287</v>
      </c>
      <c r="D5" s="775" t="s">
        <v>288</v>
      </c>
      <c r="E5" s="775" t="s">
        <v>289</v>
      </c>
      <c r="F5" s="775" t="s">
        <v>290</v>
      </c>
      <c r="G5" s="775" t="s">
        <v>291</v>
      </c>
      <c r="H5" s="775" t="s">
        <v>292</v>
      </c>
      <c r="I5" s="775" t="s">
        <v>293</v>
      </c>
      <c r="J5" s="775" t="s">
        <v>294</v>
      </c>
      <c r="K5" s="775" t="s">
        <v>295</v>
      </c>
      <c r="L5" s="771"/>
      <c r="M5" s="776" t="s">
        <v>296</v>
      </c>
      <c r="N5" s="776" t="s">
        <v>297</v>
      </c>
      <c r="O5" s="776" t="s">
        <v>298</v>
      </c>
      <c r="P5" s="776" t="s">
        <v>299</v>
      </c>
      <c r="Q5" s="776" t="s">
        <v>300</v>
      </c>
      <c r="R5" s="776" t="s">
        <v>301</v>
      </c>
      <c r="S5" s="776" t="s">
        <v>302</v>
      </c>
      <c r="T5" s="776" t="s">
        <v>303</v>
      </c>
      <c r="U5" s="776" t="s">
        <v>304</v>
      </c>
      <c r="V5" s="772" t="s">
        <v>283</v>
      </c>
      <c r="W5" s="765" t="s">
        <v>283</v>
      </c>
      <c r="X5" s="765" t="s">
        <v>283</v>
      </c>
      <c r="Y5" s="765" t="s">
        <v>283</v>
      </c>
      <c r="Z5" s="765" t="s">
        <v>283</v>
      </c>
      <c r="AA5" s="765" t="s">
        <v>283</v>
      </c>
      <c r="AB5" s="765" t="s">
        <v>283</v>
      </c>
      <c r="AC5" s="765" t="s">
        <v>283</v>
      </c>
      <c r="AD5" s="765" t="s">
        <v>283</v>
      </c>
      <c r="AE5" s="765" t="s">
        <v>283</v>
      </c>
      <c r="AF5" s="765" t="s">
        <v>283</v>
      </c>
      <c r="AG5" s="765" t="s">
        <v>283</v>
      </c>
      <c r="AH5" s="765" t="s">
        <v>283</v>
      </c>
      <c r="AI5" s="765" t="s">
        <v>283</v>
      </c>
      <c r="AJ5" s="765" t="s">
        <v>283</v>
      </c>
      <c r="AK5" s="765" t="s">
        <v>283</v>
      </c>
      <c r="AL5" s="765" t="s">
        <v>283</v>
      </c>
      <c r="AM5" s="765" t="s">
        <v>283</v>
      </c>
      <c r="AN5" s="765" t="s">
        <v>283</v>
      </c>
      <c r="AO5" s="765" t="s">
        <v>283</v>
      </c>
      <c r="AP5" s="765" t="s">
        <v>283</v>
      </c>
      <c r="AQ5" s="765" t="s">
        <v>283</v>
      </c>
      <c r="AR5" s="765" t="s">
        <v>283</v>
      </c>
      <c r="AS5" s="765" t="s">
        <v>283</v>
      </c>
      <c r="AT5" s="765" t="s">
        <v>283</v>
      </c>
    </row>
    <row r="6" spans="1:46" ht="15">
      <c r="A6" s="765" t="s">
        <v>283</v>
      </c>
      <c r="B6" s="769" t="s">
        <v>283</v>
      </c>
      <c r="C6" s="771"/>
      <c r="D6" s="774" t="s">
        <v>283</v>
      </c>
      <c r="E6" s="774" t="s">
        <v>283</v>
      </c>
      <c r="F6" s="774" t="s">
        <v>283</v>
      </c>
      <c r="G6" s="774" t="s">
        <v>283</v>
      </c>
      <c r="H6" s="774" t="s">
        <v>283</v>
      </c>
      <c r="I6" s="774" t="s">
        <v>283</v>
      </c>
      <c r="J6" s="774" t="s">
        <v>283</v>
      </c>
      <c r="K6" s="774" t="s">
        <v>283</v>
      </c>
      <c r="L6" s="771"/>
      <c r="M6" s="773" t="s">
        <v>308</v>
      </c>
      <c r="N6" s="773" t="s">
        <v>309</v>
      </c>
      <c r="O6" s="773" t="s">
        <v>310</v>
      </c>
      <c r="P6" s="773" t="s">
        <v>311</v>
      </c>
      <c r="Q6" s="773" t="s">
        <v>312</v>
      </c>
      <c r="R6" s="773" t="s">
        <v>313</v>
      </c>
      <c r="S6" s="773" t="s">
        <v>314</v>
      </c>
      <c r="T6" s="773" t="s">
        <v>315</v>
      </c>
      <c r="U6" s="773" t="s">
        <v>316</v>
      </c>
      <c r="V6" s="772" t="s">
        <v>283</v>
      </c>
      <c r="W6" s="765" t="s">
        <v>283</v>
      </c>
      <c r="X6" s="765" t="s">
        <v>283</v>
      </c>
      <c r="Y6" s="765" t="s">
        <v>283</v>
      </c>
      <c r="Z6" s="765" t="s">
        <v>283</v>
      </c>
      <c r="AA6" s="765" t="s">
        <v>283</v>
      </c>
      <c r="AB6" s="765" t="s">
        <v>283</v>
      </c>
      <c r="AC6" s="765" t="s">
        <v>283</v>
      </c>
      <c r="AD6" s="765" t="s">
        <v>283</v>
      </c>
      <c r="AE6" s="765" t="s">
        <v>283</v>
      </c>
      <c r="AF6" s="765" t="s">
        <v>283</v>
      </c>
      <c r="AG6" s="765" t="s">
        <v>283</v>
      </c>
      <c r="AH6" s="765" t="s">
        <v>283</v>
      </c>
      <c r="AI6" s="765" t="s">
        <v>283</v>
      </c>
      <c r="AJ6" s="765" t="s">
        <v>283</v>
      </c>
      <c r="AK6" s="765" t="s">
        <v>283</v>
      </c>
      <c r="AL6" s="765" t="s">
        <v>283</v>
      </c>
      <c r="AM6" s="765" t="s">
        <v>283</v>
      </c>
      <c r="AN6" s="765" t="s">
        <v>283</v>
      </c>
      <c r="AO6" s="765" t="s">
        <v>283</v>
      </c>
      <c r="AP6" s="765" t="s">
        <v>283</v>
      </c>
      <c r="AQ6" s="765" t="s">
        <v>283</v>
      </c>
      <c r="AR6" s="765" t="s">
        <v>283</v>
      </c>
      <c r="AS6" s="765" t="s">
        <v>283</v>
      </c>
      <c r="AT6" s="765" t="s">
        <v>283</v>
      </c>
    </row>
    <row r="7" spans="1:46" ht="15">
      <c r="A7" s="765" t="s">
        <v>283</v>
      </c>
      <c r="B7" s="769" t="s">
        <v>283</v>
      </c>
      <c r="C7" s="773" t="s">
        <v>320</v>
      </c>
      <c r="D7" s="774" t="s">
        <v>283</v>
      </c>
      <c r="E7" s="774" t="s">
        <v>283</v>
      </c>
      <c r="F7" s="774" t="s">
        <v>283</v>
      </c>
      <c r="G7" s="774" t="s">
        <v>283</v>
      </c>
      <c r="H7" s="774" t="s">
        <v>283</v>
      </c>
      <c r="I7" s="774" t="s">
        <v>283</v>
      </c>
      <c r="J7" s="774" t="s">
        <v>283</v>
      </c>
      <c r="K7" s="774" t="s">
        <v>283</v>
      </c>
      <c r="L7" s="771"/>
      <c r="M7" s="773" t="s">
        <v>321</v>
      </c>
      <c r="N7" s="773" t="s">
        <v>321</v>
      </c>
      <c r="O7" s="773" t="s">
        <v>321</v>
      </c>
      <c r="P7" s="773" t="s">
        <v>322</v>
      </c>
      <c r="Q7" s="773" t="s">
        <v>323</v>
      </c>
      <c r="R7" s="773" t="s">
        <v>325</v>
      </c>
      <c r="S7" s="773" t="s">
        <v>325</v>
      </c>
      <c r="T7" s="777" t="s">
        <v>326</v>
      </c>
      <c r="U7" s="777" t="s">
        <v>326</v>
      </c>
      <c r="V7" s="772" t="s">
        <v>283</v>
      </c>
      <c r="W7" s="765" t="s">
        <v>283</v>
      </c>
      <c r="X7" s="765" t="s">
        <v>283</v>
      </c>
      <c r="Y7" s="765" t="s">
        <v>283</v>
      </c>
      <c r="Z7" s="765" t="s">
        <v>283</v>
      </c>
      <c r="AA7" s="765" t="s">
        <v>283</v>
      </c>
      <c r="AB7" s="765" t="s">
        <v>283</v>
      </c>
      <c r="AC7" s="765" t="s">
        <v>283</v>
      </c>
      <c r="AD7" s="765" t="s">
        <v>283</v>
      </c>
      <c r="AE7" s="765" t="s">
        <v>283</v>
      </c>
      <c r="AF7" s="765" t="s">
        <v>283</v>
      </c>
      <c r="AG7" s="765" t="s">
        <v>283</v>
      </c>
      <c r="AH7" s="765" t="s">
        <v>283</v>
      </c>
      <c r="AI7" s="765" t="s">
        <v>283</v>
      </c>
      <c r="AJ7" s="765" t="s">
        <v>283</v>
      </c>
      <c r="AK7" s="765" t="s">
        <v>283</v>
      </c>
      <c r="AL7" s="765" t="s">
        <v>283</v>
      </c>
      <c r="AM7" s="765" t="s">
        <v>283</v>
      </c>
      <c r="AN7" s="765" t="s">
        <v>283</v>
      </c>
      <c r="AO7" s="765" t="s">
        <v>283</v>
      </c>
      <c r="AP7" s="765" t="s">
        <v>283</v>
      </c>
      <c r="AQ7" s="765" t="s">
        <v>283</v>
      </c>
      <c r="AR7" s="765" t="s">
        <v>283</v>
      </c>
      <c r="AS7" s="765" t="s">
        <v>283</v>
      </c>
      <c r="AT7" s="765" t="s">
        <v>283</v>
      </c>
    </row>
    <row r="8" spans="1:46" ht="15">
      <c r="A8" s="765" t="s">
        <v>283</v>
      </c>
      <c r="B8" s="769" t="s">
        <v>283</v>
      </c>
      <c r="C8" s="771"/>
      <c r="D8" s="774" t="s">
        <v>283</v>
      </c>
      <c r="E8" s="774" t="s">
        <v>283</v>
      </c>
      <c r="F8" s="774" t="s">
        <v>283</v>
      </c>
      <c r="G8" s="774" t="s">
        <v>283</v>
      </c>
      <c r="H8" s="774" t="s">
        <v>283</v>
      </c>
      <c r="I8" s="774" t="s">
        <v>283</v>
      </c>
      <c r="J8" s="774" t="s">
        <v>283</v>
      </c>
      <c r="K8" s="774" t="s">
        <v>283</v>
      </c>
      <c r="L8" s="771"/>
      <c r="M8" s="777" t="s">
        <v>327</v>
      </c>
      <c r="N8" s="777" t="s">
        <v>327</v>
      </c>
      <c r="O8" s="777" t="s">
        <v>327</v>
      </c>
      <c r="P8" s="777" t="s">
        <v>327</v>
      </c>
      <c r="Q8" s="777" t="s">
        <v>327</v>
      </c>
      <c r="R8" s="777" t="s">
        <v>327</v>
      </c>
      <c r="S8" s="777" t="s">
        <v>327</v>
      </c>
      <c r="T8" s="771"/>
      <c r="U8" s="771"/>
      <c r="V8" s="772" t="s">
        <v>283</v>
      </c>
      <c r="W8" s="765" t="s">
        <v>283</v>
      </c>
      <c r="X8" s="765" t="s">
        <v>283</v>
      </c>
      <c r="Y8" s="765" t="s">
        <v>283</v>
      </c>
      <c r="Z8" s="765" t="s">
        <v>283</v>
      </c>
      <c r="AA8" s="765" t="s">
        <v>283</v>
      </c>
      <c r="AB8" s="765" t="s">
        <v>283</v>
      </c>
      <c r="AC8" s="765" t="s">
        <v>283</v>
      </c>
      <c r="AD8" s="765" t="s">
        <v>283</v>
      </c>
      <c r="AE8" s="765" t="s">
        <v>283</v>
      </c>
      <c r="AF8" s="765" t="s">
        <v>283</v>
      </c>
      <c r="AG8" s="765" t="s">
        <v>283</v>
      </c>
      <c r="AH8" s="765" t="s">
        <v>283</v>
      </c>
      <c r="AI8" s="765" t="s">
        <v>283</v>
      </c>
      <c r="AJ8" s="765" t="s">
        <v>283</v>
      </c>
      <c r="AK8" s="765" t="s">
        <v>283</v>
      </c>
      <c r="AL8" s="765" t="s">
        <v>283</v>
      </c>
      <c r="AM8" s="765" t="s">
        <v>283</v>
      </c>
      <c r="AN8" s="765" t="s">
        <v>283</v>
      </c>
      <c r="AO8" s="765" t="s">
        <v>283</v>
      </c>
      <c r="AP8" s="765" t="s">
        <v>283</v>
      </c>
      <c r="AQ8" s="765" t="s">
        <v>283</v>
      </c>
      <c r="AR8" s="765" t="s">
        <v>283</v>
      </c>
      <c r="AS8" s="765" t="s">
        <v>283</v>
      </c>
      <c r="AT8" s="765" t="s">
        <v>283</v>
      </c>
    </row>
    <row r="9" spans="1:46" ht="15">
      <c r="A9" s="765" t="s">
        <v>283</v>
      </c>
      <c r="B9" s="769" t="s">
        <v>283</v>
      </c>
      <c r="C9" s="771"/>
      <c r="D9" s="774" t="s">
        <v>283</v>
      </c>
      <c r="E9" s="774" t="s">
        <v>283</v>
      </c>
      <c r="F9" s="774" t="s">
        <v>283</v>
      </c>
      <c r="G9" s="774" t="s">
        <v>283</v>
      </c>
      <c r="H9" s="774" t="s">
        <v>283</v>
      </c>
      <c r="I9" s="774" t="s">
        <v>283</v>
      </c>
      <c r="J9" s="774" t="s">
        <v>283</v>
      </c>
      <c r="K9" s="774" t="s">
        <v>283</v>
      </c>
      <c r="L9" s="771"/>
      <c r="M9" s="771"/>
      <c r="N9" s="771"/>
      <c r="O9" s="771"/>
      <c r="P9" s="771"/>
      <c r="Q9" s="771"/>
      <c r="R9" s="771"/>
      <c r="S9" s="771"/>
      <c r="T9" s="771"/>
      <c r="U9" s="771"/>
      <c r="V9" s="772" t="s">
        <v>283</v>
      </c>
      <c r="W9" s="765" t="s">
        <v>283</v>
      </c>
      <c r="X9" s="765" t="s">
        <v>283</v>
      </c>
      <c r="Y9" s="765" t="s">
        <v>283</v>
      </c>
      <c r="Z9" s="765" t="s">
        <v>283</v>
      </c>
      <c r="AA9" s="765" t="s">
        <v>283</v>
      </c>
      <c r="AB9" s="765" t="s">
        <v>283</v>
      </c>
      <c r="AC9" s="765" t="s">
        <v>283</v>
      </c>
      <c r="AD9" s="765" t="s">
        <v>283</v>
      </c>
      <c r="AE9" s="765" t="s">
        <v>283</v>
      </c>
      <c r="AF9" s="765" t="s">
        <v>283</v>
      </c>
      <c r="AG9" s="765" t="s">
        <v>283</v>
      </c>
      <c r="AH9" s="765" t="s">
        <v>283</v>
      </c>
      <c r="AI9" s="765" t="s">
        <v>283</v>
      </c>
      <c r="AJ9" s="765" t="s">
        <v>283</v>
      </c>
      <c r="AK9" s="765" t="s">
        <v>283</v>
      </c>
      <c r="AL9" s="765" t="s">
        <v>283</v>
      </c>
      <c r="AM9" s="765" t="s">
        <v>283</v>
      </c>
      <c r="AN9" s="765" t="s">
        <v>283</v>
      </c>
      <c r="AO9" s="765" t="s">
        <v>283</v>
      </c>
      <c r="AP9" s="765" t="s">
        <v>283</v>
      </c>
      <c r="AQ9" s="765" t="s">
        <v>283</v>
      </c>
      <c r="AR9" s="765" t="s">
        <v>283</v>
      </c>
      <c r="AS9" s="765" t="s">
        <v>283</v>
      </c>
      <c r="AT9" s="765" t="s">
        <v>283</v>
      </c>
    </row>
    <row r="10" spans="1:46" ht="15">
      <c r="A10" s="765" t="s">
        <v>283</v>
      </c>
      <c r="B10" s="769" t="s">
        <v>283</v>
      </c>
      <c r="C10" s="771"/>
      <c r="D10" s="774" t="s">
        <v>283</v>
      </c>
      <c r="E10" s="774" t="s">
        <v>283</v>
      </c>
      <c r="F10" s="774" t="s">
        <v>283</v>
      </c>
      <c r="G10" s="774" t="s">
        <v>283</v>
      </c>
      <c r="H10" s="774" t="s">
        <v>283</v>
      </c>
      <c r="I10" s="774" t="s">
        <v>283</v>
      </c>
      <c r="J10" s="774" t="s">
        <v>283</v>
      </c>
      <c r="K10" s="774" t="s">
        <v>283</v>
      </c>
      <c r="L10" s="771"/>
      <c r="M10" s="771"/>
      <c r="N10" s="771"/>
      <c r="O10" s="771"/>
      <c r="P10" s="771"/>
      <c r="Q10" s="771"/>
      <c r="R10" s="771"/>
      <c r="S10" s="771"/>
      <c r="T10" s="771"/>
      <c r="U10" s="771"/>
      <c r="V10" s="772" t="s">
        <v>283</v>
      </c>
      <c r="W10" s="765" t="s">
        <v>283</v>
      </c>
      <c r="X10" s="765" t="s">
        <v>283</v>
      </c>
      <c r="Y10" s="765" t="s">
        <v>283</v>
      </c>
      <c r="Z10" s="765" t="s">
        <v>283</v>
      </c>
      <c r="AA10" s="765" t="s">
        <v>283</v>
      </c>
      <c r="AB10" s="765" t="s">
        <v>283</v>
      </c>
      <c r="AC10" s="765" t="s">
        <v>283</v>
      </c>
      <c r="AD10" s="765" t="s">
        <v>283</v>
      </c>
      <c r="AE10" s="765" t="s">
        <v>283</v>
      </c>
      <c r="AF10" s="765" t="s">
        <v>283</v>
      </c>
      <c r="AG10" s="765" t="s">
        <v>283</v>
      </c>
      <c r="AH10" s="765" t="s">
        <v>283</v>
      </c>
      <c r="AI10" s="765" t="s">
        <v>283</v>
      </c>
      <c r="AJ10" s="765" t="s">
        <v>283</v>
      </c>
      <c r="AK10" s="765" t="s">
        <v>283</v>
      </c>
      <c r="AL10" s="765" t="s">
        <v>283</v>
      </c>
      <c r="AM10" s="765" t="s">
        <v>283</v>
      </c>
      <c r="AN10" s="765" t="s">
        <v>283</v>
      </c>
      <c r="AO10" s="765" t="s">
        <v>283</v>
      </c>
      <c r="AP10" s="765" t="s">
        <v>283</v>
      </c>
      <c r="AQ10" s="765" t="s">
        <v>283</v>
      </c>
      <c r="AR10" s="765" t="s">
        <v>283</v>
      </c>
      <c r="AS10" s="765" t="s">
        <v>283</v>
      </c>
      <c r="AT10" s="765" t="s">
        <v>283</v>
      </c>
    </row>
    <row r="11" spans="1:46" ht="15">
      <c r="A11" s="765" t="s">
        <v>283</v>
      </c>
      <c r="B11" s="769" t="s">
        <v>283</v>
      </c>
      <c r="C11" s="776" t="s">
        <v>646</v>
      </c>
      <c r="D11" s="782">
        <v>-136205</v>
      </c>
      <c r="E11" s="782">
        <v>-136205</v>
      </c>
      <c r="F11" s="782">
        <v>-257697</v>
      </c>
      <c r="G11" s="782">
        <v>-14714</v>
      </c>
      <c r="H11" s="782">
        <v>-196951</v>
      </c>
      <c r="I11" s="782">
        <v>-75459</v>
      </c>
      <c r="J11" s="780">
        <v>171815</v>
      </c>
      <c r="K11" s="781">
        <v>-1.26</v>
      </c>
      <c r="L11" s="771"/>
      <c r="M11" s="773"/>
      <c r="N11" s="773"/>
      <c r="O11" s="773"/>
      <c r="P11" s="773"/>
      <c r="Q11" s="773"/>
      <c r="R11" s="773"/>
      <c r="S11" s="773"/>
      <c r="T11" s="785">
        <v>-257697</v>
      </c>
      <c r="U11" s="785">
        <v>-14714</v>
      </c>
      <c r="V11" s="772" t="s">
        <v>283</v>
      </c>
      <c r="W11" s="765" t="s">
        <v>283</v>
      </c>
      <c r="X11" s="765" t="s">
        <v>283</v>
      </c>
      <c r="Y11" s="765" t="s">
        <v>283</v>
      </c>
      <c r="Z11" s="765" t="s">
        <v>283</v>
      </c>
      <c r="AA11" s="765" t="s">
        <v>283</v>
      </c>
      <c r="AB11" s="765" t="s">
        <v>283</v>
      </c>
      <c r="AC11" s="765" t="s">
        <v>283</v>
      </c>
      <c r="AD11" s="765" t="s">
        <v>283</v>
      </c>
      <c r="AE11" s="765" t="s">
        <v>283</v>
      </c>
      <c r="AF11" s="765" t="s">
        <v>283</v>
      </c>
      <c r="AG11" s="765" t="s">
        <v>283</v>
      </c>
      <c r="AH11" s="765" t="s">
        <v>283</v>
      </c>
      <c r="AI11" s="765" t="s">
        <v>283</v>
      </c>
      <c r="AJ11" s="765" t="s">
        <v>283</v>
      </c>
      <c r="AK11" s="765" t="s">
        <v>283</v>
      </c>
      <c r="AL11" s="765" t="s">
        <v>283</v>
      </c>
      <c r="AM11" s="765" t="s">
        <v>283</v>
      </c>
      <c r="AN11" s="765" t="s">
        <v>283</v>
      </c>
      <c r="AO11" s="765" t="s">
        <v>283</v>
      </c>
      <c r="AP11" s="765" t="s">
        <v>283</v>
      </c>
      <c r="AQ11" s="765" t="s">
        <v>283</v>
      </c>
      <c r="AR11" s="765" t="s">
        <v>283</v>
      </c>
      <c r="AS11" s="765" t="s">
        <v>283</v>
      </c>
      <c r="AT11" s="765" t="s">
        <v>283</v>
      </c>
    </row>
    <row r="12" spans="1:46" ht="15">
      <c r="A12" s="765" t="s">
        <v>283</v>
      </c>
      <c r="B12" s="769" t="s">
        <v>283</v>
      </c>
      <c r="C12" s="778" t="s">
        <v>647</v>
      </c>
      <c r="D12" s="774" t="s">
        <v>283</v>
      </c>
      <c r="E12" s="774" t="s">
        <v>283</v>
      </c>
      <c r="F12" s="774" t="s">
        <v>283</v>
      </c>
      <c r="G12" s="774" t="s">
        <v>283</v>
      </c>
      <c r="H12" s="774" t="s">
        <v>283</v>
      </c>
      <c r="I12" s="774" t="s">
        <v>283</v>
      </c>
      <c r="J12" s="774" t="s">
        <v>283</v>
      </c>
      <c r="K12" s="774" t="s">
        <v>283</v>
      </c>
      <c r="L12" s="774" t="s">
        <v>283</v>
      </c>
      <c r="M12" s="774" t="s">
        <v>283</v>
      </c>
      <c r="N12" s="774" t="s">
        <v>283</v>
      </c>
      <c r="O12" s="774" t="s">
        <v>283</v>
      </c>
      <c r="P12" s="774" t="s">
        <v>283</v>
      </c>
      <c r="Q12" s="774" t="s">
        <v>283</v>
      </c>
      <c r="R12" s="774" t="s">
        <v>283</v>
      </c>
      <c r="S12" s="774" t="s">
        <v>283</v>
      </c>
      <c r="T12" s="774" t="s">
        <v>283</v>
      </c>
      <c r="U12" s="774" t="s">
        <v>283</v>
      </c>
      <c r="V12" s="772" t="s">
        <v>283</v>
      </c>
      <c r="W12" s="765" t="s">
        <v>283</v>
      </c>
      <c r="X12" s="765" t="s">
        <v>283</v>
      </c>
      <c r="Y12" s="765" t="s">
        <v>283</v>
      </c>
      <c r="Z12" s="765" t="s">
        <v>283</v>
      </c>
      <c r="AA12" s="765" t="s">
        <v>283</v>
      </c>
      <c r="AB12" s="765" t="s">
        <v>283</v>
      </c>
      <c r="AC12" s="765" t="s">
        <v>283</v>
      </c>
      <c r="AD12" s="765" t="s">
        <v>283</v>
      </c>
      <c r="AE12" s="765" t="s">
        <v>283</v>
      </c>
      <c r="AF12" s="765" t="s">
        <v>283</v>
      </c>
      <c r="AG12" s="765" t="s">
        <v>283</v>
      </c>
      <c r="AH12" s="765" t="s">
        <v>283</v>
      </c>
      <c r="AI12" s="765" t="s">
        <v>283</v>
      </c>
      <c r="AJ12" s="765" t="s">
        <v>283</v>
      </c>
      <c r="AK12" s="765" t="s">
        <v>283</v>
      </c>
      <c r="AL12" s="765" t="s">
        <v>283</v>
      </c>
      <c r="AM12" s="765" t="s">
        <v>283</v>
      </c>
      <c r="AN12" s="765" t="s">
        <v>283</v>
      </c>
      <c r="AO12" s="765" t="s">
        <v>283</v>
      </c>
      <c r="AP12" s="765" t="s">
        <v>283</v>
      </c>
      <c r="AQ12" s="765" t="s">
        <v>283</v>
      </c>
      <c r="AR12" s="765" t="s">
        <v>283</v>
      </c>
      <c r="AS12" s="765" t="s">
        <v>283</v>
      </c>
      <c r="AT12" s="765" t="s">
        <v>283</v>
      </c>
    </row>
    <row r="13" spans="1:46" ht="15">
      <c r="A13" s="765" t="s">
        <v>283</v>
      </c>
      <c r="B13" s="769" t="s">
        <v>283</v>
      </c>
      <c r="C13" s="773" t="s">
        <v>648</v>
      </c>
      <c r="D13" s="774" t="s">
        <v>283</v>
      </c>
      <c r="E13" s="774" t="s">
        <v>283</v>
      </c>
      <c r="F13" s="774" t="s">
        <v>283</v>
      </c>
      <c r="G13" s="774" t="s">
        <v>283</v>
      </c>
      <c r="H13" s="774" t="s">
        <v>283</v>
      </c>
      <c r="I13" s="774" t="s">
        <v>283</v>
      </c>
      <c r="J13" s="774" t="s">
        <v>283</v>
      </c>
      <c r="K13" s="774" t="s">
        <v>283</v>
      </c>
      <c r="L13" s="771"/>
      <c r="M13" s="771"/>
      <c r="N13" s="771"/>
      <c r="O13" s="771"/>
      <c r="P13" s="771"/>
      <c r="Q13" s="771"/>
      <c r="R13" s="771"/>
      <c r="S13" s="771"/>
      <c r="T13" s="771"/>
      <c r="U13" s="771"/>
      <c r="V13" s="772" t="s">
        <v>283</v>
      </c>
      <c r="W13" s="765" t="s">
        <v>283</v>
      </c>
      <c r="X13" s="765" t="s">
        <v>283</v>
      </c>
      <c r="Y13" s="765" t="s">
        <v>283</v>
      </c>
      <c r="Z13" s="765" t="s">
        <v>283</v>
      </c>
      <c r="AA13" s="765" t="s">
        <v>283</v>
      </c>
      <c r="AB13" s="765" t="s">
        <v>283</v>
      </c>
      <c r="AC13" s="765" t="s">
        <v>283</v>
      </c>
      <c r="AD13" s="765" t="s">
        <v>283</v>
      </c>
      <c r="AE13" s="765" t="s">
        <v>283</v>
      </c>
      <c r="AF13" s="765" t="s">
        <v>283</v>
      </c>
      <c r="AG13" s="765" t="s">
        <v>283</v>
      </c>
      <c r="AH13" s="765" t="s">
        <v>283</v>
      </c>
      <c r="AI13" s="765" t="s">
        <v>283</v>
      </c>
      <c r="AJ13" s="765" t="s">
        <v>283</v>
      </c>
      <c r="AK13" s="765" t="s">
        <v>283</v>
      </c>
      <c r="AL13" s="765" t="s">
        <v>283</v>
      </c>
      <c r="AM13" s="765" t="s">
        <v>283</v>
      </c>
      <c r="AN13" s="765" t="s">
        <v>283</v>
      </c>
      <c r="AO13" s="765" t="s">
        <v>283</v>
      </c>
      <c r="AP13" s="765" t="s">
        <v>283</v>
      </c>
      <c r="AQ13" s="765" t="s">
        <v>283</v>
      </c>
      <c r="AR13" s="765" t="s">
        <v>283</v>
      </c>
      <c r="AS13" s="765" t="s">
        <v>283</v>
      </c>
      <c r="AT13" s="765" t="s">
        <v>283</v>
      </c>
    </row>
    <row r="14" spans="1:46" ht="15">
      <c r="A14" s="765" t="s">
        <v>283</v>
      </c>
      <c r="B14" s="769" t="s">
        <v>283</v>
      </c>
      <c r="C14" s="773" t="s">
        <v>649</v>
      </c>
      <c r="D14" s="774" t="s">
        <v>283</v>
      </c>
      <c r="E14" s="774" t="s">
        <v>283</v>
      </c>
      <c r="F14" s="774" t="s">
        <v>283</v>
      </c>
      <c r="G14" s="774" t="s">
        <v>283</v>
      </c>
      <c r="H14" s="774" t="s">
        <v>283</v>
      </c>
      <c r="I14" s="774" t="s">
        <v>283</v>
      </c>
      <c r="J14" s="774" t="s">
        <v>283</v>
      </c>
      <c r="K14" s="774" t="s">
        <v>283</v>
      </c>
      <c r="L14" s="771"/>
      <c r="M14" s="771"/>
      <c r="N14" s="771"/>
      <c r="O14" s="771"/>
      <c r="P14" s="771"/>
      <c r="Q14" s="771"/>
      <c r="R14" s="771"/>
      <c r="S14" s="771"/>
      <c r="T14" s="771"/>
      <c r="U14" s="771"/>
      <c r="V14" s="772" t="s">
        <v>283</v>
      </c>
      <c r="W14" s="765" t="s">
        <v>283</v>
      </c>
      <c r="X14" s="765" t="s">
        <v>283</v>
      </c>
      <c r="Y14" s="765" t="s">
        <v>283</v>
      </c>
      <c r="Z14" s="765" t="s">
        <v>283</v>
      </c>
      <c r="AA14" s="765" t="s">
        <v>283</v>
      </c>
      <c r="AB14" s="765" t="s">
        <v>283</v>
      </c>
      <c r="AC14" s="765" t="s">
        <v>283</v>
      </c>
      <c r="AD14" s="765" t="s">
        <v>283</v>
      </c>
      <c r="AE14" s="765" t="s">
        <v>283</v>
      </c>
      <c r="AF14" s="765" t="s">
        <v>283</v>
      </c>
      <c r="AG14" s="765" t="s">
        <v>283</v>
      </c>
      <c r="AH14" s="765" t="s">
        <v>283</v>
      </c>
      <c r="AI14" s="765" t="s">
        <v>283</v>
      </c>
      <c r="AJ14" s="765" t="s">
        <v>283</v>
      </c>
      <c r="AK14" s="765" t="s">
        <v>283</v>
      </c>
      <c r="AL14" s="765" t="s">
        <v>283</v>
      </c>
      <c r="AM14" s="765" t="s">
        <v>283</v>
      </c>
      <c r="AN14" s="765" t="s">
        <v>283</v>
      </c>
      <c r="AO14" s="765" t="s">
        <v>283</v>
      </c>
      <c r="AP14" s="765" t="s">
        <v>283</v>
      </c>
      <c r="AQ14" s="765" t="s">
        <v>283</v>
      </c>
      <c r="AR14" s="765" t="s">
        <v>283</v>
      </c>
      <c r="AS14" s="765" t="s">
        <v>283</v>
      </c>
      <c r="AT14" s="765" t="s">
        <v>283</v>
      </c>
    </row>
    <row r="15" spans="1:46" ht="15">
      <c r="A15" s="765" t="s">
        <v>283</v>
      </c>
      <c r="B15" s="769" t="s">
        <v>283</v>
      </c>
      <c r="C15" s="773" t="s">
        <v>650</v>
      </c>
      <c r="D15" s="782">
        <v>-1734000</v>
      </c>
      <c r="E15" s="782">
        <v>-1757429</v>
      </c>
      <c r="F15" s="782">
        <v>-3981000</v>
      </c>
      <c r="G15" s="780">
        <v>269000</v>
      </c>
      <c r="H15" s="782">
        <v>-3147500</v>
      </c>
      <c r="I15" s="782">
        <v>-280500</v>
      </c>
      <c r="J15" s="780">
        <v>1716320</v>
      </c>
      <c r="K15" s="781">
        <v>-0.98</v>
      </c>
      <c r="L15" s="771"/>
      <c r="M15" s="783">
        <v>269000</v>
      </c>
      <c r="N15" s="785">
        <v>-95000</v>
      </c>
      <c r="O15" s="785">
        <v>-466000</v>
      </c>
      <c r="P15" s="785">
        <v>-1734000</v>
      </c>
      <c r="Q15" s="785">
        <v>-3552000</v>
      </c>
      <c r="R15" s="785">
        <v>-2743000</v>
      </c>
      <c r="S15" s="785">
        <v>-3981000</v>
      </c>
      <c r="T15" s="773"/>
      <c r="U15" s="773"/>
      <c r="V15" s="772" t="s">
        <v>283</v>
      </c>
      <c r="W15" s="765" t="s">
        <v>283</v>
      </c>
      <c r="X15" s="765" t="s">
        <v>283</v>
      </c>
      <c r="Y15" s="765" t="s">
        <v>283</v>
      </c>
      <c r="Z15" s="765" t="s">
        <v>283</v>
      </c>
      <c r="AA15" s="765" t="s">
        <v>283</v>
      </c>
      <c r="AB15" s="765" t="s">
        <v>283</v>
      </c>
      <c r="AC15" s="765" t="s">
        <v>283</v>
      </c>
      <c r="AD15" s="765" t="s">
        <v>283</v>
      </c>
      <c r="AE15" s="765" t="s">
        <v>283</v>
      </c>
      <c r="AF15" s="765" t="s">
        <v>283</v>
      </c>
      <c r="AG15" s="765" t="s">
        <v>283</v>
      </c>
      <c r="AH15" s="765" t="s">
        <v>283</v>
      </c>
      <c r="AI15" s="765" t="s">
        <v>283</v>
      </c>
      <c r="AJ15" s="765" t="s">
        <v>283</v>
      </c>
      <c r="AK15" s="765" t="s">
        <v>283</v>
      </c>
      <c r="AL15" s="765" t="s">
        <v>283</v>
      </c>
      <c r="AM15" s="765" t="s">
        <v>283</v>
      </c>
      <c r="AN15" s="765" t="s">
        <v>283</v>
      </c>
      <c r="AO15" s="765" t="s">
        <v>283</v>
      </c>
      <c r="AP15" s="765" t="s">
        <v>283</v>
      </c>
      <c r="AQ15" s="765" t="s">
        <v>283</v>
      </c>
      <c r="AR15" s="765" t="s">
        <v>283</v>
      </c>
      <c r="AS15" s="765" t="s">
        <v>283</v>
      </c>
      <c r="AT15" s="765" t="s">
        <v>283</v>
      </c>
    </row>
    <row r="16" spans="1:46" ht="15">
      <c r="A16" s="765" t="s">
        <v>283</v>
      </c>
      <c r="B16" s="769" t="s">
        <v>283</v>
      </c>
      <c r="C16" s="773" t="s">
        <v>651</v>
      </c>
      <c r="D16" s="774" t="s">
        <v>283</v>
      </c>
      <c r="E16" s="774" t="s">
        <v>283</v>
      </c>
      <c r="F16" s="774" t="s">
        <v>283</v>
      </c>
      <c r="G16" s="774" t="s">
        <v>283</v>
      </c>
      <c r="H16" s="774" t="s">
        <v>283</v>
      </c>
      <c r="I16" s="774" t="s">
        <v>283</v>
      </c>
      <c r="J16" s="774" t="s">
        <v>283</v>
      </c>
      <c r="K16" s="774" t="s">
        <v>283</v>
      </c>
      <c r="L16" s="771"/>
      <c r="M16" s="771"/>
      <c r="N16" s="771"/>
      <c r="O16" s="771"/>
      <c r="P16" s="771"/>
      <c r="Q16" s="771"/>
      <c r="R16" s="771"/>
      <c r="S16" s="771"/>
      <c r="T16" s="771"/>
      <c r="U16" s="771"/>
      <c r="V16" s="772" t="s">
        <v>283</v>
      </c>
      <c r="W16" s="765" t="s">
        <v>283</v>
      </c>
      <c r="X16" s="765" t="s">
        <v>283</v>
      </c>
      <c r="Y16" s="765" t="s">
        <v>283</v>
      </c>
      <c r="Z16" s="765" t="s">
        <v>283</v>
      </c>
      <c r="AA16" s="765" t="s">
        <v>283</v>
      </c>
      <c r="AB16" s="765" t="s">
        <v>283</v>
      </c>
      <c r="AC16" s="765" t="s">
        <v>283</v>
      </c>
      <c r="AD16" s="765" t="s">
        <v>283</v>
      </c>
      <c r="AE16" s="765" t="s">
        <v>283</v>
      </c>
      <c r="AF16" s="765" t="s">
        <v>283</v>
      </c>
      <c r="AG16" s="765" t="s">
        <v>283</v>
      </c>
      <c r="AH16" s="765" t="s">
        <v>283</v>
      </c>
      <c r="AI16" s="765" t="s">
        <v>283</v>
      </c>
      <c r="AJ16" s="765" t="s">
        <v>283</v>
      </c>
      <c r="AK16" s="765" t="s">
        <v>283</v>
      </c>
      <c r="AL16" s="765" t="s">
        <v>283</v>
      </c>
      <c r="AM16" s="765" t="s">
        <v>283</v>
      </c>
      <c r="AN16" s="765" t="s">
        <v>283</v>
      </c>
      <c r="AO16" s="765" t="s">
        <v>283</v>
      </c>
      <c r="AP16" s="765" t="s">
        <v>283</v>
      </c>
      <c r="AQ16" s="765" t="s">
        <v>283</v>
      </c>
      <c r="AR16" s="765" t="s">
        <v>283</v>
      </c>
      <c r="AS16" s="765" t="s">
        <v>283</v>
      </c>
      <c r="AT16" s="765" t="s">
        <v>283</v>
      </c>
    </row>
    <row r="17" spans="1:46" ht="15">
      <c r="A17" s="765" t="s">
        <v>283</v>
      </c>
      <c r="B17" s="769" t="s">
        <v>283</v>
      </c>
      <c r="C17" s="773" t="s">
        <v>652</v>
      </c>
      <c r="D17" s="774" t="s">
        <v>283</v>
      </c>
      <c r="E17" s="774" t="s">
        <v>283</v>
      </c>
      <c r="F17" s="774" t="s">
        <v>283</v>
      </c>
      <c r="G17" s="774" t="s">
        <v>283</v>
      </c>
      <c r="H17" s="774" t="s">
        <v>283</v>
      </c>
      <c r="I17" s="774" t="s">
        <v>283</v>
      </c>
      <c r="J17" s="774" t="s">
        <v>283</v>
      </c>
      <c r="K17" s="774" t="s">
        <v>283</v>
      </c>
      <c r="L17" s="771"/>
      <c r="M17" s="771"/>
      <c r="N17" s="771"/>
      <c r="O17" s="771"/>
      <c r="P17" s="771"/>
      <c r="Q17" s="771"/>
      <c r="R17" s="771"/>
      <c r="S17" s="771"/>
      <c r="T17" s="771"/>
      <c r="U17" s="771"/>
      <c r="V17" s="772" t="s">
        <v>283</v>
      </c>
      <c r="W17" s="765" t="s">
        <v>283</v>
      </c>
      <c r="X17" s="765" t="s">
        <v>283</v>
      </c>
      <c r="Y17" s="765" t="s">
        <v>283</v>
      </c>
      <c r="Z17" s="765" t="s">
        <v>283</v>
      </c>
      <c r="AA17" s="765" t="s">
        <v>283</v>
      </c>
      <c r="AB17" s="765" t="s">
        <v>283</v>
      </c>
      <c r="AC17" s="765" t="s">
        <v>283</v>
      </c>
      <c r="AD17" s="765" t="s">
        <v>283</v>
      </c>
      <c r="AE17" s="765" t="s">
        <v>283</v>
      </c>
      <c r="AF17" s="765" t="s">
        <v>283</v>
      </c>
      <c r="AG17" s="765" t="s">
        <v>283</v>
      </c>
      <c r="AH17" s="765" t="s">
        <v>283</v>
      </c>
      <c r="AI17" s="765" t="s">
        <v>283</v>
      </c>
      <c r="AJ17" s="765" t="s">
        <v>283</v>
      </c>
      <c r="AK17" s="765" t="s">
        <v>283</v>
      </c>
      <c r="AL17" s="765" t="s">
        <v>283</v>
      </c>
      <c r="AM17" s="765" t="s">
        <v>283</v>
      </c>
      <c r="AN17" s="765" t="s">
        <v>283</v>
      </c>
      <c r="AO17" s="765" t="s">
        <v>283</v>
      </c>
      <c r="AP17" s="765" t="s">
        <v>283</v>
      </c>
      <c r="AQ17" s="765" t="s">
        <v>283</v>
      </c>
      <c r="AR17" s="765" t="s">
        <v>283</v>
      </c>
      <c r="AS17" s="765" t="s">
        <v>283</v>
      </c>
      <c r="AT17" s="765" t="s">
        <v>283</v>
      </c>
    </row>
    <row r="18" spans="1:46" ht="15">
      <c r="A18" s="765" t="s">
        <v>283</v>
      </c>
      <c r="B18" s="769" t="s">
        <v>283</v>
      </c>
      <c r="C18" s="773" t="s">
        <v>653</v>
      </c>
      <c r="D18" s="774" t="s">
        <v>283</v>
      </c>
      <c r="E18" s="774" t="s">
        <v>283</v>
      </c>
      <c r="F18" s="774" t="s">
        <v>283</v>
      </c>
      <c r="G18" s="774" t="s">
        <v>283</v>
      </c>
      <c r="H18" s="774" t="s">
        <v>283</v>
      </c>
      <c r="I18" s="774" t="s">
        <v>283</v>
      </c>
      <c r="J18" s="774" t="s">
        <v>283</v>
      </c>
      <c r="K18" s="774" t="s">
        <v>283</v>
      </c>
      <c r="L18" s="771"/>
      <c r="M18" s="771"/>
      <c r="N18" s="771"/>
      <c r="O18" s="771"/>
      <c r="P18" s="771"/>
      <c r="Q18" s="771"/>
      <c r="R18" s="771"/>
      <c r="S18" s="771"/>
      <c r="T18" s="771"/>
      <c r="U18" s="771"/>
      <c r="V18" s="772" t="s">
        <v>283</v>
      </c>
      <c r="W18" s="765" t="s">
        <v>283</v>
      </c>
      <c r="X18" s="765" t="s">
        <v>283</v>
      </c>
      <c r="Y18" s="765" t="s">
        <v>283</v>
      </c>
      <c r="Z18" s="765" t="s">
        <v>283</v>
      </c>
      <c r="AA18" s="765" t="s">
        <v>283</v>
      </c>
      <c r="AB18" s="765" t="s">
        <v>283</v>
      </c>
      <c r="AC18" s="765" t="s">
        <v>283</v>
      </c>
      <c r="AD18" s="765" t="s">
        <v>283</v>
      </c>
      <c r="AE18" s="765" t="s">
        <v>283</v>
      </c>
      <c r="AF18" s="765" t="s">
        <v>283</v>
      </c>
      <c r="AG18" s="765" t="s">
        <v>283</v>
      </c>
      <c r="AH18" s="765" t="s">
        <v>283</v>
      </c>
      <c r="AI18" s="765" t="s">
        <v>283</v>
      </c>
      <c r="AJ18" s="765" t="s">
        <v>283</v>
      </c>
      <c r="AK18" s="765" t="s">
        <v>283</v>
      </c>
      <c r="AL18" s="765" t="s">
        <v>283</v>
      </c>
      <c r="AM18" s="765" t="s">
        <v>283</v>
      </c>
      <c r="AN18" s="765" t="s">
        <v>283</v>
      </c>
      <c r="AO18" s="765" t="s">
        <v>283</v>
      </c>
      <c r="AP18" s="765" t="s">
        <v>283</v>
      </c>
      <c r="AQ18" s="765" t="s">
        <v>283</v>
      </c>
      <c r="AR18" s="765" t="s">
        <v>283</v>
      </c>
      <c r="AS18" s="765" t="s">
        <v>283</v>
      </c>
      <c r="AT18" s="765" t="s">
        <v>283</v>
      </c>
    </row>
    <row r="19" spans="1:46" ht="15">
      <c r="A19" s="765" t="s">
        <v>283</v>
      </c>
      <c r="B19" s="769" t="s">
        <v>283</v>
      </c>
      <c r="C19" s="773" t="s">
        <v>654</v>
      </c>
      <c r="D19" s="780">
        <v>126000</v>
      </c>
      <c r="E19" s="780">
        <v>124000</v>
      </c>
      <c r="F19" s="780">
        <v>109000</v>
      </c>
      <c r="G19" s="780">
        <v>145000</v>
      </c>
      <c r="H19" s="780">
        <v>115500</v>
      </c>
      <c r="I19" s="780">
        <v>128500</v>
      </c>
      <c r="J19" s="780">
        <v>12517</v>
      </c>
      <c r="K19" s="779">
        <v>0.1</v>
      </c>
      <c r="L19" s="771"/>
      <c r="M19" s="783">
        <v>145000</v>
      </c>
      <c r="N19" s="783">
        <v>122000</v>
      </c>
      <c r="O19" s="783">
        <v>128000</v>
      </c>
      <c r="P19" s="783">
        <v>129000</v>
      </c>
      <c r="Q19" s="783">
        <v>109000</v>
      </c>
      <c r="R19" s="783">
        <v>126000</v>
      </c>
      <c r="S19" s="783">
        <v>109000</v>
      </c>
      <c r="T19" s="773"/>
      <c r="U19" s="773"/>
      <c r="V19" s="772" t="s">
        <v>283</v>
      </c>
      <c r="W19" s="765" t="s">
        <v>283</v>
      </c>
      <c r="X19" s="765" t="s">
        <v>283</v>
      </c>
      <c r="Y19" s="765" t="s">
        <v>283</v>
      </c>
      <c r="Z19" s="765" t="s">
        <v>283</v>
      </c>
      <c r="AA19" s="765" t="s">
        <v>283</v>
      </c>
      <c r="AB19" s="765" t="s">
        <v>283</v>
      </c>
      <c r="AC19" s="765" t="s">
        <v>283</v>
      </c>
      <c r="AD19" s="765" t="s">
        <v>283</v>
      </c>
      <c r="AE19" s="765" t="s">
        <v>283</v>
      </c>
      <c r="AF19" s="765" t="s">
        <v>283</v>
      </c>
      <c r="AG19" s="765" t="s">
        <v>283</v>
      </c>
      <c r="AH19" s="765" t="s">
        <v>283</v>
      </c>
      <c r="AI19" s="765" t="s">
        <v>283</v>
      </c>
      <c r="AJ19" s="765" t="s">
        <v>283</v>
      </c>
      <c r="AK19" s="765" t="s">
        <v>283</v>
      </c>
      <c r="AL19" s="765" t="s">
        <v>283</v>
      </c>
      <c r="AM19" s="765" t="s">
        <v>283</v>
      </c>
      <c r="AN19" s="765" t="s">
        <v>283</v>
      </c>
      <c r="AO19" s="765" t="s">
        <v>283</v>
      </c>
      <c r="AP19" s="765" t="s">
        <v>283</v>
      </c>
      <c r="AQ19" s="765" t="s">
        <v>283</v>
      </c>
      <c r="AR19" s="765" t="s">
        <v>283</v>
      </c>
      <c r="AS19" s="765" t="s">
        <v>283</v>
      </c>
      <c r="AT19" s="765" t="s">
        <v>283</v>
      </c>
    </row>
    <row r="20" spans="1:46" ht="15">
      <c r="A20" s="765" t="s">
        <v>283</v>
      </c>
      <c r="B20" s="769" t="s">
        <v>283</v>
      </c>
      <c r="C20" s="773" t="s">
        <v>655</v>
      </c>
      <c r="D20" s="780">
        <v>32000</v>
      </c>
      <c r="E20" s="780">
        <v>161429</v>
      </c>
      <c r="F20" s="780">
        <v>17000</v>
      </c>
      <c r="G20" s="780">
        <v>538000</v>
      </c>
      <c r="H20" s="780">
        <v>23000</v>
      </c>
      <c r="I20" s="780">
        <v>248500</v>
      </c>
      <c r="J20" s="780">
        <v>197157</v>
      </c>
      <c r="K20" s="779">
        <v>1.22</v>
      </c>
      <c r="L20" s="771"/>
      <c r="M20" s="783">
        <v>32000</v>
      </c>
      <c r="N20" s="783">
        <v>25000</v>
      </c>
      <c r="O20" s="783">
        <v>17000</v>
      </c>
      <c r="P20" s="783">
        <v>21000</v>
      </c>
      <c r="Q20" s="783">
        <v>236000</v>
      </c>
      <c r="R20" s="783">
        <v>261000</v>
      </c>
      <c r="S20" s="783">
        <v>538000</v>
      </c>
      <c r="T20" s="773"/>
      <c r="U20" s="773"/>
      <c r="V20" s="772" t="s">
        <v>283</v>
      </c>
      <c r="W20" s="765" t="s">
        <v>283</v>
      </c>
      <c r="X20" s="765" t="s">
        <v>283</v>
      </c>
      <c r="Y20" s="765" t="s">
        <v>283</v>
      </c>
      <c r="Z20" s="765" t="s">
        <v>283</v>
      </c>
      <c r="AA20" s="765" t="s">
        <v>283</v>
      </c>
      <c r="AB20" s="765" t="s">
        <v>283</v>
      </c>
      <c r="AC20" s="765" t="s">
        <v>283</v>
      </c>
      <c r="AD20" s="765" t="s">
        <v>283</v>
      </c>
      <c r="AE20" s="765" t="s">
        <v>283</v>
      </c>
      <c r="AF20" s="765" t="s">
        <v>283</v>
      </c>
      <c r="AG20" s="765" t="s">
        <v>283</v>
      </c>
      <c r="AH20" s="765" t="s">
        <v>283</v>
      </c>
      <c r="AI20" s="765" t="s">
        <v>283</v>
      </c>
      <c r="AJ20" s="765" t="s">
        <v>283</v>
      </c>
      <c r="AK20" s="765" t="s">
        <v>283</v>
      </c>
      <c r="AL20" s="765" t="s">
        <v>283</v>
      </c>
      <c r="AM20" s="765" t="s">
        <v>283</v>
      </c>
      <c r="AN20" s="765" t="s">
        <v>283</v>
      </c>
      <c r="AO20" s="765" t="s">
        <v>283</v>
      </c>
      <c r="AP20" s="765" t="s">
        <v>283</v>
      </c>
      <c r="AQ20" s="765" t="s">
        <v>283</v>
      </c>
      <c r="AR20" s="765" t="s">
        <v>283</v>
      </c>
      <c r="AS20" s="765" t="s">
        <v>283</v>
      </c>
      <c r="AT20" s="765" t="s">
        <v>283</v>
      </c>
    </row>
    <row r="21" spans="1:46" ht="15">
      <c r="A21" s="765" t="s">
        <v>283</v>
      </c>
      <c r="B21" s="769" t="s">
        <v>283</v>
      </c>
      <c r="C21" s="776" t="s">
        <v>656</v>
      </c>
      <c r="D21" s="787">
        <v>177000</v>
      </c>
      <c r="E21" s="787">
        <v>285429</v>
      </c>
      <c r="F21" s="787">
        <v>145000</v>
      </c>
      <c r="G21" s="787">
        <v>647000</v>
      </c>
      <c r="H21" s="787">
        <v>148500</v>
      </c>
      <c r="I21" s="787">
        <v>366000</v>
      </c>
      <c r="J21" s="787">
        <v>188671</v>
      </c>
      <c r="K21" s="786">
        <v>0.66</v>
      </c>
      <c r="L21" s="790" t="s">
        <v>283</v>
      </c>
      <c r="M21" s="792">
        <v>177000</v>
      </c>
      <c r="N21" s="792">
        <v>147000</v>
      </c>
      <c r="O21" s="792">
        <v>145000</v>
      </c>
      <c r="P21" s="792">
        <v>150000</v>
      </c>
      <c r="Q21" s="792">
        <v>345000</v>
      </c>
      <c r="R21" s="792">
        <v>387000</v>
      </c>
      <c r="S21" s="792">
        <v>647000</v>
      </c>
      <c r="T21" s="791" t="s">
        <v>283</v>
      </c>
      <c r="U21" s="791" t="s">
        <v>283</v>
      </c>
      <c r="V21" s="772" t="s">
        <v>283</v>
      </c>
      <c r="W21" s="765" t="s">
        <v>283</v>
      </c>
      <c r="X21" s="765" t="s">
        <v>283</v>
      </c>
      <c r="Y21" s="765" t="s">
        <v>283</v>
      </c>
      <c r="Z21" s="765" t="s">
        <v>283</v>
      </c>
      <c r="AA21" s="765" t="s">
        <v>283</v>
      </c>
      <c r="AB21" s="765" t="s">
        <v>283</v>
      </c>
      <c r="AC21" s="765" t="s">
        <v>283</v>
      </c>
      <c r="AD21" s="765" t="s">
        <v>283</v>
      </c>
      <c r="AE21" s="765" t="s">
        <v>283</v>
      </c>
      <c r="AF21" s="765" t="s">
        <v>283</v>
      </c>
      <c r="AG21" s="765" t="s">
        <v>283</v>
      </c>
      <c r="AH21" s="765" t="s">
        <v>283</v>
      </c>
      <c r="AI21" s="765" t="s">
        <v>283</v>
      </c>
      <c r="AJ21" s="765" t="s">
        <v>283</v>
      </c>
      <c r="AK21" s="765" t="s">
        <v>283</v>
      </c>
      <c r="AL21" s="765" t="s">
        <v>283</v>
      </c>
      <c r="AM21" s="765" t="s">
        <v>283</v>
      </c>
      <c r="AN21" s="765" t="s">
        <v>283</v>
      </c>
      <c r="AO21" s="765" t="s">
        <v>283</v>
      </c>
      <c r="AP21" s="765" t="s">
        <v>283</v>
      </c>
      <c r="AQ21" s="765" t="s">
        <v>283</v>
      </c>
      <c r="AR21" s="765" t="s">
        <v>283</v>
      </c>
      <c r="AS21" s="765" t="s">
        <v>283</v>
      </c>
      <c r="AT21" s="765" t="s">
        <v>283</v>
      </c>
    </row>
    <row r="22" spans="1:46" ht="15">
      <c r="A22" s="765" t="s">
        <v>283</v>
      </c>
      <c r="B22" s="769" t="s">
        <v>283</v>
      </c>
      <c r="C22" s="776" t="s">
        <v>657</v>
      </c>
      <c r="D22" s="787">
        <v>177000</v>
      </c>
      <c r="E22" s="787">
        <v>285429</v>
      </c>
      <c r="F22" s="787">
        <v>145000</v>
      </c>
      <c r="G22" s="787">
        <v>647000</v>
      </c>
      <c r="H22" s="787">
        <v>148500</v>
      </c>
      <c r="I22" s="787">
        <v>366000</v>
      </c>
      <c r="J22" s="787">
        <v>188671</v>
      </c>
      <c r="K22" s="786">
        <v>0.66</v>
      </c>
      <c r="L22" s="790" t="s">
        <v>283</v>
      </c>
      <c r="M22" s="792">
        <v>177000</v>
      </c>
      <c r="N22" s="792">
        <v>147000</v>
      </c>
      <c r="O22" s="792">
        <v>145000</v>
      </c>
      <c r="P22" s="792">
        <v>150000</v>
      </c>
      <c r="Q22" s="792">
        <v>345000</v>
      </c>
      <c r="R22" s="792">
        <v>387000</v>
      </c>
      <c r="S22" s="792">
        <v>647000</v>
      </c>
      <c r="T22" s="791" t="s">
        <v>283</v>
      </c>
      <c r="U22" s="791" t="s">
        <v>283</v>
      </c>
      <c r="V22" s="772" t="s">
        <v>283</v>
      </c>
      <c r="W22" s="765" t="s">
        <v>283</v>
      </c>
      <c r="X22" s="765" t="s">
        <v>283</v>
      </c>
      <c r="Y22" s="765" t="s">
        <v>283</v>
      </c>
      <c r="Z22" s="765" t="s">
        <v>283</v>
      </c>
      <c r="AA22" s="765" t="s">
        <v>283</v>
      </c>
      <c r="AB22" s="765" t="s">
        <v>283</v>
      </c>
      <c r="AC22" s="765" t="s">
        <v>283</v>
      </c>
      <c r="AD22" s="765" t="s">
        <v>283</v>
      </c>
      <c r="AE22" s="765" t="s">
        <v>283</v>
      </c>
      <c r="AF22" s="765" t="s">
        <v>283</v>
      </c>
      <c r="AG22" s="765" t="s">
        <v>283</v>
      </c>
      <c r="AH22" s="765" t="s">
        <v>283</v>
      </c>
      <c r="AI22" s="765" t="s">
        <v>283</v>
      </c>
      <c r="AJ22" s="765" t="s">
        <v>283</v>
      </c>
      <c r="AK22" s="765" t="s">
        <v>283</v>
      </c>
      <c r="AL22" s="765" t="s">
        <v>283</v>
      </c>
      <c r="AM22" s="765" t="s">
        <v>283</v>
      </c>
      <c r="AN22" s="765" t="s">
        <v>283</v>
      </c>
      <c r="AO22" s="765" t="s">
        <v>283</v>
      </c>
      <c r="AP22" s="765" t="s">
        <v>283</v>
      </c>
      <c r="AQ22" s="765" t="s">
        <v>283</v>
      </c>
      <c r="AR22" s="765" t="s">
        <v>283</v>
      </c>
      <c r="AS22" s="765" t="s">
        <v>283</v>
      </c>
      <c r="AT22" s="765" t="s">
        <v>283</v>
      </c>
    </row>
    <row r="23" spans="1:46" ht="15">
      <c r="A23" s="765" t="s">
        <v>283</v>
      </c>
      <c r="B23" s="769" t="s">
        <v>283</v>
      </c>
      <c r="C23" s="773" t="s">
        <v>658</v>
      </c>
      <c r="D23" s="780">
        <v>279000</v>
      </c>
      <c r="E23" s="780">
        <v>240143</v>
      </c>
      <c r="F23" s="780">
        <v>34000</v>
      </c>
      <c r="G23" s="780">
        <v>412000</v>
      </c>
      <c r="H23" s="780">
        <v>147500</v>
      </c>
      <c r="I23" s="780">
        <v>330500</v>
      </c>
      <c r="J23" s="780">
        <v>144869</v>
      </c>
      <c r="K23" s="779">
        <v>0.6</v>
      </c>
      <c r="L23" s="771"/>
      <c r="M23" s="783">
        <v>241000</v>
      </c>
      <c r="N23" s="783">
        <v>279000</v>
      </c>
      <c r="O23" s="783">
        <v>304000</v>
      </c>
      <c r="P23" s="783">
        <v>412000</v>
      </c>
      <c r="Q23" s="783">
        <v>357000</v>
      </c>
      <c r="R23" s="783">
        <v>54000</v>
      </c>
      <c r="S23" s="783">
        <v>34000</v>
      </c>
      <c r="T23" s="773"/>
      <c r="U23" s="773"/>
      <c r="V23" s="772" t="s">
        <v>283</v>
      </c>
      <c r="W23" s="765" t="s">
        <v>283</v>
      </c>
      <c r="X23" s="765" t="s">
        <v>283</v>
      </c>
      <c r="Y23" s="765" t="s">
        <v>283</v>
      </c>
      <c r="Z23" s="765" t="s">
        <v>283</v>
      </c>
      <c r="AA23" s="765" t="s">
        <v>283</v>
      </c>
      <c r="AB23" s="765" t="s">
        <v>283</v>
      </c>
      <c r="AC23" s="765" t="s">
        <v>283</v>
      </c>
      <c r="AD23" s="765" t="s">
        <v>283</v>
      </c>
      <c r="AE23" s="765" t="s">
        <v>283</v>
      </c>
      <c r="AF23" s="765" t="s">
        <v>283</v>
      </c>
      <c r="AG23" s="765" t="s">
        <v>283</v>
      </c>
      <c r="AH23" s="765" t="s">
        <v>283</v>
      </c>
      <c r="AI23" s="765" t="s">
        <v>283</v>
      </c>
      <c r="AJ23" s="765" t="s">
        <v>283</v>
      </c>
      <c r="AK23" s="765" t="s">
        <v>283</v>
      </c>
      <c r="AL23" s="765" t="s">
        <v>283</v>
      </c>
      <c r="AM23" s="765" t="s">
        <v>283</v>
      </c>
      <c r="AN23" s="765" t="s">
        <v>283</v>
      </c>
      <c r="AO23" s="765" t="s">
        <v>283</v>
      </c>
      <c r="AP23" s="765" t="s">
        <v>283</v>
      </c>
      <c r="AQ23" s="765" t="s">
        <v>283</v>
      </c>
      <c r="AR23" s="765" t="s">
        <v>283</v>
      </c>
      <c r="AS23" s="765" t="s">
        <v>283</v>
      </c>
      <c r="AT23" s="765" t="s">
        <v>283</v>
      </c>
    </row>
    <row r="24" spans="1:46" ht="15">
      <c r="A24" s="765" t="s">
        <v>283</v>
      </c>
      <c r="B24" s="769" t="s">
        <v>283</v>
      </c>
      <c r="C24" s="773" t="s">
        <v>659</v>
      </c>
      <c r="D24" s="780">
        <v>59000</v>
      </c>
      <c r="E24" s="780">
        <v>535571</v>
      </c>
      <c r="F24" s="782">
        <v>-169000</v>
      </c>
      <c r="G24" s="780">
        <v>1673000</v>
      </c>
      <c r="H24" s="782">
        <v>-90000</v>
      </c>
      <c r="I24" s="780">
        <v>1183000</v>
      </c>
      <c r="J24" s="780">
        <v>788283</v>
      </c>
      <c r="K24" s="779">
        <v>1.47</v>
      </c>
      <c r="L24" s="771"/>
      <c r="M24" s="785">
        <v>-169000</v>
      </c>
      <c r="N24" s="785">
        <v>-81000</v>
      </c>
      <c r="O24" s="785">
        <v>-99000</v>
      </c>
      <c r="P24" s="783">
        <v>59000</v>
      </c>
      <c r="Q24" s="783">
        <v>1673000</v>
      </c>
      <c r="R24" s="783">
        <v>1395000</v>
      </c>
      <c r="S24" s="783">
        <v>971000</v>
      </c>
      <c r="T24" s="773"/>
      <c r="U24" s="773"/>
      <c r="V24" s="772" t="s">
        <v>283</v>
      </c>
      <c r="W24" s="765" t="s">
        <v>283</v>
      </c>
      <c r="X24" s="765" t="s">
        <v>283</v>
      </c>
      <c r="Y24" s="765" t="s">
        <v>283</v>
      </c>
      <c r="Z24" s="765" t="s">
        <v>283</v>
      </c>
      <c r="AA24" s="765" t="s">
        <v>283</v>
      </c>
      <c r="AB24" s="765" t="s">
        <v>283</v>
      </c>
      <c r="AC24" s="765" t="s">
        <v>283</v>
      </c>
      <c r="AD24" s="765" t="s">
        <v>283</v>
      </c>
      <c r="AE24" s="765" t="s">
        <v>283</v>
      </c>
      <c r="AF24" s="765" t="s">
        <v>283</v>
      </c>
      <c r="AG24" s="765" t="s">
        <v>283</v>
      </c>
      <c r="AH24" s="765" t="s">
        <v>283</v>
      </c>
      <c r="AI24" s="765" t="s">
        <v>283</v>
      </c>
      <c r="AJ24" s="765" t="s">
        <v>283</v>
      </c>
      <c r="AK24" s="765" t="s">
        <v>283</v>
      </c>
      <c r="AL24" s="765" t="s">
        <v>283</v>
      </c>
      <c r="AM24" s="765" t="s">
        <v>283</v>
      </c>
      <c r="AN24" s="765" t="s">
        <v>283</v>
      </c>
      <c r="AO24" s="765" t="s">
        <v>283</v>
      </c>
      <c r="AP24" s="765" t="s">
        <v>283</v>
      </c>
      <c r="AQ24" s="765" t="s">
        <v>283</v>
      </c>
      <c r="AR24" s="765" t="s">
        <v>283</v>
      </c>
      <c r="AS24" s="765" t="s">
        <v>283</v>
      </c>
      <c r="AT24" s="765" t="s">
        <v>283</v>
      </c>
    </row>
    <row r="25" spans="1:46" ht="15">
      <c r="A25" s="765" t="s">
        <v>283</v>
      </c>
      <c r="B25" s="769" t="s">
        <v>283</v>
      </c>
      <c r="C25" s="773" t="s">
        <v>660</v>
      </c>
      <c r="D25" s="780">
        <v>3000</v>
      </c>
      <c r="E25" s="780">
        <v>5000</v>
      </c>
      <c r="F25" s="782">
        <v>-18000</v>
      </c>
      <c r="G25" s="780">
        <v>31000</v>
      </c>
      <c r="H25" s="779">
        <v>0</v>
      </c>
      <c r="I25" s="780">
        <v>9500</v>
      </c>
      <c r="J25" s="780">
        <v>15067</v>
      </c>
      <c r="K25" s="779">
        <v>3.01</v>
      </c>
      <c r="L25" s="771"/>
      <c r="M25" s="785">
        <v>-18000</v>
      </c>
      <c r="N25" s="783">
        <v>4000</v>
      </c>
      <c r="O25" s="783">
        <v>1000</v>
      </c>
      <c r="P25" s="783">
        <v>3000</v>
      </c>
      <c r="Q25" s="783">
        <v>15000</v>
      </c>
      <c r="R25" s="783">
        <v>31000</v>
      </c>
      <c r="S25" s="785">
        <v>-1000</v>
      </c>
      <c r="T25" s="773"/>
      <c r="U25" s="773"/>
      <c r="V25" s="772" t="s">
        <v>283</v>
      </c>
      <c r="W25" s="765" t="s">
        <v>283</v>
      </c>
      <c r="X25" s="765" t="s">
        <v>283</v>
      </c>
      <c r="Y25" s="765" t="s">
        <v>283</v>
      </c>
      <c r="Z25" s="765" t="s">
        <v>283</v>
      </c>
      <c r="AA25" s="765" t="s">
        <v>283</v>
      </c>
      <c r="AB25" s="765" t="s">
        <v>283</v>
      </c>
      <c r="AC25" s="765" t="s">
        <v>283</v>
      </c>
      <c r="AD25" s="765" t="s">
        <v>283</v>
      </c>
      <c r="AE25" s="765" t="s">
        <v>283</v>
      </c>
      <c r="AF25" s="765" t="s">
        <v>283</v>
      </c>
      <c r="AG25" s="765" t="s">
        <v>283</v>
      </c>
      <c r="AH25" s="765" t="s">
        <v>283</v>
      </c>
      <c r="AI25" s="765" t="s">
        <v>283</v>
      </c>
      <c r="AJ25" s="765" t="s">
        <v>283</v>
      </c>
      <c r="AK25" s="765" t="s">
        <v>283</v>
      </c>
      <c r="AL25" s="765" t="s">
        <v>283</v>
      </c>
      <c r="AM25" s="765" t="s">
        <v>283</v>
      </c>
      <c r="AN25" s="765" t="s">
        <v>283</v>
      </c>
      <c r="AO25" s="765" t="s">
        <v>283</v>
      </c>
      <c r="AP25" s="765" t="s">
        <v>283</v>
      </c>
      <c r="AQ25" s="765" t="s">
        <v>283</v>
      </c>
      <c r="AR25" s="765" t="s">
        <v>283</v>
      </c>
      <c r="AS25" s="765" t="s">
        <v>283</v>
      </c>
      <c r="AT25" s="765" t="s">
        <v>283</v>
      </c>
    </row>
    <row r="26" spans="1:46" ht="15">
      <c r="A26" s="765" t="s">
        <v>283</v>
      </c>
      <c r="B26" s="769" t="s">
        <v>283</v>
      </c>
      <c r="C26" s="773" t="s">
        <v>661</v>
      </c>
      <c r="D26" s="774" t="s">
        <v>283</v>
      </c>
      <c r="E26" s="774" t="s">
        <v>283</v>
      </c>
      <c r="F26" s="774" t="s">
        <v>283</v>
      </c>
      <c r="G26" s="774" t="s">
        <v>283</v>
      </c>
      <c r="H26" s="774" t="s">
        <v>283</v>
      </c>
      <c r="I26" s="774" t="s">
        <v>283</v>
      </c>
      <c r="J26" s="774" t="s">
        <v>283</v>
      </c>
      <c r="K26" s="774" t="s">
        <v>283</v>
      </c>
      <c r="L26" s="771"/>
      <c r="M26" s="771"/>
      <c r="N26" s="771"/>
      <c r="O26" s="771"/>
      <c r="P26" s="771"/>
      <c r="Q26" s="771"/>
      <c r="R26" s="771"/>
      <c r="S26" s="771"/>
      <c r="T26" s="771"/>
      <c r="U26" s="771"/>
      <c r="V26" s="772" t="s">
        <v>283</v>
      </c>
      <c r="W26" s="765" t="s">
        <v>283</v>
      </c>
      <c r="X26" s="765" t="s">
        <v>283</v>
      </c>
      <c r="Y26" s="765" t="s">
        <v>283</v>
      </c>
      <c r="Z26" s="765" t="s">
        <v>283</v>
      </c>
      <c r="AA26" s="765" t="s">
        <v>283</v>
      </c>
      <c r="AB26" s="765" t="s">
        <v>283</v>
      </c>
      <c r="AC26" s="765" t="s">
        <v>283</v>
      </c>
      <c r="AD26" s="765" t="s">
        <v>283</v>
      </c>
      <c r="AE26" s="765" t="s">
        <v>283</v>
      </c>
      <c r="AF26" s="765" t="s">
        <v>283</v>
      </c>
      <c r="AG26" s="765" t="s">
        <v>283</v>
      </c>
      <c r="AH26" s="765" t="s">
        <v>283</v>
      </c>
      <c r="AI26" s="765" t="s">
        <v>283</v>
      </c>
      <c r="AJ26" s="765" t="s">
        <v>283</v>
      </c>
      <c r="AK26" s="765" t="s">
        <v>283</v>
      </c>
      <c r="AL26" s="765" t="s">
        <v>283</v>
      </c>
      <c r="AM26" s="765" t="s">
        <v>283</v>
      </c>
      <c r="AN26" s="765" t="s">
        <v>283</v>
      </c>
      <c r="AO26" s="765" t="s">
        <v>283</v>
      </c>
      <c r="AP26" s="765" t="s">
        <v>283</v>
      </c>
      <c r="AQ26" s="765" t="s">
        <v>283</v>
      </c>
      <c r="AR26" s="765" t="s">
        <v>283</v>
      </c>
      <c r="AS26" s="765" t="s">
        <v>283</v>
      </c>
      <c r="AT26" s="765" t="s">
        <v>283</v>
      </c>
    </row>
    <row r="27" spans="1:46" ht="15">
      <c r="A27" s="765" t="s">
        <v>283</v>
      </c>
      <c r="B27" s="769" t="s">
        <v>283</v>
      </c>
      <c r="C27" s="773" t="s">
        <v>662</v>
      </c>
      <c r="D27" s="779">
        <v>0</v>
      </c>
      <c r="E27" s="782">
        <v>-2333</v>
      </c>
      <c r="F27" s="782">
        <v>-7000</v>
      </c>
      <c r="G27" s="779">
        <v>0</v>
      </c>
      <c r="H27" s="782">
        <v>-3500</v>
      </c>
      <c r="I27" s="779">
        <v>0</v>
      </c>
      <c r="J27" s="780">
        <v>4041</v>
      </c>
      <c r="K27" s="781">
        <v>-1.73</v>
      </c>
      <c r="L27" s="771"/>
      <c r="M27" s="785">
        <v>-7000</v>
      </c>
      <c r="N27" s="773">
        <v>0</v>
      </c>
      <c r="O27" s="773">
        <v>0</v>
      </c>
      <c r="P27" s="773"/>
      <c r="Q27" s="773"/>
      <c r="R27" s="773"/>
      <c r="S27" s="773"/>
      <c r="T27" s="773"/>
      <c r="U27" s="773"/>
      <c r="V27" s="772" t="s">
        <v>283</v>
      </c>
      <c r="W27" s="765" t="s">
        <v>283</v>
      </c>
      <c r="X27" s="765" t="s">
        <v>283</v>
      </c>
      <c r="Y27" s="765" t="s">
        <v>283</v>
      </c>
      <c r="Z27" s="765" t="s">
        <v>283</v>
      </c>
      <c r="AA27" s="765" t="s">
        <v>283</v>
      </c>
      <c r="AB27" s="765" t="s">
        <v>283</v>
      </c>
      <c r="AC27" s="765" t="s">
        <v>283</v>
      </c>
      <c r="AD27" s="765" t="s">
        <v>283</v>
      </c>
      <c r="AE27" s="765" t="s">
        <v>283</v>
      </c>
      <c r="AF27" s="765" t="s">
        <v>283</v>
      </c>
      <c r="AG27" s="765" t="s">
        <v>283</v>
      </c>
      <c r="AH27" s="765" t="s">
        <v>283</v>
      </c>
      <c r="AI27" s="765" t="s">
        <v>283</v>
      </c>
      <c r="AJ27" s="765" t="s">
        <v>283</v>
      </c>
      <c r="AK27" s="765" t="s">
        <v>283</v>
      </c>
      <c r="AL27" s="765" t="s">
        <v>283</v>
      </c>
      <c r="AM27" s="765" t="s">
        <v>283</v>
      </c>
      <c r="AN27" s="765" t="s">
        <v>283</v>
      </c>
      <c r="AO27" s="765" t="s">
        <v>283</v>
      </c>
      <c r="AP27" s="765" t="s">
        <v>283</v>
      </c>
      <c r="AQ27" s="765" t="s">
        <v>283</v>
      </c>
      <c r="AR27" s="765" t="s">
        <v>283</v>
      </c>
      <c r="AS27" s="765" t="s">
        <v>283</v>
      </c>
      <c r="AT27" s="765" t="s">
        <v>283</v>
      </c>
    </row>
    <row r="28" spans="1:46" ht="15">
      <c r="A28" s="765" t="s">
        <v>283</v>
      </c>
      <c r="B28" s="769" t="s">
        <v>283</v>
      </c>
      <c r="C28" s="773" t="s">
        <v>663</v>
      </c>
      <c r="D28" s="780">
        <v>39000</v>
      </c>
      <c r="E28" s="780">
        <v>60800</v>
      </c>
      <c r="F28" s="782">
        <v>-37000</v>
      </c>
      <c r="G28" s="780">
        <v>294000</v>
      </c>
      <c r="H28" s="782">
        <v>-34000</v>
      </c>
      <c r="I28" s="780">
        <v>42000</v>
      </c>
      <c r="J28" s="780">
        <v>135797</v>
      </c>
      <c r="K28" s="779">
        <v>2.23</v>
      </c>
      <c r="L28" s="771"/>
      <c r="M28" s="785">
        <v>-34000</v>
      </c>
      <c r="N28" s="773"/>
      <c r="O28" s="783">
        <v>39000</v>
      </c>
      <c r="P28" s="783">
        <v>294000</v>
      </c>
      <c r="Q28" s="785">
        <v>-37000</v>
      </c>
      <c r="R28" s="783">
        <v>42000</v>
      </c>
      <c r="S28" s="773"/>
      <c r="T28" s="773"/>
      <c r="U28" s="773"/>
      <c r="V28" s="772" t="s">
        <v>283</v>
      </c>
      <c r="W28" s="765" t="s">
        <v>283</v>
      </c>
      <c r="X28" s="765" t="s">
        <v>283</v>
      </c>
      <c r="Y28" s="765" t="s">
        <v>283</v>
      </c>
      <c r="Z28" s="765" t="s">
        <v>283</v>
      </c>
      <c r="AA28" s="765" t="s">
        <v>283</v>
      </c>
      <c r="AB28" s="765" t="s">
        <v>283</v>
      </c>
      <c r="AC28" s="765" t="s">
        <v>283</v>
      </c>
      <c r="AD28" s="765" t="s">
        <v>283</v>
      </c>
      <c r="AE28" s="765" t="s">
        <v>283</v>
      </c>
      <c r="AF28" s="765" t="s">
        <v>283</v>
      </c>
      <c r="AG28" s="765" t="s">
        <v>283</v>
      </c>
      <c r="AH28" s="765" t="s">
        <v>283</v>
      </c>
      <c r="AI28" s="765" t="s">
        <v>283</v>
      </c>
      <c r="AJ28" s="765" t="s">
        <v>283</v>
      </c>
      <c r="AK28" s="765" t="s">
        <v>283</v>
      </c>
      <c r="AL28" s="765" t="s">
        <v>283</v>
      </c>
      <c r="AM28" s="765" t="s">
        <v>283</v>
      </c>
      <c r="AN28" s="765" t="s">
        <v>283</v>
      </c>
      <c r="AO28" s="765" t="s">
        <v>283</v>
      </c>
      <c r="AP28" s="765" t="s">
        <v>283</v>
      </c>
      <c r="AQ28" s="765" t="s">
        <v>283</v>
      </c>
      <c r="AR28" s="765" t="s">
        <v>283</v>
      </c>
      <c r="AS28" s="765" t="s">
        <v>283</v>
      </c>
      <c r="AT28" s="765" t="s">
        <v>283</v>
      </c>
    </row>
    <row r="29" spans="1:46" ht="15">
      <c r="A29" s="765" t="s">
        <v>283</v>
      </c>
      <c r="B29" s="769" t="s">
        <v>283</v>
      </c>
      <c r="C29" s="773" t="s">
        <v>664</v>
      </c>
      <c r="D29" s="780">
        <v>8000</v>
      </c>
      <c r="E29" s="780">
        <v>6333</v>
      </c>
      <c r="F29" s="782">
        <v>-1000</v>
      </c>
      <c r="G29" s="780">
        <v>8000</v>
      </c>
      <c r="H29" s="780">
        <v>7250</v>
      </c>
      <c r="I29" s="780">
        <v>8000</v>
      </c>
      <c r="J29" s="780">
        <v>3615</v>
      </c>
      <c r="K29" s="779">
        <v>0.56999999999999995</v>
      </c>
      <c r="L29" s="771"/>
      <c r="M29" s="785">
        <v>-1000</v>
      </c>
      <c r="N29" s="783">
        <v>8000</v>
      </c>
      <c r="O29" s="783">
        <v>7000</v>
      </c>
      <c r="P29" s="783">
        <v>8000</v>
      </c>
      <c r="Q29" s="783">
        <v>8000</v>
      </c>
      <c r="R29" s="783">
        <v>8000</v>
      </c>
      <c r="S29" s="773"/>
      <c r="T29" s="773"/>
      <c r="U29" s="773"/>
      <c r="V29" s="772" t="s">
        <v>283</v>
      </c>
      <c r="W29" s="765" t="s">
        <v>283</v>
      </c>
      <c r="X29" s="765" t="s">
        <v>283</v>
      </c>
      <c r="Y29" s="765" t="s">
        <v>283</v>
      </c>
      <c r="Z29" s="765" t="s">
        <v>283</v>
      </c>
      <c r="AA29" s="765" t="s">
        <v>283</v>
      </c>
      <c r="AB29" s="765" t="s">
        <v>283</v>
      </c>
      <c r="AC29" s="765" t="s">
        <v>283</v>
      </c>
      <c r="AD29" s="765" t="s">
        <v>283</v>
      </c>
      <c r="AE29" s="765" t="s">
        <v>283</v>
      </c>
      <c r="AF29" s="765" t="s">
        <v>283</v>
      </c>
      <c r="AG29" s="765" t="s">
        <v>283</v>
      </c>
      <c r="AH29" s="765" t="s">
        <v>283</v>
      </c>
      <c r="AI29" s="765" t="s">
        <v>283</v>
      </c>
      <c r="AJ29" s="765" t="s">
        <v>283</v>
      </c>
      <c r="AK29" s="765" t="s">
        <v>283</v>
      </c>
      <c r="AL29" s="765" t="s">
        <v>283</v>
      </c>
      <c r="AM29" s="765" t="s">
        <v>283</v>
      </c>
      <c r="AN29" s="765" t="s">
        <v>283</v>
      </c>
      <c r="AO29" s="765" t="s">
        <v>283</v>
      </c>
      <c r="AP29" s="765" t="s">
        <v>283</v>
      </c>
      <c r="AQ29" s="765" t="s">
        <v>283</v>
      </c>
      <c r="AR29" s="765" t="s">
        <v>283</v>
      </c>
      <c r="AS29" s="765" t="s">
        <v>283</v>
      </c>
      <c r="AT29" s="765" t="s">
        <v>283</v>
      </c>
    </row>
    <row r="30" spans="1:46" ht="15">
      <c r="A30" s="765" t="s">
        <v>283</v>
      </c>
      <c r="B30" s="769" t="s">
        <v>283</v>
      </c>
      <c r="C30" s="776" t="s">
        <v>665</v>
      </c>
      <c r="D30" s="787">
        <v>27000</v>
      </c>
      <c r="E30" s="787">
        <v>55833</v>
      </c>
      <c r="F30" s="789">
        <v>-42000</v>
      </c>
      <c r="G30" s="787">
        <v>302000</v>
      </c>
      <c r="H30" s="789">
        <v>-19750</v>
      </c>
      <c r="I30" s="787">
        <v>49000</v>
      </c>
      <c r="J30" s="787">
        <v>126321</v>
      </c>
      <c r="K30" s="786">
        <v>2.2599999999999998</v>
      </c>
      <c r="L30" s="790" t="s">
        <v>283</v>
      </c>
      <c r="M30" s="794">
        <v>-42000</v>
      </c>
      <c r="N30" s="792">
        <v>8000</v>
      </c>
      <c r="O30" s="792">
        <v>46000</v>
      </c>
      <c r="P30" s="792">
        <v>302000</v>
      </c>
      <c r="Q30" s="794">
        <v>-29000</v>
      </c>
      <c r="R30" s="792">
        <v>50000</v>
      </c>
      <c r="S30" s="791" t="s">
        <v>283</v>
      </c>
      <c r="T30" s="791" t="s">
        <v>283</v>
      </c>
      <c r="U30" s="791" t="s">
        <v>283</v>
      </c>
      <c r="V30" s="772" t="s">
        <v>283</v>
      </c>
      <c r="W30" s="765" t="s">
        <v>283</v>
      </c>
      <c r="X30" s="765" t="s">
        <v>283</v>
      </c>
      <c r="Y30" s="765" t="s">
        <v>283</v>
      </c>
      <c r="Z30" s="765" t="s">
        <v>283</v>
      </c>
      <c r="AA30" s="765" t="s">
        <v>283</v>
      </c>
      <c r="AB30" s="765" t="s">
        <v>283</v>
      </c>
      <c r="AC30" s="765" t="s">
        <v>283</v>
      </c>
      <c r="AD30" s="765" t="s">
        <v>283</v>
      </c>
      <c r="AE30" s="765" t="s">
        <v>283</v>
      </c>
      <c r="AF30" s="765" t="s">
        <v>283</v>
      </c>
      <c r="AG30" s="765" t="s">
        <v>283</v>
      </c>
      <c r="AH30" s="765" t="s">
        <v>283</v>
      </c>
      <c r="AI30" s="765" t="s">
        <v>283</v>
      </c>
      <c r="AJ30" s="765" t="s">
        <v>283</v>
      </c>
      <c r="AK30" s="765" t="s">
        <v>283</v>
      </c>
      <c r="AL30" s="765" t="s">
        <v>283</v>
      </c>
      <c r="AM30" s="765" t="s">
        <v>283</v>
      </c>
      <c r="AN30" s="765" t="s">
        <v>283</v>
      </c>
      <c r="AO30" s="765" t="s">
        <v>283</v>
      </c>
      <c r="AP30" s="765" t="s">
        <v>283</v>
      </c>
      <c r="AQ30" s="765" t="s">
        <v>283</v>
      </c>
      <c r="AR30" s="765" t="s">
        <v>283</v>
      </c>
      <c r="AS30" s="765" t="s">
        <v>283</v>
      </c>
      <c r="AT30" s="765" t="s">
        <v>283</v>
      </c>
    </row>
    <row r="31" spans="1:46" ht="15">
      <c r="A31" s="765" t="s">
        <v>283</v>
      </c>
      <c r="B31" s="769" t="s">
        <v>283</v>
      </c>
      <c r="C31" s="773" t="s">
        <v>666</v>
      </c>
      <c r="D31" s="774" t="s">
        <v>283</v>
      </c>
      <c r="E31" s="774" t="s">
        <v>283</v>
      </c>
      <c r="F31" s="774" t="s">
        <v>283</v>
      </c>
      <c r="G31" s="774" t="s">
        <v>283</v>
      </c>
      <c r="H31" s="774" t="s">
        <v>283</v>
      </c>
      <c r="I31" s="774" t="s">
        <v>283</v>
      </c>
      <c r="J31" s="774" t="s">
        <v>283</v>
      </c>
      <c r="K31" s="774" t="s">
        <v>283</v>
      </c>
      <c r="L31" s="771"/>
      <c r="M31" s="771"/>
      <c r="N31" s="771"/>
      <c r="O31" s="771"/>
      <c r="P31" s="771"/>
      <c r="Q31" s="771"/>
      <c r="R31" s="771"/>
      <c r="S31" s="771"/>
      <c r="T31" s="771"/>
      <c r="U31" s="771"/>
      <c r="V31" s="772" t="s">
        <v>283</v>
      </c>
      <c r="W31" s="765" t="s">
        <v>283</v>
      </c>
      <c r="X31" s="765" t="s">
        <v>283</v>
      </c>
      <c r="Y31" s="765" t="s">
        <v>283</v>
      </c>
      <c r="Z31" s="765" t="s">
        <v>283</v>
      </c>
      <c r="AA31" s="765" t="s">
        <v>283</v>
      </c>
      <c r="AB31" s="765" t="s">
        <v>283</v>
      </c>
      <c r="AC31" s="765" t="s">
        <v>283</v>
      </c>
      <c r="AD31" s="765" t="s">
        <v>283</v>
      </c>
      <c r="AE31" s="765" t="s">
        <v>283</v>
      </c>
      <c r="AF31" s="765" t="s">
        <v>283</v>
      </c>
      <c r="AG31" s="765" t="s">
        <v>283</v>
      </c>
      <c r="AH31" s="765" t="s">
        <v>283</v>
      </c>
      <c r="AI31" s="765" t="s">
        <v>283</v>
      </c>
      <c r="AJ31" s="765" t="s">
        <v>283</v>
      </c>
      <c r="AK31" s="765" t="s">
        <v>283</v>
      </c>
      <c r="AL31" s="765" t="s">
        <v>283</v>
      </c>
      <c r="AM31" s="765" t="s">
        <v>283</v>
      </c>
      <c r="AN31" s="765" t="s">
        <v>283</v>
      </c>
      <c r="AO31" s="765" t="s">
        <v>283</v>
      </c>
      <c r="AP31" s="765" t="s">
        <v>283</v>
      </c>
      <c r="AQ31" s="765" t="s">
        <v>283</v>
      </c>
      <c r="AR31" s="765" t="s">
        <v>283</v>
      </c>
      <c r="AS31" s="765" t="s">
        <v>283</v>
      </c>
      <c r="AT31" s="765" t="s">
        <v>283</v>
      </c>
    </row>
    <row r="32" spans="1:46" ht="15">
      <c r="A32" s="765" t="s">
        <v>283</v>
      </c>
      <c r="B32" s="769" t="s">
        <v>283</v>
      </c>
      <c r="C32" s="773" t="s">
        <v>667</v>
      </c>
      <c r="D32" s="774" t="s">
        <v>283</v>
      </c>
      <c r="E32" s="774" t="s">
        <v>283</v>
      </c>
      <c r="F32" s="774" t="s">
        <v>283</v>
      </c>
      <c r="G32" s="774" t="s">
        <v>283</v>
      </c>
      <c r="H32" s="774" t="s">
        <v>283</v>
      </c>
      <c r="I32" s="774" t="s">
        <v>283</v>
      </c>
      <c r="J32" s="774" t="s">
        <v>283</v>
      </c>
      <c r="K32" s="774" t="s">
        <v>283</v>
      </c>
      <c r="L32" s="771"/>
      <c r="M32" s="771"/>
      <c r="N32" s="771"/>
      <c r="O32" s="771"/>
      <c r="P32" s="771"/>
      <c r="Q32" s="771"/>
      <c r="R32" s="771"/>
      <c r="S32" s="771"/>
      <c r="T32" s="771"/>
      <c r="U32" s="771"/>
      <c r="V32" s="772" t="s">
        <v>283</v>
      </c>
      <c r="W32" s="765" t="s">
        <v>283</v>
      </c>
      <c r="X32" s="765" t="s">
        <v>283</v>
      </c>
      <c r="Y32" s="765" t="s">
        <v>283</v>
      </c>
      <c r="Z32" s="765" t="s">
        <v>283</v>
      </c>
      <c r="AA32" s="765" t="s">
        <v>283</v>
      </c>
      <c r="AB32" s="765" t="s">
        <v>283</v>
      </c>
      <c r="AC32" s="765" t="s">
        <v>283</v>
      </c>
      <c r="AD32" s="765" t="s">
        <v>283</v>
      </c>
      <c r="AE32" s="765" t="s">
        <v>283</v>
      </c>
      <c r="AF32" s="765" t="s">
        <v>283</v>
      </c>
      <c r="AG32" s="765" t="s">
        <v>283</v>
      </c>
      <c r="AH32" s="765" t="s">
        <v>283</v>
      </c>
      <c r="AI32" s="765" t="s">
        <v>283</v>
      </c>
      <c r="AJ32" s="765" t="s">
        <v>283</v>
      </c>
      <c r="AK32" s="765" t="s">
        <v>283</v>
      </c>
      <c r="AL32" s="765" t="s">
        <v>283</v>
      </c>
      <c r="AM32" s="765" t="s">
        <v>283</v>
      </c>
      <c r="AN32" s="765" t="s">
        <v>283</v>
      </c>
      <c r="AO32" s="765" t="s">
        <v>283</v>
      </c>
      <c r="AP32" s="765" t="s">
        <v>283</v>
      </c>
      <c r="AQ32" s="765" t="s">
        <v>283</v>
      </c>
      <c r="AR32" s="765" t="s">
        <v>283</v>
      </c>
      <c r="AS32" s="765" t="s">
        <v>283</v>
      </c>
      <c r="AT32" s="765" t="s">
        <v>283</v>
      </c>
    </row>
    <row r="33" spans="1:46" ht="15">
      <c r="A33" s="765" t="s">
        <v>283</v>
      </c>
      <c r="B33" s="769" t="s">
        <v>283</v>
      </c>
      <c r="C33" s="773" t="s">
        <v>668</v>
      </c>
      <c r="D33" s="782">
        <v>-1000</v>
      </c>
      <c r="E33" s="782">
        <v>-1857</v>
      </c>
      <c r="F33" s="782">
        <v>-11000</v>
      </c>
      <c r="G33" s="780">
        <v>9000</v>
      </c>
      <c r="H33" s="782">
        <v>-6500</v>
      </c>
      <c r="I33" s="780">
        <v>1500</v>
      </c>
      <c r="J33" s="780">
        <v>6986</v>
      </c>
      <c r="K33" s="781">
        <v>-3.76</v>
      </c>
      <c r="L33" s="771"/>
      <c r="M33" s="783">
        <v>1000</v>
      </c>
      <c r="N33" s="785">
        <v>-10000</v>
      </c>
      <c r="O33" s="785">
        <v>-11000</v>
      </c>
      <c r="P33" s="785">
        <v>-3000</v>
      </c>
      <c r="Q33" s="785">
        <v>-1000</v>
      </c>
      <c r="R33" s="783">
        <v>9000</v>
      </c>
      <c r="S33" s="783">
        <v>2000</v>
      </c>
      <c r="T33" s="773"/>
      <c r="U33" s="773"/>
      <c r="V33" s="772" t="s">
        <v>283</v>
      </c>
      <c r="W33" s="765" t="s">
        <v>283</v>
      </c>
      <c r="X33" s="765" t="s">
        <v>283</v>
      </c>
      <c r="Y33" s="765" t="s">
        <v>283</v>
      </c>
      <c r="Z33" s="765" t="s">
        <v>283</v>
      </c>
      <c r="AA33" s="765" t="s">
        <v>283</v>
      </c>
      <c r="AB33" s="765" t="s">
        <v>283</v>
      </c>
      <c r="AC33" s="765" t="s">
        <v>283</v>
      </c>
      <c r="AD33" s="765" t="s">
        <v>283</v>
      </c>
      <c r="AE33" s="765" t="s">
        <v>283</v>
      </c>
      <c r="AF33" s="765" t="s">
        <v>283</v>
      </c>
      <c r="AG33" s="765" t="s">
        <v>283</v>
      </c>
      <c r="AH33" s="765" t="s">
        <v>283</v>
      </c>
      <c r="AI33" s="765" t="s">
        <v>283</v>
      </c>
      <c r="AJ33" s="765" t="s">
        <v>283</v>
      </c>
      <c r="AK33" s="765" t="s">
        <v>283</v>
      </c>
      <c r="AL33" s="765" t="s">
        <v>283</v>
      </c>
      <c r="AM33" s="765" t="s">
        <v>283</v>
      </c>
      <c r="AN33" s="765" t="s">
        <v>283</v>
      </c>
      <c r="AO33" s="765" t="s">
        <v>283</v>
      </c>
      <c r="AP33" s="765" t="s">
        <v>283</v>
      </c>
      <c r="AQ33" s="765" t="s">
        <v>283</v>
      </c>
      <c r="AR33" s="765" t="s">
        <v>283</v>
      </c>
      <c r="AS33" s="765" t="s">
        <v>283</v>
      </c>
      <c r="AT33" s="765" t="s">
        <v>283</v>
      </c>
    </row>
    <row r="34" spans="1:46" ht="15">
      <c r="A34" s="765" t="s">
        <v>283</v>
      </c>
      <c r="B34" s="769" t="s">
        <v>283</v>
      </c>
      <c r="C34" s="773" t="s">
        <v>669</v>
      </c>
      <c r="D34" s="782">
        <v>-1000</v>
      </c>
      <c r="E34" s="782">
        <v>-1000</v>
      </c>
      <c r="F34" s="782">
        <v>-2000</v>
      </c>
      <c r="G34" s="779">
        <v>0</v>
      </c>
      <c r="H34" s="782">
        <v>-2000</v>
      </c>
      <c r="I34" s="779">
        <v>0</v>
      </c>
      <c r="J34" s="780">
        <v>1155</v>
      </c>
      <c r="K34" s="781">
        <v>-1.1499999999999999</v>
      </c>
      <c r="L34" s="771"/>
      <c r="M34" s="773"/>
      <c r="N34" s="773"/>
      <c r="O34" s="773"/>
      <c r="P34" s="785">
        <v>-2000</v>
      </c>
      <c r="Q34" s="785">
        <v>-2000</v>
      </c>
      <c r="R34" s="773">
        <v>0</v>
      </c>
      <c r="S34" s="773">
        <v>0</v>
      </c>
      <c r="T34" s="773"/>
      <c r="U34" s="773"/>
      <c r="V34" s="772" t="s">
        <v>283</v>
      </c>
      <c r="W34" s="765" t="s">
        <v>283</v>
      </c>
      <c r="X34" s="765" t="s">
        <v>283</v>
      </c>
      <c r="Y34" s="765" t="s">
        <v>283</v>
      </c>
      <c r="Z34" s="765" t="s">
        <v>283</v>
      </c>
      <c r="AA34" s="765" t="s">
        <v>283</v>
      </c>
      <c r="AB34" s="765" t="s">
        <v>283</v>
      </c>
      <c r="AC34" s="765" t="s">
        <v>283</v>
      </c>
      <c r="AD34" s="765" t="s">
        <v>283</v>
      </c>
      <c r="AE34" s="765" t="s">
        <v>283</v>
      </c>
      <c r="AF34" s="765" t="s">
        <v>283</v>
      </c>
      <c r="AG34" s="765" t="s">
        <v>283</v>
      </c>
      <c r="AH34" s="765" t="s">
        <v>283</v>
      </c>
      <c r="AI34" s="765" t="s">
        <v>283</v>
      </c>
      <c r="AJ34" s="765" t="s">
        <v>283</v>
      </c>
      <c r="AK34" s="765" t="s">
        <v>283</v>
      </c>
      <c r="AL34" s="765" t="s">
        <v>283</v>
      </c>
      <c r="AM34" s="765" t="s">
        <v>283</v>
      </c>
      <c r="AN34" s="765" t="s">
        <v>283</v>
      </c>
      <c r="AO34" s="765" t="s">
        <v>283</v>
      </c>
      <c r="AP34" s="765" t="s">
        <v>283</v>
      </c>
      <c r="AQ34" s="765" t="s">
        <v>283</v>
      </c>
      <c r="AR34" s="765" t="s">
        <v>283</v>
      </c>
      <c r="AS34" s="765" t="s">
        <v>283</v>
      </c>
      <c r="AT34" s="765" t="s">
        <v>283</v>
      </c>
    </row>
    <row r="35" spans="1:46" ht="15">
      <c r="A35" s="765" t="s">
        <v>283</v>
      </c>
      <c r="B35" s="769" t="s">
        <v>283</v>
      </c>
      <c r="C35" s="776" t="s">
        <v>670</v>
      </c>
      <c r="D35" s="789">
        <v>-3000</v>
      </c>
      <c r="E35" s="789">
        <v>-2429</v>
      </c>
      <c r="F35" s="789">
        <v>-11000</v>
      </c>
      <c r="G35" s="787">
        <v>9000</v>
      </c>
      <c r="H35" s="789">
        <v>-7500</v>
      </c>
      <c r="I35" s="787">
        <v>1500</v>
      </c>
      <c r="J35" s="787">
        <v>7068</v>
      </c>
      <c r="K35" s="788">
        <v>-2.91</v>
      </c>
      <c r="L35" s="790" t="s">
        <v>283</v>
      </c>
      <c r="M35" s="792">
        <v>1000</v>
      </c>
      <c r="N35" s="794">
        <v>-10000</v>
      </c>
      <c r="O35" s="794">
        <v>-11000</v>
      </c>
      <c r="P35" s="794">
        <v>-5000</v>
      </c>
      <c r="Q35" s="794">
        <v>-3000</v>
      </c>
      <c r="R35" s="792">
        <v>9000</v>
      </c>
      <c r="S35" s="792">
        <v>2000</v>
      </c>
      <c r="T35" s="791" t="s">
        <v>283</v>
      </c>
      <c r="U35" s="791" t="s">
        <v>283</v>
      </c>
      <c r="V35" s="772" t="s">
        <v>283</v>
      </c>
      <c r="W35" s="765" t="s">
        <v>283</v>
      </c>
      <c r="X35" s="765" t="s">
        <v>283</v>
      </c>
      <c r="Y35" s="765" t="s">
        <v>283</v>
      </c>
      <c r="Z35" s="765" t="s">
        <v>283</v>
      </c>
      <c r="AA35" s="765" t="s">
        <v>283</v>
      </c>
      <c r="AB35" s="765" t="s">
        <v>283</v>
      </c>
      <c r="AC35" s="765" t="s">
        <v>283</v>
      </c>
      <c r="AD35" s="765" t="s">
        <v>283</v>
      </c>
      <c r="AE35" s="765" t="s">
        <v>283</v>
      </c>
      <c r="AF35" s="765" t="s">
        <v>283</v>
      </c>
      <c r="AG35" s="765" t="s">
        <v>283</v>
      </c>
      <c r="AH35" s="765" t="s">
        <v>283</v>
      </c>
      <c r="AI35" s="765" t="s">
        <v>283</v>
      </c>
      <c r="AJ35" s="765" t="s">
        <v>283</v>
      </c>
      <c r="AK35" s="765" t="s">
        <v>283</v>
      </c>
      <c r="AL35" s="765" t="s">
        <v>283</v>
      </c>
      <c r="AM35" s="765" t="s">
        <v>283</v>
      </c>
      <c r="AN35" s="765" t="s">
        <v>283</v>
      </c>
      <c r="AO35" s="765" t="s">
        <v>283</v>
      </c>
      <c r="AP35" s="765" t="s">
        <v>283</v>
      </c>
      <c r="AQ35" s="765" t="s">
        <v>283</v>
      </c>
      <c r="AR35" s="765" t="s">
        <v>283</v>
      </c>
      <c r="AS35" s="765" t="s">
        <v>283</v>
      </c>
      <c r="AT35" s="765" t="s">
        <v>283</v>
      </c>
    </row>
    <row r="36" spans="1:46" ht="15">
      <c r="A36" s="765" t="s">
        <v>283</v>
      </c>
      <c r="B36" s="769" t="s">
        <v>283</v>
      </c>
      <c r="C36" s="773" t="s">
        <v>671</v>
      </c>
      <c r="D36" s="780">
        <v>15000</v>
      </c>
      <c r="E36" s="780">
        <v>24800</v>
      </c>
      <c r="F36" s="779">
        <v>0</v>
      </c>
      <c r="G36" s="780">
        <v>60000</v>
      </c>
      <c r="H36" s="780">
        <v>6000</v>
      </c>
      <c r="I36" s="780">
        <v>43000</v>
      </c>
      <c r="J36" s="780">
        <v>25665</v>
      </c>
      <c r="K36" s="779">
        <v>1.03</v>
      </c>
      <c r="L36" s="771"/>
      <c r="M36" s="773"/>
      <c r="N36" s="773">
        <v>0</v>
      </c>
      <c r="O36" s="773"/>
      <c r="P36" s="783">
        <v>6000</v>
      </c>
      <c r="Q36" s="783">
        <v>15000</v>
      </c>
      <c r="R36" s="783">
        <v>43000</v>
      </c>
      <c r="S36" s="783">
        <v>60000</v>
      </c>
      <c r="T36" s="773"/>
      <c r="U36" s="773"/>
      <c r="V36" s="772" t="s">
        <v>283</v>
      </c>
      <c r="W36" s="765" t="s">
        <v>283</v>
      </c>
      <c r="X36" s="765" t="s">
        <v>283</v>
      </c>
      <c r="Y36" s="765" t="s">
        <v>283</v>
      </c>
      <c r="Z36" s="765" t="s">
        <v>283</v>
      </c>
      <c r="AA36" s="765" t="s">
        <v>283</v>
      </c>
      <c r="AB36" s="765" t="s">
        <v>283</v>
      </c>
      <c r="AC36" s="765" t="s">
        <v>283</v>
      </c>
      <c r="AD36" s="765" t="s">
        <v>283</v>
      </c>
      <c r="AE36" s="765" t="s">
        <v>283</v>
      </c>
      <c r="AF36" s="765" t="s">
        <v>283</v>
      </c>
      <c r="AG36" s="765" t="s">
        <v>283</v>
      </c>
      <c r="AH36" s="765" t="s">
        <v>283</v>
      </c>
      <c r="AI36" s="765" t="s">
        <v>283</v>
      </c>
      <c r="AJ36" s="765" t="s">
        <v>283</v>
      </c>
      <c r="AK36" s="765" t="s">
        <v>283</v>
      </c>
      <c r="AL36" s="765" t="s">
        <v>283</v>
      </c>
      <c r="AM36" s="765" t="s">
        <v>283</v>
      </c>
      <c r="AN36" s="765" t="s">
        <v>283</v>
      </c>
      <c r="AO36" s="765" t="s">
        <v>283</v>
      </c>
      <c r="AP36" s="765" t="s">
        <v>283</v>
      </c>
      <c r="AQ36" s="765" t="s">
        <v>283</v>
      </c>
      <c r="AR36" s="765" t="s">
        <v>283</v>
      </c>
      <c r="AS36" s="765" t="s">
        <v>283</v>
      </c>
      <c r="AT36" s="765" t="s">
        <v>283</v>
      </c>
    </row>
    <row r="37" spans="1:46" ht="15">
      <c r="A37" s="765" t="s">
        <v>283</v>
      </c>
      <c r="B37" s="769" t="s">
        <v>283</v>
      </c>
      <c r="C37" s="773" t="s">
        <v>672</v>
      </c>
      <c r="D37" s="780">
        <v>63000</v>
      </c>
      <c r="E37" s="780">
        <v>71857</v>
      </c>
      <c r="F37" s="780">
        <v>19000</v>
      </c>
      <c r="G37" s="780">
        <v>140000</v>
      </c>
      <c r="H37" s="780">
        <v>57000</v>
      </c>
      <c r="I37" s="780">
        <v>83500</v>
      </c>
      <c r="J37" s="780">
        <v>37627</v>
      </c>
      <c r="K37" s="779">
        <v>0.52</v>
      </c>
      <c r="L37" s="771"/>
      <c r="M37" s="783">
        <v>140000</v>
      </c>
      <c r="N37" s="783">
        <v>95000</v>
      </c>
      <c r="O37" s="783">
        <v>72000</v>
      </c>
      <c r="P37" s="783">
        <v>58000</v>
      </c>
      <c r="Q37" s="783">
        <v>19000</v>
      </c>
      <c r="R37" s="783">
        <v>63000</v>
      </c>
      <c r="S37" s="783">
        <v>56000</v>
      </c>
      <c r="T37" s="773"/>
      <c r="U37" s="773"/>
      <c r="V37" s="772" t="s">
        <v>283</v>
      </c>
      <c r="W37" s="765" t="s">
        <v>283</v>
      </c>
      <c r="X37" s="765" t="s">
        <v>283</v>
      </c>
      <c r="Y37" s="765" t="s">
        <v>283</v>
      </c>
      <c r="Z37" s="765" t="s">
        <v>283</v>
      </c>
      <c r="AA37" s="765" t="s">
        <v>283</v>
      </c>
      <c r="AB37" s="765" t="s">
        <v>283</v>
      </c>
      <c r="AC37" s="765" t="s">
        <v>283</v>
      </c>
      <c r="AD37" s="765" t="s">
        <v>283</v>
      </c>
      <c r="AE37" s="765" t="s">
        <v>283</v>
      </c>
      <c r="AF37" s="765" t="s">
        <v>283</v>
      </c>
      <c r="AG37" s="765" t="s">
        <v>283</v>
      </c>
      <c r="AH37" s="765" t="s">
        <v>283</v>
      </c>
      <c r="AI37" s="765" t="s">
        <v>283</v>
      </c>
      <c r="AJ37" s="765" t="s">
        <v>283</v>
      </c>
      <c r="AK37" s="765" t="s">
        <v>283</v>
      </c>
      <c r="AL37" s="765" t="s">
        <v>283</v>
      </c>
      <c r="AM37" s="765" t="s">
        <v>283</v>
      </c>
      <c r="AN37" s="765" t="s">
        <v>283</v>
      </c>
      <c r="AO37" s="765" t="s">
        <v>283</v>
      </c>
      <c r="AP37" s="765" t="s">
        <v>283</v>
      </c>
      <c r="AQ37" s="765" t="s">
        <v>283</v>
      </c>
      <c r="AR37" s="765" t="s">
        <v>283</v>
      </c>
      <c r="AS37" s="765" t="s">
        <v>283</v>
      </c>
      <c r="AT37" s="765" t="s">
        <v>283</v>
      </c>
    </row>
    <row r="38" spans="1:46" ht="15">
      <c r="A38" s="765" t="s">
        <v>283</v>
      </c>
      <c r="B38" s="769" t="s">
        <v>283</v>
      </c>
      <c r="C38" s="776" t="s">
        <v>673</v>
      </c>
      <c r="D38" s="787">
        <v>85000</v>
      </c>
      <c r="E38" s="787">
        <v>87143</v>
      </c>
      <c r="F38" s="787">
        <v>31000</v>
      </c>
      <c r="G38" s="787">
        <v>141000</v>
      </c>
      <c r="H38" s="787">
        <v>60000</v>
      </c>
      <c r="I38" s="787">
        <v>116500</v>
      </c>
      <c r="J38" s="787">
        <v>39287</v>
      </c>
      <c r="K38" s="786">
        <v>0.45</v>
      </c>
      <c r="L38" s="790" t="s">
        <v>283</v>
      </c>
      <c r="M38" s="792">
        <v>141000</v>
      </c>
      <c r="N38" s="792">
        <v>85000</v>
      </c>
      <c r="O38" s="792">
        <v>61000</v>
      </c>
      <c r="P38" s="792">
        <v>59000</v>
      </c>
      <c r="Q38" s="792">
        <v>31000</v>
      </c>
      <c r="R38" s="792">
        <v>115000</v>
      </c>
      <c r="S38" s="792">
        <v>118000</v>
      </c>
      <c r="T38" s="791" t="s">
        <v>283</v>
      </c>
      <c r="U38" s="791" t="s">
        <v>283</v>
      </c>
      <c r="V38" s="772" t="s">
        <v>283</v>
      </c>
      <c r="W38" s="765" t="s">
        <v>283</v>
      </c>
      <c r="X38" s="765" t="s">
        <v>283</v>
      </c>
      <c r="Y38" s="765" t="s">
        <v>283</v>
      </c>
      <c r="Z38" s="765" t="s">
        <v>283</v>
      </c>
      <c r="AA38" s="765" t="s">
        <v>283</v>
      </c>
      <c r="AB38" s="765" t="s">
        <v>283</v>
      </c>
      <c r="AC38" s="765" t="s">
        <v>283</v>
      </c>
      <c r="AD38" s="765" t="s">
        <v>283</v>
      </c>
      <c r="AE38" s="765" t="s">
        <v>283</v>
      </c>
      <c r="AF38" s="765" t="s">
        <v>283</v>
      </c>
      <c r="AG38" s="765" t="s">
        <v>283</v>
      </c>
      <c r="AH38" s="765" t="s">
        <v>283</v>
      </c>
      <c r="AI38" s="765" t="s">
        <v>283</v>
      </c>
      <c r="AJ38" s="765" t="s">
        <v>283</v>
      </c>
      <c r="AK38" s="765" t="s">
        <v>283</v>
      </c>
      <c r="AL38" s="765" t="s">
        <v>283</v>
      </c>
      <c r="AM38" s="765" t="s">
        <v>283</v>
      </c>
      <c r="AN38" s="765" t="s">
        <v>283</v>
      </c>
      <c r="AO38" s="765" t="s">
        <v>283</v>
      </c>
      <c r="AP38" s="765" t="s">
        <v>283</v>
      </c>
      <c r="AQ38" s="765" t="s">
        <v>283</v>
      </c>
      <c r="AR38" s="765" t="s">
        <v>283</v>
      </c>
      <c r="AS38" s="765" t="s">
        <v>283</v>
      </c>
      <c r="AT38" s="765" t="s">
        <v>283</v>
      </c>
    </row>
    <row r="39" spans="1:46" ht="15">
      <c r="A39" s="765" t="s">
        <v>283</v>
      </c>
      <c r="B39" s="769" t="s">
        <v>283</v>
      </c>
      <c r="C39" s="773" t="s">
        <v>674</v>
      </c>
      <c r="D39" s="779">
        <v>0</v>
      </c>
      <c r="E39" s="780">
        <v>117667</v>
      </c>
      <c r="F39" s="779">
        <v>0</v>
      </c>
      <c r="G39" s="780">
        <v>353000</v>
      </c>
      <c r="H39" s="779">
        <v>0</v>
      </c>
      <c r="I39" s="780">
        <v>176500</v>
      </c>
      <c r="J39" s="780">
        <v>203805</v>
      </c>
      <c r="K39" s="779">
        <v>1.73</v>
      </c>
      <c r="L39" s="771"/>
      <c r="M39" s="773"/>
      <c r="N39" s="773"/>
      <c r="O39" s="773"/>
      <c r="P39" s="773"/>
      <c r="Q39" s="783">
        <v>353000</v>
      </c>
      <c r="R39" s="773">
        <v>0</v>
      </c>
      <c r="S39" s="773">
        <v>0</v>
      </c>
      <c r="T39" s="773"/>
      <c r="U39" s="773"/>
      <c r="V39" s="772" t="s">
        <v>283</v>
      </c>
      <c r="W39" s="765" t="s">
        <v>283</v>
      </c>
      <c r="X39" s="765" t="s">
        <v>283</v>
      </c>
      <c r="Y39" s="765" t="s">
        <v>283</v>
      </c>
      <c r="Z39" s="765" t="s">
        <v>283</v>
      </c>
      <c r="AA39" s="765" t="s">
        <v>283</v>
      </c>
      <c r="AB39" s="765" t="s">
        <v>283</v>
      </c>
      <c r="AC39" s="765" t="s">
        <v>283</v>
      </c>
      <c r="AD39" s="765" t="s">
        <v>283</v>
      </c>
      <c r="AE39" s="765" t="s">
        <v>283</v>
      </c>
      <c r="AF39" s="765" t="s">
        <v>283</v>
      </c>
      <c r="AG39" s="765" t="s">
        <v>283</v>
      </c>
      <c r="AH39" s="765" t="s">
        <v>283</v>
      </c>
      <c r="AI39" s="765" t="s">
        <v>283</v>
      </c>
      <c r="AJ39" s="765" t="s">
        <v>283</v>
      </c>
      <c r="AK39" s="765" t="s">
        <v>283</v>
      </c>
      <c r="AL39" s="765" t="s">
        <v>283</v>
      </c>
      <c r="AM39" s="765" t="s">
        <v>283</v>
      </c>
      <c r="AN39" s="765" t="s">
        <v>283</v>
      </c>
      <c r="AO39" s="765" t="s">
        <v>283</v>
      </c>
      <c r="AP39" s="765" t="s">
        <v>283</v>
      </c>
      <c r="AQ39" s="765" t="s">
        <v>283</v>
      </c>
      <c r="AR39" s="765" t="s">
        <v>283</v>
      </c>
      <c r="AS39" s="765" t="s">
        <v>283</v>
      </c>
      <c r="AT39" s="765" t="s">
        <v>283</v>
      </c>
    </row>
    <row r="40" spans="1:46" ht="15">
      <c r="A40" s="765" t="s">
        <v>283</v>
      </c>
      <c r="B40" s="769" t="s">
        <v>283</v>
      </c>
      <c r="C40" s="776" t="s">
        <v>675</v>
      </c>
      <c r="D40" s="787">
        <v>985000</v>
      </c>
      <c r="E40" s="787">
        <v>1251571</v>
      </c>
      <c r="F40" s="787">
        <v>330000</v>
      </c>
      <c r="G40" s="787">
        <v>2745000</v>
      </c>
      <c r="H40" s="787">
        <v>450000</v>
      </c>
      <c r="I40" s="787">
        <v>1900500</v>
      </c>
      <c r="J40" s="787">
        <v>940979</v>
      </c>
      <c r="K40" s="786">
        <v>0.75</v>
      </c>
      <c r="L40" s="790" t="s">
        <v>283</v>
      </c>
      <c r="M40" s="792">
        <v>330000</v>
      </c>
      <c r="N40" s="792">
        <v>442000</v>
      </c>
      <c r="O40" s="792">
        <v>458000</v>
      </c>
      <c r="P40" s="792">
        <v>985000</v>
      </c>
      <c r="Q40" s="792">
        <v>2745000</v>
      </c>
      <c r="R40" s="792">
        <v>2032000</v>
      </c>
      <c r="S40" s="792">
        <v>1769000</v>
      </c>
      <c r="T40" s="791" t="s">
        <v>283</v>
      </c>
      <c r="U40" s="791" t="s">
        <v>283</v>
      </c>
      <c r="V40" s="772" t="s">
        <v>283</v>
      </c>
      <c r="W40" s="765" t="s">
        <v>283</v>
      </c>
      <c r="X40" s="765" t="s">
        <v>283</v>
      </c>
      <c r="Y40" s="765" t="s">
        <v>283</v>
      </c>
      <c r="Z40" s="765" t="s">
        <v>283</v>
      </c>
      <c r="AA40" s="765" t="s">
        <v>283</v>
      </c>
      <c r="AB40" s="765" t="s">
        <v>283</v>
      </c>
      <c r="AC40" s="765" t="s">
        <v>283</v>
      </c>
      <c r="AD40" s="765" t="s">
        <v>283</v>
      </c>
      <c r="AE40" s="765" t="s">
        <v>283</v>
      </c>
      <c r="AF40" s="765" t="s">
        <v>283</v>
      </c>
      <c r="AG40" s="765" t="s">
        <v>283</v>
      </c>
      <c r="AH40" s="765" t="s">
        <v>283</v>
      </c>
      <c r="AI40" s="765" t="s">
        <v>283</v>
      </c>
      <c r="AJ40" s="765" t="s">
        <v>283</v>
      </c>
      <c r="AK40" s="765" t="s">
        <v>283</v>
      </c>
      <c r="AL40" s="765" t="s">
        <v>283</v>
      </c>
      <c r="AM40" s="765" t="s">
        <v>283</v>
      </c>
      <c r="AN40" s="765" t="s">
        <v>283</v>
      </c>
      <c r="AO40" s="765" t="s">
        <v>283</v>
      </c>
      <c r="AP40" s="765" t="s">
        <v>283</v>
      </c>
      <c r="AQ40" s="765" t="s">
        <v>283</v>
      </c>
      <c r="AR40" s="765" t="s">
        <v>283</v>
      </c>
      <c r="AS40" s="765" t="s">
        <v>283</v>
      </c>
      <c r="AT40" s="765" t="s">
        <v>283</v>
      </c>
    </row>
    <row r="41" spans="1:46" ht="15">
      <c r="A41" s="765" t="s">
        <v>283</v>
      </c>
      <c r="B41" s="769" t="s">
        <v>283</v>
      </c>
      <c r="C41" s="773" t="s">
        <v>676</v>
      </c>
      <c r="D41" s="774" t="s">
        <v>283</v>
      </c>
      <c r="E41" s="774" t="s">
        <v>283</v>
      </c>
      <c r="F41" s="774" t="s">
        <v>283</v>
      </c>
      <c r="G41" s="774" t="s">
        <v>283</v>
      </c>
      <c r="H41" s="774" t="s">
        <v>283</v>
      </c>
      <c r="I41" s="774" t="s">
        <v>283</v>
      </c>
      <c r="J41" s="774" t="s">
        <v>283</v>
      </c>
      <c r="K41" s="774" t="s">
        <v>283</v>
      </c>
      <c r="L41" s="771"/>
      <c r="M41" s="771"/>
      <c r="N41" s="771"/>
      <c r="O41" s="771"/>
      <c r="P41" s="771"/>
      <c r="Q41" s="771"/>
      <c r="R41" s="771"/>
      <c r="S41" s="771"/>
      <c r="T41" s="771"/>
      <c r="U41" s="771"/>
      <c r="V41" s="772" t="s">
        <v>283</v>
      </c>
      <c r="W41" s="765" t="s">
        <v>283</v>
      </c>
      <c r="X41" s="765" t="s">
        <v>283</v>
      </c>
      <c r="Y41" s="765" t="s">
        <v>283</v>
      </c>
      <c r="Z41" s="765" t="s">
        <v>283</v>
      </c>
      <c r="AA41" s="765" t="s">
        <v>283</v>
      </c>
      <c r="AB41" s="765" t="s">
        <v>283</v>
      </c>
      <c r="AC41" s="765" t="s">
        <v>283</v>
      </c>
      <c r="AD41" s="765" t="s">
        <v>283</v>
      </c>
      <c r="AE41" s="765" t="s">
        <v>283</v>
      </c>
      <c r="AF41" s="765" t="s">
        <v>283</v>
      </c>
      <c r="AG41" s="765" t="s">
        <v>283</v>
      </c>
      <c r="AH41" s="765" t="s">
        <v>283</v>
      </c>
      <c r="AI41" s="765" t="s">
        <v>283</v>
      </c>
      <c r="AJ41" s="765" t="s">
        <v>283</v>
      </c>
      <c r="AK41" s="765" t="s">
        <v>283</v>
      </c>
      <c r="AL41" s="765" t="s">
        <v>283</v>
      </c>
      <c r="AM41" s="765" t="s">
        <v>283</v>
      </c>
      <c r="AN41" s="765" t="s">
        <v>283</v>
      </c>
      <c r="AO41" s="765" t="s">
        <v>283</v>
      </c>
      <c r="AP41" s="765" t="s">
        <v>283</v>
      </c>
      <c r="AQ41" s="765" t="s">
        <v>283</v>
      </c>
      <c r="AR41" s="765" t="s">
        <v>283</v>
      </c>
      <c r="AS41" s="765" t="s">
        <v>283</v>
      </c>
      <c r="AT41" s="765" t="s">
        <v>283</v>
      </c>
    </row>
    <row r="42" spans="1:46" ht="15">
      <c r="A42" s="765" t="s">
        <v>283</v>
      </c>
      <c r="B42" s="769" t="s">
        <v>283</v>
      </c>
      <c r="C42" s="773" t="s">
        <v>677</v>
      </c>
      <c r="D42" s="782">
        <v>-1000</v>
      </c>
      <c r="E42" s="782">
        <v>-1429</v>
      </c>
      <c r="F42" s="782">
        <v>-9000</v>
      </c>
      <c r="G42" s="780">
        <v>6000</v>
      </c>
      <c r="H42" s="782">
        <v>-5000</v>
      </c>
      <c r="I42" s="780">
        <v>2000</v>
      </c>
      <c r="J42" s="780">
        <v>5682</v>
      </c>
      <c r="K42" s="781">
        <v>-3.98</v>
      </c>
      <c r="L42" s="771"/>
      <c r="M42" s="785">
        <v>-9000</v>
      </c>
      <c r="N42" s="785">
        <v>-9000</v>
      </c>
      <c r="O42" s="785">
        <v>-1000</v>
      </c>
      <c r="P42" s="783">
        <v>6000</v>
      </c>
      <c r="Q42" s="785">
        <v>-1000</v>
      </c>
      <c r="R42" s="783">
        <v>2000</v>
      </c>
      <c r="S42" s="783">
        <v>2000</v>
      </c>
      <c r="T42" s="773"/>
      <c r="U42" s="773"/>
      <c r="V42" s="772" t="s">
        <v>283</v>
      </c>
      <c r="W42" s="765" t="s">
        <v>283</v>
      </c>
      <c r="X42" s="765" t="s">
        <v>283</v>
      </c>
      <c r="Y42" s="765" t="s">
        <v>283</v>
      </c>
      <c r="Z42" s="765" t="s">
        <v>283</v>
      </c>
      <c r="AA42" s="765" t="s">
        <v>283</v>
      </c>
      <c r="AB42" s="765" t="s">
        <v>283</v>
      </c>
      <c r="AC42" s="765" t="s">
        <v>283</v>
      </c>
      <c r="AD42" s="765" t="s">
        <v>283</v>
      </c>
      <c r="AE42" s="765" t="s">
        <v>283</v>
      </c>
      <c r="AF42" s="765" t="s">
        <v>283</v>
      </c>
      <c r="AG42" s="765" t="s">
        <v>283</v>
      </c>
      <c r="AH42" s="765" t="s">
        <v>283</v>
      </c>
      <c r="AI42" s="765" t="s">
        <v>283</v>
      </c>
      <c r="AJ42" s="765" t="s">
        <v>283</v>
      </c>
      <c r="AK42" s="765" t="s">
        <v>283</v>
      </c>
      <c r="AL42" s="765" t="s">
        <v>283</v>
      </c>
      <c r="AM42" s="765" t="s">
        <v>283</v>
      </c>
      <c r="AN42" s="765" t="s">
        <v>283</v>
      </c>
      <c r="AO42" s="765" t="s">
        <v>283</v>
      </c>
      <c r="AP42" s="765" t="s">
        <v>283</v>
      </c>
      <c r="AQ42" s="765" t="s">
        <v>283</v>
      </c>
      <c r="AR42" s="765" t="s">
        <v>283</v>
      </c>
      <c r="AS42" s="765" t="s">
        <v>283</v>
      </c>
      <c r="AT42" s="765" t="s">
        <v>283</v>
      </c>
    </row>
    <row r="43" spans="1:46" ht="15">
      <c r="A43" s="765" t="s">
        <v>283</v>
      </c>
      <c r="B43" s="769" t="s">
        <v>283</v>
      </c>
      <c r="C43" s="773" t="s">
        <v>678</v>
      </c>
      <c r="D43" s="774" t="s">
        <v>283</v>
      </c>
      <c r="E43" s="774" t="s">
        <v>283</v>
      </c>
      <c r="F43" s="774" t="s">
        <v>283</v>
      </c>
      <c r="G43" s="774" t="s">
        <v>283</v>
      </c>
      <c r="H43" s="774" t="s">
        <v>283</v>
      </c>
      <c r="I43" s="774" t="s">
        <v>283</v>
      </c>
      <c r="J43" s="774" t="s">
        <v>283</v>
      </c>
      <c r="K43" s="774" t="s">
        <v>283</v>
      </c>
      <c r="L43" s="771"/>
      <c r="M43" s="771"/>
      <c r="N43" s="771"/>
      <c r="O43" s="771"/>
      <c r="P43" s="771"/>
      <c r="Q43" s="771"/>
      <c r="R43" s="771"/>
      <c r="S43" s="771"/>
      <c r="T43" s="771"/>
      <c r="U43" s="771"/>
      <c r="V43" s="772" t="s">
        <v>283</v>
      </c>
      <c r="W43" s="765" t="s">
        <v>283</v>
      </c>
      <c r="X43" s="765" t="s">
        <v>283</v>
      </c>
      <c r="Y43" s="765" t="s">
        <v>283</v>
      </c>
      <c r="Z43" s="765" t="s">
        <v>283</v>
      </c>
      <c r="AA43" s="765" t="s">
        <v>283</v>
      </c>
      <c r="AB43" s="765" t="s">
        <v>283</v>
      </c>
      <c r="AC43" s="765" t="s">
        <v>283</v>
      </c>
      <c r="AD43" s="765" t="s">
        <v>283</v>
      </c>
      <c r="AE43" s="765" t="s">
        <v>283</v>
      </c>
      <c r="AF43" s="765" t="s">
        <v>283</v>
      </c>
      <c r="AG43" s="765" t="s">
        <v>283</v>
      </c>
      <c r="AH43" s="765" t="s">
        <v>283</v>
      </c>
      <c r="AI43" s="765" t="s">
        <v>283</v>
      </c>
      <c r="AJ43" s="765" t="s">
        <v>283</v>
      </c>
      <c r="AK43" s="765" t="s">
        <v>283</v>
      </c>
      <c r="AL43" s="765" t="s">
        <v>283</v>
      </c>
      <c r="AM43" s="765" t="s">
        <v>283</v>
      </c>
      <c r="AN43" s="765" t="s">
        <v>283</v>
      </c>
      <c r="AO43" s="765" t="s">
        <v>283</v>
      </c>
      <c r="AP43" s="765" t="s">
        <v>283</v>
      </c>
      <c r="AQ43" s="765" t="s">
        <v>283</v>
      </c>
      <c r="AR43" s="765" t="s">
        <v>283</v>
      </c>
      <c r="AS43" s="765" t="s">
        <v>283</v>
      </c>
      <c r="AT43" s="765" t="s">
        <v>283</v>
      </c>
    </row>
    <row r="44" spans="1:46" ht="15">
      <c r="A44" s="765" t="s">
        <v>283</v>
      </c>
      <c r="B44" s="769" t="s">
        <v>283</v>
      </c>
      <c r="C44" s="773" t="s">
        <v>679</v>
      </c>
      <c r="D44" s="782">
        <v>-50000</v>
      </c>
      <c r="E44" s="782">
        <v>-52400</v>
      </c>
      <c r="F44" s="782">
        <v>-97000</v>
      </c>
      <c r="G44" s="782">
        <v>-10000</v>
      </c>
      <c r="H44" s="782">
        <v>-94000</v>
      </c>
      <c r="I44" s="782">
        <v>-11000</v>
      </c>
      <c r="J44" s="780">
        <v>42536</v>
      </c>
      <c r="K44" s="781">
        <v>-0.81</v>
      </c>
      <c r="L44" s="771"/>
      <c r="M44" s="785">
        <v>-10000</v>
      </c>
      <c r="N44" s="785">
        <v>-97000</v>
      </c>
      <c r="O44" s="785">
        <v>-11000</v>
      </c>
      <c r="P44" s="785">
        <v>-50000</v>
      </c>
      <c r="Q44" s="785">
        <v>-94000</v>
      </c>
      <c r="R44" s="773"/>
      <c r="S44" s="773"/>
      <c r="T44" s="773"/>
      <c r="U44" s="773"/>
      <c r="V44" s="772" t="s">
        <v>283</v>
      </c>
      <c r="W44" s="765" t="s">
        <v>283</v>
      </c>
      <c r="X44" s="765" t="s">
        <v>283</v>
      </c>
      <c r="Y44" s="765" t="s">
        <v>283</v>
      </c>
      <c r="Z44" s="765" t="s">
        <v>283</v>
      </c>
      <c r="AA44" s="765" t="s">
        <v>283</v>
      </c>
      <c r="AB44" s="765" t="s">
        <v>283</v>
      </c>
      <c r="AC44" s="765" t="s">
        <v>283</v>
      </c>
      <c r="AD44" s="765" t="s">
        <v>283</v>
      </c>
      <c r="AE44" s="765" t="s">
        <v>283</v>
      </c>
      <c r="AF44" s="765" t="s">
        <v>283</v>
      </c>
      <c r="AG44" s="765" t="s">
        <v>283</v>
      </c>
      <c r="AH44" s="765" t="s">
        <v>283</v>
      </c>
      <c r="AI44" s="765" t="s">
        <v>283</v>
      </c>
      <c r="AJ44" s="765" t="s">
        <v>283</v>
      </c>
      <c r="AK44" s="765" t="s">
        <v>283</v>
      </c>
      <c r="AL44" s="765" t="s">
        <v>283</v>
      </c>
      <c r="AM44" s="765" t="s">
        <v>283</v>
      </c>
      <c r="AN44" s="765" t="s">
        <v>283</v>
      </c>
      <c r="AO44" s="765" t="s">
        <v>283</v>
      </c>
      <c r="AP44" s="765" t="s">
        <v>283</v>
      </c>
      <c r="AQ44" s="765" t="s">
        <v>283</v>
      </c>
      <c r="AR44" s="765" t="s">
        <v>283</v>
      </c>
      <c r="AS44" s="765" t="s">
        <v>283</v>
      </c>
      <c r="AT44" s="765" t="s">
        <v>283</v>
      </c>
    </row>
    <row r="45" spans="1:46" ht="15">
      <c r="A45" s="765" t="s">
        <v>283</v>
      </c>
      <c r="B45" s="769" t="s">
        <v>283</v>
      </c>
      <c r="C45" s="773" t="s">
        <v>680</v>
      </c>
      <c r="D45" s="782">
        <v>-184000</v>
      </c>
      <c r="E45" s="782">
        <v>-269600</v>
      </c>
      <c r="F45" s="782">
        <v>-691000</v>
      </c>
      <c r="G45" s="782">
        <v>-87000</v>
      </c>
      <c r="H45" s="782">
        <v>-276000</v>
      </c>
      <c r="I45" s="782">
        <v>-110000</v>
      </c>
      <c r="J45" s="780">
        <v>246861</v>
      </c>
      <c r="K45" s="781">
        <v>-0.92</v>
      </c>
      <c r="L45" s="771"/>
      <c r="M45" s="785">
        <v>-691000</v>
      </c>
      <c r="N45" s="785">
        <v>-276000</v>
      </c>
      <c r="O45" s="785">
        <v>-184000</v>
      </c>
      <c r="P45" s="785">
        <v>-110000</v>
      </c>
      <c r="Q45" s="785">
        <v>-87000</v>
      </c>
      <c r="R45" s="773"/>
      <c r="S45" s="773"/>
      <c r="T45" s="773"/>
      <c r="U45" s="773"/>
      <c r="V45" s="772" t="s">
        <v>283</v>
      </c>
      <c r="W45" s="765" t="s">
        <v>283</v>
      </c>
      <c r="X45" s="765" t="s">
        <v>283</v>
      </c>
      <c r="Y45" s="765" t="s">
        <v>283</v>
      </c>
      <c r="Z45" s="765" t="s">
        <v>283</v>
      </c>
      <c r="AA45" s="765" t="s">
        <v>283</v>
      </c>
      <c r="AB45" s="765" t="s">
        <v>283</v>
      </c>
      <c r="AC45" s="765" t="s">
        <v>283</v>
      </c>
      <c r="AD45" s="765" t="s">
        <v>283</v>
      </c>
      <c r="AE45" s="765" t="s">
        <v>283</v>
      </c>
      <c r="AF45" s="765" t="s">
        <v>283</v>
      </c>
      <c r="AG45" s="765" t="s">
        <v>283</v>
      </c>
      <c r="AH45" s="765" t="s">
        <v>283</v>
      </c>
      <c r="AI45" s="765" t="s">
        <v>283</v>
      </c>
      <c r="AJ45" s="765" t="s">
        <v>283</v>
      </c>
      <c r="AK45" s="765" t="s">
        <v>283</v>
      </c>
      <c r="AL45" s="765" t="s">
        <v>283</v>
      </c>
      <c r="AM45" s="765" t="s">
        <v>283</v>
      </c>
      <c r="AN45" s="765" t="s">
        <v>283</v>
      </c>
      <c r="AO45" s="765" t="s">
        <v>283</v>
      </c>
      <c r="AP45" s="765" t="s">
        <v>283</v>
      </c>
      <c r="AQ45" s="765" t="s">
        <v>283</v>
      </c>
      <c r="AR45" s="765" t="s">
        <v>283</v>
      </c>
      <c r="AS45" s="765" t="s">
        <v>283</v>
      </c>
      <c r="AT45" s="765" t="s">
        <v>283</v>
      </c>
    </row>
    <row r="46" spans="1:46" ht="15">
      <c r="A46" s="765" t="s">
        <v>283</v>
      </c>
      <c r="B46" s="769" t="s">
        <v>283</v>
      </c>
      <c r="C46" s="776" t="s">
        <v>681</v>
      </c>
      <c r="D46" s="789">
        <v>-181000</v>
      </c>
      <c r="E46" s="789">
        <v>-236286</v>
      </c>
      <c r="F46" s="789">
        <v>-701000</v>
      </c>
      <c r="G46" s="787">
        <v>31000</v>
      </c>
      <c r="H46" s="789">
        <v>-284000</v>
      </c>
      <c r="I46" s="789">
        <v>-117500</v>
      </c>
      <c r="J46" s="787">
        <v>238986</v>
      </c>
      <c r="K46" s="788">
        <v>-1.01</v>
      </c>
      <c r="L46" s="790" t="s">
        <v>283</v>
      </c>
      <c r="M46" s="794">
        <v>-701000</v>
      </c>
      <c r="N46" s="794">
        <v>-373000</v>
      </c>
      <c r="O46" s="794">
        <v>-195000</v>
      </c>
      <c r="P46" s="794">
        <v>-160000</v>
      </c>
      <c r="Q46" s="794">
        <v>-181000</v>
      </c>
      <c r="R46" s="792">
        <v>31000</v>
      </c>
      <c r="S46" s="794">
        <v>-75000</v>
      </c>
      <c r="T46" s="791" t="s">
        <v>283</v>
      </c>
      <c r="U46" s="791" t="s">
        <v>283</v>
      </c>
      <c r="V46" s="772" t="s">
        <v>283</v>
      </c>
      <c r="W46" s="765" t="s">
        <v>283</v>
      </c>
      <c r="X46" s="765" t="s">
        <v>283</v>
      </c>
      <c r="Y46" s="765" t="s">
        <v>283</v>
      </c>
      <c r="Z46" s="765" t="s">
        <v>283</v>
      </c>
      <c r="AA46" s="765" t="s">
        <v>283</v>
      </c>
      <c r="AB46" s="765" t="s">
        <v>283</v>
      </c>
      <c r="AC46" s="765" t="s">
        <v>283</v>
      </c>
      <c r="AD46" s="765" t="s">
        <v>283</v>
      </c>
      <c r="AE46" s="765" t="s">
        <v>283</v>
      </c>
      <c r="AF46" s="765" t="s">
        <v>283</v>
      </c>
      <c r="AG46" s="765" t="s">
        <v>283</v>
      </c>
      <c r="AH46" s="765" t="s">
        <v>283</v>
      </c>
      <c r="AI46" s="765" t="s">
        <v>283</v>
      </c>
      <c r="AJ46" s="765" t="s">
        <v>283</v>
      </c>
      <c r="AK46" s="765" t="s">
        <v>283</v>
      </c>
      <c r="AL46" s="765" t="s">
        <v>283</v>
      </c>
      <c r="AM46" s="765" t="s">
        <v>283</v>
      </c>
      <c r="AN46" s="765" t="s">
        <v>283</v>
      </c>
      <c r="AO46" s="765" t="s">
        <v>283</v>
      </c>
      <c r="AP46" s="765" t="s">
        <v>283</v>
      </c>
      <c r="AQ46" s="765" t="s">
        <v>283</v>
      </c>
      <c r="AR46" s="765" t="s">
        <v>283</v>
      </c>
      <c r="AS46" s="765" t="s">
        <v>283</v>
      </c>
      <c r="AT46" s="765" t="s">
        <v>283</v>
      </c>
    </row>
    <row r="47" spans="1:46" ht="15">
      <c r="A47" s="765" t="s">
        <v>283</v>
      </c>
      <c r="B47" s="769" t="s">
        <v>283</v>
      </c>
      <c r="C47" s="773" t="s">
        <v>682</v>
      </c>
      <c r="D47" s="782">
        <v>-18000</v>
      </c>
      <c r="E47" s="782">
        <v>-29714</v>
      </c>
      <c r="F47" s="782">
        <v>-99000</v>
      </c>
      <c r="G47" s="779">
        <v>0</v>
      </c>
      <c r="H47" s="782">
        <v>-45500</v>
      </c>
      <c r="I47" s="779">
        <v>0</v>
      </c>
      <c r="J47" s="780">
        <v>39135</v>
      </c>
      <c r="K47" s="781">
        <v>-1.32</v>
      </c>
      <c r="L47" s="771"/>
      <c r="M47" s="785">
        <v>-69000</v>
      </c>
      <c r="N47" s="785">
        <v>-18000</v>
      </c>
      <c r="O47" s="785">
        <v>-22000</v>
      </c>
      <c r="P47" s="773">
        <v>0</v>
      </c>
      <c r="Q47" s="785">
        <v>-99000</v>
      </c>
      <c r="R47" s="773">
        <v>0</v>
      </c>
      <c r="S47" s="773">
        <v>0</v>
      </c>
      <c r="T47" s="773"/>
      <c r="U47" s="773"/>
      <c r="V47" s="772" t="s">
        <v>283</v>
      </c>
      <c r="W47" s="765" t="s">
        <v>283</v>
      </c>
      <c r="X47" s="765" t="s">
        <v>283</v>
      </c>
      <c r="Y47" s="765" t="s">
        <v>283</v>
      </c>
      <c r="Z47" s="765" t="s">
        <v>283</v>
      </c>
      <c r="AA47" s="765" t="s">
        <v>283</v>
      </c>
      <c r="AB47" s="765" t="s">
        <v>283</v>
      </c>
      <c r="AC47" s="765" t="s">
        <v>283</v>
      </c>
      <c r="AD47" s="765" t="s">
        <v>283</v>
      </c>
      <c r="AE47" s="765" t="s">
        <v>283</v>
      </c>
      <c r="AF47" s="765" t="s">
        <v>283</v>
      </c>
      <c r="AG47" s="765" t="s">
        <v>283</v>
      </c>
      <c r="AH47" s="765" t="s">
        <v>283</v>
      </c>
      <c r="AI47" s="765" t="s">
        <v>283</v>
      </c>
      <c r="AJ47" s="765" t="s">
        <v>283</v>
      </c>
      <c r="AK47" s="765" t="s">
        <v>283</v>
      </c>
      <c r="AL47" s="765" t="s">
        <v>283</v>
      </c>
      <c r="AM47" s="765" t="s">
        <v>283</v>
      </c>
      <c r="AN47" s="765" t="s">
        <v>283</v>
      </c>
      <c r="AO47" s="765" t="s">
        <v>283</v>
      </c>
      <c r="AP47" s="765" t="s">
        <v>283</v>
      </c>
      <c r="AQ47" s="765" t="s">
        <v>283</v>
      </c>
      <c r="AR47" s="765" t="s">
        <v>283</v>
      </c>
      <c r="AS47" s="765" t="s">
        <v>283</v>
      </c>
      <c r="AT47" s="765" t="s">
        <v>283</v>
      </c>
    </row>
    <row r="48" spans="1:46" ht="15">
      <c r="A48" s="765" t="s">
        <v>283</v>
      </c>
      <c r="B48" s="769" t="s">
        <v>283</v>
      </c>
      <c r="C48" s="773" t="s">
        <v>683</v>
      </c>
      <c r="D48" s="774" t="s">
        <v>283</v>
      </c>
      <c r="E48" s="774" t="s">
        <v>283</v>
      </c>
      <c r="F48" s="774" t="s">
        <v>283</v>
      </c>
      <c r="G48" s="774" t="s">
        <v>283</v>
      </c>
      <c r="H48" s="774" t="s">
        <v>283</v>
      </c>
      <c r="I48" s="774" t="s">
        <v>283</v>
      </c>
      <c r="J48" s="774" t="s">
        <v>283</v>
      </c>
      <c r="K48" s="774" t="s">
        <v>283</v>
      </c>
      <c r="L48" s="771"/>
      <c r="M48" s="771"/>
      <c r="N48" s="771"/>
      <c r="O48" s="771"/>
      <c r="P48" s="771"/>
      <c r="Q48" s="771"/>
      <c r="R48" s="771"/>
      <c r="S48" s="771"/>
      <c r="T48" s="771"/>
      <c r="U48" s="771"/>
      <c r="V48" s="772" t="s">
        <v>283</v>
      </c>
      <c r="W48" s="765" t="s">
        <v>283</v>
      </c>
      <c r="X48" s="765" t="s">
        <v>283</v>
      </c>
      <c r="Y48" s="765" t="s">
        <v>283</v>
      </c>
      <c r="Z48" s="765" t="s">
        <v>283</v>
      </c>
      <c r="AA48" s="765" t="s">
        <v>283</v>
      </c>
      <c r="AB48" s="765" t="s">
        <v>283</v>
      </c>
      <c r="AC48" s="765" t="s">
        <v>283</v>
      </c>
      <c r="AD48" s="765" t="s">
        <v>283</v>
      </c>
      <c r="AE48" s="765" t="s">
        <v>283</v>
      </c>
      <c r="AF48" s="765" t="s">
        <v>283</v>
      </c>
      <c r="AG48" s="765" t="s">
        <v>283</v>
      </c>
      <c r="AH48" s="765" t="s">
        <v>283</v>
      </c>
      <c r="AI48" s="765" t="s">
        <v>283</v>
      </c>
      <c r="AJ48" s="765" t="s">
        <v>283</v>
      </c>
      <c r="AK48" s="765" t="s">
        <v>283</v>
      </c>
      <c r="AL48" s="765" t="s">
        <v>283</v>
      </c>
      <c r="AM48" s="765" t="s">
        <v>283</v>
      </c>
      <c r="AN48" s="765" t="s">
        <v>283</v>
      </c>
      <c r="AO48" s="765" t="s">
        <v>283</v>
      </c>
      <c r="AP48" s="765" t="s">
        <v>283</v>
      </c>
      <c r="AQ48" s="765" t="s">
        <v>283</v>
      </c>
      <c r="AR48" s="765" t="s">
        <v>283</v>
      </c>
      <c r="AS48" s="765" t="s">
        <v>283</v>
      </c>
      <c r="AT48" s="765" t="s">
        <v>283</v>
      </c>
    </row>
    <row r="49" spans="1:46" ht="15">
      <c r="A49" s="765" t="s">
        <v>283</v>
      </c>
      <c r="B49" s="769" t="s">
        <v>283</v>
      </c>
      <c r="C49" s="773" t="s">
        <v>684</v>
      </c>
      <c r="D49" s="774" t="s">
        <v>283</v>
      </c>
      <c r="E49" s="774" t="s">
        <v>283</v>
      </c>
      <c r="F49" s="774" t="s">
        <v>283</v>
      </c>
      <c r="G49" s="774" t="s">
        <v>283</v>
      </c>
      <c r="H49" s="774" t="s">
        <v>283</v>
      </c>
      <c r="I49" s="774" t="s">
        <v>283</v>
      </c>
      <c r="J49" s="774" t="s">
        <v>283</v>
      </c>
      <c r="K49" s="774" t="s">
        <v>283</v>
      </c>
      <c r="L49" s="771"/>
      <c r="M49" s="771"/>
      <c r="N49" s="771"/>
      <c r="O49" s="771"/>
      <c r="P49" s="771"/>
      <c r="Q49" s="771"/>
      <c r="R49" s="771"/>
      <c r="S49" s="771"/>
      <c r="T49" s="771"/>
      <c r="U49" s="771"/>
      <c r="V49" s="772" t="s">
        <v>283</v>
      </c>
      <c r="W49" s="765" t="s">
        <v>283</v>
      </c>
      <c r="X49" s="765" t="s">
        <v>283</v>
      </c>
      <c r="Y49" s="765" t="s">
        <v>283</v>
      </c>
      <c r="Z49" s="765" t="s">
        <v>283</v>
      </c>
      <c r="AA49" s="765" t="s">
        <v>283</v>
      </c>
      <c r="AB49" s="765" t="s">
        <v>283</v>
      </c>
      <c r="AC49" s="765" t="s">
        <v>283</v>
      </c>
      <c r="AD49" s="765" t="s">
        <v>283</v>
      </c>
      <c r="AE49" s="765" t="s">
        <v>283</v>
      </c>
      <c r="AF49" s="765" t="s">
        <v>283</v>
      </c>
      <c r="AG49" s="765" t="s">
        <v>283</v>
      </c>
      <c r="AH49" s="765" t="s">
        <v>283</v>
      </c>
      <c r="AI49" s="765" t="s">
        <v>283</v>
      </c>
      <c r="AJ49" s="765" t="s">
        <v>283</v>
      </c>
      <c r="AK49" s="765" t="s">
        <v>283</v>
      </c>
      <c r="AL49" s="765" t="s">
        <v>283</v>
      </c>
      <c r="AM49" s="765" t="s">
        <v>283</v>
      </c>
      <c r="AN49" s="765" t="s">
        <v>283</v>
      </c>
      <c r="AO49" s="765" t="s">
        <v>283</v>
      </c>
      <c r="AP49" s="765" t="s">
        <v>283</v>
      </c>
      <c r="AQ49" s="765" t="s">
        <v>283</v>
      </c>
      <c r="AR49" s="765" t="s">
        <v>283</v>
      </c>
      <c r="AS49" s="765" t="s">
        <v>283</v>
      </c>
      <c r="AT49" s="765" t="s">
        <v>283</v>
      </c>
    </row>
    <row r="50" spans="1:46" ht="15">
      <c r="A50" s="765" t="s">
        <v>283</v>
      </c>
      <c r="B50" s="769" t="s">
        <v>283</v>
      </c>
      <c r="C50" s="773" t="s">
        <v>685</v>
      </c>
      <c r="D50" s="780">
        <v>81000</v>
      </c>
      <c r="E50" s="780">
        <v>76667</v>
      </c>
      <c r="F50" s="782">
        <v>-7000</v>
      </c>
      <c r="G50" s="780">
        <v>137000</v>
      </c>
      <c r="H50" s="780">
        <v>40500</v>
      </c>
      <c r="I50" s="780">
        <v>126000</v>
      </c>
      <c r="J50" s="780">
        <v>59497</v>
      </c>
      <c r="K50" s="779">
        <v>0.78</v>
      </c>
      <c r="L50" s="771"/>
      <c r="M50" s="783">
        <v>40000</v>
      </c>
      <c r="N50" s="783">
        <v>120000</v>
      </c>
      <c r="O50" s="785">
        <v>-7000</v>
      </c>
      <c r="P50" s="783">
        <v>128000</v>
      </c>
      <c r="Q50" s="783">
        <v>137000</v>
      </c>
      <c r="R50" s="783">
        <v>42000</v>
      </c>
      <c r="S50" s="773"/>
      <c r="T50" s="773"/>
      <c r="U50" s="773"/>
      <c r="V50" s="772" t="s">
        <v>283</v>
      </c>
      <c r="W50" s="765" t="s">
        <v>283</v>
      </c>
      <c r="X50" s="765" t="s">
        <v>283</v>
      </c>
      <c r="Y50" s="765" t="s">
        <v>283</v>
      </c>
      <c r="Z50" s="765" t="s">
        <v>283</v>
      </c>
      <c r="AA50" s="765" t="s">
        <v>283</v>
      </c>
      <c r="AB50" s="765" t="s">
        <v>283</v>
      </c>
      <c r="AC50" s="765" t="s">
        <v>283</v>
      </c>
      <c r="AD50" s="765" t="s">
        <v>283</v>
      </c>
      <c r="AE50" s="765" t="s">
        <v>283</v>
      </c>
      <c r="AF50" s="765" t="s">
        <v>283</v>
      </c>
      <c r="AG50" s="765" t="s">
        <v>283</v>
      </c>
      <c r="AH50" s="765" t="s">
        <v>283</v>
      </c>
      <c r="AI50" s="765" t="s">
        <v>283</v>
      </c>
      <c r="AJ50" s="765" t="s">
        <v>283</v>
      </c>
      <c r="AK50" s="765" t="s">
        <v>283</v>
      </c>
      <c r="AL50" s="765" t="s">
        <v>283</v>
      </c>
      <c r="AM50" s="765" t="s">
        <v>283</v>
      </c>
      <c r="AN50" s="765" t="s">
        <v>283</v>
      </c>
      <c r="AO50" s="765" t="s">
        <v>283</v>
      </c>
      <c r="AP50" s="765" t="s">
        <v>283</v>
      </c>
      <c r="AQ50" s="765" t="s">
        <v>283</v>
      </c>
      <c r="AR50" s="765" t="s">
        <v>283</v>
      </c>
      <c r="AS50" s="765" t="s">
        <v>283</v>
      </c>
      <c r="AT50" s="765" t="s">
        <v>283</v>
      </c>
    </row>
    <row r="51" spans="1:46" ht="15">
      <c r="A51" s="765" t="s">
        <v>283</v>
      </c>
      <c r="B51" s="769" t="s">
        <v>283</v>
      </c>
      <c r="C51" s="776" t="s">
        <v>686</v>
      </c>
      <c r="D51" s="787">
        <v>120000</v>
      </c>
      <c r="E51" s="787">
        <v>91571</v>
      </c>
      <c r="F51" s="789">
        <v>-7000</v>
      </c>
      <c r="G51" s="787">
        <v>181000</v>
      </c>
      <c r="H51" s="787">
        <v>41000</v>
      </c>
      <c r="I51" s="787">
        <v>132500</v>
      </c>
      <c r="J51" s="787">
        <v>67119</v>
      </c>
      <c r="K51" s="786">
        <v>0.73</v>
      </c>
      <c r="L51" s="790" t="s">
        <v>283</v>
      </c>
      <c r="M51" s="792">
        <v>40000</v>
      </c>
      <c r="N51" s="792">
        <v>120000</v>
      </c>
      <c r="O51" s="794">
        <v>-7000</v>
      </c>
      <c r="P51" s="792">
        <v>128000</v>
      </c>
      <c r="Q51" s="792">
        <v>137000</v>
      </c>
      <c r="R51" s="792">
        <v>42000</v>
      </c>
      <c r="S51" s="792">
        <v>181000</v>
      </c>
      <c r="T51" s="791" t="s">
        <v>283</v>
      </c>
      <c r="U51" s="791" t="s">
        <v>283</v>
      </c>
      <c r="V51" s="772" t="s">
        <v>283</v>
      </c>
      <c r="W51" s="765" t="s">
        <v>283</v>
      </c>
      <c r="X51" s="765" t="s">
        <v>283</v>
      </c>
      <c r="Y51" s="765" t="s">
        <v>283</v>
      </c>
      <c r="Z51" s="765" t="s">
        <v>283</v>
      </c>
      <c r="AA51" s="765" t="s">
        <v>283</v>
      </c>
      <c r="AB51" s="765" t="s">
        <v>283</v>
      </c>
      <c r="AC51" s="765" t="s">
        <v>283</v>
      </c>
      <c r="AD51" s="765" t="s">
        <v>283</v>
      </c>
      <c r="AE51" s="765" t="s">
        <v>283</v>
      </c>
      <c r="AF51" s="765" t="s">
        <v>283</v>
      </c>
      <c r="AG51" s="765" t="s">
        <v>283</v>
      </c>
      <c r="AH51" s="765" t="s">
        <v>283</v>
      </c>
      <c r="AI51" s="765" t="s">
        <v>283</v>
      </c>
      <c r="AJ51" s="765" t="s">
        <v>283</v>
      </c>
      <c r="AK51" s="765" t="s">
        <v>283</v>
      </c>
      <c r="AL51" s="765" t="s">
        <v>283</v>
      </c>
      <c r="AM51" s="765" t="s">
        <v>283</v>
      </c>
      <c r="AN51" s="765" t="s">
        <v>283</v>
      </c>
      <c r="AO51" s="765" t="s">
        <v>283</v>
      </c>
      <c r="AP51" s="765" t="s">
        <v>283</v>
      </c>
      <c r="AQ51" s="765" t="s">
        <v>283</v>
      </c>
      <c r="AR51" s="765" t="s">
        <v>283</v>
      </c>
      <c r="AS51" s="765" t="s">
        <v>283</v>
      </c>
      <c r="AT51" s="765" t="s">
        <v>283</v>
      </c>
    </row>
    <row r="52" spans="1:46" ht="15">
      <c r="A52" s="765" t="s">
        <v>283</v>
      </c>
      <c r="B52" s="769" t="s">
        <v>283</v>
      </c>
      <c r="C52" s="776" t="s">
        <v>687</v>
      </c>
      <c r="D52" s="787">
        <v>120000</v>
      </c>
      <c r="E52" s="787">
        <v>91571</v>
      </c>
      <c r="F52" s="789">
        <v>-7000</v>
      </c>
      <c r="G52" s="787">
        <v>181000</v>
      </c>
      <c r="H52" s="787">
        <v>41000</v>
      </c>
      <c r="I52" s="787">
        <v>132500</v>
      </c>
      <c r="J52" s="787">
        <v>67119</v>
      </c>
      <c r="K52" s="786">
        <v>0.73</v>
      </c>
      <c r="L52" s="790" t="s">
        <v>283</v>
      </c>
      <c r="M52" s="792">
        <v>40000</v>
      </c>
      <c r="N52" s="792">
        <v>120000</v>
      </c>
      <c r="O52" s="794">
        <v>-7000</v>
      </c>
      <c r="P52" s="792">
        <v>128000</v>
      </c>
      <c r="Q52" s="792">
        <v>137000</v>
      </c>
      <c r="R52" s="792">
        <v>42000</v>
      </c>
      <c r="S52" s="792">
        <v>181000</v>
      </c>
      <c r="T52" s="791" t="s">
        <v>283</v>
      </c>
      <c r="U52" s="791" t="s">
        <v>283</v>
      </c>
      <c r="V52" s="772" t="s">
        <v>283</v>
      </c>
      <c r="W52" s="765" t="s">
        <v>283</v>
      </c>
      <c r="X52" s="765" t="s">
        <v>283</v>
      </c>
      <c r="Y52" s="765" t="s">
        <v>283</v>
      </c>
      <c r="Z52" s="765" t="s">
        <v>283</v>
      </c>
      <c r="AA52" s="765" t="s">
        <v>283</v>
      </c>
      <c r="AB52" s="765" t="s">
        <v>283</v>
      </c>
      <c r="AC52" s="765" t="s">
        <v>283</v>
      </c>
      <c r="AD52" s="765" t="s">
        <v>283</v>
      </c>
      <c r="AE52" s="765" t="s">
        <v>283</v>
      </c>
      <c r="AF52" s="765" t="s">
        <v>283</v>
      </c>
      <c r="AG52" s="765" t="s">
        <v>283</v>
      </c>
      <c r="AH52" s="765" t="s">
        <v>283</v>
      </c>
      <c r="AI52" s="765" t="s">
        <v>283</v>
      </c>
      <c r="AJ52" s="765" t="s">
        <v>283</v>
      </c>
      <c r="AK52" s="765" t="s">
        <v>283</v>
      </c>
      <c r="AL52" s="765" t="s">
        <v>283</v>
      </c>
      <c r="AM52" s="765" t="s">
        <v>283</v>
      </c>
      <c r="AN52" s="765" t="s">
        <v>283</v>
      </c>
      <c r="AO52" s="765" t="s">
        <v>283</v>
      </c>
      <c r="AP52" s="765" t="s">
        <v>283</v>
      </c>
      <c r="AQ52" s="765" t="s">
        <v>283</v>
      </c>
      <c r="AR52" s="765" t="s">
        <v>283</v>
      </c>
      <c r="AS52" s="765" t="s">
        <v>283</v>
      </c>
      <c r="AT52" s="765" t="s">
        <v>283</v>
      </c>
    </row>
    <row r="53" spans="1:46" ht="15">
      <c r="A53" s="765" t="s">
        <v>283</v>
      </c>
      <c r="B53" s="769" t="s">
        <v>283</v>
      </c>
      <c r="C53" s="773" t="s">
        <v>688</v>
      </c>
      <c r="D53" s="780">
        <v>308000</v>
      </c>
      <c r="E53" s="780">
        <v>303600</v>
      </c>
      <c r="F53" s="779">
        <v>0</v>
      </c>
      <c r="G53" s="780">
        <v>843000</v>
      </c>
      <c r="H53" s="780">
        <v>3000</v>
      </c>
      <c r="I53" s="780">
        <v>364000</v>
      </c>
      <c r="J53" s="780">
        <v>345381</v>
      </c>
      <c r="K53" s="779">
        <v>1.1399999999999999</v>
      </c>
      <c r="L53" s="771"/>
      <c r="M53" s="783">
        <v>308000</v>
      </c>
      <c r="N53" s="783">
        <v>843000</v>
      </c>
      <c r="O53" s="783">
        <v>364000</v>
      </c>
      <c r="P53" s="783">
        <v>3000</v>
      </c>
      <c r="Q53" s="773">
        <v>0</v>
      </c>
      <c r="R53" s="773"/>
      <c r="S53" s="773"/>
      <c r="T53" s="773"/>
      <c r="U53" s="773"/>
      <c r="V53" s="772" t="s">
        <v>283</v>
      </c>
      <c r="W53" s="765" t="s">
        <v>283</v>
      </c>
      <c r="X53" s="765" t="s">
        <v>283</v>
      </c>
      <c r="Y53" s="765" t="s">
        <v>283</v>
      </c>
      <c r="Z53" s="765" t="s">
        <v>283</v>
      </c>
      <c r="AA53" s="765" t="s">
        <v>283</v>
      </c>
      <c r="AB53" s="765" t="s">
        <v>283</v>
      </c>
      <c r="AC53" s="765" t="s">
        <v>283</v>
      </c>
      <c r="AD53" s="765" t="s">
        <v>283</v>
      </c>
      <c r="AE53" s="765" t="s">
        <v>283</v>
      </c>
      <c r="AF53" s="765" t="s">
        <v>283</v>
      </c>
      <c r="AG53" s="765" t="s">
        <v>283</v>
      </c>
      <c r="AH53" s="765" t="s">
        <v>283</v>
      </c>
      <c r="AI53" s="765" t="s">
        <v>283</v>
      </c>
      <c r="AJ53" s="765" t="s">
        <v>283</v>
      </c>
      <c r="AK53" s="765" t="s">
        <v>283</v>
      </c>
      <c r="AL53" s="765" t="s">
        <v>283</v>
      </c>
      <c r="AM53" s="765" t="s">
        <v>283</v>
      </c>
      <c r="AN53" s="765" t="s">
        <v>283</v>
      </c>
      <c r="AO53" s="765" t="s">
        <v>283</v>
      </c>
      <c r="AP53" s="765" t="s">
        <v>283</v>
      </c>
      <c r="AQ53" s="765" t="s">
        <v>283</v>
      </c>
      <c r="AR53" s="765" t="s">
        <v>283</v>
      </c>
      <c r="AS53" s="765" t="s">
        <v>283</v>
      </c>
      <c r="AT53" s="765" t="s">
        <v>283</v>
      </c>
    </row>
    <row r="54" spans="1:46" ht="15">
      <c r="A54" s="765" t="s">
        <v>283</v>
      </c>
      <c r="B54" s="769" t="s">
        <v>283</v>
      </c>
      <c r="C54" s="776" t="s">
        <v>689</v>
      </c>
      <c r="D54" s="787">
        <v>75000</v>
      </c>
      <c r="E54" s="787">
        <v>41000</v>
      </c>
      <c r="F54" s="789">
        <v>-431000</v>
      </c>
      <c r="G54" s="787">
        <v>563000</v>
      </c>
      <c r="H54" s="789">
        <v>-83500</v>
      </c>
      <c r="I54" s="787">
        <v>123500</v>
      </c>
      <c r="J54" s="787">
        <v>302445</v>
      </c>
      <c r="K54" s="786">
        <v>7.38</v>
      </c>
      <c r="L54" s="790" t="s">
        <v>283</v>
      </c>
      <c r="M54" s="794">
        <v>-431000</v>
      </c>
      <c r="N54" s="792">
        <v>563000</v>
      </c>
      <c r="O54" s="792">
        <v>139000</v>
      </c>
      <c r="P54" s="794">
        <v>-23000</v>
      </c>
      <c r="Q54" s="794">
        <v>-144000</v>
      </c>
      <c r="R54" s="792">
        <v>75000</v>
      </c>
      <c r="S54" s="792">
        <v>108000</v>
      </c>
      <c r="T54" s="791" t="s">
        <v>283</v>
      </c>
      <c r="U54" s="791" t="s">
        <v>283</v>
      </c>
      <c r="V54" s="772" t="s">
        <v>283</v>
      </c>
      <c r="W54" s="765" t="s">
        <v>283</v>
      </c>
      <c r="X54" s="765" t="s">
        <v>283</v>
      </c>
      <c r="Y54" s="765" t="s">
        <v>283</v>
      </c>
      <c r="Z54" s="765" t="s">
        <v>283</v>
      </c>
      <c r="AA54" s="765" t="s">
        <v>283</v>
      </c>
      <c r="AB54" s="765" t="s">
        <v>283</v>
      </c>
      <c r="AC54" s="765" t="s">
        <v>283</v>
      </c>
      <c r="AD54" s="765" t="s">
        <v>283</v>
      </c>
      <c r="AE54" s="765" t="s">
        <v>283</v>
      </c>
      <c r="AF54" s="765" t="s">
        <v>283</v>
      </c>
      <c r="AG54" s="765" t="s">
        <v>283</v>
      </c>
      <c r="AH54" s="765" t="s">
        <v>283</v>
      </c>
      <c r="AI54" s="765" t="s">
        <v>283</v>
      </c>
      <c r="AJ54" s="765" t="s">
        <v>283</v>
      </c>
      <c r="AK54" s="765" t="s">
        <v>283</v>
      </c>
      <c r="AL54" s="765" t="s">
        <v>283</v>
      </c>
      <c r="AM54" s="765" t="s">
        <v>283</v>
      </c>
      <c r="AN54" s="765" t="s">
        <v>283</v>
      </c>
      <c r="AO54" s="765" t="s">
        <v>283</v>
      </c>
      <c r="AP54" s="765" t="s">
        <v>283</v>
      </c>
      <c r="AQ54" s="765" t="s">
        <v>283</v>
      </c>
      <c r="AR54" s="765" t="s">
        <v>283</v>
      </c>
      <c r="AS54" s="765" t="s">
        <v>283</v>
      </c>
      <c r="AT54" s="765" t="s">
        <v>283</v>
      </c>
    </row>
    <row r="55" spans="1:46" ht="15">
      <c r="A55" s="765" t="s">
        <v>283</v>
      </c>
      <c r="B55" s="769" t="s">
        <v>283</v>
      </c>
      <c r="C55" s="776" t="s">
        <v>690</v>
      </c>
      <c r="D55" s="789">
        <v>-636000</v>
      </c>
      <c r="E55" s="789">
        <v>-464857</v>
      </c>
      <c r="F55" s="789">
        <v>-2104000</v>
      </c>
      <c r="G55" s="787">
        <v>910000</v>
      </c>
      <c r="H55" s="789">
        <v>-861500</v>
      </c>
      <c r="I55" s="787">
        <v>149500</v>
      </c>
      <c r="J55" s="787">
        <v>974041</v>
      </c>
      <c r="K55" s="788">
        <v>-2.1</v>
      </c>
      <c r="L55" s="790" t="s">
        <v>283</v>
      </c>
      <c r="M55" s="792">
        <v>168000</v>
      </c>
      <c r="N55" s="792">
        <v>910000</v>
      </c>
      <c r="O55" s="792">
        <v>131000</v>
      </c>
      <c r="P55" s="794">
        <v>-772000</v>
      </c>
      <c r="Q55" s="794">
        <v>-951000</v>
      </c>
      <c r="R55" s="794">
        <v>-636000</v>
      </c>
      <c r="S55" s="794">
        <v>-2104000</v>
      </c>
      <c r="T55" s="791" t="s">
        <v>283</v>
      </c>
      <c r="U55" s="791" t="s">
        <v>283</v>
      </c>
      <c r="V55" s="772" t="s">
        <v>283</v>
      </c>
      <c r="W55" s="765" t="s">
        <v>283</v>
      </c>
      <c r="X55" s="765" t="s">
        <v>283</v>
      </c>
      <c r="Y55" s="765" t="s">
        <v>283</v>
      </c>
      <c r="Z55" s="765" t="s">
        <v>283</v>
      </c>
      <c r="AA55" s="765" t="s">
        <v>283</v>
      </c>
      <c r="AB55" s="765" t="s">
        <v>283</v>
      </c>
      <c r="AC55" s="765" t="s">
        <v>283</v>
      </c>
      <c r="AD55" s="765" t="s">
        <v>283</v>
      </c>
      <c r="AE55" s="765" t="s">
        <v>283</v>
      </c>
      <c r="AF55" s="765" t="s">
        <v>283</v>
      </c>
      <c r="AG55" s="765" t="s">
        <v>283</v>
      </c>
      <c r="AH55" s="765" t="s">
        <v>283</v>
      </c>
      <c r="AI55" s="765" t="s">
        <v>283</v>
      </c>
      <c r="AJ55" s="765" t="s">
        <v>283</v>
      </c>
      <c r="AK55" s="765" t="s">
        <v>283</v>
      </c>
      <c r="AL55" s="765" t="s">
        <v>283</v>
      </c>
      <c r="AM55" s="765" t="s">
        <v>283</v>
      </c>
      <c r="AN55" s="765" t="s">
        <v>283</v>
      </c>
      <c r="AO55" s="765" t="s">
        <v>283</v>
      </c>
      <c r="AP55" s="765" t="s">
        <v>283</v>
      </c>
      <c r="AQ55" s="765" t="s">
        <v>283</v>
      </c>
      <c r="AR55" s="765" t="s">
        <v>283</v>
      </c>
      <c r="AS55" s="765" t="s">
        <v>283</v>
      </c>
      <c r="AT55" s="765" t="s">
        <v>283</v>
      </c>
    </row>
    <row r="56" spans="1:46" ht="15">
      <c r="A56" s="765" t="s">
        <v>283</v>
      </c>
      <c r="B56" s="769" t="s">
        <v>283</v>
      </c>
      <c r="C56" s="773" t="s">
        <v>691</v>
      </c>
      <c r="D56" s="782">
        <v>-26000</v>
      </c>
      <c r="E56" s="782">
        <v>-33714</v>
      </c>
      <c r="F56" s="782">
        <v>-89000</v>
      </c>
      <c r="G56" s="782">
        <v>-3000</v>
      </c>
      <c r="H56" s="782">
        <v>-51500</v>
      </c>
      <c r="I56" s="782">
        <v>-7500</v>
      </c>
      <c r="J56" s="780">
        <v>32019</v>
      </c>
      <c r="K56" s="781">
        <v>-0.95</v>
      </c>
      <c r="L56" s="771"/>
      <c r="M56" s="785">
        <v>-89000</v>
      </c>
      <c r="N56" s="785">
        <v>-58000</v>
      </c>
      <c r="O56" s="785">
        <v>-45000</v>
      </c>
      <c r="P56" s="785">
        <v>-26000</v>
      </c>
      <c r="Q56" s="785">
        <v>-3000</v>
      </c>
      <c r="R56" s="785">
        <v>-7000</v>
      </c>
      <c r="S56" s="785">
        <v>-8000</v>
      </c>
      <c r="T56" s="773"/>
      <c r="U56" s="773"/>
      <c r="V56" s="772" t="s">
        <v>283</v>
      </c>
      <c r="W56" s="765" t="s">
        <v>283</v>
      </c>
      <c r="X56" s="765" t="s">
        <v>283</v>
      </c>
      <c r="Y56" s="765" t="s">
        <v>283</v>
      </c>
      <c r="Z56" s="765" t="s">
        <v>283</v>
      </c>
      <c r="AA56" s="765" t="s">
        <v>283</v>
      </c>
      <c r="AB56" s="765" t="s">
        <v>283</v>
      </c>
      <c r="AC56" s="765" t="s">
        <v>283</v>
      </c>
      <c r="AD56" s="765" t="s">
        <v>283</v>
      </c>
      <c r="AE56" s="765" t="s">
        <v>283</v>
      </c>
      <c r="AF56" s="765" t="s">
        <v>283</v>
      </c>
      <c r="AG56" s="765" t="s">
        <v>283</v>
      </c>
      <c r="AH56" s="765" t="s">
        <v>283</v>
      </c>
      <c r="AI56" s="765" t="s">
        <v>283</v>
      </c>
      <c r="AJ56" s="765" t="s">
        <v>283</v>
      </c>
      <c r="AK56" s="765" t="s">
        <v>283</v>
      </c>
      <c r="AL56" s="765" t="s">
        <v>283</v>
      </c>
      <c r="AM56" s="765" t="s">
        <v>283</v>
      </c>
      <c r="AN56" s="765" t="s">
        <v>283</v>
      </c>
      <c r="AO56" s="765" t="s">
        <v>283</v>
      </c>
      <c r="AP56" s="765" t="s">
        <v>283</v>
      </c>
      <c r="AQ56" s="765" t="s">
        <v>283</v>
      </c>
      <c r="AR56" s="765" t="s">
        <v>283</v>
      </c>
      <c r="AS56" s="765" t="s">
        <v>283</v>
      </c>
      <c r="AT56" s="765" t="s">
        <v>283</v>
      </c>
    </row>
    <row r="57" spans="1:46" ht="15">
      <c r="A57" s="765" t="s">
        <v>283</v>
      </c>
      <c r="B57" s="769" t="s">
        <v>283</v>
      </c>
      <c r="C57" s="776" t="s">
        <v>692</v>
      </c>
      <c r="D57" s="789">
        <v>-643000</v>
      </c>
      <c r="E57" s="789">
        <v>-498571</v>
      </c>
      <c r="F57" s="789">
        <v>-2112000</v>
      </c>
      <c r="G57" s="787">
        <v>852000</v>
      </c>
      <c r="H57" s="789">
        <v>-876000</v>
      </c>
      <c r="I57" s="787">
        <v>82500</v>
      </c>
      <c r="J57" s="787">
        <v>950477</v>
      </c>
      <c r="K57" s="788">
        <v>-1.91</v>
      </c>
      <c r="L57" s="790" t="s">
        <v>283</v>
      </c>
      <c r="M57" s="792">
        <v>79000</v>
      </c>
      <c r="N57" s="792">
        <v>852000</v>
      </c>
      <c r="O57" s="792">
        <v>86000</v>
      </c>
      <c r="P57" s="794">
        <v>-798000</v>
      </c>
      <c r="Q57" s="794">
        <v>-954000</v>
      </c>
      <c r="R57" s="794">
        <v>-643000</v>
      </c>
      <c r="S57" s="794">
        <v>-2112000</v>
      </c>
      <c r="T57" s="791" t="s">
        <v>283</v>
      </c>
      <c r="U57" s="791" t="s">
        <v>283</v>
      </c>
      <c r="V57" s="772" t="s">
        <v>283</v>
      </c>
      <c r="W57" s="765" t="s">
        <v>283</v>
      </c>
      <c r="X57" s="765" t="s">
        <v>283</v>
      </c>
      <c r="Y57" s="765" t="s">
        <v>283</v>
      </c>
      <c r="Z57" s="765" t="s">
        <v>283</v>
      </c>
      <c r="AA57" s="765" t="s">
        <v>283</v>
      </c>
      <c r="AB57" s="765" t="s">
        <v>283</v>
      </c>
      <c r="AC57" s="765" t="s">
        <v>283</v>
      </c>
      <c r="AD57" s="765" t="s">
        <v>283</v>
      </c>
      <c r="AE57" s="765" t="s">
        <v>283</v>
      </c>
      <c r="AF57" s="765" t="s">
        <v>283</v>
      </c>
      <c r="AG57" s="765" t="s">
        <v>283</v>
      </c>
      <c r="AH57" s="765" t="s">
        <v>283</v>
      </c>
      <c r="AI57" s="765" t="s">
        <v>283</v>
      </c>
      <c r="AJ57" s="765" t="s">
        <v>283</v>
      </c>
      <c r="AK57" s="765" t="s">
        <v>283</v>
      </c>
      <c r="AL57" s="765" t="s">
        <v>283</v>
      </c>
      <c r="AM57" s="765" t="s">
        <v>283</v>
      </c>
      <c r="AN57" s="765" t="s">
        <v>283</v>
      </c>
      <c r="AO57" s="765" t="s">
        <v>283</v>
      </c>
      <c r="AP57" s="765" t="s">
        <v>283</v>
      </c>
      <c r="AQ57" s="765" t="s">
        <v>283</v>
      </c>
      <c r="AR57" s="765" t="s">
        <v>283</v>
      </c>
      <c r="AS57" s="765" t="s">
        <v>283</v>
      </c>
      <c r="AT57" s="765" t="s">
        <v>283</v>
      </c>
    </row>
    <row r="58" spans="1:46" ht="15">
      <c r="A58" s="765" t="s">
        <v>283</v>
      </c>
      <c r="B58" s="769" t="s">
        <v>283</v>
      </c>
      <c r="C58" s="776" t="s">
        <v>693</v>
      </c>
      <c r="D58" s="789">
        <v>-643000</v>
      </c>
      <c r="E58" s="789">
        <v>-498571</v>
      </c>
      <c r="F58" s="789">
        <v>-2112000</v>
      </c>
      <c r="G58" s="787">
        <v>852000</v>
      </c>
      <c r="H58" s="789">
        <v>-876000</v>
      </c>
      <c r="I58" s="787">
        <v>82500</v>
      </c>
      <c r="J58" s="787">
        <v>950477</v>
      </c>
      <c r="K58" s="788">
        <v>-1.91</v>
      </c>
      <c r="L58" s="790" t="s">
        <v>283</v>
      </c>
      <c r="M58" s="792">
        <v>79000</v>
      </c>
      <c r="N58" s="792">
        <v>852000</v>
      </c>
      <c r="O58" s="792">
        <v>86000</v>
      </c>
      <c r="P58" s="794">
        <v>-798000</v>
      </c>
      <c r="Q58" s="794">
        <v>-954000</v>
      </c>
      <c r="R58" s="794">
        <v>-643000</v>
      </c>
      <c r="S58" s="794">
        <v>-2112000</v>
      </c>
      <c r="T58" s="791" t="s">
        <v>283</v>
      </c>
      <c r="U58" s="791" t="s">
        <v>283</v>
      </c>
      <c r="V58" s="772" t="s">
        <v>283</v>
      </c>
      <c r="W58" s="765" t="s">
        <v>283</v>
      </c>
      <c r="X58" s="765" t="s">
        <v>283</v>
      </c>
      <c r="Y58" s="765" t="s">
        <v>283</v>
      </c>
      <c r="Z58" s="765" t="s">
        <v>283</v>
      </c>
      <c r="AA58" s="765" t="s">
        <v>283</v>
      </c>
      <c r="AB58" s="765" t="s">
        <v>283</v>
      </c>
      <c r="AC58" s="765" t="s">
        <v>283</v>
      </c>
      <c r="AD58" s="765" t="s">
        <v>283</v>
      </c>
      <c r="AE58" s="765" t="s">
        <v>283</v>
      </c>
      <c r="AF58" s="765" t="s">
        <v>283</v>
      </c>
      <c r="AG58" s="765" t="s">
        <v>283</v>
      </c>
      <c r="AH58" s="765" t="s">
        <v>283</v>
      </c>
      <c r="AI58" s="765" t="s">
        <v>283</v>
      </c>
      <c r="AJ58" s="765" t="s">
        <v>283</v>
      </c>
      <c r="AK58" s="765" t="s">
        <v>283</v>
      </c>
      <c r="AL58" s="765" t="s">
        <v>283</v>
      </c>
      <c r="AM58" s="765" t="s">
        <v>283</v>
      </c>
      <c r="AN58" s="765" t="s">
        <v>283</v>
      </c>
      <c r="AO58" s="765" t="s">
        <v>283</v>
      </c>
      <c r="AP58" s="765" t="s">
        <v>283</v>
      </c>
      <c r="AQ58" s="765" t="s">
        <v>283</v>
      </c>
      <c r="AR58" s="765" t="s">
        <v>283</v>
      </c>
      <c r="AS58" s="765" t="s">
        <v>283</v>
      </c>
      <c r="AT58" s="765" t="s">
        <v>283</v>
      </c>
    </row>
    <row r="59" spans="1:46" ht="15">
      <c r="A59" s="765" t="s">
        <v>283</v>
      </c>
      <c r="B59" s="769" t="s">
        <v>283</v>
      </c>
      <c r="C59" s="778" t="s">
        <v>694</v>
      </c>
      <c r="D59" s="774" t="s">
        <v>283</v>
      </c>
      <c r="E59" s="774" t="s">
        <v>283</v>
      </c>
      <c r="F59" s="774" t="s">
        <v>283</v>
      </c>
      <c r="G59" s="774" t="s">
        <v>283</v>
      </c>
      <c r="H59" s="774" t="s">
        <v>283</v>
      </c>
      <c r="I59" s="774" t="s">
        <v>283</v>
      </c>
      <c r="J59" s="774" t="s">
        <v>283</v>
      </c>
      <c r="K59" s="774" t="s">
        <v>283</v>
      </c>
      <c r="L59" s="774" t="s">
        <v>283</v>
      </c>
      <c r="M59" s="774" t="s">
        <v>283</v>
      </c>
      <c r="N59" s="774" t="s">
        <v>283</v>
      </c>
      <c r="O59" s="774" t="s">
        <v>283</v>
      </c>
      <c r="P59" s="774" t="s">
        <v>283</v>
      </c>
      <c r="Q59" s="774" t="s">
        <v>283</v>
      </c>
      <c r="R59" s="774" t="s">
        <v>283</v>
      </c>
      <c r="S59" s="774" t="s">
        <v>283</v>
      </c>
      <c r="T59" s="774" t="s">
        <v>283</v>
      </c>
      <c r="U59" s="774" t="s">
        <v>283</v>
      </c>
      <c r="V59" s="772" t="s">
        <v>283</v>
      </c>
      <c r="W59" s="765" t="s">
        <v>283</v>
      </c>
      <c r="X59" s="765" t="s">
        <v>283</v>
      </c>
      <c r="Y59" s="765" t="s">
        <v>283</v>
      </c>
      <c r="Z59" s="765" t="s">
        <v>283</v>
      </c>
      <c r="AA59" s="765" t="s">
        <v>283</v>
      </c>
      <c r="AB59" s="765" t="s">
        <v>283</v>
      </c>
      <c r="AC59" s="765" t="s">
        <v>283</v>
      </c>
      <c r="AD59" s="765" t="s">
        <v>283</v>
      </c>
      <c r="AE59" s="765" t="s">
        <v>283</v>
      </c>
      <c r="AF59" s="765" t="s">
        <v>283</v>
      </c>
      <c r="AG59" s="765" t="s">
        <v>283</v>
      </c>
      <c r="AH59" s="765" t="s">
        <v>283</v>
      </c>
      <c r="AI59" s="765" t="s">
        <v>283</v>
      </c>
      <c r="AJ59" s="765" t="s">
        <v>283</v>
      </c>
      <c r="AK59" s="765" t="s">
        <v>283</v>
      </c>
      <c r="AL59" s="765" t="s">
        <v>283</v>
      </c>
      <c r="AM59" s="765" t="s">
        <v>283</v>
      </c>
      <c r="AN59" s="765" t="s">
        <v>283</v>
      </c>
      <c r="AO59" s="765" t="s">
        <v>283</v>
      </c>
      <c r="AP59" s="765" t="s">
        <v>283</v>
      </c>
      <c r="AQ59" s="765" t="s">
        <v>283</v>
      </c>
      <c r="AR59" s="765" t="s">
        <v>283</v>
      </c>
      <c r="AS59" s="765" t="s">
        <v>283</v>
      </c>
      <c r="AT59" s="765" t="s">
        <v>283</v>
      </c>
    </row>
    <row r="60" spans="1:46" ht="15">
      <c r="A60" s="765" t="s">
        <v>283</v>
      </c>
      <c r="B60" s="769" t="s">
        <v>283</v>
      </c>
      <c r="C60" s="773" t="s">
        <v>695</v>
      </c>
      <c r="D60" s="774" t="s">
        <v>283</v>
      </c>
      <c r="E60" s="774" t="s">
        <v>283</v>
      </c>
      <c r="F60" s="774" t="s">
        <v>283</v>
      </c>
      <c r="G60" s="774" t="s">
        <v>283</v>
      </c>
      <c r="H60" s="774" t="s">
        <v>283</v>
      </c>
      <c r="I60" s="774" t="s">
        <v>283</v>
      </c>
      <c r="J60" s="774" t="s">
        <v>283</v>
      </c>
      <c r="K60" s="774" t="s">
        <v>283</v>
      </c>
      <c r="L60" s="771"/>
      <c r="M60" s="771"/>
      <c r="N60" s="771"/>
      <c r="O60" s="771"/>
      <c r="P60" s="771"/>
      <c r="Q60" s="771"/>
      <c r="R60" s="771"/>
      <c r="S60" s="771"/>
      <c r="T60" s="771"/>
      <c r="U60" s="771"/>
      <c r="V60" s="772" t="s">
        <v>283</v>
      </c>
      <c r="W60" s="765" t="s">
        <v>283</v>
      </c>
      <c r="X60" s="765" t="s">
        <v>283</v>
      </c>
      <c r="Y60" s="765" t="s">
        <v>283</v>
      </c>
      <c r="Z60" s="765" t="s">
        <v>283</v>
      </c>
      <c r="AA60" s="765" t="s">
        <v>283</v>
      </c>
      <c r="AB60" s="765" t="s">
        <v>283</v>
      </c>
      <c r="AC60" s="765" t="s">
        <v>283</v>
      </c>
      <c r="AD60" s="765" t="s">
        <v>283</v>
      </c>
      <c r="AE60" s="765" t="s">
        <v>283</v>
      </c>
      <c r="AF60" s="765" t="s">
        <v>283</v>
      </c>
      <c r="AG60" s="765" t="s">
        <v>283</v>
      </c>
      <c r="AH60" s="765" t="s">
        <v>283</v>
      </c>
      <c r="AI60" s="765" t="s">
        <v>283</v>
      </c>
      <c r="AJ60" s="765" t="s">
        <v>283</v>
      </c>
      <c r="AK60" s="765" t="s">
        <v>283</v>
      </c>
      <c r="AL60" s="765" t="s">
        <v>283</v>
      </c>
      <c r="AM60" s="765" t="s">
        <v>283</v>
      </c>
      <c r="AN60" s="765" t="s">
        <v>283</v>
      </c>
      <c r="AO60" s="765" t="s">
        <v>283</v>
      </c>
      <c r="AP60" s="765" t="s">
        <v>283</v>
      </c>
      <c r="AQ60" s="765" t="s">
        <v>283</v>
      </c>
      <c r="AR60" s="765" t="s">
        <v>283</v>
      </c>
      <c r="AS60" s="765" t="s">
        <v>283</v>
      </c>
      <c r="AT60" s="765" t="s">
        <v>283</v>
      </c>
    </row>
    <row r="61" spans="1:46" ht="15">
      <c r="A61" s="765" t="s">
        <v>283</v>
      </c>
      <c r="B61" s="769" t="s">
        <v>283</v>
      </c>
      <c r="C61" s="773" t="s">
        <v>696</v>
      </c>
      <c r="D61" s="779">
        <v>0</v>
      </c>
      <c r="E61" s="782">
        <v>-1250</v>
      </c>
      <c r="F61" s="782">
        <v>-98000</v>
      </c>
      <c r="G61" s="780">
        <v>93000</v>
      </c>
      <c r="H61" s="782">
        <v>-24500</v>
      </c>
      <c r="I61" s="780">
        <v>23250</v>
      </c>
      <c r="J61" s="780">
        <v>77989</v>
      </c>
      <c r="K61" s="781">
        <v>-62.39</v>
      </c>
      <c r="L61" s="771"/>
      <c r="M61" s="773">
        <v>0</v>
      </c>
      <c r="N61" s="783">
        <v>93000</v>
      </c>
      <c r="O61" s="773">
        <v>0</v>
      </c>
      <c r="P61" s="785">
        <v>-98000</v>
      </c>
      <c r="Q61" s="773"/>
      <c r="R61" s="773"/>
      <c r="S61" s="773"/>
      <c r="T61" s="773"/>
      <c r="U61" s="773"/>
      <c r="V61" s="772" t="s">
        <v>283</v>
      </c>
      <c r="W61" s="765" t="s">
        <v>283</v>
      </c>
      <c r="X61" s="765" t="s">
        <v>283</v>
      </c>
      <c r="Y61" s="765" t="s">
        <v>283</v>
      </c>
      <c r="Z61" s="765" t="s">
        <v>283</v>
      </c>
      <c r="AA61" s="765" t="s">
        <v>283</v>
      </c>
      <c r="AB61" s="765" t="s">
        <v>283</v>
      </c>
      <c r="AC61" s="765" t="s">
        <v>283</v>
      </c>
      <c r="AD61" s="765" t="s">
        <v>283</v>
      </c>
      <c r="AE61" s="765" t="s">
        <v>283</v>
      </c>
      <c r="AF61" s="765" t="s">
        <v>283</v>
      </c>
      <c r="AG61" s="765" t="s">
        <v>283</v>
      </c>
      <c r="AH61" s="765" t="s">
        <v>283</v>
      </c>
      <c r="AI61" s="765" t="s">
        <v>283</v>
      </c>
      <c r="AJ61" s="765" t="s">
        <v>283</v>
      </c>
      <c r="AK61" s="765" t="s">
        <v>283</v>
      </c>
      <c r="AL61" s="765" t="s">
        <v>283</v>
      </c>
      <c r="AM61" s="765" t="s">
        <v>283</v>
      </c>
      <c r="AN61" s="765" t="s">
        <v>283</v>
      </c>
      <c r="AO61" s="765" t="s">
        <v>283</v>
      </c>
      <c r="AP61" s="765" t="s">
        <v>283</v>
      </c>
      <c r="AQ61" s="765" t="s">
        <v>283</v>
      </c>
      <c r="AR61" s="765" t="s">
        <v>283</v>
      </c>
      <c r="AS61" s="765" t="s">
        <v>283</v>
      </c>
      <c r="AT61" s="765" t="s">
        <v>283</v>
      </c>
    </row>
    <row r="62" spans="1:46" ht="15">
      <c r="A62" s="765" t="s">
        <v>283</v>
      </c>
      <c r="B62" s="769" t="s">
        <v>283</v>
      </c>
      <c r="C62" s="773" t="s">
        <v>697</v>
      </c>
      <c r="D62" s="774" t="s">
        <v>283</v>
      </c>
      <c r="E62" s="774" t="s">
        <v>283</v>
      </c>
      <c r="F62" s="774" t="s">
        <v>283</v>
      </c>
      <c r="G62" s="774" t="s">
        <v>283</v>
      </c>
      <c r="H62" s="774" t="s">
        <v>283</v>
      </c>
      <c r="I62" s="774" t="s">
        <v>283</v>
      </c>
      <c r="J62" s="774" t="s">
        <v>283</v>
      </c>
      <c r="K62" s="774" t="s">
        <v>283</v>
      </c>
      <c r="L62" s="771"/>
      <c r="M62" s="771"/>
      <c r="N62" s="771"/>
      <c r="O62" s="771"/>
      <c r="P62" s="771"/>
      <c r="Q62" s="771"/>
      <c r="R62" s="771"/>
      <c r="S62" s="771"/>
      <c r="T62" s="771"/>
      <c r="U62" s="771"/>
      <c r="V62" s="772" t="s">
        <v>283</v>
      </c>
      <c r="W62" s="765" t="s">
        <v>283</v>
      </c>
      <c r="X62" s="765" t="s">
        <v>283</v>
      </c>
      <c r="Y62" s="765" t="s">
        <v>283</v>
      </c>
      <c r="Z62" s="765" t="s">
        <v>283</v>
      </c>
      <c r="AA62" s="765" t="s">
        <v>283</v>
      </c>
      <c r="AB62" s="765" t="s">
        <v>283</v>
      </c>
      <c r="AC62" s="765" t="s">
        <v>283</v>
      </c>
      <c r="AD62" s="765" t="s">
        <v>283</v>
      </c>
      <c r="AE62" s="765" t="s">
        <v>283</v>
      </c>
      <c r="AF62" s="765" t="s">
        <v>283</v>
      </c>
      <c r="AG62" s="765" t="s">
        <v>283</v>
      </c>
      <c r="AH62" s="765" t="s">
        <v>283</v>
      </c>
      <c r="AI62" s="765" t="s">
        <v>283</v>
      </c>
      <c r="AJ62" s="765" t="s">
        <v>283</v>
      </c>
      <c r="AK62" s="765" t="s">
        <v>283</v>
      </c>
      <c r="AL62" s="765" t="s">
        <v>283</v>
      </c>
      <c r="AM62" s="765" t="s">
        <v>283</v>
      </c>
      <c r="AN62" s="765" t="s">
        <v>283</v>
      </c>
      <c r="AO62" s="765" t="s">
        <v>283</v>
      </c>
      <c r="AP62" s="765" t="s">
        <v>283</v>
      </c>
      <c r="AQ62" s="765" t="s">
        <v>283</v>
      </c>
      <c r="AR62" s="765" t="s">
        <v>283</v>
      </c>
      <c r="AS62" s="765" t="s">
        <v>283</v>
      </c>
      <c r="AT62" s="765" t="s">
        <v>283</v>
      </c>
    </row>
    <row r="63" spans="1:46" ht="15">
      <c r="A63" s="765" t="s">
        <v>283</v>
      </c>
      <c r="B63" s="769" t="s">
        <v>283</v>
      </c>
      <c r="C63" s="773" t="s">
        <v>698</v>
      </c>
      <c r="D63" s="782">
        <v>-73000</v>
      </c>
      <c r="E63" s="782">
        <v>-70857</v>
      </c>
      <c r="F63" s="782">
        <v>-98000</v>
      </c>
      <c r="G63" s="782">
        <v>-22000</v>
      </c>
      <c r="H63" s="782">
        <v>-87000</v>
      </c>
      <c r="I63" s="782">
        <v>-64500</v>
      </c>
      <c r="J63" s="780">
        <v>25868</v>
      </c>
      <c r="K63" s="781">
        <v>-0.37</v>
      </c>
      <c r="L63" s="771"/>
      <c r="M63" s="785">
        <v>-97000</v>
      </c>
      <c r="N63" s="785">
        <v>-77000</v>
      </c>
      <c r="O63" s="785">
        <v>-71000</v>
      </c>
      <c r="P63" s="785">
        <v>-58000</v>
      </c>
      <c r="Q63" s="785">
        <v>-73000</v>
      </c>
      <c r="R63" s="785">
        <v>-22000</v>
      </c>
      <c r="S63" s="785">
        <v>-98000</v>
      </c>
      <c r="T63" s="773"/>
      <c r="U63" s="773"/>
      <c r="V63" s="772" t="s">
        <v>283</v>
      </c>
      <c r="W63" s="765" t="s">
        <v>283</v>
      </c>
      <c r="X63" s="765" t="s">
        <v>283</v>
      </c>
      <c r="Y63" s="765" t="s">
        <v>283</v>
      </c>
      <c r="Z63" s="765" t="s">
        <v>283</v>
      </c>
      <c r="AA63" s="765" t="s">
        <v>283</v>
      </c>
      <c r="AB63" s="765" t="s">
        <v>283</v>
      </c>
      <c r="AC63" s="765" t="s">
        <v>283</v>
      </c>
      <c r="AD63" s="765" t="s">
        <v>283</v>
      </c>
      <c r="AE63" s="765" t="s">
        <v>283</v>
      </c>
      <c r="AF63" s="765" t="s">
        <v>283</v>
      </c>
      <c r="AG63" s="765" t="s">
        <v>283</v>
      </c>
      <c r="AH63" s="765" t="s">
        <v>283</v>
      </c>
      <c r="AI63" s="765" t="s">
        <v>283</v>
      </c>
      <c r="AJ63" s="765" t="s">
        <v>283</v>
      </c>
      <c r="AK63" s="765" t="s">
        <v>283</v>
      </c>
      <c r="AL63" s="765" t="s">
        <v>283</v>
      </c>
      <c r="AM63" s="765" t="s">
        <v>283</v>
      </c>
      <c r="AN63" s="765" t="s">
        <v>283</v>
      </c>
      <c r="AO63" s="765" t="s">
        <v>283</v>
      </c>
      <c r="AP63" s="765" t="s">
        <v>283</v>
      </c>
      <c r="AQ63" s="765" t="s">
        <v>283</v>
      </c>
      <c r="AR63" s="765" t="s">
        <v>283</v>
      </c>
      <c r="AS63" s="765" t="s">
        <v>283</v>
      </c>
      <c r="AT63" s="765" t="s">
        <v>283</v>
      </c>
    </row>
    <row r="64" spans="1:46" ht="15">
      <c r="A64" s="765" t="s">
        <v>283</v>
      </c>
      <c r="B64" s="769" t="s">
        <v>283</v>
      </c>
      <c r="C64" s="773" t="s">
        <v>699</v>
      </c>
      <c r="D64" s="780">
        <v>25000</v>
      </c>
      <c r="E64" s="780">
        <v>25143</v>
      </c>
      <c r="F64" s="780">
        <v>6000</v>
      </c>
      <c r="G64" s="780">
        <v>63000</v>
      </c>
      <c r="H64" s="780">
        <v>14000</v>
      </c>
      <c r="I64" s="780">
        <v>27000</v>
      </c>
      <c r="J64" s="780">
        <v>18551</v>
      </c>
      <c r="K64" s="779">
        <v>0.74</v>
      </c>
      <c r="L64" s="771"/>
      <c r="M64" s="783">
        <v>16000</v>
      </c>
      <c r="N64" s="783">
        <v>26000</v>
      </c>
      <c r="O64" s="783">
        <v>28000</v>
      </c>
      <c r="P64" s="783">
        <v>12000</v>
      </c>
      <c r="Q64" s="783">
        <v>25000</v>
      </c>
      <c r="R64" s="783">
        <v>63000</v>
      </c>
      <c r="S64" s="783">
        <v>6000</v>
      </c>
      <c r="T64" s="773"/>
      <c r="U64" s="773"/>
      <c r="V64" s="772" t="s">
        <v>283</v>
      </c>
      <c r="W64" s="765" t="s">
        <v>283</v>
      </c>
      <c r="X64" s="765" t="s">
        <v>283</v>
      </c>
      <c r="Y64" s="765" t="s">
        <v>283</v>
      </c>
      <c r="Z64" s="765" t="s">
        <v>283</v>
      </c>
      <c r="AA64" s="765" t="s">
        <v>283</v>
      </c>
      <c r="AB64" s="765" t="s">
        <v>283</v>
      </c>
      <c r="AC64" s="765" t="s">
        <v>283</v>
      </c>
      <c r="AD64" s="765" t="s">
        <v>283</v>
      </c>
      <c r="AE64" s="765" t="s">
        <v>283</v>
      </c>
      <c r="AF64" s="765" t="s">
        <v>283</v>
      </c>
      <c r="AG64" s="765" t="s">
        <v>283</v>
      </c>
      <c r="AH64" s="765" t="s">
        <v>283</v>
      </c>
      <c r="AI64" s="765" t="s">
        <v>283</v>
      </c>
      <c r="AJ64" s="765" t="s">
        <v>283</v>
      </c>
      <c r="AK64" s="765" t="s">
        <v>283</v>
      </c>
      <c r="AL64" s="765" t="s">
        <v>283</v>
      </c>
      <c r="AM64" s="765" t="s">
        <v>283</v>
      </c>
      <c r="AN64" s="765" t="s">
        <v>283</v>
      </c>
      <c r="AO64" s="765" t="s">
        <v>283</v>
      </c>
      <c r="AP64" s="765" t="s">
        <v>283</v>
      </c>
      <c r="AQ64" s="765" t="s">
        <v>283</v>
      </c>
      <c r="AR64" s="765" t="s">
        <v>283</v>
      </c>
      <c r="AS64" s="765" t="s">
        <v>283</v>
      </c>
      <c r="AT64" s="765" t="s">
        <v>283</v>
      </c>
    </row>
    <row r="65" spans="1:46" ht="15">
      <c r="A65" s="765" t="s">
        <v>283</v>
      </c>
      <c r="B65" s="769" t="s">
        <v>283</v>
      </c>
      <c r="C65" s="776" t="s">
        <v>700</v>
      </c>
      <c r="D65" s="789">
        <v>-48000</v>
      </c>
      <c r="E65" s="789">
        <v>-45714</v>
      </c>
      <c r="F65" s="789">
        <v>-92000</v>
      </c>
      <c r="G65" s="787">
        <v>41000</v>
      </c>
      <c r="H65" s="789">
        <v>-66000</v>
      </c>
      <c r="I65" s="789">
        <v>-44500</v>
      </c>
      <c r="J65" s="787">
        <v>42715</v>
      </c>
      <c r="K65" s="788">
        <v>-0.93</v>
      </c>
      <c r="L65" s="790" t="s">
        <v>283</v>
      </c>
      <c r="M65" s="794">
        <v>-81000</v>
      </c>
      <c r="N65" s="794">
        <v>-51000</v>
      </c>
      <c r="O65" s="794">
        <v>-43000</v>
      </c>
      <c r="P65" s="794">
        <v>-46000</v>
      </c>
      <c r="Q65" s="794">
        <v>-48000</v>
      </c>
      <c r="R65" s="792">
        <v>41000</v>
      </c>
      <c r="S65" s="794">
        <v>-92000</v>
      </c>
      <c r="T65" s="791" t="s">
        <v>283</v>
      </c>
      <c r="U65" s="791" t="s">
        <v>283</v>
      </c>
      <c r="V65" s="772" t="s">
        <v>283</v>
      </c>
      <c r="W65" s="765" t="s">
        <v>283</v>
      </c>
      <c r="X65" s="765" t="s">
        <v>283</v>
      </c>
      <c r="Y65" s="765" t="s">
        <v>283</v>
      </c>
      <c r="Z65" s="765" t="s">
        <v>283</v>
      </c>
      <c r="AA65" s="765" t="s">
        <v>283</v>
      </c>
      <c r="AB65" s="765" t="s">
        <v>283</v>
      </c>
      <c r="AC65" s="765" t="s">
        <v>283</v>
      </c>
      <c r="AD65" s="765" t="s">
        <v>283</v>
      </c>
      <c r="AE65" s="765" t="s">
        <v>283</v>
      </c>
      <c r="AF65" s="765" t="s">
        <v>283</v>
      </c>
      <c r="AG65" s="765" t="s">
        <v>283</v>
      </c>
      <c r="AH65" s="765" t="s">
        <v>283</v>
      </c>
      <c r="AI65" s="765" t="s">
        <v>283</v>
      </c>
      <c r="AJ65" s="765" t="s">
        <v>283</v>
      </c>
      <c r="AK65" s="765" t="s">
        <v>283</v>
      </c>
      <c r="AL65" s="765" t="s">
        <v>283</v>
      </c>
      <c r="AM65" s="765" t="s">
        <v>283</v>
      </c>
      <c r="AN65" s="765" t="s">
        <v>283</v>
      </c>
      <c r="AO65" s="765" t="s">
        <v>283</v>
      </c>
      <c r="AP65" s="765" t="s">
        <v>283</v>
      </c>
      <c r="AQ65" s="765" t="s">
        <v>283</v>
      </c>
      <c r="AR65" s="765" t="s">
        <v>283</v>
      </c>
      <c r="AS65" s="765" t="s">
        <v>283</v>
      </c>
      <c r="AT65" s="765" t="s">
        <v>283</v>
      </c>
    </row>
    <row r="66" spans="1:46" ht="15">
      <c r="A66" s="765" t="s">
        <v>283</v>
      </c>
      <c r="B66" s="769" t="s">
        <v>283</v>
      </c>
      <c r="C66" s="773" t="s">
        <v>701</v>
      </c>
      <c r="D66" s="774" t="s">
        <v>283</v>
      </c>
      <c r="E66" s="774" t="s">
        <v>283</v>
      </c>
      <c r="F66" s="774" t="s">
        <v>283</v>
      </c>
      <c r="G66" s="774" t="s">
        <v>283</v>
      </c>
      <c r="H66" s="774" t="s">
        <v>283</v>
      </c>
      <c r="I66" s="774" t="s">
        <v>283</v>
      </c>
      <c r="J66" s="774" t="s">
        <v>283</v>
      </c>
      <c r="K66" s="774" t="s">
        <v>283</v>
      </c>
      <c r="L66" s="771"/>
      <c r="M66" s="771"/>
      <c r="N66" s="771"/>
      <c r="O66" s="771"/>
      <c r="P66" s="771"/>
      <c r="Q66" s="771"/>
      <c r="R66" s="771"/>
      <c r="S66" s="771"/>
      <c r="T66" s="771"/>
      <c r="U66" s="771"/>
      <c r="V66" s="772" t="s">
        <v>283</v>
      </c>
      <c r="W66" s="765" t="s">
        <v>283</v>
      </c>
      <c r="X66" s="765" t="s">
        <v>283</v>
      </c>
      <c r="Y66" s="765" t="s">
        <v>283</v>
      </c>
      <c r="Z66" s="765" t="s">
        <v>283</v>
      </c>
      <c r="AA66" s="765" t="s">
        <v>283</v>
      </c>
      <c r="AB66" s="765" t="s">
        <v>283</v>
      </c>
      <c r="AC66" s="765" t="s">
        <v>283</v>
      </c>
      <c r="AD66" s="765" t="s">
        <v>283</v>
      </c>
      <c r="AE66" s="765" t="s">
        <v>283</v>
      </c>
      <c r="AF66" s="765" t="s">
        <v>283</v>
      </c>
      <c r="AG66" s="765" t="s">
        <v>283</v>
      </c>
      <c r="AH66" s="765" t="s">
        <v>283</v>
      </c>
      <c r="AI66" s="765" t="s">
        <v>283</v>
      </c>
      <c r="AJ66" s="765" t="s">
        <v>283</v>
      </c>
      <c r="AK66" s="765" t="s">
        <v>283</v>
      </c>
      <c r="AL66" s="765" t="s">
        <v>283</v>
      </c>
      <c r="AM66" s="765" t="s">
        <v>283</v>
      </c>
      <c r="AN66" s="765" t="s">
        <v>283</v>
      </c>
      <c r="AO66" s="765" t="s">
        <v>283</v>
      </c>
      <c r="AP66" s="765" t="s">
        <v>283</v>
      </c>
      <c r="AQ66" s="765" t="s">
        <v>283</v>
      </c>
      <c r="AR66" s="765" t="s">
        <v>283</v>
      </c>
      <c r="AS66" s="765" t="s">
        <v>283</v>
      </c>
      <c r="AT66" s="765" t="s">
        <v>283</v>
      </c>
    </row>
    <row r="67" spans="1:46" ht="15">
      <c r="A67" s="765" t="s">
        <v>283</v>
      </c>
      <c r="B67" s="769" t="s">
        <v>283</v>
      </c>
      <c r="C67" s="773" t="s">
        <v>702</v>
      </c>
      <c r="D67" s="782">
        <v>-21000</v>
      </c>
      <c r="E67" s="782">
        <v>-24429</v>
      </c>
      <c r="F67" s="782">
        <v>-42000</v>
      </c>
      <c r="G67" s="782">
        <v>-12000</v>
      </c>
      <c r="H67" s="782">
        <v>-31000</v>
      </c>
      <c r="I67" s="782">
        <v>-17000</v>
      </c>
      <c r="J67" s="780">
        <v>10983</v>
      </c>
      <c r="K67" s="781">
        <v>-0.45</v>
      </c>
      <c r="L67" s="771"/>
      <c r="M67" s="785">
        <v>-26000</v>
      </c>
      <c r="N67" s="785">
        <v>-36000</v>
      </c>
      <c r="O67" s="785">
        <v>-21000</v>
      </c>
      <c r="P67" s="785">
        <v>-16000</v>
      </c>
      <c r="Q67" s="785">
        <v>-12000</v>
      </c>
      <c r="R67" s="785">
        <v>-18000</v>
      </c>
      <c r="S67" s="785">
        <v>-42000</v>
      </c>
      <c r="T67" s="773"/>
      <c r="U67" s="773"/>
      <c r="V67" s="772" t="s">
        <v>283</v>
      </c>
      <c r="W67" s="765" t="s">
        <v>283</v>
      </c>
      <c r="X67" s="765" t="s">
        <v>283</v>
      </c>
      <c r="Y67" s="765" t="s">
        <v>283</v>
      </c>
      <c r="Z67" s="765" t="s">
        <v>283</v>
      </c>
      <c r="AA67" s="765" t="s">
        <v>283</v>
      </c>
      <c r="AB67" s="765" t="s">
        <v>283</v>
      </c>
      <c r="AC67" s="765" t="s">
        <v>283</v>
      </c>
      <c r="AD67" s="765" t="s">
        <v>283</v>
      </c>
      <c r="AE67" s="765" t="s">
        <v>283</v>
      </c>
      <c r="AF67" s="765" t="s">
        <v>283</v>
      </c>
      <c r="AG67" s="765" t="s">
        <v>283</v>
      </c>
      <c r="AH67" s="765" t="s">
        <v>283</v>
      </c>
      <c r="AI67" s="765" t="s">
        <v>283</v>
      </c>
      <c r="AJ67" s="765" t="s">
        <v>283</v>
      </c>
      <c r="AK67" s="765" t="s">
        <v>283</v>
      </c>
      <c r="AL67" s="765" t="s">
        <v>283</v>
      </c>
      <c r="AM67" s="765" t="s">
        <v>283</v>
      </c>
      <c r="AN67" s="765" t="s">
        <v>283</v>
      </c>
      <c r="AO67" s="765" t="s">
        <v>283</v>
      </c>
      <c r="AP67" s="765" t="s">
        <v>283</v>
      </c>
      <c r="AQ67" s="765" t="s">
        <v>283</v>
      </c>
      <c r="AR67" s="765" t="s">
        <v>283</v>
      </c>
      <c r="AS67" s="765" t="s">
        <v>283</v>
      </c>
      <c r="AT67" s="765" t="s">
        <v>283</v>
      </c>
    </row>
    <row r="68" spans="1:46" ht="15">
      <c r="A68" s="765" t="s">
        <v>283</v>
      </c>
      <c r="B68" s="769" t="s">
        <v>283</v>
      </c>
      <c r="C68" s="776" t="s">
        <v>703</v>
      </c>
      <c r="D68" s="789">
        <v>-21000</v>
      </c>
      <c r="E68" s="789">
        <v>-24429</v>
      </c>
      <c r="F68" s="789">
        <v>-42000</v>
      </c>
      <c r="G68" s="789">
        <v>-12000</v>
      </c>
      <c r="H68" s="789">
        <v>-31000</v>
      </c>
      <c r="I68" s="789">
        <v>-17000</v>
      </c>
      <c r="J68" s="787">
        <v>10983</v>
      </c>
      <c r="K68" s="788">
        <v>-0.45</v>
      </c>
      <c r="L68" s="790" t="s">
        <v>283</v>
      </c>
      <c r="M68" s="794">
        <v>-26000</v>
      </c>
      <c r="N68" s="794">
        <v>-36000</v>
      </c>
      <c r="O68" s="794">
        <v>-21000</v>
      </c>
      <c r="P68" s="794">
        <v>-16000</v>
      </c>
      <c r="Q68" s="794">
        <v>-12000</v>
      </c>
      <c r="R68" s="794">
        <v>-18000</v>
      </c>
      <c r="S68" s="794">
        <v>-42000</v>
      </c>
      <c r="T68" s="791" t="s">
        <v>283</v>
      </c>
      <c r="U68" s="791" t="s">
        <v>283</v>
      </c>
      <c r="V68" s="772" t="s">
        <v>283</v>
      </c>
      <c r="W68" s="765" t="s">
        <v>283</v>
      </c>
      <c r="X68" s="765" t="s">
        <v>283</v>
      </c>
      <c r="Y68" s="765" t="s">
        <v>283</v>
      </c>
      <c r="Z68" s="765" t="s">
        <v>283</v>
      </c>
      <c r="AA68" s="765" t="s">
        <v>283</v>
      </c>
      <c r="AB68" s="765" t="s">
        <v>283</v>
      </c>
      <c r="AC68" s="765" t="s">
        <v>283</v>
      </c>
      <c r="AD68" s="765" t="s">
        <v>283</v>
      </c>
      <c r="AE68" s="765" t="s">
        <v>283</v>
      </c>
      <c r="AF68" s="765" t="s">
        <v>283</v>
      </c>
      <c r="AG68" s="765" t="s">
        <v>283</v>
      </c>
      <c r="AH68" s="765" t="s">
        <v>283</v>
      </c>
      <c r="AI68" s="765" t="s">
        <v>283</v>
      </c>
      <c r="AJ68" s="765" t="s">
        <v>283</v>
      </c>
      <c r="AK68" s="765" t="s">
        <v>283</v>
      </c>
      <c r="AL68" s="765" t="s">
        <v>283</v>
      </c>
      <c r="AM68" s="765" t="s">
        <v>283</v>
      </c>
      <c r="AN68" s="765" t="s">
        <v>283</v>
      </c>
      <c r="AO68" s="765" t="s">
        <v>283</v>
      </c>
      <c r="AP68" s="765" t="s">
        <v>283</v>
      </c>
      <c r="AQ68" s="765" t="s">
        <v>283</v>
      </c>
      <c r="AR68" s="765" t="s">
        <v>283</v>
      </c>
      <c r="AS68" s="765" t="s">
        <v>283</v>
      </c>
      <c r="AT68" s="765" t="s">
        <v>283</v>
      </c>
    </row>
    <row r="69" spans="1:46" ht="15">
      <c r="A69" s="765" t="s">
        <v>283</v>
      </c>
      <c r="B69" s="769" t="s">
        <v>283</v>
      </c>
      <c r="C69" s="773" t="s">
        <v>704</v>
      </c>
      <c r="D69" s="774" t="s">
        <v>283</v>
      </c>
      <c r="E69" s="774" t="s">
        <v>283</v>
      </c>
      <c r="F69" s="774" t="s">
        <v>283</v>
      </c>
      <c r="G69" s="774" t="s">
        <v>283</v>
      </c>
      <c r="H69" s="774" t="s">
        <v>283</v>
      </c>
      <c r="I69" s="774" t="s">
        <v>283</v>
      </c>
      <c r="J69" s="774" t="s">
        <v>283</v>
      </c>
      <c r="K69" s="774" t="s">
        <v>283</v>
      </c>
      <c r="L69" s="771"/>
      <c r="M69" s="771"/>
      <c r="N69" s="771"/>
      <c r="O69" s="771"/>
      <c r="P69" s="771"/>
      <c r="Q69" s="771"/>
      <c r="R69" s="771"/>
      <c r="S69" s="771"/>
      <c r="T69" s="771"/>
      <c r="U69" s="771"/>
      <c r="V69" s="772" t="s">
        <v>283</v>
      </c>
      <c r="W69" s="765" t="s">
        <v>283</v>
      </c>
      <c r="X69" s="765" t="s">
        <v>283</v>
      </c>
      <c r="Y69" s="765" t="s">
        <v>283</v>
      </c>
      <c r="Z69" s="765" t="s">
        <v>283</v>
      </c>
      <c r="AA69" s="765" t="s">
        <v>283</v>
      </c>
      <c r="AB69" s="765" t="s">
        <v>283</v>
      </c>
      <c r="AC69" s="765" t="s">
        <v>283</v>
      </c>
      <c r="AD69" s="765" t="s">
        <v>283</v>
      </c>
      <c r="AE69" s="765" t="s">
        <v>283</v>
      </c>
      <c r="AF69" s="765" t="s">
        <v>283</v>
      </c>
      <c r="AG69" s="765" t="s">
        <v>283</v>
      </c>
      <c r="AH69" s="765" t="s">
        <v>283</v>
      </c>
      <c r="AI69" s="765" t="s">
        <v>283</v>
      </c>
      <c r="AJ69" s="765" t="s">
        <v>283</v>
      </c>
      <c r="AK69" s="765" t="s">
        <v>283</v>
      </c>
      <c r="AL69" s="765" t="s">
        <v>283</v>
      </c>
      <c r="AM69" s="765" t="s">
        <v>283</v>
      </c>
      <c r="AN69" s="765" t="s">
        <v>283</v>
      </c>
      <c r="AO69" s="765" t="s">
        <v>283</v>
      </c>
      <c r="AP69" s="765" t="s">
        <v>283</v>
      </c>
      <c r="AQ69" s="765" t="s">
        <v>283</v>
      </c>
      <c r="AR69" s="765" t="s">
        <v>283</v>
      </c>
      <c r="AS69" s="765" t="s">
        <v>283</v>
      </c>
      <c r="AT69" s="765" t="s">
        <v>283</v>
      </c>
    </row>
    <row r="70" spans="1:46" ht="15">
      <c r="A70" s="765" t="s">
        <v>283</v>
      </c>
      <c r="B70" s="769" t="s">
        <v>283</v>
      </c>
      <c r="C70" s="773" t="s">
        <v>705</v>
      </c>
      <c r="D70" s="782">
        <v>-22000</v>
      </c>
      <c r="E70" s="782">
        <v>-45143</v>
      </c>
      <c r="F70" s="782">
        <v>-168000</v>
      </c>
      <c r="G70" s="779">
        <v>0</v>
      </c>
      <c r="H70" s="782">
        <v>-61500</v>
      </c>
      <c r="I70" s="782">
        <v>-1500</v>
      </c>
      <c r="J70" s="780">
        <v>64525</v>
      </c>
      <c r="K70" s="781">
        <v>-1.43</v>
      </c>
      <c r="L70" s="771"/>
      <c r="M70" s="785">
        <v>-100000</v>
      </c>
      <c r="N70" s="785">
        <v>-23000</v>
      </c>
      <c r="O70" s="773">
        <v>0</v>
      </c>
      <c r="P70" s="785">
        <v>-168000</v>
      </c>
      <c r="Q70" s="773">
        <v>0</v>
      </c>
      <c r="R70" s="785">
        <v>-3000</v>
      </c>
      <c r="S70" s="785">
        <v>-22000</v>
      </c>
      <c r="T70" s="773"/>
      <c r="U70" s="773"/>
      <c r="V70" s="772" t="s">
        <v>283</v>
      </c>
      <c r="W70" s="765" t="s">
        <v>283</v>
      </c>
      <c r="X70" s="765" t="s">
        <v>283</v>
      </c>
      <c r="Y70" s="765" t="s">
        <v>283</v>
      </c>
      <c r="Z70" s="765" t="s">
        <v>283</v>
      </c>
      <c r="AA70" s="765" t="s">
        <v>283</v>
      </c>
      <c r="AB70" s="765" t="s">
        <v>283</v>
      </c>
      <c r="AC70" s="765" t="s">
        <v>283</v>
      </c>
      <c r="AD70" s="765" t="s">
        <v>283</v>
      </c>
      <c r="AE70" s="765" t="s">
        <v>283</v>
      </c>
      <c r="AF70" s="765" t="s">
        <v>283</v>
      </c>
      <c r="AG70" s="765" t="s">
        <v>283</v>
      </c>
      <c r="AH70" s="765" t="s">
        <v>283</v>
      </c>
      <c r="AI70" s="765" t="s">
        <v>283</v>
      </c>
      <c r="AJ70" s="765" t="s">
        <v>283</v>
      </c>
      <c r="AK70" s="765" t="s">
        <v>283</v>
      </c>
      <c r="AL70" s="765" t="s">
        <v>283</v>
      </c>
      <c r="AM70" s="765" t="s">
        <v>283</v>
      </c>
      <c r="AN70" s="765" t="s">
        <v>283</v>
      </c>
      <c r="AO70" s="765" t="s">
        <v>283</v>
      </c>
      <c r="AP70" s="765" t="s">
        <v>283</v>
      </c>
      <c r="AQ70" s="765" t="s">
        <v>283</v>
      </c>
      <c r="AR70" s="765" t="s">
        <v>283</v>
      </c>
      <c r="AS70" s="765" t="s">
        <v>283</v>
      </c>
      <c r="AT70" s="765" t="s">
        <v>283</v>
      </c>
    </row>
    <row r="71" spans="1:46" ht="15">
      <c r="A71" s="765" t="s">
        <v>283</v>
      </c>
      <c r="B71" s="769" t="s">
        <v>283</v>
      </c>
      <c r="C71" s="773" t="s">
        <v>706</v>
      </c>
      <c r="D71" s="779">
        <v>0</v>
      </c>
      <c r="E71" s="779">
        <v>333</v>
      </c>
      <c r="F71" s="779">
        <v>0</v>
      </c>
      <c r="G71" s="780">
        <v>1000</v>
      </c>
      <c r="H71" s="779">
        <v>0</v>
      </c>
      <c r="I71" s="779">
        <v>500</v>
      </c>
      <c r="J71" s="779">
        <v>577</v>
      </c>
      <c r="K71" s="779">
        <v>1.73</v>
      </c>
      <c r="L71" s="771"/>
      <c r="M71" s="783">
        <v>1000</v>
      </c>
      <c r="N71" s="773">
        <v>0</v>
      </c>
      <c r="O71" s="773">
        <v>0</v>
      </c>
      <c r="P71" s="773"/>
      <c r="Q71" s="773"/>
      <c r="R71" s="773"/>
      <c r="S71" s="773"/>
      <c r="T71" s="773"/>
      <c r="U71" s="773"/>
      <c r="V71" s="772" t="s">
        <v>283</v>
      </c>
      <c r="W71" s="765" t="s">
        <v>283</v>
      </c>
      <c r="X71" s="765" t="s">
        <v>283</v>
      </c>
      <c r="Y71" s="765" t="s">
        <v>283</v>
      </c>
      <c r="Z71" s="765" t="s">
        <v>283</v>
      </c>
      <c r="AA71" s="765" t="s">
        <v>283</v>
      </c>
      <c r="AB71" s="765" t="s">
        <v>283</v>
      </c>
      <c r="AC71" s="765" t="s">
        <v>283</v>
      </c>
      <c r="AD71" s="765" t="s">
        <v>283</v>
      </c>
      <c r="AE71" s="765" t="s">
        <v>283</v>
      </c>
      <c r="AF71" s="765" t="s">
        <v>283</v>
      </c>
      <c r="AG71" s="765" t="s">
        <v>283</v>
      </c>
      <c r="AH71" s="765" t="s">
        <v>283</v>
      </c>
      <c r="AI71" s="765" t="s">
        <v>283</v>
      </c>
      <c r="AJ71" s="765" t="s">
        <v>283</v>
      </c>
      <c r="AK71" s="765" t="s">
        <v>283</v>
      </c>
      <c r="AL71" s="765" t="s">
        <v>283</v>
      </c>
      <c r="AM71" s="765" t="s">
        <v>283</v>
      </c>
      <c r="AN71" s="765" t="s">
        <v>283</v>
      </c>
      <c r="AO71" s="765" t="s">
        <v>283</v>
      </c>
      <c r="AP71" s="765" t="s">
        <v>283</v>
      </c>
      <c r="AQ71" s="765" t="s">
        <v>283</v>
      </c>
      <c r="AR71" s="765" t="s">
        <v>283</v>
      </c>
      <c r="AS71" s="765" t="s">
        <v>283</v>
      </c>
      <c r="AT71" s="765" t="s">
        <v>283</v>
      </c>
    </row>
    <row r="72" spans="1:46" ht="15">
      <c r="A72" s="765" t="s">
        <v>283</v>
      </c>
      <c r="B72" s="769" t="s">
        <v>283</v>
      </c>
      <c r="C72" s="776" t="s">
        <v>707</v>
      </c>
      <c r="D72" s="789">
        <v>-22000</v>
      </c>
      <c r="E72" s="789">
        <v>-45000</v>
      </c>
      <c r="F72" s="789">
        <v>-168000</v>
      </c>
      <c r="G72" s="786">
        <v>0</v>
      </c>
      <c r="H72" s="789">
        <v>-61000</v>
      </c>
      <c r="I72" s="789">
        <v>-1500</v>
      </c>
      <c r="J72" s="787">
        <v>64384</v>
      </c>
      <c r="K72" s="788">
        <v>-1.43</v>
      </c>
      <c r="L72" s="790" t="s">
        <v>283</v>
      </c>
      <c r="M72" s="794">
        <v>-99000</v>
      </c>
      <c r="N72" s="794">
        <v>-23000</v>
      </c>
      <c r="O72" s="791">
        <v>0</v>
      </c>
      <c r="P72" s="794">
        <v>-168000</v>
      </c>
      <c r="Q72" s="791">
        <v>0</v>
      </c>
      <c r="R72" s="794">
        <v>-3000</v>
      </c>
      <c r="S72" s="794">
        <v>-22000</v>
      </c>
      <c r="T72" s="791" t="s">
        <v>283</v>
      </c>
      <c r="U72" s="791" t="s">
        <v>283</v>
      </c>
      <c r="V72" s="772" t="s">
        <v>283</v>
      </c>
      <c r="W72" s="765" t="s">
        <v>283</v>
      </c>
      <c r="X72" s="765" t="s">
        <v>283</v>
      </c>
      <c r="Y72" s="765" t="s">
        <v>283</v>
      </c>
      <c r="Z72" s="765" t="s">
        <v>283</v>
      </c>
      <c r="AA72" s="765" t="s">
        <v>283</v>
      </c>
      <c r="AB72" s="765" t="s">
        <v>283</v>
      </c>
      <c r="AC72" s="765" t="s">
        <v>283</v>
      </c>
      <c r="AD72" s="765" t="s">
        <v>283</v>
      </c>
      <c r="AE72" s="765" t="s">
        <v>283</v>
      </c>
      <c r="AF72" s="765" t="s">
        <v>283</v>
      </c>
      <c r="AG72" s="765" t="s">
        <v>283</v>
      </c>
      <c r="AH72" s="765" t="s">
        <v>283</v>
      </c>
      <c r="AI72" s="765" t="s">
        <v>283</v>
      </c>
      <c r="AJ72" s="765" t="s">
        <v>283</v>
      </c>
      <c r="AK72" s="765" t="s">
        <v>283</v>
      </c>
      <c r="AL72" s="765" t="s">
        <v>283</v>
      </c>
      <c r="AM72" s="765" t="s">
        <v>283</v>
      </c>
      <c r="AN72" s="765" t="s">
        <v>283</v>
      </c>
      <c r="AO72" s="765" t="s">
        <v>283</v>
      </c>
      <c r="AP72" s="765" t="s">
        <v>283</v>
      </c>
      <c r="AQ72" s="765" t="s">
        <v>283</v>
      </c>
      <c r="AR72" s="765" t="s">
        <v>283</v>
      </c>
      <c r="AS72" s="765" t="s">
        <v>283</v>
      </c>
      <c r="AT72" s="765" t="s">
        <v>283</v>
      </c>
    </row>
    <row r="73" spans="1:46" ht="15">
      <c r="A73" s="765" t="s">
        <v>283</v>
      </c>
      <c r="B73" s="769" t="s">
        <v>283</v>
      </c>
      <c r="C73" s="773" t="s">
        <v>708</v>
      </c>
      <c r="D73" s="774" t="s">
        <v>283</v>
      </c>
      <c r="E73" s="774" t="s">
        <v>283</v>
      </c>
      <c r="F73" s="774" t="s">
        <v>283</v>
      </c>
      <c r="G73" s="774" t="s">
        <v>283</v>
      </c>
      <c r="H73" s="774" t="s">
        <v>283</v>
      </c>
      <c r="I73" s="774" t="s">
        <v>283</v>
      </c>
      <c r="J73" s="774" t="s">
        <v>283</v>
      </c>
      <c r="K73" s="774" t="s">
        <v>283</v>
      </c>
      <c r="L73" s="771"/>
      <c r="M73" s="771"/>
      <c r="N73" s="771"/>
      <c r="O73" s="771"/>
      <c r="P73" s="771"/>
      <c r="Q73" s="771"/>
      <c r="R73" s="771"/>
      <c r="S73" s="771"/>
      <c r="T73" s="771"/>
      <c r="U73" s="771"/>
      <c r="V73" s="772" t="s">
        <v>283</v>
      </c>
      <c r="W73" s="765" t="s">
        <v>283</v>
      </c>
      <c r="X73" s="765" t="s">
        <v>283</v>
      </c>
      <c r="Y73" s="765" t="s">
        <v>283</v>
      </c>
      <c r="Z73" s="765" t="s">
        <v>283</v>
      </c>
      <c r="AA73" s="765" t="s">
        <v>283</v>
      </c>
      <c r="AB73" s="765" t="s">
        <v>283</v>
      </c>
      <c r="AC73" s="765" t="s">
        <v>283</v>
      </c>
      <c r="AD73" s="765" t="s">
        <v>283</v>
      </c>
      <c r="AE73" s="765" t="s">
        <v>283</v>
      </c>
      <c r="AF73" s="765" t="s">
        <v>283</v>
      </c>
      <c r="AG73" s="765" t="s">
        <v>283</v>
      </c>
      <c r="AH73" s="765" t="s">
        <v>283</v>
      </c>
      <c r="AI73" s="765" t="s">
        <v>283</v>
      </c>
      <c r="AJ73" s="765" t="s">
        <v>283</v>
      </c>
      <c r="AK73" s="765" t="s">
        <v>283</v>
      </c>
      <c r="AL73" s="765" t="s">
        <v>283</v>
      </c>
      <c r="AM73" s="765" t="s">
        <v>283</v>
      </c>
      <c r="AN73" s="765" t="s">
        <v>283</v>
      </c>
      <c r="AO73" s="765" t="s">
        <v>283</v>
      </c>
      <c r="AP73" s="765" t="s">
        <v>283</v>
      </c>
      <c r="AQ73" s="765" t="s">
        <v>283</v>
      </c>
      <c r="AR73" s="765" t="s">
        <v>283</v>
      </c>
      <c r="AS73" s="765" t="s">
        <v>283</v>
      </c>
      <c r="AT73" s="765" t="s">
        <v>283</v>
      </c>
    </row>
    <row r="74" spans="1:46" ht="15">
      <c r="A74" s="765" t="s">
        <v>283</v>
      </c>
      <c r="B74" s="769" t="s">
        <v>283</v>
      </c>
      <c r="C74" s="773" t="s">
        <v>709</v>
      </c>
      <c r="D74" s="782">
        <v>-16000</v>
      </c>
      <c r="E74" s="782">
        <v>-46143</v>
      </c>
      <c r="F74" s="782">
        <v>-145000</v>
      </c>
      <c r="G74" s="779">
        <v>0</v>
      </c>
      <c r="H74" s="782">
        <v>-76000</v>
      </c>
      <c r="I74" s="782">
        <v>-5000</v>
      </c>
      <c r="J74" s="780">
        <v>58033</v>
      </c>
      <c r="K74" s="781">
        <v>-1.26</v>
      </c>
      <c r="L74" s="771"/>
      <c r="M74" s="785">
        <v>-145000</v>
      </c>
      <c r="N74" s="785">
        <v>-43000</v>
      </c>
      <c r="O74" s="773">
        <v>0</v>
      </c>
      <c r="P74" s="785">
        <v>-109000</v>
      </c>
      <c r="Q74" s="785">
        <v>-16000</v>
      </c>
      <c r="R74" s="773">
        <v>0</v>
      </c>
      <c r="S74" s="785">
        <v>-10000</v>
      </c>
      <c r="T74" s="773"/>
      <c r="U74" s="773"/>
      <c r="V74" s="772" t="s">
        <v>283</v>
      </c>
      <c r="W74" s="765" t="s">
        <v>283</v>
      </c>
      <c r="X74" s="765" t="s">
        <v>283</v>
      </c>
      <c r="Y74" s="765" t="s">
        <v>283</v>
      </c>
      <c r="Z74" s="765" t="s">
        <v>283</v>
      </c>
      <c r="AA74" s="765" t="s">
        <v>283</v>
      </c>
      <c r="AB74" s="765" t="s">
        <v>283</v>
      </c>
      <c r="AC74" s="765" t="s">
        <v>283</v>
      </c>
      <c r="AD74" s="765" t="s">
        <v>283</v>
      </c>
      <c r="AE74" s="765" t="s">
        <v>283</v>
      </c>
      <c r="AF74" s="765" t="s">
        <v>283</v>
      </c>
      <c r="AG74" s="765" t="s">
        <v>283</v>
      </c>
      <c r="AH74" s="765" t="s">
        <v>283</v>
      </c>
      <c r="AI74" s="765" t="s">
        <v>283</v>
      </c>
      <c r="AJ74" s="765" t="s">
        <v>283</v>
      </c>
      <c r="AK74" s="765" t="s">
        <v>283</v>
      </c>
      <c r="AL74" s="765" t="s">
        <v>283</v>
      </c>
      <c r="AM74" s="765" t="s">
        <v>283</v>
      </c>
      <c r="AN74" s="765" t="s">
        <v>283</v>
      </c>
      <c r="AO74" s="765" t="s">
        <v>283</v>
      </c>
      <c r="AP74" s="765" t="s">
        <v>283</v>
      </c>
      <c r="AQ74" s="765" t="s">
        <v>283</v>
      </c>
      <c r="AR74" s="765" t="s">
        <v>283</v>
      </c>
      <c r="AS74" s="765" t="s">
        <v>283</v>
      </c>
      <c r="AT74" s="765" t="s">
        <v>283</v>
      </c>
    </row>
    <row r="75" spans="1:46" ht="15">
      <c r="A75" s="765" t="s">
        <v>283</v>
      </c>
      <c r="B75" s="769" t="s">
        <v>283</v>
      </c>
      <c r="C75" s="773" t="s">
        <v>710</v>
      </c>
      <c r="D75" s="780">
        <v>1500</v>
      </c>
      <c r="E75" s="780">
        <v>2750</v>
      </c>
      <c r="F75" s="779">
        <v>0</v>
      </c>
      <c r="G75" s="780">
        <v>8000</v>
      </c>
      <c r="H75" s="779">
        <v>0</v>
      </c>
      <c r="I75" s="780">
        <v>4250</v>
      </c>
      <c r="J75" s="780">
        <v>3775</v>
      </c>
      <c r="K75" s="779">
        <v>1.37</v>
      </c>
      <c r="L75" s="771"/>
      <c r="M75" s="773"/>
      <c r="N75" s="773"/>
      <c r="O75" s="773"/>
      <c r="P75" s="783">
        <v>3000</v>
      </c>
      <c r="Q75" s="783">
        <v>8000</v>
      </c>
      <c r="R75" s="773">
        <v>0</v>
      </c>
      <c r="S75" s="773">
        <v>0</v>
      </c>
      <c r="T75" s="773"/>
      <c r="U75" s="773"/>
      <c r="V75" s="772" t="s">
        <v>283</v>
      </c>
      <c r="W75" s="765" t="s">
        <v>283</v>
      </c>
      <c r="X75" s="765" t="s">
        <v>283</v>
      </c>
      <c r="Y75" s="765" t="s">
        <v>283</v>
      </c>
      <c r="Z75" s="765" t="s">
        <v>283</v>
      </c>
      <c r="AA75" s="765" t="s">
        <v>283</v>
      </c>
      <c r="AB75" s="765" t="s">
        <v>283</v>
      </c>
      <c r="AC75" s="765" t="s">
        <v>283</v>
      </c>
      <c r="AD75" s="765" t="s">
        <v>283</v>
      </c>
      <c r="AE75" s="765" t="s">
        <v>283</v>
      </c>
      <c r="AF75" s="765" t="s">
        <v>283</v>
      </c>
      <c r="AG75" s="765" t="s">
        <v>283</v>
      </c>
      <c r="AH75" s="765" t="s">
        <v>283</v>
      </c>
      <c r="AI75" s="765" t="s">
        <v>283</v>
      </c>
      <c r="AJ75" s="765" t="s">
        <v>283</v>
      </c>
      <c r="AK75" s="765" t="s">
        <v>283</v>
      </c>
      <c r="AL75" s="765" t="s">
        <v>283</v>
      </c>
      <c r="AM75" s="765" t="s">
        <v>283</v>
      </c>
      <c r="AN75" s="765" t="s">
        <v>283</v>
      </c>
      <c r="AO75" s="765" t="s">
        <v>283</v>
      </c>
      <c r="AP75" s="765" t="s">
        <v>283</v>
      </c>
      <c r="AQ75" s="765" t="s">
        <v>283</v>
      </c>
      <c r="AR75" s="765" t="s">
        <v>283</v>
      </c>
      <c r="AS75" s="765" t="s">
        <v>283</v>
      </c>
      <c r="AT75" s="765" t="s">
        <v>283</v>
      </c>
    </row>
    <row r="76" spans="1:46" ht="15">
      <c r="A76" s="765" t="s">
        <v>283</v>
      </c>
      <c r="B76" s="769" t="s">
        <v>283</v>
      </c>
      <c r="C76" s="776" t="s">
        <v>711</v>
      </c>
      <c r="D76" s="789">
        <v>-10000</v>
      </c>
      <c r="E76" s="789">
        <v>-44571</v>
      </c>
      <c r="F76" s="789">
        <v>-145000</v>
      </c>
      <c r="G76" s="786">
        <v>0</v>
      </c>
      <c r="H76" s="789">
        <v>-74500</v>
      </c>
      <c r="I76" s="789">
        <v>-4000</v>
      </c>
      <c r="J76" s="787">
        <v>58263</v>
      </c>
      <c r="K76" s="788">
        <v>-1.31</v>
      </c>
      <c r="L76" s="790" t="s">
        <v>283</v>
      </c>
      <c r="M76" s="794">
        <v>-145000</v>
      </c>
      <c r="N76" s="794">
        <v>-43000</v>
      </c>
      <c r="O76" s="791">
        <v>0</v>
      </c>
      <c r="P76" s="794">
        <v>-106000</v>
      </c>
      <c r="Q76" s="794">
        <v>-8000</v>
      </c>
      <c r="R76" s="791">
        <v>0</v>
      </c>
      <c r="S76" s="794">
        <v>-10000</v>
      </c>
      <c r="T76" s="791" t="s">
        <v>283</v>
      </c>
      <c r="U76" s="791" t="s">
        <v>283</v>
      </c>
      <c r="V76" s="772" t="s">
        <v>283</v>
      </c>
      <c r="W76" s="765" t="s">
        <v>283</v>
      </c>
      <c r="X76" s="765" t="s">
        <v>283</v>
      </c>
      <c r="Y76" s="765" t="s">
        <v>283</v>
      </c>
      <c r="Z76" s="765" t="s">
        <v>283</v>
      </c>
      <c r="AA76" s="765" t="s">
        <v>283</v>
      </c>
      <c r="AB76" s="765" t="s">
        <v>283</v>
      </c>
      <c r="AC76" s="765" t="s">
        <v>283</v>
      </c>
      <c r="AD76" s="765" t="s">
        <v>283</v>
      </c>
      <c r="AE76" s="765" t="s">
        <v>283</v>
      </c>
      <c r="AF76" s="765" t="s">
        <v>283</v>
      </c>
      <c r="AG76" s="765" t="s">
        <v>283</v>
      </c>
      <c r="AH76" s="765" t="s">
        <v>283</v>
      </c>
      <c r="AI76" s="765" t="s">
        <v>283</v>
      </c>
      <c r="AJ76" s="765" t="s">
        <v>283</v>
      </c>
      <c r="AK76" s="765" t="s">
        <v>283</v>
      </c>
      <c r="AL76" s="765" t="s">
        <v>283</v>
      </c>
      <c r="AM76" s="765" t="s">
        <v>283</v>
      </c>
      <c r="AN76" s="765" t="s">
        <v>283</v>
      </c>
      <c r="AO76" s="765" t="s">
        <v>283</v>
      </c>
      <c r="AP76" s="765" t="s">
        <v>283</v>
      </c>
      <c r="AQ76" s="765" t="s">
        <v>283</v>
      </c>
      <c r="AR76" s="765" t="s">
        <v>283</v>
      </c>
      <c r="AS76" s="765" t="s">
        <v>283</v>
      </c>
      <c r="AT76" s="765" t="s">
        <v>283</v>
      </c>
    </row>
    <row r="77" spans="1:46" ht="15">
      <c r="A77" s="765" t="s">
        <v>283</v>
      </c>
      <c r="B77" s="769" t="s">
        <v>283</v>
      </c>
      <c r="C77" s="773" t="s">
        <v>712</v>
      </c>
      <c r="D77" s="774" t="s">
        <v>283</v>
      </c>
      <c r="E77" s="774" t="s">
        <v>283</v>
      </c>
      <c r="F77" s="774" t="s">
        <v>283</v>
      </c>
      <c r="G77" s="774" t="s">
        <v>283</v>
      </c>
      <c r="H77" s="774" t="s">
        <v>283</v>
      </c>
      <c r="I77" s="774" t="s">
        <v>283</v>
      </c>
      <c r="J77" s="774" t="s">
        <v>283</v>
      </c>
      <c r="K77" s="774" t="s">
        <v>283</v>
      </c>
      <c r="L77" s="771"/>
      <c r="M77" s="771"/>
      <c r="N77" s="771"/>
      <c r="O77" s="771"/>
      <c r="P77" s="771"/>
      <c r="Q77" s="771"/>
      <c r="R77" s="771"/>
      <c r="S77" s="771"/>
      <c r="T77" s="771"/>
      <c r="U77" s="771"/>
      <c r="V77" s="772" t="s">
        <v>283</v>
      </c>
      <c r="W77" s="765" t="s">
        <v>283</v>
      </c>
      <c r="X77" s="765" t="s">
        <v>283</v>
      </c>
      <c r="Y77" s="765" t="s">
        <v>283</v>
      </c>
      <c r="Z77" s="765" t="s">
        <v>283</v>
      </c>
      <c r="AA77" s="765" t="s">
        <v>283</v>
      </c>
      <c r="AB77" s="765" t="s">
        <v>283</v>
      </c>
      <c r="AC77" s="765" t="s">
        <v>283</v>
      </c>
      <c r="AD77" s="765" t="s">
        <v>283</v>
      </c>
      <c r="AE77" s="765" t="s">
        <v>283</v>
      </c>
      <c r="AF77" s="765" t="s">
        <v>283</v>
      </c>
      <c r="AG77" s="765" t="s">
        <v>283</v>
      </c>
      <c r="AH77" s="765" t="s">
        <v>283</v>
      </c>
      <c r="AI77" s="765" t="s">
        <v>283</v>
      </c>
      <c r="AJ77" s="765" t="s">
        <v>283</v>
      </c>
      <c r="AK77" s="765" t="s">
        <v>283</v>
      </c>
      <c r="AL77" s="765" t="s">
        <v>283</v>
      </c>
      <c r="AM77" s="765" t="s">
        <v>283</v>
      </c>
      <c r="AN77" s="765" t="s">
        <v>283</v>
      </c>
      <c r="AO77" s="765" t="s">
        <v>283</v>
      </c>
      <c r="AP77" s="765" t="s">
        <v>283</v>
      </c>
      <c r="AQ77" s="765" t="s">
        <v>283</v>
      </c>
      <c r="AR77" s="765" t="s">
        <v>283</v>
      </c>
      <c r="AS77" s="765" t="s">
        <v>283</v>
      </c>
      <c r="AT77" s="765" t="s">
        <v>283</v>
      </c>
    </row>
    <row r="78" spans="1:46" ht="15">
      <c r="A78" s="765" t="s">
        <v>283</v>
      </c>
      <c r="B78" s="769" t="s">
        <v>283</v>
      </c>
      <c r="C78" s="773" t="s">
        <v>713</v>
      </c>
      <c r="D78" s="782">
        <v>-359000</v>
      </c>
      <c r="E78" s="782">
        <v>-359000</v>
      </c>
      <c r="F78" s="782">
        <v>-359000</v>
      </c>
      <c r="G78" s="782">
        <v>-359000</v>
      </c>
      <c r="H78" s="782">
        <v>-359000</v>
      </c>
      <c r="I78" s="782">
        <v>-359000</v>
      </c>
      <c r="J78" s="779" t="s">
        <v>283</v>
      </c>
      <c r="K78" s="779" t="s">
        <v>283</v>
      </c>
      <c r="L78" s="771"/>
      <c r="M78" s="773"/>
      <c r="N78" s="773"/>
      <c r="O78" s="773"/>
      <c r="P78" s="773"/>
      <c r="Q78" s="773"/>
      <c r="R78" s="785">
        <v>-359000</v>
      </c>
      <c r="S78" s="773"/>
      <c r="T78" s="773"/>
      <c r="U78" s="773"/>
      <c r="V78" s="772" t="s">
        <v>283</v>
      </c>
      <c r="W78" s="765" t="s">
        <v>283</v>
      </c>
      <c r="X78" s="765" t="s">
        <v>283</v>
      </c>
      <c r="Y78" s="765" t="s">
        <v>283</v>
      </c>
      <c r="Z78" s="765" t="s">
        <v>283</v>
      </c>
      <c r="AA78" s="765" t="s">
        <v>283</v>
      </c>
      <c r="AB78" s="765" t="s">
        <v>283</v>
      </c>
      <c r="AC78" s="765" t="s">
        <v>283</v>
      </c>
      <c r="AD78" s="765" t="s">
        <v>283</v>
      </c>
      <c r="AE78" s="765" t="s">
        <v>283</v>
      </c>
      <c r="AF78" s="765" t="s">
        <v>283</v>
      </c>
      <c r="AG78" s="765" t="s">
        <v>283</v>
      </c>
      <c r="AH78" s="765" t="s">
        <v>283</v>
      </c>
      <c r="AI78" s="765" t="s">
        <v>283</v>
      </c>
      <c r="AJ78" s="765" t="s">
        <v>283</v>
      </c>
      <c r="AK78" s="765" t="s">
        <v>283</v>
      </c>
      <c r="AL78" s="765" t="s">
        <v>283</v>
      </c>
      <c r="AM78" s="765" t="s">
        <v>283</v>
      </c>
      <c r="AN78" s="765" t="s">
        <v>283</v>
      </c>
      <c r="AO78" s="765" t="s">
        <v>283</v>
      </c>
      <c r="AP78" s="765" t="s">
        <v>283</v>
      </c>
      <c r="AQ78" s="765" t="s">
        <v>283</v>
      </c>
      <c r="AR78" s="765" t="s">
        <v>283</v>
      </c>
      <c r="AS78" s="765" t="s">
        <v>283</v>
      </c>
      <c r="AT78" s="765" t="s">
        <v>283</v>
      </c>
    </row>
    <row r="79" spans="1:46" ht="15">
      <c r="A79" s="765" t="s">
        <v>283</v>
      </c>
      <c r="B79" s="769" t="s">
        <v>283</v>
      </c>
      <c r="C79" s="776" t="s">
        <v>714</v>
      </c>
      <c r="D79" s="789">
        <v>-362000</v>
      </c>
      <c r="E79" s="789">
        <v>-342714</v>
      </c>
      <c r="F79" s="789">
        <v>-2717000</v>
      </c>
      <c r="G79" s="787">
        <v>1752000</v>
      </c>
      <c r="H79" s="789">
        <v>-646000</v>
      </c>
      <c r="I79" s="787">
        <v>110000</v>
      </c>
      <c r="J79" s="787">
        <v>1357814</v>
      </c>
      <c r="K79" s="788">
        <v>-3.96</v>
      </c>
      <c r="L79" s="790" t="s">
        <v>283</v>
      </c>
      <c r="M79" s="794">
        <v>-609000</v>
      </c>
      <c r="N79" s="794">
        <v>-362000</v>
      </c>
      <c r="O79" s="792">
        <v>1752000</v>
      </c>
      <c r="P79" s="794">
        <v>-683000</v>
      </c>
      <c r="Q79" s="794">
        <v>-2717000</v>
      </c>
      <c r="R79" s="794">
        <v>-359000</v>
      </c>
      <c r="S79" s="792">
        <v>579000</v>
      </c>
      <c r="T79" s="791" t="s">
        <v>283</v>
      </c>
      <c r="U79" s="791" t="s">
        <v>283</v>
      </c>
      <c r="V79" s="772" t="s">
        <v>283</v>
      </c>
      <c r="W79" s="765" t="s">
        <v>283</v>
      </c>
      <c r="X79" s="765" t="s">
        <v>283</v>
      </c>
      <c r="Y79" s="765" t="s">
        <v>283</v>
      </c>
      <c r="Z79" s="765" t="s">
        <v>283</v>
      </c>
      <c r="AA79" s="765" t="s">
        <v>283</v>
      </c>
      <c r="AB79" s="765" t="s">
        <v>283</v>
      </c>
      <c r="AC79" s="765" t="s">
        <v>283</v>
      </c>
      <c r="AD79" s="765" t="s">
        <v>283</v>
      </c>
      <c r="AE79" s="765" t="s">
        <v>283</v>
      </c>
      <c r="AF79" s="765" t="s">
        <v>283</v>
      </c>
      <c r="AG79" s="765" t="s">
        <v>283</v>
      </c>
      <c r="AH79" s="765" t="s">
        <v>283</v>
      </c>
      <c r="AI79" s="765" t="s">
        <v>283</v>
      </c>
      <c r="AJ79" s="765" t="s">
        <v>283</v>
      </c>
      <c r="AK79" s="765" t="s">
        <v>283</v>
      </c>
      <c r="AL79" s="765" t="s">
        <v>283</v>
      </c>
      <c r="AM79" s="765" t="s">
        <v>283</v>
      </c>
      <c r="AN79" s="765" t="s">
        <v>283</v>
      </c>
      <c r="AO79" s="765" t="s">
        <v>283</v>
      </c>
      <c r="AP79" s="765" t="s">
        <v>283</v>
      </c>
      <c r="AQ79" s="765" t="s">
        <v>283</v>
      </c>
      <c r="AR79" s="765" t="s">
        <v>283</v>
      </c>
      <c r="AS79" s="765" t="s">
        <v>283</v>
      </c>
      <c r="AT79" s="765" t="s">
        <v>283</v>
      </c>
    </row>
    <row r="80" spans="1:46" ht="15">
      <c r="A80" s="765" t="s">
        <v>283</v>
      </c>
      <c r="B80" s="769" t="s">
        <v>283</v>
      </c>
      <c r="C80" s="773" t="s">
        <v>715</v>
      </c>
      <c r="D80" s="782">
        <v>-99000</v>
      </c>
      <c r="E80" s="782">
        <v>-99000</v>
      </c>
      <c r="F80" s="782">
        <v>-99000</v>
      </c>
      <c r="G80" s="782">
        <v>-99000</v>
      </c>
      <c r="H80" s="782">
        <v>-99000</v>
      </c>
      <c r="I80" s="782">
        <v>-99000</v>
      </c>
      <c r="J80" s="779" t="s">
        <v>283</v>
      </c>
      <c r="K80" s="779" t="s">
        <v>283</v>
      </c>
      <c r="L80" s="771"/>
      <c r="M80" s="773"/>
      <c r="N80" s="773"/>
      <c r="O80" s="773"/>
      <c r="P80" s="773"/>
      <c r="Q80" s="773"/>
      <c r="R80" s="773"/>
      <c r="S80" s="785">
        <v>-99000</v>
      </c>
      <c r="T80" s="773"/>
      <c r="U80" s="773"/>
      <c r="V80" s="772" t="s">
        <v>283</v>
      </c>
      <c r="W80" s="765" t="s">
        <v>283</v>
      </c>
      <c r="X80" s="765" t="s">
        <v>283</v>
      </c>
      <c r="Y80" s="765" t="s">
        <v>283</v>
      </c>
      <c r="Z80" s="765" t="s">
        <v>283</v>
      </c>
      <c r="AA80" s="765" t="s">
        <v>283</v>
      </c>
      <c r="AB80" s="765" t="s">
        <v>283</v>
      </c>
      <c r="AC80" s="765" t="s">
        <v>283</v>
      </c>
      <c r="AD80" s="765" t="s">
        <v>283</v>
      </c>
      <c r="AE80" s="765" t="s">
        <v>283</v>
      </c>
      <c r="AF80" s="765" t="s">
        <v>283</v>
      </c>
      <c r="AG80" s="765" t="s">
        <v>283</v>
      </c>
      <c r="AH80" s="765" t="s">
        <v>283</v>
      </c>
      <c r="AI80" s="765" t="s">
        <v>283</v>
      </c>
      <c r="AJ80" s="765" t="s">
        <v>283</v>
      </c>
      <c r="AK80" s="765" t="s">
        <v>283</v>
      </c>
      <c r="AL80" s="765" t="s">
        <v>283</v>
      </c>
      <c r="AM80" s="765" t="s">
        <v>283</v>
      </c>
      <c r="AN80" s="765" t="s">
        <v>283</v>
      </c>
      <c r="AO80" s="765" t="s">
        <v>283</v>
      </c>
      <c r="AP80" s="765" t="s">
        <v>283</v>
      </c>
      <c r="AQ80" s="765" t="s">
        <v>283</v>
      </c>
      <c r="AR80" s="765" t="s">
        <v>283</v>
      </c>
      <c r="AS80" s="765" t="s">
        <v>283</v>
      </c>
      <c r="AT80" s="765" t="s">
        <v>283</v>
      </c>
    </row>
    <row r="81" spans="1:46" ht="15">
      <c r="A81" s="765" t="s">
        <v>283</v>
      </c>
      <c r="B81" s="769" t="s">
        <v>283</v>
      </c>
      <c r="C81" s="773" t="s">
        <v>716</v>
      </c>
      <c r="D81" s="779">
        <v>0</v>
      </c>
      <c r="E81" s="780">
        <v>2333</v>
      </c>
      <c r="F81" s="779">
        <v>0</v>
      </c>
      <c r="G81" s="780">
        <v>7000</v>
      </c>
      <c r="H81" s="779">
        <v>0</v>
      </c>
      <c r="I81" s="780">
        <v>3500</v>
      </c>
      <c r="J81" s="780">
        <v>4041</v>
      </c>
      <c r="K81" s="779">
        <v>1.73</v>
      </c>
      <c r="L81" s="771"/>
      <c r="M81" s="783">
        <v>7000</v>
      </c>
      <c r="N81" s="773">
        <v>0</v>
      </c>
      <c r="O81" s="773">
        <v>0</v>
      </c>
      <c r="P81" s="773"/>
      <c r="Q81" s="773"/>
      <c r="R81" s="773"/>
      <c r="S81" s="773"/>
      <c r="T81" s="773"/>
      <c r="U81" s="773"/>
      <c r="V81" s="772" t="s">
        <v>283</v>
      </c>
      <c r="W81" s="765" t="s">
        <v>283</v>
      </c>
      <c r="X81" s="765" t="s">
        <v>283</v>
      </c>
      <c r="Y81" s="765" t="s">
        <v>283</v>
      </c>
      <c r="Z81" s="765" t="s">
        <v>283</v>
      </c>
      <c r="AA81" s="765" t="s">
        <v>283</v>
      </c>
      <c r="AB81" s="765" t="s">
        <v>283</v>
      </c>
      <c r="AC81" s="765" t="s">
        <v>283</v>
      </c>
      <c r="AD81" s="765" t="s">
        <v>283</v>
      </c>
      <c r="AE81" s="765" t="s">
        <v>283</v>
      </c>
      <c r="AF81" s="765" t="s">
        <v>283</v>
      </c>
      <c r="AG81" s="765" t="s">
        <v>283</v>
      </c>
      <c r="AH81" s="765" t="s">
        <v>283</v>
      </c>
      <c r="AI81" s="765" t="s">
        <v>283</v>
      </c>
      <c r="AJ81" s="765" t="s">
        <v>283</v>
      </c>
      <c r="AK81" s="765" t="s">
        <v>283</v>
      </c>
      <c r="AL81" s="765" t="s">
        <v>283</v>
      </c>
      <c r="AM81" s="765" t="s">
        <v>283</v>
      </c>
      <c r="AN81" s="765" t="s">
        <v>283</v>
      </c>
      <c r="AO81" s="765" t="s">
        <v>283</v>
      </c>
      <c r="AP81" s="765" t="s">
        <v>283</v>
      </c>
      <c r="AQ81" s="765" t="s">
        <v>283</v>
      </c>
      <c r="AR81" s="765" t="s">
        <v>283</v>
      </c>
      <c r="AS81" s="765" t="s">
        <v>283</v>
      </c>
      <c r="AT81" s="765" t="s">
        <v>283</v>
      </c>
    </row>
    <row r="82" spans="1:46" ht="15">
      <c r="A82" s="765" t="s">
        <v>283</v>
      </c>
      <c r="B82" s="769" t="s">
        <v>283</v>
      </c>
      <c r="C82" s="773" t="s">
        <v>717</v>
      </c>
      <c r="D82" s="780">
        <v>79000</v>
      </c>
      <c r="E82" s="780">
        <v>108286</v>
      </c>
      <c r="F82" s="780">
        <v>28000</v>
      </c>
      <c r="G82" s="780">
        <v>191000</v>
      </c>
      <c r="H82" s="780">
        <v>53000</v>
      </c>
      <c r="I82" s="780">
        <v>177000</v>
      </c>
      <c r="J82" s="780">
        <v>70453</v>
      </c>
      <c r="K82" s="779">
        <v>0.65</v>
      </c>
      <c r="L82" s="771"/>
      <c r="M82" s="783">
        <v>171000</v>
      </c>
      <c r="N82" s="783">
        <v>191000</v>
      </c>
      <c r="O82" s="783">
        <v>183000</v>
      </c>
      <c r="P82" s="783">
        <v>55000</v>
      </c>
      <c r="Q82" s="783">
        <v>28000</v>
      </c>
      <c r="R82" s="783">
        <v>51000</v>
      </c>
      <c r="S82" s="783">
        <v>79000</v>
      </c>
      <c r="T82" s="773"/>
      <c r="U82" s="773"/>
      <c r="V82" s="772" t="s">
        <v>283</v>
      </c>
      <c r="W82" s="765" t="s">
        <v>283</v>
      </c>
      <c r="X82" s="765" t="s">
        <v>283</v>
      </c>
      <c r="Y82" s="765" t="s">
        <v>283</v>
      </c>
      <c r="Z82" s="765" t="s">
        <v>283</v>
      </c>
      <c r="AA82" s="765" t="s">
        <v>283</v>
      </c>
      <c r="AB82" s="765" t="s">
        <v>283</v>
      </c>
      <c r="AC82" s="765" t="s">
        <v>283</v>
      </c>
      <c r="AD82" s="765" t="s">
        <v>283</v>
      </c>
      <c r="AE82" s="765" t="s">
        <v>283</v>
      </c>
      <c r="AF82" s="765" t="s">
        <v>283</v>
      </c>
      <c r="AG82" s="765" t="s">
        <v>283</v>
      </c>
      <c r="AH82" s="765" t="s">
        <v>283</v>
      </c>
      <c r="AI82" s="765" t="s">
        <v>283</v>
      </c>
      <c r="AJ82" s="765" t="s">
        <v>283</v>
      </c>
      <c r="AK82" s="765" t="s">
        <v>283</v>
      </c>
      <c r="AL82" s="765" t="s">
        <v>283</v>
      </c>
      <c r="AM82" s="765" t="s">
        <v>283</v>
      </c>
      <c r="AN82" s="765" t="s">
        <v>283</v>
      </c>
      <c r="AO82" s="765" t="s">
        <v>283</v>
      </c>
      <c r="AP82" s="765" t="s">
        <v>283</v>
      </c>
      <c r="AQ82" s="765" t="s">
        <v>283</v>
      </c>
      <c r="AR82" s="765" t="s">
        <v>283</v>
      </c>
      <c r="AS82" s="765" t="s">
        <v>283</v>
      </c>
      <c r="AT82" s="765" t="s">
        <v>283</v>
      </c>
    </row>
    <row r="83" spans="1:46" ht="15">
      <c r="A83" s="765" t="s">
        <v>283</v>
      </c>
      <c r="B83" s="769" t="s">
        <v>283</v>
      </c>
      <c r="C83" s="776" t="s">
        <v>718</v>
      </c>
      <c r="D83" s="789">
        <v>-288000</v>
      </c>
      <c r="E83" s="789">
        <v>-408000</v>
      </c>
      <c r="F83" s="789">
        <v>-2757000</v>
      </c>
      <c r="G83" s="787">
        <v>1871000</v>
      </c>
      <c r="H83" s="789">
        <v>-922000</v>
      </c>
      <c r="I83" s="787">
        <v>81000</v>
      </c>
      <c r="J83" s="787">
        <v>1412242</v>
      </c>
      <c r="K83" s="788">
        <v>-3.46</v>
      </c>
      <c r="L83" s="790" t="s">
        <v>283</v>
      </c>
      <c r="M83" s="794">
        <v>-782000</v>
      </c>
      <c r="N83" s="794">
        <v>-231000</v>
      </c>
      <c r="O83" s="792">
        <v>1871000</v>
      </c>
      <c r="P83" s="794">
        <v>-1062000</v>
      </c>
      <c r="Q83" s="794">
        <v>-2757000</v>
      </c>
      <c r="R83" s="794">
        <v>-288000</v>
      </c>
      <c r="S83" s="792">
        <v>393000</v>
      </c>
      <c r="T83" s="791" t="s">
        <v>283</v>
      </c>
      <c r="U83" s="791" t="s">
        <v>283</v>
      </c>
      <c r="V83" s="772" t="s">
        <v>283</v>
      </c>
      <c r="W83" s="765" t="s">
        <v>283</v>
      </c>
      <c r="X83" s="765" t="s">
        <v>283</v>
      </c>
      <c r="Y83" s="765" t="s">
        <v>283</v>
      </c>
      <c r="Z83" s="765" t="s">
        <v>283</v>
      </c>
      <c r="AA83" s="765" t="s">
        <v>283</v>
      </c>
      <c r="AB83" s="765" t="s">
        <v>283</v>
      </c>
      <c r="AC83" s="765" t="s">
        <v>283</v>
      </c>
      <c r="AD83" s="765" t="s">
        <v>283</v>
      </c>
      <c r="AE83" s="765" t="s">
        <v>283</v>
      </c>
      <c r="AF83" s="765" t="s">
        <v>283</v>
      </c>
      <c r="AG83" s="765" t="s">
        <v>283</v>
      </c>
      <c r="AH83" s="765" t="s">
        <v>283</v>
      </c>
      <c r="AI83" s="765" t="s">
        <v>283</v>
      </c>
      <c r="AJ83" s="765" t="s">
        <v>283</v>
      </c>
      <c r="AK83" s="765" t="s">
        <v>283</v>
      </c>
      <c r="AL83" s="765" t="s">
        <v>283</v>
      </c>
      <c r="AM83" s="765" t="s">
        <v>283</v>
      </c>
      <c r="AN83" s="765" t="s">
        <v>283</v>
      </c>
      <c r="AO83" s="765" t="s">
        <v>283</v>
      </c>
      <c r="AP83" s="765" t="s">
        <v>283</v>
      </c>
      <c r="AQ83" s="765" t="s">
        <v>283</v>
      </c>
      <c r="AR83" s="765" t="s">
        <v>283</v>
      </c>
      <c r="AS83" s="765" t="s">
        <v>283</v>
      </c>
      <c r="AT83" s="765" t="s">
        <v>283</v>
      </c>
    </row>
    <row r="84" spans="1:46" ht="15">
      <c r="A84" s="765" t="s">
        <v>283</v>
      </c>
      <c r="B84" s="769" t="s">
        <v>283</v>
      </c>
      <c r="C84" s="776" t="s">
        <v>719</v>
      </c>
      <c r="D84" s="789">
        <v>-231000</v>
      </c>
      <c r="E84" s="789">
        <v>-318988</v>
      </c>
      <c r="F84" s="789">
        <v>-2757000</v>
      </c>
      <c r="G84" s="787">
        <v>1871000</v>
      </c>
      <c r="H84" s="789">
        <v>-782000</v>
      </c>
      <c r="I84" s="787">
        <v>26936</v>
      </c>
      <c r="J84" s="787">
        <v>1235845</v>
      </c>
      <c r="K84" s="788">
        <v>-3.87</v>
      </c>
      <c r="L84" s="790" t="s">
        <v>283</v>
      </c>
      <c r="M84" s="794">
        <v>-782000</v>
      </c>
      <c r="N84" s="794">
        <v>-231000</v>
      </c>
      <c r="O84" s="792">
        <v>1871000</v>
      </c>
      <c r="P84" s="794">
        <v>-1062000</v>
      </c>
      <c r="Q84" s="794">
        <v>-2757000</v>
      </c>
      <c r="R84" s="794">
        <v>-288000</v>
      </c>
      <c r="S84" s="792">
        <v>393000</v>
      </c>
      <c r="T84" s="792">
        <v>26936</v>
      </c>
      <c r="U84" s="794">
        <v>-41824</v>
      </c>
      <c r="V84" s="772" t="s">
        <v>283</v>
      </c>
      <c r="W84" s="765" t="s">
        <v>283</v>
      </c>
      <c r="X84" s="765" t="s">
        <v>283</v>
      </c>
      <c r="Y84" s="765" t="s">
        <v>283</v>
      </c>
      <c r="Z84" s="765" t="s">
        <v>283</v>
      </c>
      <c r="AA84" s="765" t="s">
        <v>283</v>
      </c>
      <c r="AB84" s="765" t="s">
        <v>283</v>
      </c>
      <c r="AC84" s="765" t="s">
        <v>283</v>
      </c>
      <c r="AD84" s="765" t="s">
        <v>283</v>
      </c>
      <c r="AE84" s="765" t="s">
        <v>283</v>
      </c>
      <c r="AF84" s="765" t="s">
        <v>283</v>
      </c>
      <c r="AG84" s="765" t="s">
        <v>283</v>
      </c>
      <c r="AH84" s="765" t="s">
        <v>283</v>
      </c>
      <c r="AI84" s="765" t="s">
        <v>283</v>
      </c>
      <c r="AJ84" s="765" t="s">
        <v>283</v>
      </c>
      <c r="AK84" s="765" t="s">
        <v>283</v>
      </c>
      <c r="AL84" s="765" t="s">
        <v>283</v>
      </c>
      <c r="AM84" s="765" t="s">
        <v>283</v>
      </c>
      <c r="AN84" s="765" t="s">
        <v>283</v>
      </c>
      <c r="AO84" s="765" t="s">
        <v>283</v>
      </c>
      <c r="AP84" s="765" t="s">
        <v>283</v>
      </c>
      <c r="AQ84" s="765" t="s">
        <v>283</v>
      </c>
      <c r="AR84" s="765" t="s">
        <v>283</v>
      </c>
      <c r="AS84" s="765" t="s">
        <v>283</v>
      </c>
      <c r="AT84" s="765" t="s">
        <v>283</v>
      </c>
    </row>
    <row r="85" spans="1:46" ht="15">
      <c r="A85" s="765" t="s">
        <v>283</v>
      </c>
      <c r="B85" s="769" t="s">
        <v>283</v>
      </c>
      <c r="C85" s="778" t="s">
        <v>720</v>
      </c>
      <c r="D85" s="774" t="s">
        <v>283</v>
      </c>
      <c r="E85" s="774" t="s">
        <v>283</v>
      </c>
      <c r="F85" s="774" t="s">
        <v>283</v>
      </c>
      <c r="G85" s="774" t="s">
        <v>283</v>
      </c>
      <c r="H85" s="774" t="s">
        <v>283</v>
      </c>
      <c r="I85" s="774" t="s">
        <v>283</v>
      </c>
      <c r="J85" s="774" t="s">
        <v>283</v>
      </c>
      <c r="K85" s="774" t="s">
        <v>283</v>
      </c>
      <c r="L85" s="774" t="s">
        <v>283</v>
      </c>
      <c r="M85" s="774" t="s">
        <v>283</v>
      </c>
      <c r="N85" s="774" t="s">
        <v>283</v>
      </c>
      <c r="O85" s="774" t="s">
        <v>283</v>
      </c>
      <c r="P85" s="774" t="s">
        <v>283</v>
      </c>
      <c r="Q85" s="774" t="s">
        <v>283</v>
      </c>
      <c r="R85" s="774" t="s">
        <v>283</v>
      </c>
      <c r="S85" s="774" t="s">
        <v>283</v>
      </c>
      <c r="T85" s="774" t="s">
        <v>283</v>
      </c>
      <c r="U85" s="774" t="s">
        <v>283</v>
      </c>
      <c r="V85" s="772" t="s">
        <v>283</v>
      </c>
      <c r="W85" s="765" t="s">
        <v>283</v>
      </c>
      <c r="X85" s="765" t="s">
        <v>283</v>
      </c>
      <c r="Y85" s="765" t="s">
        <v>283</v>
      </c>
      <c r="Z85" s="765" t="s">
        <v>283</v>
      </c>
      <c r="AA85" s="765" t="s">
        <v>283</v>
      </c>
      <c r="AB85" s="765" t="s">
        <v>283</v>
      </c>
      <c r="AC85" s="765" t="s">
        <v>283</v>
      </c>
      <c r="AD85" s="765" t="s">
        <v>283</v>
      </c>
      <c r="AE85" s="765" t="s">
        <v>283</v>
      </c>
      <c r="AF85" s="765" t="s">
        <v>283</v>
      </c>
      <c r="AG85" s="765" t="s">
        <v>283</v>
      </c>
      <c r="AH85" s="765" t="s">
        <v>283</v>
      </c>
      <c r="AI85" s="765" t="s">
        <v>283</v>
      </c>
      <c r="AJ85" s="765" t="s">
        <v>283</v>
      </c>
      <c r="AK85" s="765" t="s">
        <v>283</v>
      </c>
      <c r="AL85" s="765" t="s">
        <v>283</v>
      </c>
      <c r="AM85" s="765" t="s">
        <v>283</v>
      </c>
      <c r="AN85" s="765" t="s">
        <v>283</v>
      </c>
      <c r="AO85" s="765" t="s">
        <v>283</v>
      </c>
      <c r="AP85" s="765" t="s">
        <v>283</v>
      </c>
      <c r="AQ85" s="765" t="s">
        <v>283</v>
      </c>
      <c r="AR85" s="765" t="s">
        <v>283</v>
      </c>
      <c r="AS85" s="765" t="s">
        <v>283</v>
      </c>
      <c r="AT85" s="765" t="s">
        <v>283</v>
      </c>
    </row>
    <row r="86" spans="1:46" ht="15">
      <c r="A86" s="765" t="s">
        <v>283</v>
      </c>
      <c r="B86" s="769" t="s">
        <v>283</v>
      </c>
      <c r="C86" s="773" t="s">
        <v>721</v>
      </c>
      <c r="D86" s="774" t="s">
        <v>283</v>
      </c>
      <c r="E86" s="774" t="s">
        <v>283</v>
      </c>
      <c r="F86" s="774" t="s">
        <v>283</v>
      </c>
      <c r="G86" s="774" t="s">
        <v>283</v>
      </c>
      <c r="H86" s="774" t="s">
        <v>283</v>
      </c>
      <c r="I86" s="774" t="s">
        <v>283</v>
      </c>
      <c r="J86" s="774" t="s">
        <v>283</v>
      </c>
      <c r="K86" s="774" t="s">
        <v>283</v>
      </c>
      <c r="L86" s="771"/>
      <c r="M86" s="771"/>
      <c r="N86" s="771"/>
      <c r="O86" s="771"/>
      <c r="P86" s="771"/>
      <c r="Q86" s="771"/>
      <c r="R86" s="771"/>
      <c r="S86" s="771"/>
      <c r="T86" s="771"/>
      <c r="U86" s="771"/>
      <c r="V86" s="772" t="s">
        <v>283</v>
      </c>
      <c r="W86" s="765" t="s">
        <v>283</v>
      </c>
      <c r="X86" s="765" t="s">
        <v>283</v>
      </c>
      <c r="Y86" s="765" t="s">
        <v>283</v>
      </c>
      <c r="Z86" s="765" t="s">
        <v>283</v>
      </c>
      <c r="AA86" s="765" t="s">
        <v>283</v>
      </c>
      <c r="AB86" s="765" t="s">
        <v>283</v>
      </c>
      <c r="AC86" s="765" t="s">
        <v>283</v>
      </c>
      <c r="AD86" s="765" t="s">
        <v>283</v>
      </c>
      <c r="AE86" s="765" t="s">
        <v>283</v>
      </c>
      <c r="AF86" s="765" t="s">
        <v>283</v>
      </c>
      <c r="AG86" s="765" t="s">
        <v>283</v>
      </c>
      <c r="AH86" s="765" t="s">
        <v>283</v>
      </c>
      <c r="AI86" s="765" t="s">
        <v>283</v>
      </c>
      <c r="AJ86" s="765" t="s">
        <v>283</v>
      </c>
      <c r="AK86" s="765" t="s">
        <v>283</v>
      </c>
      <c r="AL86" s="765" t="s">
        <v>283</v>
      </c>
      <c r="AM86" s="765" t="s">
        <v>283</v>
      </c>
      <c r="AN86" s="765" t="s">
        <v>283</v>
      </c>
      <c r="AO86" s="765" t="s">
        <v>283</v>
      </c>
      <c r="AP86" s="765" t="s">
        <v>283</v>
      </c>
      <c r="AQ86" s="765" t="s">
        <v>283</v>
      </c>
      <c r="AR86" s="765" t="s">
        <v>283</v>
      </c>
      <c r="AS86" s="765" t="s">
        <v>283</v>
      </c>
      <c r="AT86" s="765" t="s">
        <v>283</v>
      </c>
    </row>
    <row r="87" spans="1:46" ht="15">
      <c r="A87" s="765" t="s">
        <v>283</v>
      </c>
      <c r="B87" s="769" t="s">
        <v>283</v>
      </c>
      <c r="C87" s="773" t="s">
        <v>722</v>
      </c>
      <c r="D87" s="774" t="s">
        <v>283</v>
      </c>
      <c r="E87" s="774" t="s">
        <v>283</v>
      </c>
      <c r="F87" s="774" t="s">
        <v>283</v>
      </c>
      <c r="G87" s="774" t="s">
        <v>283</v>
      </c>
      <c r="H87" s="774" t="s">
        <v>283</v>
      </c>
      <c r="I87" s="774" t="s">
        <v>283</v>
      </c>
      <c r="J87" s="774" t="s">
        <v>283</v>
      </c>
      <c r="K87" s="774" t="s">
        <v>283</v>
      </c>
      <c r="L87" s="771"/>
      <c r="M87" s="771"/>
      <c r="N87" s="771"/>
      <c r="O87" s="771"/>
      <c r="P87" s="771"/>
      <c r="Q87" s="771"/>
      <c r="R87" s="771"/>
      <c r="S87" s="771"/>
      <c r="T87" s="771"/>
      <c r="U87" s="771"/>
      <c r="V87" s="772" t="s">
        <v>283</v>
      </c>
      <c r="W87" s="765" t="s">
        <v>283</v>
      </c>
      <c r="X87" s="765" t="s">
        <v>283</v>
      </c>
      <c r="Y87" s="765" t="s">
        <v>283</v>
      </c>
      <c r="Z87" s="765" t="s">
        <v>283</v>
      </c>
      <c r="AA87" s="765" t="s">
        <v>283</v>
      </c>
      <c r="AB87" s="765" t="s">
        <v>283</v>
      </c>
      <c r="AC87" s="765" t="s">
        <v>283</v>
      </c>
      <c r="AD87" s="765" t="s">
        <v>283</v>
      </c>
      <c r="AE87" s="765" t="s">
        <v>283</v>
      </c>
      <c r="AF87" s="765" t="s">
        <v>283</v>
      </c>
      <c r="AG87" s="765" t="s">
        <v>283</v>
      </c>
      <c r="AH87" s="765" t="s">
        <v>283</v>
      </c>
      <c r="AI87" s="765" t="s">
        <v>283</v>
      </c>
      <c r="AJ87" s="765" t="s">
        <v>283</v>
      </c>
      <c r="AK87" s="765" t="s">
        <v>283</v>
      </c>
      <c r="AL87" s="765" t="s">
        <v>283</v>
      </c>
      <c r="AM87" s="765" t="s">
        <v>283</v>
      </c>
      <c r="AN87" s="765" t="s">
        <v>283</v>
      </c>
      <c r="AO87" s="765" t="s">
        <v>283</v>
      </c>
      <c r="AP87" s="765" t="s">
        <v>283</v>
      </c>
      <c r="AQ87" s="765" t="s">
        <v>283</v>
      </c>
      <c r="AR87" s="765" t="s">
        <v>283</v>
      </c>
      <c r="AS87" s="765" t="s">
        <v>283</v>
      </c>
      <c r="AT87" s="765" t="s">
        <v>283</v>
      </c>
    </row>
    <row r="88" spans="1:46" ht="15">
      <c r="A88" s="765" t="s">
        <v>283</v>
      </c>
      <c r="B88" s="769" t="s">
        <v>283</v>
      </c>
      <c r="C88" s="773" t="s">
        <v>723</v>
      </c>
      <c r="D88" s="782">
        <v>-113000</v>
      </c>
      <c r="E88" s="782">
        <v>-125000</v>
      </c>
      <c r="F88" s="782">
        <v>-274000</v>
      </c>
      <c r="G88" s="779">
        <v>0</v>
      </c>
      <c r="H88" s="782">
        <v>-238000</v>
      </c>
      <c r="I88" s="779">
        <v>0</v>
      </c>
      <c r="J88" s="780">
        <v>145662</v>
      </c>
      <c r="K88" s="781">
        <v>-1.17</v>
      </c>
      <c r="L88" s="771"/>
      <c r="M88" s="785">
        <v>-274000</v>
      </c>
      <c r="N88" s="785">
        <v>-226000</v>
      </c>
      <c r="O88" s="773">
        <v>0</v>
      </c>
      <c r="P88" s="773">
        <v>0</v>
      </c>
      <c r="Q88" s="773"/>
      <c r="R88" s="773"/>
      <c r="S88" s="773"/>
      <c r="T88" s="773"/>
      <c r="U88" s="773"/>
      <c r="V88" s="772" t="s">
        <v>283</v>
      </c>
      <c r="W88" s="765" t="s">
        <v>283</v>
      </c>
      <c r="X88" s="765" t="s">
        <v>283</v>
      </c>
      <c r="Y88" s="765" t="s">
        <v>283</v>
      </c>
      <c r="Z88" s="765" t="s">
        <v>283</v>
      </c>
      <c r="AA88" s="765" t="s">
        <v>283</v>
      </c>
      <c r="AB88" s="765" t="s">
        <v>283</v>
      </c>
      <c r="AC88" s="765" t="s">
        <v>283</v>
      </c>
      <c r="AD88" s="765" t="s">
        <v>283</v>
      </c>
      <c r="AE88" s="765" t="s">
        <v>283</v>
      </c>
      <c r="AF88" s="765" t="s">
        <v>283</v>
      </c>
      <c r="AG88" s="765" t="s">
        <v>283</v>
      </c>
      <c r="AH88" s="765" t="s">
        <v>283</v>
      </c>
      <c r="AI88" s="765" t="s">
        <v>283</v>
      </c>
      <c r="AJ88" s="765" t="s">
        <v>283</v>
      </c>
      <c r="AK88" s="765" t="s">
        <v>283</v>
      </c>
      <c r="AL88" s="765" t="s">
        <v>283</v>
      </c>
      <c r="AM88" s="765" t="s">
        <v>283</v>
      </c>
      <c r="AN88" s="765" t="s">
        <v>283</v>
      </c>
      <c r="AO88" s="765" t="s">
        <v>283</v>
      </c>
      <c r="AP88" s="765" t="s">
        <v>283</v>
      </c>
      <c r="AQ88" s="765" t="s">
        <v>283</v>
      </c>
      <c r="AR88" s="765" t="s">
        <v>283</v>
      </c>
      <c r="AS88" s="765" t="s">
        <v>283</v>
      </c>
      <c r="AT88" s="765" t="s">
        <v>283</v>
      </c>
    </row>
    <row r="89" spans="1:46" ht="15">
      <c r="A89" s="765" t="s">
        <v>283</v>
      </c>
      <c r="B89" s="769" t="s">
        <v>283</v>
      </c>
      <c r="C89" s="776" t="s">
        <v>724</v>
      </c>
      <c r="D89" s="789">
        <v>-113000</v>
      </c>
      <c r="E89" s="789">
        <v>-125000</v>
      </c>
      <c r="F89" s="789">
        <v>-274000</v>
      </c>
      <c r="G89" s="786">
        <v>0</v>
      </c>
      <c r="H89" s="789">
        <v>-238000</v>
      </c>
      <c r="I89" s="786">
        <v>0</v>
      </c>
      <c r="J89" s="787">
        <v>145662</v>
      </c>
      <c r="K89" s="788">
        <v>-1.17</v>
      </c>
      <c r="L89" s="790" t="s">
        <v>283</v>
      </c>
      <c r="M89" s="794">
        <v>-274000</v>
      </c>
      <c r="N89" s="794">
        <v>-226000</v>
      </c>
      <c r="O89" s="791">
        <v>0</v>
      </c>
      <c r="P89" s="791">
        <v>0</v>
      </c>
      <c r="Q89" s="791" t="s">
        <v>283</v>
      </c>
      <c r="R89" s="791" t="s">
        <v>283</v>
      </c>
      <c r="S89" s="791" t="s">
        <v>283</v>
      </c>
      <c r="T89" s="791" t="s">
        <v>283</v>
      </c>
      <c r="U89" s="791" t="s">
        <v>283</v>
      </c>
      <c r="V89" s="772" t="s">
        <v>283</v>
      </c>
      <c r="W89" s="765" t="s">
        <v>283</v>
      </c>
      <c r="X89" s="765" t="s">
        <v>283</v>
      </c>
      <c r="Y89" s="765" t="s">
        <v>283</v>
      </c>
      <c r="Z89" s="765" t="s">
        <v>283</v>
      </c>
      <c r="AA89" s="765" t="s">
        <v>283</v>
      </c>
      <c r="AB89" s="765" t="s">
        <v>283</v>
      </c>
      <c r="AC89" s="765" t="s">
        <v>283</v>
      </c>
      <c r="AD89" s="765" t="s">
        <v>283</v>
      </c>
      <c r="AE89" s="765" t="s">
        <v>283</v>
      </c>
      <c r="AF89" s="765" t="s">
        <v>283</v>
      </c>
      <c r="AG89" s="765" t="s">
        <v>283</v>
      </c>
      <c r="AH89" s="765" t="s">
        <v>283</v>
      </c>
      <c r="AI89" s="765" t="s">
        <v>283</v>
      </c>
      <c r="AJ89" s="765" t="s">
        <v>283</v>
      </c>
      <c r="AK89" s="765" t="s">
        <v>283</v>
      </c>
      <c r="AL89" s="765" t="s">
        <v>283</v>
      </c>
      <c r="AM89" s="765" t="s">
        <v>283</v>
      </c>
      <c r="AN89" s="765" t="s">
        <v>283</v>
      </c>
      <c r="AO89" s="765" t="s">
        <v>283</v>
      </c>
      <c r="AP89" s="765" t="s">
        <v>283</v>
      </c>
      <c r="AQ89" s="765" t="s">
        <v>283</v>
      </c>
      <c r="AR89" s="765" t="s">
        <v>283</v>
      </c>
      <c r="AS89" s="765" t="s">
        <v>283</v>
      </c>
      <c r="AT89" s="765" t="s">
        <v>283</v>
      </c>
    </row>
    <row r="90" spans="1:46" ht="15">
      <c r="A90" s="765" t="s">
        <v>283</v>
      </c>
      <c r="B90" s="769" t="s">
        <v>283</v>
      </c>
      <c r="C90" s="773" t="s">
        <v>725</v>
      </c>
      <c r="D90" s="774" t="s">
        <v>283</v>
      </c>
      <c r="E90" s="774" t="s">
        <v>283</v>
      </c>
      <c r="F90" s="774" t="s">
        <v>283</v>
      </c>
      <c r="G90" s="774" t="s">
        <v>283</v>
      </c>
      <c r="H90" s="774" t="s">
        <v>283</v>
      </c>
      <c r="I90" s="774" t="s">
        <v>283</v>
      </c>
      <c r="J90" s="774" t="s">
        <v>283</v>
      </c>
      <c r="K90" s="774" t="s">
        <v>283</v>
      </c>
      <c r="L90" s="771"/>
      <c r="M90" s="771"/>
      <c r="N90" s="771"/>
      <c r="O90" s="771"/>
      <c r="P90" s="771"/>
      <c r="Q90" s="771"/>
      <c r="R90" s="771"/>
      <c r="S90" s="771"/>
      <c r="T90" s="771"/>
      <c r="U90" s="771"/>
      <c r="V90" s="772" t="s">
        <v>283</v>
      </c>
      <c r="W90" s="765" t="s">
        <v>283</v>
      </c>
      <c r="X90" s="765" t="s">
        <v>283</v>
      </c>
      <c r="Y90" s="765" t="s">
        <v>283</v>
      </c>
      <c r="Z90" s="765" t="s">
        <v>283</v>
      </c>
      <c r="AA90" s="765" t="s">
        <v>283</v>
      </c>
      <c r="AB90" s="765" t="s">
        <v>283</v>
      </c>
      <c r="AC90" s="765" t="s">
        <v>283</v>
      </c>
      <c r="AD90" s="765" t="s">
        <v>283</v>
      </c>
      <c r="AE90" s="765" t="s">
        <v>283</v>
      </c>
      <c r="AF90" s="765" t="s">
        <v>283</v>
      </c>
      <c r="AG90" s="765" t="s">
        <v>283</v>
      </c>
      <c r="AH90" s="765" t="s">
        <v>283</v>
      </c>
      <c r="AI90" s="765" t="s">
        <v>283</v>
      </c>
      <c r="AJ90" s="765" t="s">
        <v>283</v>
      </c>
      <c r="AK90" s="765" t="s">
        <v>283</v>
      </c>
      <c r="AL90" s="765" t="s">
        <v>283</v>
      </c>
      <c r="AM90" s="765" t="s">
        <v>283</v>
      </c>
      <c r="AN90" s="765" t="s">
        <v>283</v>
      </c>
      <c r="AO90" s="765" t="s">
        <v>283</v>
      </c>
      <c r="AP90" s="765" t="s">
        <v>283</v>
      </c>
      <c r="AQ90" s="765" t="s">
        <v>283</v>
      </c>
      <c r="AR90" s="765" t="s">
        <v>283</v>
      </c>
      <c r="AS90" s="765" t="s">
        <v>283</v>
      </c>
      <c r="AT90" s="765" t="s">
        <v>283</v>
      </c>
    </row>
    <row r="91" spans="1:46" ht="15">
      <c r="A91" s="765" t="s">
        <v>283</v>
      </c>
      <c r="B91" s="769" t="s">
        <v>283</v>
      </c>
      <c r="C91" s="773" t="s">
        <v>726</v>
      </c>
      <c r="D91" s="780">
        <v>1389000</v>
      </c>
      <c r="E91" s="780">
        <v>1263333</v>
      </c>
      <c r="F91" s="780">
        <v>463000</v>
      </c>
      <c r="G91" s="780">
        <v>1938000</v>
      </c>
      <c r="H91" s="780">
        <v>926000</v>
      </c>
      <c r="I91" s="780">
        <v>1663500</v>
      </c>
      <c r="J91" s="780">
        <v>745487</v>
      </c>
      <c r="K91" s="779">
        <v>0.59</v>
      </c>
      <c r="L91" s="771"/>
      <c r="M91" s="773"/>
      <c r="N91" s="773"/>
      <c r="O91" s="773"/>
      <c r="P91" s="773"/>
      <c r="Q91" s="783">
        <v>463000</v>
      </c>
      <c r="R91" s="783">
        <v>1389000</v>
      </c>
      <c r="S91" s="783">
        <v>1938000</v>
      </c>
      <c r="T91" s="773"/>
      <c r="U91" s="773"/>
      <c r="V91" s="772" t="s">
        <v>283</v>
      </c>
      <c r="W91" s="765" t="s">
        <v>283</v>
      </c>
      <c r="X91" s="765" t="s">
        <v>283</v>
      </c>
      <c r="Y91" s="765" t="s">
        <v>283</v>
      </c>
      <c r="Z91" s="765" t="s">
        <v>283</v>
      </c>
      <c r="AA91" s="765" t="s">
        <v>283</v>
      </c>
      <c r="AB91" s="765" t="s">
        <v>283</v>
      </c>
      <c r="AC91" s="765" t="s">
        <v>283</v>
      </c>
      <c r="AD91" s="765" t="s">
        <v>283</v>
      </c>
      <c r="AE91" s="765" t="s">
        <v>283</v>
      </c>
      <c r="AF91" s="765" t="s">
        <v>283</v>
      </c>
      <c r="AG91" s="765" t="s">
        <v>283</v>
      </c>
      <c r="AH91" s="765" t="s">
        <v>283</v>
      </c>
      <c r="AI91" s="765" t="s">
        <v>283</v>
      </c>
      <c r="AJ91" s="765" t="s">
        <v>283</v>
      </c>
      <c r="AK91" s="765" t="s">
        <v>283</v>
      </c>
      <c r="AL91" s="765" t="s">
        <v>283</v>
      </c>
      <c r="AM91" s="765" t="s">
        <v>283</v>
      </c>
      <c r="AN91" s="765" t="s">
        <v>283</v>
      </c>
      <c r="AO91" s="765" t="s">
        <v>283</v>
      </c>
      <c r="AP91" s="765" t="s">
        <v>283</v>
      </c>
      <c r="AQ91" s="765" t="s">
        <v>283</v>
      </c>
      <c r="AR91" s="765" t="s">
        <v>283</v>
      </c>
      <c r="AS91" s="765" t="s">
        <v>283</v>
      </c>
      <c r="AT91" s="765" t="s">
        <v>283</v>
      </c>
    </row>
    <row r="92" spans="1:46" ht="15">
      <c r="A92" s="765" t="s">
        <v>283</v>
      </c>
      <c r="B92" s="769" t="s">
        <v>283</v>
      </c>
      <c r="C92" s="776" t="s">
        <v>727</v>
      </c>
      <c r="D92" s="787">
        <v>1389000</v>
      </c>
      <c r="E92" s="787">
        <v>1263333</v>
      </c>
      <c r="F92" s="787">
        <v>463000</v>
      </c>
      <c r="G92" s="787">
        <v>1938000</v>
      </c>
      <c r="H92" s="787">
        <v>926000</v>
      </c>
      <c r="I92" s="787">
        <v>1663500</v>
      </c>
      <c r="J92" s="787">
        <v>745487</v>
      </c>
      <c r="K92" s="786">
        <v>0.59</v>
      </c>
      <c r="L92" s="790" t="s">
        <v>283</v>
      </c>
      <c r="M92" s="791" t="s">
        <v>283</v>
      </c>
      <c r="N92" s="791" t="s">
        <v>283</v>
      </c>
      <c r="O92" s="791" t="s">
        <v>283</v>
      </c>
      <c r="P92" s="791" t="s">
        <v>283</v>
      </c>
      <c r="Q92" s="792">
        <v>463000</v>
      </c>
      <c r="R92" s="792">
        <v>1389000</v>
      </c>
      <c r="S92" s="792">
        <v>1938000</v>
      </c>
      <c r="T92" s="791" t="s">
        <v>283</v>
      </c>
      <c r="U92" s="791" t="s">
        <v>283</v>
      </c>
      <c r="V92" s="772" t="s">
        <v>283</v>
      </c>
      <c r="W92" s="765" t="s">
        <v>283</v>
      </c>
      <c r="X92" s="765" t="s">
        <v>283</v>
      </c>
      <c r="Y92" s="765" t="s">
        <v>283</v>
      </c>
      <c r="Z92" s="765" t="s">
        <v>283</v>
      </c>
      <c r="AA92" s="765" t="s">
        <v>283</v>
      </c>
      <c r="AB92" s="765" t="s">
        <v>283</v>
      </c>
      <c r="AC92" s="765" t="s">
        <v>283</v>
      </c>
      <c r="AD92" s="765" t="s">
        <v>283</v>
      </c>
      <c r="AE92" s="765" t="s">
        <v>283</v>
      </c>
      <c r="AF92" s="765" t="s">
        <v>283</v>
      </c>
      <c r="AG92" s="765" t="s">
        <v>283</v>
      </c>
      <c r="AH92" s="765" t="s">
        <v>283</v>
      </c>
      <c r="AI92" s="765" t="s">
        <v>283</v>
      </c>
      <c r="AJ92" s="765" t="s">
        <v>283</v>
      </c>
      <c r="AK92" s="765" t="s">
        <v>283</v>
      </c>
      <c r="AL92" s="765" t="s">
        <v>283</v>
      </c>
      <c r="AM92" s="765" t="s">
        <v>283</v>
      </c>
      <c r="AN92" s="765" t="s">
        <v>283</v>
      </c>
      <c r="AO92" s="765" t="s">
        <v>283</v>
      </c>
      <c r="AP92" s="765" t="s">
        <v>283</v>
      </c>
      <c r="AQ92" s="765" t="s">
        <v>283</v>
      </c>
      <c r="AR92" s="765" t="s">
        <v>283</v>
      </c>
      <c r="AS92" s="765" t="s">
        <v>283</v>
      </c>
      <c r="AT92" s="765" t="s">
        <v>283</v>
      </c>
    </row>
    <row r="93" spans="1:46" ht="15">
      <c r="A93" s="765" t="s">
        <v>283</v>
      </c>
      <c r="B93" s="769" t="s">
        <v>283</v>
      </c>
      <c r="C93" s="773" t="s">
        <v>728</v>
      </c>
      <c r="D93" s="774" t="s">
        <v>283</v>
      </c>
      <c r="E93" s="774" t="s">
        <v>283</v>
      </c>
      <c r="F93" s="774" t="s">
        <v>283</v>
      </c>
      <c r="G93" s="774" t="s">
        <v>283</v>
      </c>
      <c r="H93" s="774" t="s">
        <v>283</v>
      </c>
      <c r="I93" s="774" t="s">
        <v>283</v>
      </c>
      <c r="J93" s="774" t="s">
        <v>283</v>
      </c>
      <c r="K93" s="774" t="s">
        <v>283</v>
      </c>
      <c r="L93" s="771"/>
      <c r="M93" s="771"/>
      <c r="N93" s="771"/>
      <c r="O93" s="771"/>
      <c r="P93" s="771"/>
      <c r="Q93" s="771"/>
      <c r="R93" s="771"/>
      <c r="S93" s="771"/>
      <c r="T93" s="771"/>
      <c r="U93" s="771"/>
      <c r="V93" s="772" t="s">
        <v>283</v>
      </c>
      <c r="W93" s="765" t="s">
        <v>283</v>
      </c>
      <c r="X93" s="765" t="s">
        <v>283</v>
      </c>
      <c r="Y93" s="765" t="s">
        <v>283</v>
      </c>
      <c r="Z93" s="765" t="s">
        <v>283</v>
      </c>
      <c r="AA93" s="765" t="s">
        <v>283</v>
      </c>
      <c r="AB93" s="765" t="s">
        <v>283</v>
      </c>
      <c r="AC93" s="765" t="s">
        <v>283</v>
      </c>
      <c r="AD93" s="765" t="s">
        <v>283</v>
      </c>
      <c r="AE93" s="765" t="s">
        <v>283</v>
      </c>
      <c r="AF93" s="765" t="s">
        <v>283</v>
      </c>
      <c r="AG93" s="765" t="s">
        <v>283</v>
      </c>
      <c r="AH93" s="765" t="s">
        <v>283</v>
      </c>
      <c r="AI93" s="765" t="s">
        <v>283</v>
      </c>
      <c r="AJ93" s="765" t="s">
        <v>283</v>
      </c>
      <c r="AK93" s="765" t="s">
        <v>283</v>
      </c>
      <c r="AL93" s="765" t="s">
        <v>283</v>
      </c>
      <c r="AM93" s="765" t="s">
        <v>283</v>
      </c>
      <c r="AN93" s="765" t="s">
        <v>283</v>
      </c>
      <c r="AO93" s="765" t="s">
        <v>283</v>
      </c>
      <c r="AP93" s="765" t="s">
        <v>283</v>
      </c>
      <c r="AQ93" s="765" t="s">
        <v>283</v>
      </c>
      <c r="AR93" s="765" t="s">
        <v>283</v>
      </c>
      <c r="AS93" s="765" t="s">
        <v>283</v>
      </c>
      <c r="AT93" s="765" t="s">
        <v>283</v>
      </c>
    </row>
    <row r="94" spans="1:46" ht="15">
      <c r="A94" s="765" t="s">
        <v>283</v>
      </c>
      <c r="B94" s="769" t="s">
        <v>283</v>
      </c>
      <c r="C94" s="773" t="s">
        <v>729</v>
      </c>
      <c r="D94" s="774" t="s">
        <v>283</v>
      </c>
      <c r="E94" s="774" t="s">
        <v>283</v>
      </c>
      <c r="F94" s="774" t="s">
        <v>283</v>
      </c>
      <c r="G94" s="774" t="s">
        <v>283</v>
      </c>
      <c r="H94" s="774" t="s">
        <v>283</v>
      </c>
      <c r="I94" s="774" t="s">
        <v>283</v>
      </c>
      <c r="J94" s="774" t="s">
        <v>283</v>
      </c>
      <c r="K94" s="774" t="s">
        <v>283</v>
      </c>
      <c r="L94" s="771"/>
      <c r="M94" s="771"/>
      <c r="N94" s="771"/>
      <c r="O94" s="771"/>
      <c r="P94" s="771"/>
      <c r="Q94" s="771"/>
      <c r="R94" s="771"/>
      <c r="S94" s="771"/>
      <c r="T94" s="771"/>
      <c r="U94" s="771"/>
      <c r="V94" s="772" t="s">
        <v>283</v>
      </c>
      <c r="W94" s="765" t="s">
        <v>283</v>
      </c>
      <c r="X94" s="765" t="s">
        <v>283</v>
      </c>
      <c r="Y94" s="765" t="s">
        <v>283</v>
      </c>
      <c r="Z94" s="765" t="s">
        <v>283</v>
      </c>
      <c r="AA94" s="765" t="s">
        <v>283</v>
      </c>
      <c r="AB94" s="765" t="s">
        <v>283</v>
      </c>
      <c r="AC94" s="765" t="s">
        <v>283</v>
      </c>
      <c r="AD94" s="765" t="s">
        <v>283</v>
      </c>
      <c r="AE94" s="765" t="s">
        <v>283</v>
      </c>
      <c r="AF94" s="765" t="s">
        <v>283</v>
      </c>
      <c r="AG94" s="765" t="s">
        <v>283</v>
      </c>
      <c r="AH94" s="765" t="s">
        <v>283</v>
      </c>
      <c r="AI94" s="765" t="s">
        <v>283</v>
      </c>
      <c r="AJ94" s="765" t="s">
        <v>283</v>
      </c>
      <c r="AK94" s="765" t="s">
        <v>283</v>
      </c>
      <c r="AL94" s="765" t="s">
        <v>283</v>
      </c>
      <c r="AM94" s="765" t="s">
        <v>283</v>
      </c>
      <c r="AN94" s="765" t="s">
        <v>283</v>
      </c>
      <c r="AO94" s="765" t="s">
        <v>283</v>
      </c>
      <c r="AP94" s="765" t="s">
        <v>283</v>
      </c>
      <c r="AQ94" s="765" t="s">
        <v>283</v>
      </c>
      <c r="AR94" s="765" t="s">
        <v>283</v>
      </c>
      <c r="AS94" s="765" t="s">
        <v>283</v>
      </c>
      <c r="AT94" s="765" t="s">
        <v>283</v>
      </c>
    </row>
    <row r="95" spans="1:46" ht="15">
      <c r="A95" s="765" t="s">
        <v>283</v>
      </c>
      <c r="B95" s="769" t="s">
        <v>283</v>
      </c>
      <c r="C95" s="773" t="s">
        <v>730</v>
      </c>
      <c r="D95" s="780">
        <v>116000</v>
      </c>
      <c r="E95" s="780">
        <v>575143</v>
      </c>
      <c r="F95" s="779">
        <v>0</v>
      </c>
      <c r="G95" s="780">
        <v>1980000</v>
      </c>
      <c r="H95" s="780">
        <v>58500</v>
      </c>
      <c r="I95" s="780">
        <v>906500</v>
      </c>
      <c r="J95" s="780">
        <v>867076</v>
      </c>
      <c r="K95" s="779">
        <v>1.51</v>
      </c>
      <c r="L95" s="771"/>
      <c r="M95" s="783">
        <v>1693000</v>
      </c>
      <c r="N95" s="783">
        <v>120000</v>
      </c>
      <c r="O95" s="783">
        <v>116000</v>
      </c>
      <c r="P95" s="783">
        <v>109000</v>
      </c>
      <c r="Q95" s="783">
        <v>1980000</v>
      </c>
      <c r="R95" s="783">
        <v>8000</v>
      </c>
      <c r="S95" s="773">
        <v>0</v>
      </c>
      <c r="T95" s="773"/>
      <c r="U95" s="773"/>
      <c r="V95" s="772" t="s">
        <v>283</v>
      </c>
      <c r="W95" s="765" t="s">
        <v>283</v>
      </c>
      <c r="X95" s="765" t="s">
        <v>283</v>
      </c>
      <c r="Y95" s="765" t="s">
        <v>283</v>
      </c>
      <c r="Z95" s="765" t="s">
        <v>283</v>
      </c>
      <c r="AA95" s="765" t="s">
        <v>283</v>
      </c>
      <c r="AB95" s="765" t="s">
        <v>283</v>
      </c>
      <c r="AC95" s="765" t="s">
        <v>283</v>
      </c>
      <c r="AD95" s="765" t="s">
        <v>283</v>
      </c>
      <c r="AE95" s="765" t="s">
        <v>283</v>
      </c>
      <c r="AF95" s="765" t="s">
        <v>283</v>
      </c>
      <c r="AG95" s="765" t="s">
        <v>283</v>
      </c>
      <c r="AH95" s="765" t="s">
        <v>283</v>
      </c>
      <c r="AI95" s="765" t="s">
        <v>283</v>
      </c>
      <c r="AJ95" s="765" t="s">
        <v>283</v>
      </c>
      <c r="AK95" s="765" t="s">
        <v>283</v>
      </c>
      <c r="AL95" s="765" t="s">
        <v>283</v>
      </c>
      <c r="AM95" s="765" t="s">
        <v>283</v>
      </c>
      <c r="AN95" s="765" t="s">
        <v>283</v>
      </c>
      <c r="AO95" s="765" t="s">
        <v>283</v>
      </c>
      <c r="AP95" s="765" t="s">
        <v>283</v>
      </c>
      <c r="AQ95" s="765" t="s">
        <v>283</v>
      </c>
      <c r="AR95" s="765" t="s">
        <v>283</v>
      </c>
      <c r="AS95" s="765" t="s">
        <v>283</v>
      </c>
      <c r="AT95" s="765" t="s">
        <v>283</v>
      </c>
    </row>
    <row r="96" spans="1:46" ht="15">
      <c r="A96" s="765" t="s">
        <v>283</v>
      </c>
      <c r="B96" s="769" t="s">
        <v>283</v>
      </c>
      <c r="C96" s="773" t="s">
        <v>731</v>
      </c>
      <c r="D96" s="782">
        <v>-260000</v>
      </c>
      <c r="E96" s="782">
        <v>-432857</v>
      </c>
      <c r="F96" s="782">
        <v>-1019000</v>
      </c>
      <c r="G96" s="782">
        <v>-69000</v>
      </c>
      <c r="H96" s="782">
        <v>-700000</v>
      </c>
      <c r="I96" s="782">
        <v>-141000</v>
      </c>
      <c r="J96" s="780">
        <v>371893</v>
      </c>
      <c r="K96" s="781">
        <v>-0.86</v>
      </c>
      <c r="L96" s="771"/>
      <c r="M96" s="785">
        <v>-260000</v>
      </c>
      <c r="N96" s="785">
        <v>-635000</v>
      </c>
      <c r="O96" s="785">
        <v>-765000</v>
      </c>
      <c r="P96" s="785">
        <v>-1019000</v>
      </c>
      <c r="Q96" s="785">
        <v>-176000</v>
      </c>
      <c r="R96" s="785">
        <v>-106000</v>
      </c>
      <c r="S96" s="785">
        <v>-69000</v>
      </c>
      <c r="T96" s="773"/>
      <c r="U96" s="773"/>
      <c r="V96" s="772" t="s">
        <v>283</v>
      </c>
      <c r="W96" s="765" t="s">
        <v>283</v>
      </c>
      <c r="X96" s="765" t="s">
        <v>283</v>
      </c>
      <c r="Y96" s="765" t="s">
        <v>283</v>
      </c>
      <c r="Z96" s="765" t="s">
        <v>283</v>
      </c>
      <c r="AA96" s="765" t="s">
        <v>283</v>
      </c>
      <c r="AB96" s="765" t="s">
        <v>283</v>
      </c>
      <c r="AC96" s="765" t="s">
        <v>283</v>
      </c>
      <c r="AD96" s="765" t="s">
        <v>283</v>
      </c>
      <c r="AE96" s="765" t="s">
        <v>283</v>
      </c>
      <c r="AF96" s="765" t="s">
        <v>283</v>
      </c>
      <c r="AG96" s="765" t="s">
        <v>283</v>
      </c>
      <c r="AH96" s="765" t="s">
        <v>283</v>
      </c>
      <c r="AI96" s="765" t="s">
        <v>283</v>
      </c>
      <c r="AJ96" s="765" t="s">
        <v>283</v>
      </c>
      <c r="AK96" s="765" t="s">
        <v>283</v>
      </c>
      <c r="AL96" s="765" t="s">
        <v>283</v>
      </c>
      <c r="AM96" s="765" t="s">
        <v>283</v>
      </c>
      <c r="AN96" s="765" t="s">
        <v>283</v>
      </c>
      <c r="AO96" s="765" t="s">
        <v>283</v>
      </c>
      <c r="AP96" s="765" t="s">
        <v>283</v>
      </c>
      <c r="AQ96" s="765" t="s">
        <v>283</v>
      </c>
      <c r="AR96" s="765" t="s">
        <v>283</v>
      </c>
      <c r="AS96" s="765" t="s">
        <v>283</v>
      </c>
      <c r="AT96" s="765" t="s">
        <v>283</v>
      </c>
    </row>
    <row r="97" spans="1:46" ht="15">
      <c r="A97" s="765" t="s">
        <v>283</v>
      </c>
      <c r="B97" s="769" t="s">
        <v>283</v>
      </c>
      <c r="C97" s="776" t="s">
        <v>732</v>
      </c>
      <c r="D97" s="789">
        <v>-98000</v>
      </c>
      <c r="E97" s="787">
        <v>142286</v>
      </c>
      <c r="F97" s="789">
        <v>-910000</v>
      </c>
      <c r="G97" s="787">
        <v>1804000</v>
      </c>
      <c r="H97" s="789">
        <v>-582000</v>
      </c>
      <c r="I97" s="787">
        <v>682000</v>
      </c>
      <c r="J97" s="787">
        <v>1056336</v>
      </c>
      <c r="K97" s="786">
        <v>7.42</v>
      </c>
      <c r="L97" s="790" t="s">
        <v>283</v>
      </c>
      <c r="M97" s="792">
        <v>1433000</v>
      </c>
      <c r="N97" s="794">
        <v>-515000</v>
      </c>
      <c r="O97" s="794">
        <v>-649000</v>
      </c>
      <c r="P97" s="794">
        <v>-910000</v>
      </c>
      <c r="Q97" s="792">
        <v>1804000</v>
      </c>
      <c r="R97" s="794">
        <v>-98000</v>
      </c>
      <c r="S97" s="794">
        <v>-69000</v>
      </c>
      <c r="T97" s="791" t="s">
        <v>283</v>
      </c>
      <c r="U97" s="791" t="s">
        <v>283</v>
      </c>
      <c r="V97" s="772" t="s">
        <v>283</v>
      </c>
      <c r="W97" s="765" t="s">
        <v>283</v>
      </c>
      <c r="X97" s="765" t="s">
        <v>283</v>
      </c>
      <c r="Y97" s="765" t="s">
        <v>283</v>
      </c>
      <c r="Z97" s="765" t="s">
        <v>283</v>
      </c>
      <c r="AA97" s="765" t="s">
        <v>283</v>
      </c>
      <c r="AB97" s="765" t="s">
        <v>283</v>
      </c>
      <c r="AC97" s="765" t="s">
        <v>283</v>
      </c>
      <c r="AD97" s="765" t="s">
        <v>283</v>
      </c>
      <c r="AE97" s="765" t="s">
        <v>283</v>
      </c>
      <c r="AF97" s="765" t="s">
        <v>283</v>
      </c>
      <c r="AG97" s="765" t="s">
        <v>283</v>
      </c>
      <c r="AH97" s="765" t="s">
        <v>283</v>
      </c>
      <c r="AI97" s="765" t="s">
        <v>283</v>
      </c>
      <c r="AJ97" s="765" t="s">
        <v>283</v>
      </c>
      <c r="AK97" s="765" t="s">
        <v>283</v>
      </c>
      <c r="AL97" s="765" t="s">
        <v>283</v>
      </c>
      <c r="AM97" s="765" t="s">
        <v>283</v>
      </c>
      <c r="AN97" s="765" t="s">
        <v>283</v>
      </c>
      <c r="AO97" s="765" t="s">
        <v>283</v>
      </c>
      <c r="AP97" s="765" t="s">
        <v>283</v>
      </c>
      <c r="AQ97" s="765" t="s">
        <v>283</v>
      </c>
      <c r="AR97" s="765" t="s">
        <v>283</v>
      </c>
      <c r="AS97" s="765" t="s">
        <v>283</v>
      </c>
      <c r="AT97" s="765" t="s">
        <v>283</v>
      </c>
    </row>
    <row r="98" spans="1:46" ht="15">
      <c r="A98" s="765" t="s">
        <v>283</v>
      </c>
      <c r="B98" s="769" t="s">
        <v>283</v>
      </c>
      <c r="C98" s="776" t="s">
        <v>733</v>
      </c>
      <c r="D98" s="789">
        <v>-98000</v>
      </c>
      <c r="E98" s="787">
        <v>142286</v>
      </c>
      <c r="F98" s="789">
        <v>-910000</v>
      </c>
      <c r="G98" s="787">
        <v>1804000</v>
      </c>
      <c r="H98" s="789">
        <v>-582000</v>
      </c>
      <c r="I98" s="787">
        <v>682000</v>
      </c>
      <c r="J98" s="787">
        <v>1056336</v>
      </c>
      <c r="K98" s="786">
        <v>7.42</v>
      </c>
      <c r="L98" s="790" t="s">
        <v>283</v>
      </c>
      <c r="M98" s="792">
        <v>1433000</v>
      </c>
      <c r="N98" s="794">
        <v>-515000</v>
      </c>
      <c r="O98" s="794">
        <v>-649000</v>
      </c>
      <c r="P98" s="794">
        <v>-910000</v>
      </c>
      <c r="Q98" s="792">
        <v>1804000</v>
      </c>
      <c r="R98" s="794">
        <v>-98000</v>
      </c>
      <c r="S98" s="794">
        <v>-69000</v>
      </c>
      <c r="T98" s="791" t="s">
        <v>283</v>
      </c>
      <c r="U98" s="791" t="s">
        <v>283</v>
      </c>
      <c r="V98" s="772" t="s">
        <v>283</v>
      </c>
      <c r="W98" s="765" t="s">
        <v>283</v>
      </c>
      <c r="X98" s="765" t="s">
        <v>283</v>
      </c>
      <c r="Y98" s="765" t="s">
        <v>283</v>
      </c>
      <c r="Z98" s="765" t="s">
        <v>283</v>
      </c>
      <c r="AA98" s="765" t="s">
        <v>283</v>
      </c>
      <c r="AB98" s="765" t="s">
        <v>283</v>
      </c>
      <c r="AC98" s="765" t="s">
        <v>283</v>
      </c>
      <c r="AD98" s="765" t="s">
        <v>283</v>
      </c>
      <c r="AE98" s="765" t="s">
        <v>283</v>
      </c>
      <c r="AF98" s="765" t="s">
        <v>283</v>
      </c>
      <c r="AG98" s="765" t="s">
        <v>283</v>
      </c>
      <c r="AH98" s="765" t="s">
        <v>283</v>
      </c>
      <c r="AI98" s="765" t="s">
        <v>283</v>
      </c>
      <c r="AJ98" s="765" t="s">
        <v>283</v>
      </c>
      <c r="AK98" s="765" t="s">
        <v>283</v>
      </c>
      <c r="AL98" s="765" t="s">
        <v>283</v>
      </c>
      <c r="AM98" s="765" t="s">
        <v>283</v>
      </c>
      <c r="AN98" s="765" t="s">
        <v>283</v>
      </c>
      <c r="AO98" s="765" t="s">
        <v>283</v>
      </c>
      <c r="AP98" s="765" t="s">
        <v>283</v>
      </c>
      <c r="AQ98" s="765" t="s">
        <v>283</v>
      </c>
      <c r="AR98" s="765" t="s">
        <v>283</v>
      </c>
      <c r="AS98" s="765" t="s">
        <v>283</v>
      </c>
      <c r="AT98" s="765" t="s">
        <v>283</v>
      </c>
    </row>
    <row r="99" spans="1:46" ht="15">
      <c r="A99" s="765" t="s">
        <v>283</v>
      </c>
      <c r="B99" s="769" t="s">
        <v>283</v>
      </c>
      <c r="C99" s="773" t="s">
        <v>734</v>
      </c>
      <c r="D99" s="774" t="s">
        <v>283</v>
      </c>
      <c r="E99" s="774" t="s">
        <v>283</v>
      </c>
      <c r="F99" s="774" t="s">
        <v>283</v>
      </c>
      <c r="G99" s="774" t="s">
        <v>283</v>
      </c>
      <c r="H99" s="774" t="s">
        <v>283</v>
      </c>
      <c r="I99" s="774" t="s">
        <v>283</v>
      </c>
      <c r="J99" s="774" t="s">
        <v>283</v>
      </c>
      <c r="K99" s="774" t="s">
        <v>283</v>
      </c>
      <c r="L99" s="771"/>
      <c r="M99" s="771"/>
      <c r="N99" s="771"/>
      <c r="O99" s="771"/>
      <c r="P99" s="771"/>
      <c r="Q99" s="771"/>
      <c r="R99" s="771"/>
      <c r="S99" s="771"/>
      <c r="T99" s="771"/>
      <c r="U99" s="771"/>
      <c r="V99" s="772" t="s">
        <v>283</v>
      </c>
      <c r="W99" s="765" t="s">
        <v>283</v>
      </c>
      <c r="X99" s="765" t="s">
        <v>283</v>
      </c>
      <c r="Y99" s="765" t="s">
        <v>283</v>
      </c>
      <c r="Z99" s="765" t="s">
        <v>283</v>
      </c>
      <c r="AA99" s="765" t="s">
        <v>283</v>
      </c>
      <c r="AB99" s="765" t="s">
        <v>283</v>
      </c>
      <c r="AC99" s="765" t="s">
        <v>283</v>
      </c>
      <c r="AD99" s="765" t="s">
        <v>283</v>
      </c>
      <c r="AE99" s="765" t="s">
        <v>283</v>
      </c>
      <c r="AF99" s="765" t="s">
        <v>283</v>
      </c>
      <c r="AG99" s="765" t="s">
        <v>283</v>
      </c>
      <c r="AH99" s="765" t="s">
        <v>283</v>
      </c>
      <c r="AI99" s="765" t="s">
        <v>283</v>
      </c>
      <c r="AJ99" s="765" t="s">
        <v>283</v>
      </c>
      <c r="AK99" s="765" t="s">
        <v>283</v>
      </c>
      <c r="AL99" s="765" t="s">
        <v>283</v>
      </c>
      <c r="AM99" s="765" t="s">
        <v>283</v>
      </c>
      <c r="AN99" s="765" t="s">
        <v>283</v>
      </c>
      <c r="AO99" s="765" t="s">
        <v>283</v>
      </c>
      <c r="AP99" s="765" t="s">
        <v>283</v>
      </c>
      <c r="AQ99" s="765" t="s">
        <v>283</v>
      </c>
      <c r="AR99" s="765" t="s">
        <v>283</v>
      </c>
      <c r="AS99" s="765" t="s">
        <v>283</v>
      </c>
      <c r="AT99" s="765" t="s">
        <v>283</v>
      </c>
    </row>
    <row r="100" spans="1:46" ht="15">
      <c r="A100" s="765" t="s">
        <v>283</v>
      </c>
      <c r="B100" s="769" t="s">
        <v>283</v>
      </c>
      <c r="C100" s="773" t="s">
        <v>735</v>
      </c>
      <c r="D100" s="782">
        <v>-35000</v>
      </c>
      <c r="E100" s="782">
        <v>-36286</v>
      </c>
      <c r="F100" s="782">
        <v>-52000</v>
      </c>
      <c r="G100" s="782">
        <v>-24000</v>
      </c>
      <c r="H100" s="782">
        <v>-42500</v>
      </c>
      <c r="I100" s="782">
        <v>-29000</v>
      </c>
      <c r="J100" s="780">
        <v>10078</v>
      </c>
      <c r="K100" s="781">
        <v>-0.28000000000000003</v>
      </c>
      <c r="L100" s="771"/>
      <c r="M100" s="785">
        <v>-52000</v>
      </c>
      <c r="N100" s="785">
        <v>-46000</v>
      </c>
      <c r="O100" s="785">
        <v>-39000</v>
      </c>
      <c r="P100" s="785">
        <v>-35000</v>
      </c>
      <c r="Q100" s="785">
        <v>-24000</v>
      </c>
      <c r="R100" s="785">
        <v>-30000</v>
      </c>
      <c r="S100" s="785">
        <v>-28000</v>
      </c>
      <c r="T100" s="773"/>
      <c r="U100" s="773"/>
      <c r="V100" s="772" t="s">
        <v>283</v>
      </c>
      <c r="W100" s="765" t="s">
        <v>283</v>
      </c>
      <c r="X100" s="765" t="s">
        <v>283</v>
      </c>
      <c r="Y100" s="765" t="s">
        <v>283</v>
      </c>
      <c r="Z100" s="765" t="s">
        <v>283</v>
      </c>
      <c r="AA100" s="765" t="s">
        <v>283</v>
      </c>
      <c r="AB100" s="765" t="s">
        <v>283</v>
      </c>
      <c r="AC100" s="765" t="s">
        <v>283</v>
      </c>
      <c r="AD100" s="765" t="s">
        <v>283</v>
      </c>
      <c r="AE100" s="765" t="s">
        <v>283</v>
      </c>
      <c r="AF100" s="765" t="s">
        <v>283</v>
      </c>
      <c r="AG100" s="765" t="s">
        <v>283</v>
      </c>
      <c r="AH100" s="765" t="s">
        <v>283</v>
      </c>
      <c r="AI100" s="765" t="s">
        <v>283</v>
      </c>
      <c r="AJ100" s="765" t="s">
        <v>283</v>
      </c>
      <c r="AK100" s="765" t="s">
        <v>283</v>
      </c>
      <c r="AL100" s="765" t="s">
        <v>283</v>
      </c>
      <c r="AM100" s="765" t="s">
        <v>283</v>
      </c>
      <c r="AN100" s="765" t="s">
        <v>283</v>
      </c>
      <c r="AO100" s="765" t="s">
        <v>283</v>
      </c>
      <c r="AP100" s="765" t="s">
        <v>283</v>
      </c>
      <c r="AQ100" s="765" t="s">
        <v>283</v>
      </c>
      <c r="AR100" s="765" t="s">
        <v>283</v>
      </c>
      <c r="AS100" s="765" t="s">
        <v>283</v>
      </c>
      <c r="AT100" s="765" t="s">
        <v>283</v>
      </c>
    </row>
    <row r="101" spans="1:46" ht="15">
      <c r="A101" s="765" t="s">
        <v>283</v>
      </c>
      <c r="B101" s="769" t="s">
        <v>283</v>
      </c>
      <c r="C101" s="776" t="s">
        <v>736</v>
      </c>
      <c r="D101" s="789">
        <v>-35000</v>
      </c>
      <c r="E101" s="789">
        <v>-36286</v>
      </c>
      <c r="F101" s="789">
        <v>-52000</v>
      </c>
      <c r="G101" s="789">
        <v>-24000</v>
      </c>
      <c r="H101" s="789">
        <v>-42500</v>
      </c>
      <c r="I101" s="789">
        <v>-29000</v>
      </c>
      <c r="J101" s="787">
        <v>10078</v>
      </c>
      <c r="K101" s="788">
        <v>-0.28000000000000003</v>
      </c>
      <c r="L101" s="790" t="s">
        <v>283</v>
      </c>
      <c r="M101" s="794">
        <v>-52000</v>
      </c>
      <c r="N101" s="794">
        <v>-46000</v>
      </c>
      <c r="O101" s="794">
        <v>-39000</v>
      </c>
      <c r="P101" s="794">
        <v>-35000</v>
      </c>
      <c r="Q101" s="794">
        <v>-24000</v>
      </c>
      <c r="R101" s="794">
        <v>-30000</v>
      </c>
      <c r="S101" s="794">
        <v>-28000</v>
      </c>
      <c r="T101" s="791" t="s">
        <v>283</v>
      </c>
      <c r="U101" s="791" t="s">
        <v>283</v>
      </c>
      <c r="V101" s="772" t="s">
        <v>283</v>
      </c>
      <c r="W101" s="765" t="s">
        <v>283</v>
      </c>
      <c r="X101" s="765" t="s">
        <v>283</v>
      </c>
      <c r="Y101" s="765" t="s">
        <v>283</v>
      </c>
      <c r="Z101" s="765" t="s">
        <v>283</v>
      </c>
      <c r="AA101" s="765" t="s">
        <v>283</v>
      </c>
      <c r="AB101" s="765" t="s">
        <v>283</v>
      </c>
      <c r="AC101" s="765" t="s">
        <v>283</v>
      </c>
      <c r="AD101" s="765" t="s">
        <v>283</v>
      </c>
      <c r="AE101" s="765" t="s">
        <v>283</v>
      </c>
      <c r="AF101" s="765" t="s">
        <v>283</v>
      </c>
      <c r="AG101" s="765" t="s">
        <v>283</v>
      </c>
      <c r="AH101" s="765" t="s">
        <v>283</v>
      </c>
      <c r="AI101" s="765" t="s">
        <v>283</v>
      </c>
      <c r="AJ101" s="765" t="s">
        <v>283</v>
      </c>
      <c r="AK101" s="765" t="s">
        <v>283</v>
      </c>
      <c r="AL101" s="765" t="s">
        <v>283</v>
      </c>
      <c r="AM101" s="765" t="s">
        <v>283</v>
      </c>
      <c r="AN101" s="765" t="s">
        <v>283</v>
      </c>
      <c r="AO101" s="765" t="s">
        <v>283</v>
      </c>
      <c r="AP101" s="765" t="s">
        <v>283</v>
      </c>
      <c r="AQ101" s="765" t="s">
        <v>283</v>
      </c>
      <c r="AR101" s="765" t="s">
        <v>283</v>
      </c>
      <c r="AS101" s="765" t="s">
        <v>283</v>
      </c>
      <c r="AT101" s="765" t="s">
        <v>283</v>
      </c>
    </row>
    <row r="102" spans="1:46" ht="15">
      <c r="A102" s="765" t="s">
        <v>283</v>
      </c>
      <c r="B102" s="769" t="s">
        <v>283</v>
      </c>
      <c r="C102" s="773" t="s">
        <v>737</v>
      </c>
      <c r="D102" s="782">
        <v>-4000</v>
      </c>
      <c r="E102" s="780">
        <v>58286</v>
      </c>
      <c r="F102" s="782">
        <v>-24000</v>
      </c>
      <c r="G102" s="780">
        <v>329000</v>
      </c>
      <c r="H102" s="782">
        <v>-17000</v>
      </c>
      <c r="I102" s="780">
        <v>70500</v>
      </c>
      <c r="J102" s="780">
        <v>129933</v>
      </c>
      <c r="K102" s="779">
        <v>2.23</v>
      </c>
      <c r="L102" s="771"/>
      <c r="M102" s="785">
        <v>-4000</v>
      </c>
      <c r="N102" s="785">
        <v>-24000</v>
      </c>
      <c r="O102" s="785">
        <v>-17000</v>
      </c>
      <c r="P102" s="783">
        <v>17000</v>
      </c>
      <c r="Q102" s="785">
        <v>-17000</v>
      </c>
      <c r="R102" s="783">
        <v>329000</v>
      </c>
      <c r="S102" s="783">
        <v>124000</v>
      </c>
      <c r="T102" s="773"/>
      <c r="U102" s="773"/>
      <c r="V102" s="772" t="s">
        <v>283</v>
      </c>
      <c r="W102" s="765" t="s">
        <v>283</v>
      </c>
      <c r="X102" s="765" t="s">
        <v>283</v>
      </c>
      <c r="Y102" s="765" t="s">
        <v>283</v>
      </c>
      <c r="Z102" s="765" t="s">
        <v>283</v>
      </c>
      <c r="AA102" s="765" t="s">
        <v>283</v>
      </c>
      <c r="AB102" s="765" t="s">
        <v>283</v>
      </c>
      <c r="AC102" s="765" t="s">
        <v>283</v>
      </c>
      <c r="AD102" s="765" t="s">
        <v>283</v>
      </c>
      <c r="AE102" s="765" t="s">
        <v>283</v>
      </c>
      <c r="AF102" s="765" t="s">
        <v>283</v>
      </c>
      <c r="AG102" s="765" t="s">
        <v>283</v>
      </c>
      <c r="AH102" s="765" t="s">
        <v>283</v>
      </c>
      <c r="AI102" s="765" t="s">
        <v>283</v>
      </c>
      <c r="AJ102" s="765" t="s">
        <v>283</v>
      </c>
      <c r="AK102" s="765" t="s">
        <v>283</v>
      </c>
      <c r="AL102" s="765" t="s">
        <v>283</v>
      </c>
      <c r="AM102" s="765" t="s">
        <v>283</v>
      </c>
      <c r="AN102" s="765" t="s">
        <v>283</v>
      </c>
      <c r="AO102" s="765" t="s">
        <v>283</v>
      </c>
      <c r="AP102" s="765" t="s">
        <v>283</v>
      </c>
      <c r="AQ102" s="765" t="s">
        <v>283</v>
      </c>
      <c r="AR102" s="765" t="s">
        <v>283</v>
      </c>
      <c r="AS102" s="765" t="s">
        <v>283</v>
      </c>
      <c r="AT102" s="765" t="s">
        <v>283</v>
      </c>
    </row>
    <row r="103" spans="1:46" ht="15">
      <c r="A103" s="765" t="s">
        <v>283</v>
      </c>
      <c r="B103" s="769" t="s">
        <v>283</v>
      </c>
      <c r="C103" s="773" t="s">
        <v>738</v>
      </c>
      <c r="D103" s="774" t="s">
        <v>283</v>
      </c>
      <c r="E103" s="774" t="s">
        <v>283</v>
      </c>
      <c r="F103" s="774" t="s">
        <v>283</v>
      </c>
      <c r="G103" s="774" t="s">
        <v>283</v>
      </c>
      <c r="H103" s="774" t="s">
        <v>283</v>
      </c>
      <c r="I103" s="774" t="s">
        <v>283</v>
      </c>
      <c r="J103" s="774" t="s">
        <v>283</v>
      </c>
      <c r="K103" s="774" t="s">
        <v>283</v>
      </c>
      <c r="L103" s="771"/>
      <c r="M103" s="771"/>
      <c r="N103" s="771"/>
      <c r="O103" s="771"/>
      <c r="P103" s="771"/>
      <c r="Q103" s="771"/>
      <c r="R103" s="771"/>
      <c r="S103" s="771"/>
      <c r="T103" s="771"/>
      <c r="U103" s="771"/>
      <c r="V103" s="772" t="s">
        <v>283</v>
      </c>
      <c r="W103" s="765" t="s">
        <v>283</v>
      </c>
      <c r="X103" s="765" t="s">
        <v>283</v>
      </c>
      <c r="Y103" s="765" t="s">
        <v>283</v>
      </c>
      <c r="Z103" s="765" t="s">
        <v>283</v>
      </c>
      <c r="AA103" s="765" t="s">
        <v>283</v>
      </c>
      <c r="AB103" s="765" t="s">
        <v>283</v>
      </c>
      <c r="AC103" s="765" t="s">
        <v>283</v>
      </c>
      <c r="AD103" s="765" t="s">
        <v>283</v>
      </c>
      <c r="AE103" s="765" t="s">
        <v>283</v>
      </c>
      <c r="AF103" s="765" t="s">
        <v>283</v>
      </c>
      <c r="AG103" s="765" t="s">
        <v>283</v>
      </c>
      <c r="AH103" s="765" t="s">
        <v>283</v>
      </c>
      <c r="AI103" s="765" t="s">
        <v>283</v>
      </c>
      <c r="AJ103" s="765" t="s">
        <v>283</v>
      </c>
      <c r="AK103" s="765" t="s">
        <v>283</v>
      </c>
      <c r="AL103" s="765" t="s">
        <v>283</v>
      </c>
      <c r="AM103" s="765" t="s">
        <v>283</v>
      </c>
      <c r="AN103" s="765" t="s">
        <v>283</v>
      </c>
      <c r="AO103" s="765" t="s">
        <v>283</v>
      </c>
      <c r="AP103" s="765" t="s">
        <v>283</v>
      </c>
      <c r="AQ103" s="765" t="s">
        <v>283</v>
      </c>
      <c r="AR103" s="765" t="s">
        <v>283</v>
      </c>
      <c r="AS103" s="765" t="s">
        <v>283</v>
      </c>
      <c r="AT103" s="765" t="s">
        <v>283</v>
      </c>
    </row>
    <row r="104" spans="1:46" ht="15">
      <c r="A104" s="765" t="s">
        <v>283</v>
      </c>
      <c r="B104" s="769" t="s">
        <v>283</v>
      </c>
      <c r="C104" s="773" t="s">
        <v>739</v>
      </c>
      <c r="D104" s="779">
        <v>0</v>
      </c>
      <c r="E104" s="782">
        <v>-13000</v>
      </c>
      <c r="F104" s="782">
        <v>-39000</v>
      </c>
      <c r="G104" s="779">
        <v>0</v>
      </c>
      <c r="H104" s="782">
        <v>-19500</v>
      </c>
      <c r="I104" s="779">
        <v>0</v>
      </c>
      <c r="J104" s="780">
        <v>22517</v>
      </c>
      <c r="K104" s="781">
        <v>-1.73</v>
      </c>
      <c r="L104" s="771"/>
      <c r="M104" s="773"/>
      <c r="N104" s="773"/>
      <c r="O104" s="773"/>
      <c r="P104" s="785">
        <v>-39000</v>
      </c>
      <c r="Q104" s="773">
        <v>0</v>
      </c>
      <c r="R104" s="773">
        <v>0</v>
      </c>
      <c r="S104" s="773"/>
      <c r="T104" s="773"/>
      <c r="U104" s="773"/>
      <c r="V104" s="772" t="s">
        <v>283</v>
      </c>
      <c r="W104" s="765" t="s">
        <v>283</v>
      </c>
      <c r="X104" s="765" t="s">
        <v>283</v>
      </c>
      <c r="Y104" s="765" t="s">
        <v>283</v>
      </c>
      <c r="Z104" s="765" t="s">
        <v>283</v>
      </c>
      <c r="AA104" s="765" t="s">
        <v>283</v>
      </c>
      <c r="AB104" s="765" t="s">
        <v>283</v>
      </c>
      <c r="AC104" s="765" t="s">
        <v>283</v>
      </c>
      <c r="AD104" s="765" t="s">
        <v>283</v>
      </c>
      <c r="AE104" s="765" t="s">
        <v>283</v>
      </c>
      <c r="AF104" s="765" t="s">
        <v>283</v>
      </c>
      <c r="AG104" s="765" t="s">
        <v>283</v>
      </c>
      <c r="AH104" s="765" t="s">
        <v>283</v>
      </c>
      <c r="AI104" s="765" t="s">
        <v>283</v>
      </c>
      <c r="AJ104" s="765" t="s">
        <v>283</v>
      </c>
      <c r="AK104" s="765" t="s">
        <v>283</v>
      </c>
      <c r="AL104" s="765" t="s">
        <v>283</v>
      </c>
      <c r="AM104" s="765" t="s">
        <v>283</v>
      </c>
      <c r="AN104" s="765" t="s">
        <v>283</v>
      </c>
      <c r="AO104" s="765" t="s">
        <v>283</v>
      </c>
      <c r="AP104" s="765" t="s">
        <v>283</v>
      </c>
      <c r="AQ104" s="765" t="s">
        <v>283</v>
      </c>
      <c r="AR104" s="765" t="s">
        <v>283</v>
      </c>
      <c r="AS104" s="765" t="s">
        <v>283</v>
      </c>
      <c r="AT104" s="765" t="s">
        <v>283</v>
      </c>
    </row>
    <row r="105" spans="1:46" ht="15">
      <c r="A105" s="765" t="s">
        <v>283</v>
      </c>
      <c r="B105" s="769" t="s">
        <v>283</v>
      </c>
      <c r="C105" s="773" t="s">
        <v>740</v>
      </c>
      <c r="D105" s="779">
        <v>0</v>
      </c>
      <c r="E105" s="782">
        <v>-7333</v>
      </c>
      <c r="F105" s="782">
        <v>-22000</v>
      </c>
      <c r="G105" s="779">
        <v>0</v>
      </c>
      <c r="H105" s="782">
        <v>-11000</v>
      </c>
      <c r="I105" s="779">
        <v>0</v>
      </c>
      <c r="J105" s="780">
        <v>12702</v>
      </c>
      <c r="K105" s="781">
        <v>-1.73</v>
      </c>
      <c r="L105" s="771"/>
      <c r="M105" s="785">
        <v>-22000</v>
      </c>
      <c r="N105" s="773">
        <v>0</v>
      </c>
      <c r="O105" s="773">
        <v>0</v>
      </c>
      <c r="P105" s="773"/>
      <c r="Q105" s="773"/>
      <c r="R105" s="773"/>
      <c r="S105" s="773"/>
      <c r="T105" s="773"/>
      <c r="U105" s="773"/>
      <c r="V105" s="772" t="s">
        <v>283</v>
      </c>
      <c r="W105" s="765" t="s">
        <v>283</v>
      </c>
      <c r="X105" s="765" t="s">
        <v>283</v>
      </c>
      <c r="Y105" s="765" t="s">
        <v>283</v>
      </c>
      <c r="Z105" s="765" t="s">
        <v>283</v>
      </c>
      <c r="AA105" s="765" t="s">
        <v>283</v>
      </c>
      <c r="AB105" s="765" t="s">
        <v>283</v>
      </c>
      <c r="AC105" s="765" t="s">
        <v>283</v>
      </c>
      <c r="AD105" s="765" t="s">
        <v>283</v>
      </c>
      <c r="AE105" s="765" t="s">
        <v>283</v>
      </c>
      <c r="AF105" s="765" t="s">
        <v>283</v>
      </c>
      <c r="AG105" s="765" t="s">
        <v>283</v>
      </c>
      <c r="AH105" s="765" t="s">
        <v>283</v>
      </c>
      <c r="AI105" s="765" t="s">
        <v>283</v>
      </c>
      <c r="AJ105" s="765" t="s">
        <v>283</v>
      </c>
      <c r="AK105" s="765" t="s">
        <v>283</v>
      </c>
      <c r="AL105" s="765" t="s">
        <v>283</v>
      </c>
      <c r="AM105" s="765" t="s">
        <v>283</v>
      </c>
      <c r="AN105" s="765" t="s">
        <v>283</v>
      </c>
      <c r="AO105" s="765" t="s">
        <v>283</v>
      </c>
      <c r="AP105" s="765" t="s">
        <v>283</v>
      </c>
      <c r="AQ105" s="765" t="s">
        <v>283</v>
      </c>
      <c r="AR105" s="765" t="s">
        <v>283</v>
      </c>
      <c r="AS105" s="765" t="s">
        <v>283</v>
      </c>
      <c r="AT105" s="765" t="s">
        <v>283</v>
      </c>
    </row>
    <row r="106" spans="1:46" ht="15">
      <c r="A106" s="765" t="s">
        <v>283</v>
      </c>
      <c r="B106" s="769" t="s">
        <v>283</v>
      </c>
      <c r="C106" s="776" t="s">
        <v>741</v>
      </c>
      <c r="D106" s="786">
        <v>0</v>
      </c>
      <c r="E106" s="789">
        <v>-10167</v>
      </c>
      <c r="F106" s="789">
        <v>-39000</v>
      </c>
      <c r="G106" s="786">
        <v>0</v>
      </c>
      <c r="H106" s="789">
        <v>-16500</v>
      </c>
      <c r="I106" s="786">
        <v>0</v>
      </c>
      <c r="J106" s="787">
        <v>16642</v>
      </c>
      <c r="K106" s="788">
        <v>-1.64</v>
      </c>
      <c r="L106" s="790" t="s">
        <v>283</v>
      </c>
      <c r="M106" s="794">
        <v>-22000</v>
      </c>
      <c r="N106" s="791">
        <v>0</v>
      </c>
      <c r="O106" s="791">
        <v>0</v>
      </c>
      <c r="P106" s="794">
        <v>-39000</v>
      </c>
      <c r="Q106" s="791">
        <v>0</v>
      </c>
      <c r="R106" s="791">
        <v>0</v>
      </c>
      <c r="S106" s="791" t="s">
        <v>283</v>
      </c>
      <c r="T106" s="791" t="s">
        <v>283</v>
      </c>
      <c r="U106" s="791" t="s">
        <v>283</v>
      </c>
      <c r="V106" s="772" t="s">
        <v>283</v>
      </c>
      <c r="W106" s="765" t="s">
        <v>283</v>
      </c>
      <c r="X106" s="765" t="s">
        <v>283</v>
      </c>
      <c r="Y106" s="765" t="s">
        <v>283</v>
      </c>
      <c r="Z106" s="765" t="s">
        <v>283</v>
      </c>
      <c r="AA106" s="765" t="s">
        <v>283</v>
      </c>
      <c r="AB106" s="765" t="s">
        <v>283</v>
      </c>
      <c r="AC106" s="765" t="s">
        <v>283</v>
      </c>
      <c r="AD106" s="765" t="s">
        <v>283</v>
      </c>
      <c r="AE106" s="765" t="s">
        <v>283</v>
      </c>
      <c r="AF106" s="765" t="s">
        <v>283</v>
      </c>
      <c r="AG106" s="765" t="s">
        <v>283</v>
      </c>
      <c r="AH106" s="765" t="s">
        <v>283</v>
      </c>
      <c r="AI106" s="765" t="s">
        <v>283</v>
      </c>
      <c r="AJ106" s="765" t="s">
        <v>283</v>
      </c>
      <c r="AK106" s="765" t="s">
        <v>283</v>
      </c>
      <c r="AL106" s="765" t="s">
        <v>283</v>
      </c>
      <c r="AM106" s="765" t="s">
        <v>283</v>
      </c>
      <c r="AN106" s="765" t="s">
        <v>283</v>
      </c>
      <c r="AO106" s="765" t="s">
        <v>283</v>
      </c>
      <c r="AP106" s="765" t="s">
        <v>283</v>
      </c>
      <c r="AQ106" s="765" t="s">
        <v>283</v>
      </c>
      <c r="AR106" s="765" t="s">
        <v>283</v>
      </c>
      <c r="AS106" s="765" t="s">
        <v>283</v>
      </c>
      <c r="AT106" s="765" t="s">
        <v>283</v>
      </c>
    </row>
    <row r="107" spans="1:46" ht="15">
      <c r="A107" s="765" t="s">
        <v>283</v>
      </c>
      <c r="B107" s="769" t="s">
        <v>283</v>
      </c>
      <c r="C107" s="773" t="s">
        <v>742</v>
      </c>
      <c r="D107" s="774" t="s">
        <v>283</v>
      </c>
      <c r="E107" s="774" t="s">
        <v>283</v>
      </c>
      <c r="F107" s="774" t="s">
        <v>283</v>
      </c>
      <c r="G107" s="774" t="s">
        <v>283</v>
      </c>
      <c r="H107" s="774" t="s">
        <v>283</v>
      </c>
      <c r="I107" s="774" t="s">
        <v>283</v>
      </c>
      <c r="J107" s="774" t="s">
        <v>283</v>
      </c>
      <c r="K107" s="774" t="s">
        <v>283</v>
      </c>
      <c r="L107" s="771"/>
      <c r="M107" s="771"/>
      <c r="N107" s="771"/>
      <c r="O107" s="771"/>
      <c r="P107" s="771"/>
      <c r="Q107" s="771"/>
      <c r="R107" s="771"/>
      <c r="S107" s="771"/>
      <c r="T107" s="771"/>
      <c r="U107" s="771"/>
      <c r="V107" s="772" t="s">
        <v>283</v>
      </c>
      <c r="W107" s="765" t="s">
        <v>283</v>
      </c>
      <c r="X107" s="765" t="s">
        <v>283</v>
      </c>
      <c r="Y107" s="765" t="s">
        <v>283</v>
      </c>
      <c r="Z107" s="765" t="s">
        <v>283</v>
      </c>
      <c r="AA107" s="765" t="s">
        <v>283</v>
      </c>
      <c r="AB107" s="765" t="s">
        <v>283</v>
      </c>
      <c r="AC107" s="765" t="s">
        <v>283</v>
      </c>
      <c r="AD107" s="765" t="s">
        <v>283</v>
      </c>
      <c r="AE107" s="765" t="s">
        <v>283</v>
      </c>
      <c r="AF107" s="765" t="s">
        <v>283</v>
      </c>
      <c r="AG107" s="765" t="s">
        <v>283</v>
      </c>
      <c r="AH107" s="765" t="s">
        <v>283</v>
      </c>
      <c r="AI107" s="765" t="s">
        <v>283</v>
      </c>
      <c r="AJ107" s="765" t="s">
        <v>283</v>
      </c>
      <c r="AK107" s="765" t="s">
        <v>283</v>
      </c>
      <c r="AL107" s="765" t="s">
        <v>283</v>
      </c>
      <c r="AM107" s="765" t="s">
        <v>283</v>
      </c>
      <c r="AN107" s="765" t="s">
        <v>283</v>
      </c>
      <c r="AO107" s="765" t="s">
        <v>283</v>
      </c>
      <c r="AP107" s="765" t="s">
        <v>283</v>
      </c>
      <c r="AQ107" s="765" t="s">
        <v>283</v>
      </c>
      <c r="AR107" s="765" t="s">
        <v>283</v>
      </c>
      <c r="AS107" s="765" t="s">
        <v>283</v>
      </c>
      <c r="AT107" s="765" t="s">
        <v>283</v>
      </c>
    </row>
    <row r="108" spans="1:46" ht="15">
      <c r="A108" s="765" t="s">
        <v>283</v>
      </c>
      <c r="B108" s="769" t="s">
        <v>283</v>
      </c>
      <c r="C108" s="773" t="s">
        <v>743</v>
      </c>
      <c r="D108" s="782">
        <v>-34000</v>
      </c>
      <c r="E108" s="782">
        <v>-63571</v>
      </c>
      <c r="F108" s="782">
        <v>-160000</v>
      </c>
      <c r="G108" s="782">
        <v>-17000</v>
      </c>
      <c r="H108" s="782">
        <v>-94000</v>
      </c>
      <c r="I108" s="782">
        <v>-23000</v>
      </c>
      <c r="J108" s="780">
        <v>54613</v>
      </c>
      <c r="K108" s="781">
        <v>-0.86</v>
      </c>
      <c r="L108" s="771"/>
      <c r="M108" s="785">
        <v>-26000</v>
      </c>
      <c r="N108" s="785">
        <v>-34000</v>
      </c>
      <c r="O108" s="785">
        <v>-80000</v>
      </c>
      <c r="P108" s="785">
        <v>-160000</v>
      </c>
      <c r="Q108" s="785">
        <v>-108000</v>
      </c>
      <c r="R108" s="785">
        <v>-17000</v>
      </c>
      <c r="S108" s="785">
        <v>-20000</v>
      </c>
      <c r="T108" s="773"/>
      <c r="U108" s="773"/>
      <c r="V108" s="772" t="s">
        <v>283</v>
      </c>
      <c r="W108" s="765" t="s">
        <v>283</v>
      </c>
      <c r="X108" s="765" t="s">
        <v>283</v>
      </c>
      <c r="Y108" s="765" t="s">
        <v>283</v>
      </c>
      <c r="Z108" s="765" t="s">
        <v>283</v>
      </c>
      <c r="AA108" s="765" t="s">
        <v>283</v>
      </c>
      <c r="AB108" s="765" t="s">
        <v>283</v>
      </c>
      <c r="AC108" s="765" t="s">
        <v>283</v>
      </c>
      <c r="AD108" s="765" t="s">
        <v>283</v>
      </c>
      <c r="AE108" s="765" t="s">
        <v>283</v>
      </c>
      <c r="AF108" s="765" t="s">
        <v>283</v>
      </c>
      <c r="AG108" s="765" t="s">
        <v>283</v>
      </c>
      <c r="AH108" s="765" t="s">
        <v>283</v>
      </c>
      <c r="AI108" s="765" t="s">
        <v>283</v>
      </c>
      <c r="AJ108" s="765" t="s">
        <v>283</v>
      </c>
      <c r="AK108" s="765" t="s">
        <v>283</v>
      </c>
      <c r="AL108" s="765" t="s">
        <v>283</v>
      </c>
      <c r="AM108" s="765" t="s">
        <v>283</v>
      </c>
      <c r="AN108" s="765" t="s">
        <v>283</v>
      </c>
      <c r="AO108" s="765" t="s">
        <v>283</v>
      </c>
      <c r="AP108" s="765" t="s">
        <v>283</v>
      </c>
      <c r="AQ108" s="765" t="s">
        <v>283</v>
      </c>
      <c r="AR108" s="765" t="s">
        <v>283</v>
      </c>
      <c r="AS108" s="765" t="s">
        <v>283</v>
      </c>
      <c r="AT108" s="765" t="s">
        <v>283</v>
      </c>
    </row>
    <row r="109" spans="1:46" ht="15">
      <c r="A109" s="765" t="s">
        <v>283</v>
      </c>
      <c r="B109" s="769" t="s">
        <v>283</v>
      </c>
      <c r="C109" s="776" t="s">
        <v>744</v>
      </c>
      <c r="D109" s="789">
        <v>-34000</v>
      </c>
      <c r="E109" s="789">
        <v>-63571</v>
      </c>
      <c r="F109" s="789">
        <v>-160000</v>
      </c>
      <c r="G109" s="789">
        <v>-17000</v>
      </c>
      <c r="H109" s="789">
        <v>-94000</v>
      </c>
      <c r="I109" s="789">
        <v>-23000</v>
      </c>
      <c r="J109" s="787">
        <v>54613</v>
      </c>
      <c r="K109" s="788">
        <v>-0.86</v>
      </c>
      <c r="L109" s="790" t="s">
        <v>283</v>
      </c>
      <c r="M109" s="794">
        <v>-26000</v>
      </c>
      <c r="N109" s="794">
        <v>-34000</v>
      </c>
      <c r="O109" s="794">
        <v>-80000</v>
      </c>
      <c r="P109" s="794">
        <v>-160000</v>
      </c>
      <c r="Q109" s="794">
        <v>-108000</v>
      </c>
      <c r="R109" s="794">
        <v>-17000</v>
      </c>
      <c r="S109" s="794">
        <v>-20000</v>
      </c>
      <c r="T109" s="791" t="s">
        <v>283</v>
      </c>
      <c r="U109" s="791" t="s">
        <v>283</v>
      </c>
      <c r="V109" s="772" t="s">
        <v>283</v>
      </c>
      <c r="W109" s="765" t="s">
        <v>283</v>
      </c>
      <c r="X109" s="765" t="s">
        <v>283</v>
      </c>
      <c r="Y109" s="765" t="s">
        <v>283</v>
      </c>
      <c r="Z109" s="765" t="s">
        <v>283</v>
      </c>
      <c r="AA109" s="765" t="s">
        <v>283</v>
      </c>
      <c r="AB109" s="765" t="s">
        <v>283</v>
      </c>
      <c r="AC109" s="765" t="s">
        <v>283</v>
      </c>
      <c r="AD109" s="765" t="s">
        <v>283</v>
      </c>
      <c r="AE109" s="765" t="s">
        <v>283</v>
      </c>
      <c r="AF109" s="765" t="s">
        <v>283</v>
      </c>
      <c r="AG109" s="765" t="s">
        <v>283</v>
      </c>
      <c r="AH109" s="765" t="s">
        <v>283</v>
      </c>
      <c r="AI109" s="765" t="s">
        <v>283</v>
      </c>
      <c r="AJ109" s="765" t="s">
        <v>283</v>
      </c>
      <c r="AK109" s="765" t="s">
        <v>283</v>
      </c>
      <c r="AL109" s="765" t="s">
        <v>283</v>
      </c>
      <c r="AM109" s="765" t="s">
        <v>283</v>
      </c>
      <c r="AN109" s="765" t="s">
        <v>283</v>
      </c>
      <c r="AO109" s="765" t="s">
        <v>283</v>
      </c>
      <c r="AP109" s="765" t="s">
        <v>283</v>
      </c>
      <c r="AQ109" s="765" t="s">
        <v>283</v>
      </c>
      <c r="AR109" s="765" t="s">
        <v>283</v>
      </c>
      <c r="AS109" s="765" t="s">
        <v>283</v>
      </c>
      <c r="AT109" s="765" t="s">
        <v>283</v>
      </c>
    </row>
    <row r="110" spans="1:46" ht="15">
      <c r="A110" s="765" t="s">
        <v>283</v>
      </c>
      <c r="B110" s="769" t="s">
        <v>283</v>
      </c>
      <c r="C110" s="773" t="s">
        <v>745</v>
      </c>
      <c r="D110" s="780">
        <v>16000</v>
      </c>
      <c r="E110" s="780">
        <v>18571</v>
      </c>
      <c r="F110" s="780">
        <v>5000</v>
      </c>
      <c r="G110" s="780">
        <v>46000</v>
      </c>
      <c r="H110" s="780">
        <v>7000</v>
      </c>
      <c r="I110" s="780">
        <v>24500</v>
      </c>
      <c r="J110" s="780">
        <v>14627</v>
      </c>
      <c r="K110" s="779">
        <v>0.79</v>
      </c>
      <c r="L110" s="771"/>
      <c r="M110" s="783">
        <v>24000</v>
      </c>
      <c r="N110" s="783">
        <v>25000</v>
      </c>
      <c r="O110" s="783">
        <v>16000</v>
      </c>
      <c r="P110" s="783">
        <v>8000</v>
      </c>
      <c r="Q110" s="783">
        <v>46000</v>
      </c>
      <c r="R110" s="783">
        <v>5000</v>
      </c>
      <c r="S110" s="783">
        <v>6000</v>
      </c>
      <c r="T110" s="773"/>
      <c r="U110" s="773"/>
      <c r="V110" s="772" t="s">
        <v>283</v>
      </c>
      <c r="W110" s="765" t="s">
        <v>283</v>
      </c>
      <c r="X110" s="765" t="s">
        <v>283</v>
      </c>
      <c r="Y110" s="765" t="s">
        <v>283</v>
      </c>
      <c r="Z110" s="765" t="s">
        <v>283</v>
      </c>
      <c r="AA110" s="765" t="s">
        <v>283</v>
      </c>
      <c r="AB110" s="765" t="s">
        <v>283</v>
      </c>
      <c r="AC110" s="765" t="s">
        <v>283</v>
      </c>
      <c r="AD110" s="765" t="s">
        <v>283</v>
      </c>
      <c r="AE110" s="765" t="s">
        <v>283</v>
      </c>
      <c r="AF110" s="765" t="s">
        <v>283</v>
      </c>
      <c r="AG110" s="765" t="s">
        <v>283</v>
      </c>
      <c r="AH110" s="765" t="s">
        <v>283</v>
      </c>
      <c r="AI110" s="765" t="s">
        <v>283</v>
      </c>
      <c r="AJ110" s="765" t="s">
        <v>283</v>
      </c>
      <c r="AK110" s="765" t="s">
        <v>283</v>
      </c>
      <c r="AL110" s="765" t="s">
        <v>283</v>
      </c>
      <c r="AM110" s="765" t="s">
        <v>283</v>
      </c>
      <c r="AN110" s="765" t="s">
        <v>283</v>
      </c>
      <c r="AO110" s="765" t="s">
        <v>283</v>
      </c>
      <c r="AP110" s="765" t="s">
        <v>283</v>
      </c>
      <c r="AQ110" s="765" t="s">
        <v>283</v>
      </c>
      <c r="AR110" s="765" t="s">
        <v>283</v>
      </c>
      <c r="AS110" s="765" t="s">
        <v>283</v>
      </c>
      <c r="AT110" s="765" t="s">
        <v>283</v>
      </c>
    </row>
    <row r="111" spans="1:46" ht="15">
      <c r="A111" s="765" t="s">
        <v>283</v>
      </c>
      <c r="B111" s="769" t="s">
        <v>283</v>
      </c>
      <c r="C111" s="773" t="s">
        <v>746</v>
      </c>
      <c r="D111" s="779">
        <v>0</v>
      </c>
      <c r="E111" s="780">
        <v>637571</v>
      </c>
      <c r="F111" s="782">
        <v>-3000</v>
      </c>
      <c r="G111" s="780">
        <v>4402000</v>
      </c>
      <c r="H111" s="781">
        <v>-500</v>
      </c>
      <c r="I111" s="780">
        <v>32500</v>
      </c>
      <c r="J111" s="780">
        <v>1660060</v>
      </c>
      <c r="K111" s="779">
        <v>2.6</v>
      </c>
      <c r="L111" s="771"/>
      <c r="M111" s="783">
        <v>16000</v>
      </c>
      <c r="N111" s="783">
        <v>49000</v>
      </c>
      <c r="O111" s="785">
        <v>-1000</v>
      </c>
      <c r="P111" s="785">
        <v>-3000</v>
      </c>
      <c r="Q111" s="783">
        <v>4402000</v>
      </c>
      <c r="R111" s="773">
        <v>0</v>
      </c>
      <c r="S111" s="773">
        <v>0</v>
      </c>
      <c r="T111" s="773"/>
      <c r="U111" s="773"/>
      <c r="V111" s="772" t="s">
        <v>283</v>
      </c>
      <c r="W111" s="765" t="s">
        <v>283</v>
      </c>
      <c r="X111" s="765" t="s">
        <v>283</v>
      </c>
      <c r="Y111" s="765" t="s">
        <v>283</v>
      </c>
      <c r="Z111" s="765" t="s">
        <v>283</v>
      </c>
      <c r="AA111" s="765" t="s">
        <v>283</v>
      </c>
      <c r="AB111" s="765" t="s">
        <v>283</v>
      </c>
      <c r="AC111" s="765" t="s">
        <v>283</v>
      </c>
      <c r="AD111" s="765" t="s">
        <v>283</v>
      </c>
      <c r="AE111" s="765" t="s">
        <v>283</v>
      </c>
      <c r="AF111" s="765" t="s">
        <v>283</v>
      </c>
      <c r="AG111" s="765" t="s">
        <v>283</v>
      </c>
      <c r="AH111" s="765" t="s">
        <v>283</v>
      </c>
      <c r="AI111" s="765" t="s">
        <v>283</v>
      </c>
      <c r="AJ111" s="765" t="s">
        <v>283</v>
      </c>
      <c r="AK111" s="765" t="s">
        <v>283</v>
      </c>
      <c r="AL111" s="765" t="s">
        <v>283</v>
      </c>
      <c r="AM111" s="765" t="s">
        <v>283</v>
      </c>
      <c r="AN111" s="765" t="s">
        <v>283</v>
      </c>
      <c r="AO111" s="765" t="s">
        <v>283</v>
      </c>
      <c r="AP111" s="765" t="s">
        <v>283</v>
      </c>
      <c r="AQ111" s="765" t="s">
        <v>283</v>
      </c>
      <c r="AR111" s="765" t="s">
        <v>283</v>
      </c>
      <c r="AS111" s="765" t="s">
        <v>283</v>
      </c>
      <c r="AT111" s="765" t="s">
        <v>283</v>
      </c>
    </row>
    <row r="112" spans="1:46" ht="15">
      <c r="A112" s="765" t="s">
        <v>283</v>
      </c>
      <c r="B112" s="769" t="s">
        <v>283</v>
      </c>
      <c r="C112" s="776" t="s">
        <v>747</v>
      </c>
      <c r="D112" s="787">
        <v>1095000</v>
      </c>
      <c r="E112" s="787">
        <v>1218143</v>
      </c>
      <c r="F112" s="789">
        <v>-1122000</v>
      </c>
      <c r="G112" s="787">
        <v>6566000</v>
      </c>
      <c r="H112" s="789">
        <v>-770500</v>
      </c>
      <c r="I112" s="787">
        <v>1764500</v>
      </c>
      <c r="J112" s="787">
        <v>2666677</v>
      </c>
      <c r="K112" s="786">
        <v>2.19</v>
      </c>
      <c r="L112" s="790" t="s">
        <v>283</v>
      </c>
      <c r="M112" s="792">
        <v>1095000</v>
      </c>
      <c r="N112" s="794">
        <v>-771000</v>
      </c>
      <c r="O112" s="794">
        <v>-770000</v>
      </c>
      <c r="P112" s="794">
        <v>-1122000</v>
      </c>
      <c r="Q112" s="792">
        <v>6566000</v>
      </c>
      <c r="R112" s="792">
        <v>1578000</v>
      </c>
      <c r="S112" s="792">
        <v>1951000</v>
      </c>
      <c r="T112" s="791" t="s">
        <v>283</v>
      </c>
      <c r="U112" s="791" t="s">
        <v>283</v>
      </c>
      <c r="V112" s="772" t="s">
        <v>283</v>
      </c>
      <c r="W112" s="765" t="s">
        <v>283</v>
      </c>
      <c r="X112" s="765" t="s">
        <v>283</v>
      </c>
      <c r="Y112" s="765" t="s">
        <v>283</v>
      </c>
      <c r="Z112" s="765" t="s">
        <v>283</v>
      </c>
      <c r="AA112" s="765" t="s">
        <v>283</v>
      </c>
      <c r="AB112" s="765" t="s">
        <v>283</v>
      </c>
      <c r="AC112" s="765" t="s">
        <v>283</v>
      </c>
      <c r="AD112" s="765" t="s">
        <v>283</v>
      </c>
      <c r="AE112" s="765" t="s">
        <v>283</v>
      </c>
      <c r="AF112" s="765" t="s">
        <v>283</v>
      </c>
      <c r="AG112" s="765" t="s">
        <v>283</v>
      </c>
      <c r="AH112" s="765" t="s">
        <v>283</v>
      </c>
      <c r="AI112" s="765" t="s">
        <v>283</v>
      </c>
      <c r="AJ112" s="765" t="s">
        <v>283</v>
      </c>
      <c r="AK112" s="765" t="s">
        <v>283</v>
      </c>
      <c r="AL112" s="765" t="s">
        <v>283</v>
      </c>
      <c r="AM112" s="765" t="s">
        <v>283</v>
      </c>
      <c r="AN112" s="765" t="s">
        <v>283</v>
      </c>
      <c r="AO112" s="765" t="s">
        <v>283</v>
      </c>
      <c r="AP112" s="765" t="s">
        <v>283</v>
      </c>
      <c r="AQ112" s="765" t="s">
        <v>283</v>
      </c>
      <c r="AR112" s="765" t="s">
        <v>283</v>
      </c>
      <c r="AS112" s="765" t="s">
        <v>283</v>
      </c>
      <c r="AT112" s="765" t="s">
        <v>283</v>
      </c>
    </row>
    <row r="113" spans="1:46" ht="15">
      <c r="A113" s="765" t="s">
        <v>283</v>
      </c>
      <c r="B113" s="769" t="s">
        <v>283</v>
      </c>
      <c r="C113" s="776" t="s">
        <v>748</v>
      </c>
      <c r="D113" s="787">
        <v>396320</v>
      </c>
      <c r="E113" s="787">
        <v>998485</v>
      </c>
      <c r="F113" s="789">
        <v>-1122000</v>
      </c>
      <c r="G113" s="787">
        <v>6566000</v>
      </c>
      <c r="H113" s="789">
        <v>-770000</v>
      </c>
      <c r="I113" s="787">
        <v>1578000</v>
      </c>
      <c r="J113" s="787">
        <v>2351659</v>
      </c>
      <c r="K113" s="786">
        <v>2.36</v>
      </c>
      <c r="L113" s="790" t="s">
        <v>283</v>
      </c>
      <c r="M113" s="792">
        <v>1095000</v>
      </c>
      <c r="N113" s="794">
        <v>-771000</v>
      </c>
      <c r="O113" s="794">
        <v>-770000</v>
      </c>
      <c r="P113" s="794">
        <v>-1122000</v>
      </c>
      <c r="Q113" s="792">
        <v>6566000</v>
      </c>
      <c r="R113" s="792">
        <v>1578000</v>
      </c>
      <c r="S113" s="792">
        <v>1951000</v>
      </c>
      <c r="T113" s="792">
        <v>396320</v>
      </c>
      <c r="U113" s="792">
        <v>63041</v>
      </c>
      <c r="V113" s="772" t="s">
        <v>283</v>
      </c>
      <c r="W113" s="765" t="s">
        <v>283</v>
      </c>
      <c r="X113" s="765" t="s">
        <v>283</v>
      </c>
      <c r="Y113" s="765" t="s">
        <v>283</v>
      </c>
      <c r="Z113" s="765" t="s">
        <v>283</v>
      </c>
      <c r="AA113" s="765" t="s">
        <v>283</v>
      </c>
      <c r="AB113" s="765" t="s">
        <v>283</v>
      </c>
      <c r="AC113" s="765" t="s">
        <v>283</v>
      </c>
      <c r="AD113" s="765" t="s">
        <v>283</v>
      </c>
      <c r="AE113" s="765" t="s">
        <v>283</v>
      </c>
      <c r="AF113" s="765" t="s">
        <v>283</v>
      </c>
      <c r="AG113" s="765" t="s">
        <v>283</v>
      </c>
      <c r="AH113" s="765" t="s">
        <v>283</v>
      </c>
      <c r="AI113" s="765" t="s">
        <v>283</v>
      </c>
      <c r="AJ113" s="765" t="s">
        <v>283</v>
      </c>
      <c r="AK113" s="765" t="s">
        <v>283</v>
      </c>
      <c r="AL113" s="765" t="s">
        <v>283</v>
      </c>
      <c r="AM113" s="765" t="s">
        <v>283</v>
      </c>
      <c r="AN113" s="765" t="s">
        <v>283</v>
      </c>
      <c r="AO113" s="765" t="s">
        <v>283</v>
      </c>
      <c r="AP113" s="765" t="s">
        <v>283</v>
      </c>
      <c r="AQ113" s="765" t="s">
        <v>283</v>
      </c>
      <c r="AR113" s="765" t="s">
        <v>283</v>
      </c>
      <c r="AS113" s="765" t="s">
        <v>283</v>
      </c>
      <c r="AT113" s="765" t="s">
        <v>283</v>
      </c>
    </row>
    <row r="114" spans="1:46" ht="15">
      <c r="A114" s="765" t="s">
        <v>283</v>
      </c>
      <c r="B114" s="769" t="s">
        <v>283</v>
      </c>
      <c r="C114" s="778" t="s">
        <v>749</v>
      </c>
      <c r="D114" s="774" t="s">
        <v>283</v>
      </c>
      <c r="E114" s="774" t="s">
        <v>283</v>
      </c>
      <c r="F114" s="774" t="s">
        <v>283</v>
      </c>
      <c r="G114" s="774" t="s">
        <v>283</v>
      </c>
      <c r="H114" s="774" t="s">
        <v>283</v>
      </c>
      <c r="I114" s="774" t="s">
        <v>283</v>
      </c>
      <c r="J114" s="774" t="s">
        <v>283</v>
      </c>
      <c r="K114" s="774" t="s">
        <v>283</v>
      </c>
      <c r="L114" s="774" t="s">
        <v>283</v>
      </c>
      <c r="M114" s="774" t="s">
        <v>283</v>
      </c>
      <c r="N114" s="774" t="s">
        <v>283</v>
      </c>
      <c r="O114" s="774" t="s">
        <v>283</v>
      </c>
      <c r="P114" s="774" t="s">
        <v>283</v>
      </c>
      <c r="Q114" s="774" t="s">
        <v>283</v>
      </c>
      <c r="R114" s="774" t="s">
        <v>283</v>
      </c>
      <c r="S114" s="774" t="s">
        <v>283</v>
      </c>
      <c r="T114" s="774" t="s">
        <v>283</v>
      </c>
      <c r="U114" s="774" t="s">
        <v>283</v>
      </c>
      <c r="V114" s="772" t="s">
        <v>283</v>
      </c>
      <c r="W114" s="765" t="s">
        <v>283</v>
      </c>
      <c r="X114" s="765" t="s">
        <v>283</v>
      </c>
      <c r="Y114" s="765" t="s">
        <v>283</v>
      </c>
      <c r="Z114" s="765" t="s">
        <v>283</v>
      </c>
      <c r="AA114" s="765" t="s">
        <v>283</v>
      </c>
      <c r="AB114" s="765" t="s">
        <v>283</v>
      </c>
      <c r="AC114" s="765" t="s">
        <v>283</v>
      </c>
      <c r="AD114" s="765" t="s">
        <v>283</v>
      </c>
      <c r="AE114" s="765" t="s">
        <v>283</v>
      </c>
      <c r="AF114" s="765" t="s">
        <v>283</v>
      </c>
      <c r="AG114" s="765" t="s">
        <v>283</v>
      </c>
      <c r="AH114" s="765" t="s">
        <v>283</v>
      </c>
      <c r="AI114" s="765" t="s">
        <v>283</v>
      </c>
      <c r="AJ114" s="765" t="s">
        <v>283</v>
      </c>
      <c r="AK114" s="765" t="s">
        <v>283</v>
      </c>
      <c r="AL114" s="765" t="s">
        <v>283</v>
      </c>
      <c r="AM114" s="765" t="s">
        <v>283</v>
      </c>
      <c r="AN114" s="765" t="s">
        <v>283</v>
      </c>
      <c r="AO114" s="765" t="s">
        <v>283</v>
      </c>
      <c r="AP114" s="765" t="s">
        <v>283</v>
      </c>
      <c r="AQ114" s="765" t="s">
        <v>283</v>
      </c>
      <c r="AR114" s="765" t="s">
        <v>283</v>
      </c>
      <c r="AS114" s="765" t="s">
        <v>283</v>
      </c>
      <c r="AT114" s="765" t="s">
        <v>283</v>
      </c>
    </row>
    <row r="115" spans="1:46" ht="15">
      <c r="A115" s="765" t="s">
        <v>283</v>
      </c>
      <c r="B115" s="769" t="s">
        <v>283</v>
      </c>
      <c r="C115" s="773" t="s">
        <v>750</v>
      </c>
      <c r="D115" s="780">
        <v>392000</v>
      </c>
      <c r="E115" s="780">
        <v>311571</v>
      </c>
      <c r="F115" s="782">
        <v>-2982000</v>
      </c>
      <c r="G115" s="780">
        <v>2855000</v>
      </c>
      <c r="H115" s="780">
        <v>41000</v>
      </c>
      <c r="I115" s="780">
        <v>917000</v>
      </c>
      <c r="J115" s="780">
        <v>1752207</v>
      </c>
      <c r="K115" s="779">
        <v>5.62</v>
      </c>
      <c r="L115" s="771"/>
      <c r="M115" s="783">
        <v>392000</v>
      </c>
      <c r="N115" s="785">
        <v>-150000</v>
      </c>
      <c r="O115" s="783">
        <v>1187000</v>
      </c>
      <c r="P115" s="785">
        <v>-2982000</v>
      </c>
      <c r="Q115" s="783">
        <v>2855000</v>
      </c>
      <c r="R115" s="783">
        <v>647000</v>
      </c>
      <c r="S115" s="783">
        <v>232000</v>
      </c>
      <c r="T115" s="773"/>
      <c r="U115" s="773"/>
      <c r="V115" s="772" t="s">
        <v>283</v>
      </c>
      <c r="W115" s="765" t="s">
        <v>283</v>
      </c>
      <c r="X115" s="765" t="s">
        <v>283</v>
      </c>
      <c r="Y115" s="765" t="s">
        <v>283</v>
      </c>
      <c r="Z115" s="765" t="s">
        <v>283</v>
      </c>
      <c r="AA115" s="765" t="s">
        <v>283</v>
      </c>
      <c r="AB115" s="765" t="s">
        <v>283</v>
      </c>
      <c r="AC115" s="765" t="s">
        <v>283</v>
      </c>
      <c r="AD115" s="765" t="s">
        <v>283</v>
      </c>
      <c r="AE115" s="765" t="s">
        <v>283</v>
      </c>
      <c r="AF115" s="765" t="s">
        <v>283</v>
      </c>
      <c r="AG115" s="765" t="s">
        <v>283</v>
      </c>
      <c r="AH115" s="765" t="s">
        <v>283</v>
      </c>
      <c r="AI115" s="765" t="s">
        <v>283</v>
      </c>
      <c r="AJ115" s="765" t="s">
        <v>283</v>
      </c>
      <c r="AK115" s="765" t="s">
        <v>283</v>
      </c>
      <c r="AL115" s="765" t="s">
        <v>283</v>
      </c>
      <c r="AM115" s="765" t="s">
        <v>283</v>
      </c>
      <c r="AN115" s="765" t="s">
        <v>283</v>
      </c>
      <c r="AO115" s="765" t="s">
        <v>283</v>
      </c>
      <c r="AP115" s="765" t="s">
        <v>283</v>
      </c>
      <c r="AQ115" s="765" t="s">
        <v>283</v>
      </c>
      <c r="AR115" s="765" t="s">
        <v>283</v>
      </c>
      <c r="AS115" s="765" t="s">
        <v>283</v>
      </c>
      <c r="AT115" s="765" t="s">
        <v>283</v>
      </c>
    </row>
    <row r="116" spans="1:46" ht="15">
      <c r="A116" s="765" t="s">
        <v>283</v>
      </c>
      <c r="B116" s="769" t="s">
        <v>283</v>
      </c>
      <c r="C116" s="773" t="s">
        <v>751</v>
      </c>
      <c r="D116" s="782">
        <v>-1000</v>
      </c>
      <c r="E116" s="782">
        <v>-2143</v>
      </c>
      <c r="F116" s="782">
        <v>-57000</v>
      </c>
      <c r="G116" s="780">
        <v>77000</v>
      </c>
      <c r="H116" s="782">
        <v>-30500</v>
      </c>
      <c r="I116" s="780">
        <v>13500</v>
      </c>
      <c r="J116" s="780">
        <v>43705</v>
      </c>
      <c r="K116" s="781">
        <v>-20.399999999999999</v>
      </c>
      <c r="L116" s="771"/>
      <c r="M116" s="783">
        <v>77000</v>
      </c>
      <c r="N116" s="785">
        <v>-24000</v>
      </c>
      <c r="O116" s="785">
        <v>-1000</v>
      </c>
      <c r="P116" s="785">
        <v>-57000</v>
      </c>
      <c r="Q116" s="785">
        <v>-37000</v>
      </c>
      <c r="R116" s="783">
        <v>15000</v>
      </c>
      <c r="S116" s="783">
        <v>12000</v>
      </c>
      <c r="T116" s="773"/>
      <c r="U116" s="773"/>
      <c r="V116" s="772" t="s">
        <v>283</v>
      </c>
      <c r="W116" s="765" t="s">
        <v>283</v>
      </c>
      <c r="X116" s="765" t="s">
        <v>283</v>
      </c>
      <c r="Y116" s="765" t="s">
        <v>283</v>
      </c>
      <c r="Z116" s="765" t="s">
        <v>283</v>
      </c>
      <c r="AA116" s="765" t="s">
        <v>283</v>
      </c>
      <c r="AB116" s="765" t="s">
        <v>283</v>
      </c>
      <c r="AC116" s="765" t="s">
        <v>283</v>
      </c>
      <c r="AD116" s="765" t="s">
        <v>283</v>
      </c>
      <c r="AE116" s="765" t="s">
        <v>283</v>
      </c>
      <c r="AF116" s="765" t="s">
        <v>283</v>
      </c>
      <c r="AG116" s="765" t="s">
        <v>283</v>
      </c>
      <c r="AH116" s="765" t="s">
        <v>283</v>
      </c>
      <c r="AI116" s="765" t="s">
        <v>283</v>
      </c>
      <c r="AJ116" s="765" t="s">
        <v>283</v>
      </c>
      <c r="AK116" s="765" t="s">
        <v>283</v>
      </c>
      <c r="AL116" s="765" t="s">
        <v>283</v>
      </c>
      <c r="AM116" s="765" t="s">
        <v>283</v>
      </c>
      <c r="AN116" s="765" t="s">
        <v>283</v>
      </c>
      <c r="AO116" s="765" t="s">
        <v>283</v>
      </c>
      <c r="AP116" s="765" t="s">
        <v>283</v>
      </c>
      <c r="AQ116" s="765" t="s">
        <v>283</v>
      </c>
      <c r="AR116" s="765" t="s">
        <v>283</v>
      </c>
      <c r="AS116" s="765" t="s">
        <v>283</v>
      </c>
      <c r="AT116" s="765" t="s">
        <v>283</v>
      </c>
    </row>
    <row r="117" spans="1:46" ht="15">
      <c r="A117" s="765" t="s">
        <v>283</v>
      </c>
      <c r="B117" s="769" t="s">
        <v>283</v>
      </c>
      <c r="C117" s="773" t="s">
        <v>752</v>
      </c>
      <c r="D117" s="780">
        <v>2173000</v>
      </c>
      <c r="E117" s="780">
        <v>2551000</v>
      </c>
      <c r="F117" s="780">
        <v>1128000</v>
      </c>
      <c r="G117" s="780">
        <v>4991000</v>
      </c>
      <c r="H117" s="780">
        <v>1731500</v>
      </c>
      <c r="I117" s="780">
        <v>3051000</v>
      </c>
      <c r="J117" s="780">
        <v>1295952</v>
      </c>
      <c r="K117" s="779">
        <v>0.51</v>
      </c>
      <c r="L117" s="771"/>
      <c r="M117" s="783">
        <v>2964000</v>
      </c>
      <c r="N117" s="783">
        <v>3138000</v>
      </c>
      <c r="O117" s="783">
        <v>1952000</v>
      </c>
      <c r="P117" s="783">
        <v>4991000</v>
      </c>
      <c r="Q117" s="783">
        <v>2173000</v>
      </c>
      <c r="R117" s="783">
        <v>1511000</v>
      </c>
      <c r="S117" s="783">
        <v>1128000</v>
      </c>
      <c r="T117" s="773"/>
      <c r="U117" s="773"/>
      <c r="V117" s="772" t="s">
        <v>283</v>
      </c>
      <c r="W117" s="765" t="s">
        <v>283</v>
      </c>
      <c r="X117" s="765" t="s">
        <v>283</v>
      </c>
      <c r="Y117" s="765" t="s">
        <v>283</v>
      </c>
      <c r="Z117" s="765" t="s">
        <v>283</v>
      </c>
      <c r="AA117" s="765" t="s">
        <v>283</v>
      </c>
      <c r="AB117" s="765" t="s">
        <v>283</v>
      </c>
      <c r="AC117" s="765" t="s">
        <v>283</v>
      </c>
      <c r="AD117" s="765" t="s">
        <v>283</v>
      </c>
      <c r="AE117" s="765" t="s">
        <v>283</v>
      </c>
      <c r="AF117" s="765" t="s">
        <v>283</v>
      </c>
      <c r="AG117" s="765" t="s">
        <v>283</v>
      </c>
      <c r="AH117" s="765" t="s">
        <v>283</v>
      </c>
      <c r="AI117" s="765" t="s">
        <v>283</v>
      </c>
      <c r="AJ117" s="765" t="s">
        <v>283</v>
      </c>
      <c r="AK117" s="765" t="s">
        <v>283</v>
      </c>
      <c r="AL117" s="765" t="s">
        <v>283</v>
      </c>
      <c r="AM117" s="765" t="s">
        <v>283</v>
      </c>
      <c r="AN117" s="765" t="s">
        <v>283</v>
      </c>
      <c r="AO117" s="765" t="s">
        <v>283</v>
      </c>
      <c r="AP117" s="765" t="s">
        <v>283</v>
      </c>
      <c r="AQ117" s="765" t="s">
        <v>283</v>
      </c>
      <c r="AR117" s="765" t="s">
        <v>283</v>
      </c>
      <c r="AS117" s="765" t="s">
        <v>283</v>
      </c>
      <c r="AT117" s="765" t="s">
        <v>283</v>
      </c>
    </row>
    <row r="118" spans="1:46" ht="15">
      <c r="A118" s="765" t="s">
        <v>283</v>
      </c>
      <c r="B118" s="769" t="s">
        <v>283</v>
      </c>
      <c r="C118" s="776" t="s">
        <v>753</v>
      </c>
      <c r="D118" s="787">
        <v>2964000</v>
      </c>
      <c r="E118" s="787">
        <v>2860429</v>
      </c>
      <c r="F118" s="787">
        <v>1372000</v>
      </c>
      <c r="G118" s="787">
        <v>4991000</v>
      </c>
      <c r="H118" s="787">
        <v>2062500</v>
      </c>
      <c r="I118" s="787">
        <v>3285500</v>
      </c>
      <c r="J118" s="787">
        <v>1188007</v>
      </c>
      <c r="K118" s="786">
        <v>0.42</v>
      </c>
      <c r="L118" s="790" t="s">
        <v>283</v>
      </c>
      <c r="M118" s="792">
        <v>3433000</v>
      </c>
      <c r="N118" s="792">
        <v>2964000</v>
      </c>
      <c r="O118" s="792">
        <v>3138000</v>
      </c>
      <c r="P118" s="792">
        <v>1952000</v>
      </c>
      <c r="Q118" s="792">
        <v>4991000</v>
      </c>
      <c r="R118" s="792">
        <v>2173000</v>
      </c>
      <c r="S118" s="792">
        <v>1372000</v>
      </c>
      <c r="T118" s="791" t="s">
        <v>283</v>
      </c>
      <c r="U118" s="791" t="s">
        <v>283</v>
      </c>
      <c r="V118" s="772" t="s">
        <v>283</v>
      </c>
      <c r="W118" s="765" t="s">
        <v>283</v>
      </c>
      <c r="X118" s="765" t="s">
        <v>283</v>
      </c>
      <c r="Y118" s="765" t="s">
        <v>283</v>
      </c>
      <c r="Z118" s="765" t="s">
        <v>283</v>
      </c>
      <c r="AA118" s="765" t="s">
        <v>283</v>
      </c>
      <c r="AB118" s="765" t="s">
        <v>283</v>
      </c>
      <c r="AC118" s="765" t="s">
        <v>283</v>
      </c>
      <c r="AD118" s="765" t="s">
        <v>283</v>
      </c>
      <c r="AE118" s="765" t="s">
        <v>283</v>
      </c>
      <c r="AF118" s="765" t="s">
        <v>283</v>
      </c>
      <c r="AG118" s="765" t="s">
        <v>283</v>
      </c>
      <c r="AH118" s="765" t="s">
        <v>283</v>
      </c>
      <c r="AI118" s="765" t="s">
        <v>283</v>
      </c>
      <c r="AJ118" s="765" t="s">
        <v>283</v>
      </c>
      <c r="AK118" s="765" t="s">
        <v>283</v>
      </c>
      <c r="AL118" s="765" t="s">
        <v>283</v>
      </c>
      <c r="AM118" s="765" t="s">
        <v>283</v>
      </c>
      <c r="AN118" s="765" t="s">
        <v>283</v>
      </c>
      <c r="AO118" s="765" t="s">
        <v>283</v>
      </c>
      <c r="AP118" s="765" t="s">
        <v>283</v>
      </c>
      <c r="AQ118" s="765" t="s">
        <v>283</v>
      </c>
      <c r="AR118" s="765" t="s">
        <v>283</v>
      </c>
      <c r="AS118" s="765" t="s">
        <v>283</v>
      </c>
      <c r="AT118" s="765" t="s">
        <v>283</v>
      </c>
    </row>
    <row r="119" spans="1:46" ht="15">
      <c r="A119" s="765" t="s">
        <v>283</v>
      </c>
      <c r="B119" s="769" t="s">
        <v>283</v>
      </c>
      <c r="C119" s="778" t="s">
        <v>754</v>
      </c>
      <c r="D119" s="774" t="s">
        <v>283</v>
      </c>
      <c r="E119" s="774" t="s">
        <v>283</v>
      </c>
      <c r="F119" s="774" t="s">
        <v>283</v>
      </c>
      <c r="G119" s="774" t="s">
        <v>283</v>
      </c>
      <c r="H119" s="774" t="s">
        <v>283</v>
      </c>
      <c r="I119" s="774" t="s">
        <v>283</v>
      </c>
      <c r="J119" s="774" t="s">
        <v>283</v>
      </c>
      <c r="K119" s="774" t="s">
        <v>283</v>
      </c>
      <c r="L119" s="774" t="s">
        <v>283</v>
      </c>
      <c r="M119" s="774" t="s">
        <v>283</v>
      </c>
      <c r="N119" s="774" t="s">
        <v>283</v>
      </c>
      <c r="O119" s="774" t="s">
        <v>283</v>
      </c>
      <c r="P119" s="774" t="s">
        <v>283</v>
      </c>
      <c r="Q119" s="774" t="s">
        <v>283</v>
      </c>
      <c r="R119" s="774" t="s">
        <v>283</v>
      </c>
      <c r="S119" s="774" t="s">
        <v>283</v>
      </c>
      <c r="T119" s="774" t="s">
        <v>283</v>
      </c>
      <c r="U119" s="774" t="s">
        <v>283</v>
      </c>
      <c r="V119" s="772" t="s">
        <v>283</v>
      </c>
      <c r="W119" s="765" t="s">
        <v>283</v>
      </c>
      <c r="X119" s="765" t="s">
        <v>283</v>
      </c>
      <c r="Y119" s="765" t="s">
        <v>283</v>
      </c>
      <c r="Z119" s="765" t="s">
        <v>283</v>
      </c>
      <c r="AA119" s="765" t="s">
        <v>283</v>
      </c>
      <c r="AB119" s="765" t="s">
        <v>283</v>
      </c>
      <c r="AC119" s="765" t="s">
        <v>283</v>
      </c>
      <c r="AD119" s="765" t="s">
        <v>283</v>
      </c>
      <c r="AE119" s="765" t="s">
        <v>283</v>
      </c>
      <c r="AF119" s="765" t="s">
        <v>283</v>
      </c>
      <c r="AG119" s="765" t="s">
        <v>283</v>
      </c>
      <c r="AH119" s="765" t="s">
        <v>283</v>
      </c>
      <c r="AI119" s="765" t="s">
        <v>283</v>
      </c>
      <c r="AJ119" s="765" t="s">
        <v>283</v>
      </c>
      <c r="AK119" s="765" t="s">
        <v>283</v>
      </c>
      <c r="AL119" s="765" t="s">
        <v>283</v>
      </c>
      <c r="AM119" s="765" t="s">
        <v>283</v>
      </c>
      <c r="AN119" s="765" t="s">
        <v>283</v>
      </c>
      <c r="AO119" s="765" t="s">
        <v>283</v>
      </c>
      <c r="AP119" s="765" t="s">
        <v>283</v>
      </c>
      <c r="AQ119" s="765" t="s">
        <v>283</v>
      </c>
      <c r="AR119" s="765" t="s">
        <v>283</v>
      </c>
      <c r="AS119" s="765" t="s">
        <v>283</v>
      </c>
      <c r="AT119" s="765" t="s">
        <v>283</v>
      </c>
    </row>
    <row r="120" spans="1:46" ht="15">
      <c r="A120" s="765" t="s">
        <v>283</v>
      </c>
      <c r="B120" s="769" t="s">
        <v>283</v>
      </c>
      <c r="C120" s="773" t="s">
        <v>755</v>
      </c>
      <c r="D120" s="780">
        <v>392000</v>
      </c>
      <c r="E120" s="780">
        <v>311571</v>
      </c>
      <c r="F120" s="782">
        <v>-2982000</v>
      </c>
      <c r="G120" s="780">
        <v>2855000</v>
      </c>
      <c r="H120" s="780">
        <v>41000</v>
      </c>
      <c r="I120" s="780">
        <v>917000</v>
      </c>
      <c r="J120" s="780">
        <v>1752207</v>
      </c>
      <c r="K120" s="779">
        <v>5.62</v>
      </c>
      <c r="L120" s="771"/>
      <c r="M120" s="783">
        <v>392000</v>
      </c>
      <c r="N120" s="785">
        <v>-150000</v>
      </c>
      <c r="O120" s="783">
        <v>1187000</v>
      </c>
      <c r="P120" s="785">
        <v>-2982000</v>
      </c>
      <c r="Q120" s="783">
        <v>2855000</v>
      </c>
      <c r="R120" s="783">
        <v>647000</v>
      </c>
      <c r="S120" s="783">
        <v>232000</v>
      </c>
      <c r="T120" s="773"/>
      <c r="U120" s="773"/>
      <c r="V120" s="772" t="s">
        <v>283</v>
      </c>
      <c r="W120" s="765" t="s">
        <v>283</v>
      </c>
      <c r="X120" s="765" t="s">
        <v>283</v>
      </c>
      <c r="Y120" s="765" t="s">
        <v>283</v>
      </c>
      <c r="Z120" s="765" t="s">
        <v>283</v>
      </c>
      <c r="AA120" s="765" t="s">
        <v>283</v>
      </c>
      <c r="AB120" s="765" t="s">
        <v>283</v>
      </c>
      <c r="AC120" s="765" t="s">
        <v>283</v>
      </c>
      <c r="AD120" s="765" t="s">
        <v>283</v>
      </c>
      <c r="AE120" s="765" t="s">
        <v>283</v>
      </c>
      <c r="AF120" s="765" t="s">
        <v>283</v>
      </c>
      <c r="AG120" s="765" t="s">
        <v>283</v>
      </c>
      <c r="AH120" s="765" t="s">
        <v>283</v>
      </c>
      <c r="AI120" s="765" t="s">
        <v>283</v>
      </c>
      <c r="AJ120" s="765" t="s">
        <v>283</v>
      </c>
      <c r="AK120" s="765" t="s">
        <v>283</v>
      </c>
      <c r="AL120" s="765" t="s">
        <v>283</v>
      </c>
      <c r="AM120" s="765" t="s">
        <v>283</v>
      </c>
      <c r="AN120" s="765" t="s">
        <v>283</v>
      </c>
      <c r="AO120" s="765" t="s">
        <v>283</v>
      </c>
      <c r="AP120" s="765" t="s">
        <v>283</v>
      </c>
      <c r="AQ120" s="765" t="s">
        <v>283</v>
      </c>
      <c r="AR120" s="765" t="s">
        <v>283</v>
      </c>
      <c r="AS120" s="765" t="s">
        <v>283</v>
      </c>
      <c r="AT120" s="765" t="s">
        <v>283</v>
      </c>
    </row>
    <row r="121" spans="1:46" ht="15">
      <c r="A121" s="765" t="s">
        <v>283</v>
      </c>
      <c r="B121" s="769" t="s">
        <v>283</v>
      </c>
      <c r="C121" s="778" t="s">
        <v>756</v>
      </c>
      <c r="D121" s="774" t="s">
        <v>283</v>
      </c>
      <c r="E121" s="774" t="s">
        <v>283</v>
      </c>
      <c r="F121" s="774" t="s">
        <v>283</v>
      </c>
      <c r="G121" s="774" t="s">
        <v>283</v>
      </c>
      <c r="H121" s="774" t="s">
        <v>283</v>
      </c>
      <c r="I121" s="774" t="s">
        <v>283</v>
      </c>
      <c r="J121" s="774" t="s">
        <v>283</v>
      </c>
      <c r="K121" s="774" t="s">
        <v>283</v>
      </c>
      <c r="L121" s="774" t="s">
        <v>283</v>
      </c>
      <c r="M121" s="774" t="s">
        <v>283</v>
      </c>
      <c r="N121" s="774" t="s">
        <v>283</v>
      </c>
      <c r="O121" s="774" t="s">
        <v>283</v>
      </c>
      <c r="P121" s="774" t="s">
        <v>283</v>
      </c>
      <c r="Q121" s="774" t="s">
        <v>283</v>
      </c>
      <c r="R121" s="774" t="s">
        <v>283</v>
      </c>
      <c r="S121" s="774" t="s">
        <v>283</v>
      </c>
      <c r="T121" s="774" t="s">
        <v>283</v>
      </c>
      <c r="U121" s="774" t="s">
        <v>283</v>
      </c>
      <c r="V121" s="772" t="s">
        <v>283</v>
      </c>
      <c r="W121" s="765" t="s">
        <v>283</v>
      </c>
      <c r="X121" s="765" t="s">
        <v>283</v>
      </c>
      <c r="Y121" s="765" t="s">
        <v>283</v>
      </c>
      <c r="Z121" s="765" t="s">
        <v>283</v>
      </c>
      <c r="AA121" s="765" t="s">
        <v>283</v>
      </c>
      <c r="AB121" s="765" t="s">
        <v>283</v>
      </c>
      <c r="AC121" s="765" t="s">
        <v>283</v>
      </c>
      <c r="AD121" s="765" t="s">
        <v>283</v>
      </c>
      <c r="AE121" s="765" t="s">
        <v>283</v>
      </c>
      <c r="AF121" s="765" t="s">
        <v>283</v>
      </c>
      <c r="AG121" s="765" t="s">
        <v>283</v>
      </c>
      <c r="AH121" s="765" t="s">
        <v>283</v>
      </c>
      <c r="AI121" s="765" t="s">
        <v>283</v>
      </c>
      <c r="AJ121" s="765" t="s">
        <v>283</v>
      </c>
      <c r="AK121" s="765" t="s">
        <v>283</v>
      </c>
      <c r="AL121" s="765" t="s">
        <v>283</v>
      </c>
      <c r="AM121" s="765" t="s">
        <v>283</v>
      </c>
      <c r="AN121" s="765" t="s">
        <v>283</v>
      </c>
      <c r="AO121" s="765" t="s">
        <v>283</v>
      </c>
      <c r="AP121" s="765" t="s">
        <v>283</v>
      </c>
      <c r="AQ121" s="765" t="s">
        <v>283</v>
      </c>
      <c r="AR121" s="765" t="s">
        <v>283</v>
      </c>
      <c r="AS121" s="765" t="s">
        <v>283</v>
      </c>
      <c r="AT121" s="765" t="s">
        <v>283</v>
      </c>
    </row>
    <row r="122" spans="1:46" ht="15">
      <c r="A122" s="765" t="s">
        <v>283</v>
      </c>
      <c r="B122" s="769" t="s">
        <v>283</v>
      </c>
      <c r="C122" s="773" t="s">
        <v>757</v>
      </c>
      <c r="D122" s="782">
        <v>-13479</v>
      </c>
      <c r="E122" s="782">
        <v>-67722</v>
      </c>
      <c r="F122" s="782">
        <v>-1327000</v>
      </c>
      <c r="G122" s="780">
        <v>698000</v>
      </c>
      <c r="H122" s="782">
        <v>-251811</v>
      </c>
      <c r="I122" s="780">
        <v>413788</v>
      </c>
      <c r="J122" s="780">
        <v>674197</v>
      </c>
      <c r="K122" s="781">
        <v>-9.9600000000000009</v>
      </c>
      <c r="L122" s="771"/>
      <c r="M122" s="783">
        <v>413788</v>
      </c>
      <c r="N122" s="783">
        <v>183000</v>
      </c>
      <c r="O122" s="785">
        <v>-126000</v>
      </c>
      <c r="P122" s="785">
        <v>-844000</v>
      </c>
      <c r="Q122" s="783">
        <v>698000</v>
      </c>
      <c r="R122" s="783">
        <v>658000</v>
      </c>
      <c r="S122" s="785">
        <v>-1327000</v>
      </c>
      <c r="T122" s="785">
        <v>-251811</v>
      </c>
      <c r="U122" s="785">
        <v>-13479</v>
      </c>
      <c r="V122" s="772" t="s">
        <v>283</v>
      </c>
      <c r="W122" s="765" t="s">
        <v>283</v>
      </c>
      <c r="X122" s="765" t="s">
        <v>283</v>
      </c>
      <c r="Y122" s="765" t="s">
        <v>283</v>
      </c>
      <c r="Z122" s="765" t="s">
        <v>283</v>
      </c>
      <c r="AA122" s="765" t="s">
        <v>283</v>
      </c>
      <c r="AB122" s="765" t="s">
        <v>283</v>
      </c>
      <c r="AC122" s="765" t="s">
        <v>283</v>
      </c>
      <c r="AD122" s="765" t="s">
        <v>283</v>
      </c>
      <c r="AE122" s="765" t="s">
        <v>283</v>
      </c>
      <c r="AF122" s="765" t="s">
        <v>283</v>
      </c>
      <c r="AG122" s="765" t="s">
        <v>283</v>
      </c>
      <c r="AH122" s="765" t="s">
        <v>283</v>
      </c>
      <c r="AI122" s="765" t="s">
        <v>283</v>
      </c>
      <c r="AJ122" s="765" t="s">
        <v>283</v>
      </c>
      <c r="AK122" s="765" t="s">
        <v>283</v>
      </c>
      <c r="AL122" s="765" t="s">
        <v>283</v>
      </c>
      <c r="AM122" s="765" t="s">
        <v>283</v>
      </c>
      <c r="AN122" s="765" t="s">
        <v>283</v>
      </c>
      <c r="AO122" s="765" t="s">
        <v>283</v>
      </c>
      <c r="AP122" s="765" t="s">
        <v>283</v>
      </c>
      <c r="AQ122" s="765" t="s">
        <v>283</v>
      </c>
      <c r="AR122" s="765" t="s">
        <v>283</v>
      </c>
      <c r="AS122" s="765" t="s">
        <v>283</v>
      </c>
      <c r="AT122" s="765" t="s">
        <v>283</v>
      </c>
    </row>
    <row r="123" spans="1:46" ht="15">
      <c r="A123" s="765" t="s">
        <v>283</v>
      </c>
      <c r="B123" s="769" t="s">
        <v>283</v>
      </c>
      <c r="C123" s="773" t="s">
        <v>758</v>
      </c>
      <c r="D123" s="782">
        <v>-257697</v>
      </c>
      <c r="E123" s="782">
        <v>-573490</v>
      </c>
      <c r="F123" s="782">
        <v>-2380000</v>
      </c>
      <c r="G123" s="780">
        <v>361000</v>
      </c>
      <c r="H123" s="782">
        <v>-1003000</v>
      </c>
      <c r="I123" s="782">
        <v>-14714</v>
      </c>
      <c r="J123" s="780">
        <v>836423</v>
      </c>
      <c r="K123" s="781">
        <v>-1.46</v>
      </c>
      <c r="L123" s="771"/>
      <c r="M123" s="783">
        <v>361000</v>
      </c>
      <c r="N123" s="783">
        <v>142000</v>
      </c>
      <c r="O123" s="785">
        <v>-225000</v>
      </c>
      <c r="P123" s="785">
        <v>-1009000</v>
      </c>
      <c r="Q123" s="785">
        <v>-1003000</v>
      </c>
      <c r="R123" s="785">
        <v>-775000</v>
      </c>
      <c r="S123" s="785">
        <v>-2380000</v>
      </c>
      <c r="T123" s="785">
        <v>-257697</v>
      </c>
      <c r="U123" s="785">
        <v>-14714</v>
      </c>
      <c r="V123" s="772" t="s">
        <v>283</v>
      </c>
      <c r="W123" s="765" t="s">
        <v>283</v>
      </c>
      <c r="X123" s="765" t="s">
        <v>283</v>
      </c>
      <c r="Y123" s="765" t="s">
        <v>283</v>
      </c>
      <c r="Z123" s="765" t="s">
        <v>283</v>
      </c>
      <c r="AA123" s="765" t="s">
        <v>283</v>
      </c>
      <c r="AB123" s="765" t="s">
        <v>283</v>
      </c>
      <c r="AC123" s="765" t="s">
        <v>283</v>
      </c>
      <c r="AD123" s="765" t="s">
        <v>283</v>
      </c>
      <c r="AE123" s="765" t="s">
        <v>283</v>
      </c>
      <c r="AF123" s="765" t="s">
        <v>283</v>
      </c>
      <c r="AG123" s="765" t="s">
        <v>283</v>
      </c>
      <c r="AH123" s="765" t="s">
        <v>283</v>
      </c>
      <c r="AI123" s="765" t="s">
        <v>283</v>
      </c>
      <c r="AJ123" s="765" t="s">
        <v>283</v>
      </c>
      <c r="AK123" s="765" t="s">
        <v>283</v>
      </c>
      <c r="AL123" s="765" t="s">
        <v>283</v>
      </c>
      <c r="AM123" s="765" t="s">
        <v>283</v>
      </c>
      <c r="AN123" s="765" t="s">
        <v>283</v>
      </c>
      <c r="AO123" s="765" t="s">
        <v>283</v>
      </c>
      <c r="AP123" s="765" t="s">
        <v>283</v>
      </c>
      <c r="AQ123" s="765" t="s">
        <v>283</v>
      </c>
      <c r="AR123" s="765" t="s">
        <v>283</v>
      </c>
      <c r="AS123" s="765" t="s">
        <v>283</v>
      </c>
      <c r="AT123" s="765" t="s">
        <v>283</v>
      </c>
    </row>
    <row r="124" spans="1:46" ht="15">
      <c r="A124" s="765" t="s">
        <v>283</v>
      </c>
      <c r="B124" s="769" t="s">
        <v>283</v>
      </c>
      <c r="C124" s="773" t="s">
        <v>759</v>
      </c>
      <c r="D124" s="779">
        <v>0</v>
      </c>
      <c r="E124" s="780">
        <v>421111</v>
      </c>
      <c r="F124" s="779">
        <v>0</v>
      </c>
      <c r="G124" s="780">
        <v>1938000</v>
      </c>
      <c r="H124" s="779">
        <v>0</v>
      </c>
      <c r="I124" s="780">
        <v>463000</v>
      </c>
      <c r="J124" s="780">
        <v>733444</v>
      </c>
      <c r="K124" s="779">
        <v>1.74</v>
      </c>
      <c r="L124" s="771"/>
      <c r="M124" s="773">
        <v>0</v>
      </c>
      <c r="N124" s="773">
        <v>0</v>
      </c>
      <c r="O124" s="773">
        <v>0</v>
      </c>
      <c r="P124" s="773">
        <v>0</v>
      </c>
      <c r="Q124" s="783">
        <v>463000</v>
      </c>
      <c r="R124" s="783">
        <v>1389000</v>
      </c>
      <c r="S124" s="783">
        <v>1938000</v>
      </c>
      <c r="T124" s="773">
        <v>0</v>
      </c>
      <c r="U124" s="773">
        <v>0</v>
      </c>
      <c r="V124" s="772" t="s">
        <v>283</v>
      </c>
      <c r="W124" s="765" t="s">
        <v>283</v>
      </c>
      <c r="X124" s="765" t="s">
        <v>283</v>
      </c>
      <c r="Y124" s="765" t="s">
        <v>283</v>
      </c>
      <c r="Z124" s="765" t="s">
        <v>283</v>
      </c>
      <c r="AA124" s="765" t="s">
        <v>283</v>
      </c>
      <c r="AB124" s="765" t="s">
        <v>283</v>
      </c>
      <c r="AC124" s="765" t="s">
        <v>283</v>
      </c>
      <c r="AD124" s="765" t="s">
        <v>283</v>
      </c>
      <c r="AE124" s="765" t="s">
        <v>283</v>
      </c>
      <c r="AF124" s="765" t="s">
        <v>283</v>
      </c>
      <c r="AG124" s="765" t="s">
        <v>283</v>
      </c>
      <c r="AH124" s="765" t="s">
        <v>283</v>
      </c>
      <c r="AI124" s="765" t="s">
        <v>283</v>
      </c>
      <c r="AJ124" s="765" t="s">
        <v>283</v>
      </c>
      <c r="AK124" s="765" t="s">
        <v>283</v>
      </c>
      <c r="AL124" s="765" t="s">
        <v>283</v>
      </c>
      <c r="AM124" s="765" t="s">
        <v>283</v>
      </c>
      <c r="AN124" s="765" t="s">
        <v>283</v>
      </c>
      <c r="AO124" s="765" t="s">
        <v>283</v>
      </c>
      <c r="AP124" s="765" t="s">
        <v>283</v>
      </c>
      <c r="AQ124" s="765" t="s">
        <v>283</v>
      </c>
      <c r="AR124" s="765" t="s">
        <v>283</v>
      </c>
      <c r="AS124" s="765" t="s">
        <v>283</v>
      </c>
      <c r="AT124" s="765" t="s">
        <v>283</v>
      </c>
    </row>
    <row r="125" spans="1:46" ht="15">
      <c r="A125" s="765" t="s">
        <v>283</v>
      </c>
      <c r="B125" s="769" t="s">
        <v>283</v>
      </c>
      <c r="C125" s="773" t="s">
        <v>760</v>
      </c>
      <c r="D125" s="780">
        <v>109000</v>
      </c>
      <c r="E125" s="780">
        <v>447333</v>
      </c>
      <c r="F125" s="779">
        <v>0</v>
      </c>
      <c r="G125" s="780">
        <v>1980000</v>
      </c>
      <c r="H125" s="779">
        <v>0</v>
      </c>
      <c r="I125" s="780">
        <v>120000</v>
      </c>
      <c r="J125" s="780">
        <v>792582</v>
      </c>
      <c r="K125" s="779">
        <v>1.77</v>
      </c>
      <c r="L125" s="771"/>
      <c r="M125" s="783">
        <v>1693000</v>
      </c>
      <c r="N125" s="783">
        <v>120000</v>
      </c>
      <c r="O125" s="783">
        <v>116000</v>
      </c>
      <c r="P125" s="783">
        <v>109000</v>
      </c>
      <c r="Q125" s="783">
        <v>1980000</v>
      </c>
      <c r="R125" s="783">
        <v>8000</v>
      </c>
      <c r="S125" s="773">
        <v>0</v>
      </c>
      <c r="T125" s="773">
        <v>0</v>
      </c>
      <c r="U125" s="773">
        <v>0</v>
      </c>
      <c r="V125" s="772" t="s">
        <v>283</v>
      </c>
      <c r="W125" s="765" t="s">
        <v>283</v>
      </c>
      <c r="X125" s="765" t="s">
        <v>283</v>
      </c>
      <c r="Y125" s="765" t="s">
        <v>283</v>
      </c>
      <c r="Z125" s="765" t="s">
        <v>283</v>
      </c>
      <c r="AA125" s="765" t="s">
        <v>283</v>
      </c>
      <c r="AB125" s="765" t="s">
        <v>283</v>
      </c>
      <c r="AC125" s="765" t="s">
        <v>283</v>
      </c>
      <c r="AD125" s="765" t="s">
        <v>283</v>
      </c>
      <c r="AE125" s="765" t="s">
        <v>283</v>
      </c>
      <c r="AF125" s="765" t="s">
        <v>283</v>
      </c>
      <c r="AG125" s="765" t="s">
        <v>283</v>
      </c>
      <c r="AH125" s="765" t="s">
        <v>283</v>
      </c>
      <c r="AI125" s="765" t="s">
        <v>283</v>
      </c>
      <c r="AJ125" s="765" t="s">
        <v>283</v>
      </c>
      <c r="AK125" s="765" t="s">
        <v>283</v>
      </c>
      <c r="AL125" s="765" t="s">
        <v>283</v>
      </c>
      <c r="AM125" s="765" t="s">
        <v>283</v>
      </c>
      <c r="AN125" s="765" t="s">
        <v>283</v>
      </c>
      <c r="AO125" s="765" t="s">
        <v>283</v>
      </c>
      <c r="AP125" s="765" t="s">
        <v>283</v>
      </c>
      <c r="AQ125" s="765" t="s">
        <v>283</v>
      </c>
      <c r="AR125" s="765" t="s">
        <v>283</v>
      </c>
      <c r="AS125" s="765" t="s">
        <v>283</v>
      </c>
      <c r="AT125" s="765" t="s">
        <v>283</v>
      </c>
    </row>
    <row r="126" spans="1:46" ht="15">
      <c r="A126" s="765" t="s">
        <v>283</v>
      </c>
      <c r="B126" s="769" t="s">
        <v>283</v>
      </c>
      <c r="C126" s="773" t="s">
        <v>761</v>
      </c>
      <c r="D126" s="782">
        <v>-200000</v>
      </c>
      <c r="E126" s="782">
        <v>-364889</v>
      </c>
      <c r="F126" s="782">
        <v>-1054000</v>
      </c>
      <c r="G126" s="779">
        <v>0</v>
      </c>
      <c r="H126" s="782">
        <v>-681000</v>
      </c>
      <c r="I126" s="782">
        <v>-97000</v>
      </c>
      <c r="J126" s="780">
        <v>385365</v>
      </c>
      <c r="K126" s="781">
        <v>-1.06</v>
      </c>
      <c r="L126" s="771"/>
      <c r="M126" s="785">
        <v>-312000</v>
      </c>
      <c r="N126" s="785">
        <v>-681000</v>
      </c>
      <c r="O126" s="785">
        <v>-804000</v>
      </c>
      <c r="P126" s="785">
        <v>-1054000</v>
      </c>
      <c r="Q126" s="785">
        <v>-200000</v>
      </c>
      <c r="R126" s="785">
        <v>-136000</v>
      </c>
      <c r="S126" s="785">
        <v>-97000</v>
      </c>
      <c r="T126" s="773">
        <v>0</v>
      </c>
      <c r="U126" s="773">
        <v>0</v>
      </c>
      <c r="V126" s="772" t="s">
        <v>283</v>
      </c>
      <c r="W126" s="765" t="s">
        <v>283</v>
      </c>
      <c r="X126" s="765" t="s">
        <v>283</v>
      </c>
      <c r="Y126" s="765" t="s">
        <v>283</v>
      </c>
      <c r="Z126" s="765" t="s">
        <v>283</v>
      </c>
      <c r="AA126" s="765" t="s">
        <v>283</v>
      </c>
      <c r="AB126" s="765" t="s">
        <v>283</v>
      </c>
      <c r="AC126" s="765" t="s">
        <v>283</v>
      </c>
      <c r="AD126" s="765" t="s">
        <v>283</v>
      </c>
      <c r="AE126" s="765" t="s">
        <v>283</v>
      </c>
      <c r="AF126" s="765" t="s">
        <v>283</v>
      </c>
      <c r="AG126" s="765" t="s">
        <v>283</v>
      </c>
      <c r="AH126" s="765" t="s">
        <v>283</v>
      </c>
      <c r="AI126" s="765" t="s">
        <v>283</v>
      </c>
      <c r="AJ126" s="765" t="s">
        <v>283</v>
      </c>
      <c r="AK126" s="765" t="s">
        <v>283</v>
      </c>
      <c r="AL126" s="765" t="s">
        <v>283</v>
      </c>
      <c r="AM126" s="765" t="s">
        <v>283</v>
      </c>
      <c r="AN126" s="765" t="s">
        <v>283</v>
      </c>
      <c r="AO126" s="765" t="s">
        <v>283</v>
      </c>
      <c r="AP126" s="765" t="s">
        <v>283</v>
      </c>
      <c r="AQ126" s="765" t="s">
        <v>283</v>
      </c>
      <c r="AR126" s="765" t="s">
        <v>283</v>
      </c>
      <c r="AS126" s="765" t="s">
        <v>283</v>
      </c>
      <c r="AT126" s="765" t="s">
        <v>283</v>
      </c>
    </row>
    <row r="127" spans="1:46" ht="15">
      <c r="A127" s="765" t="s">
        <v>283</v>
      </c>
      <c r="B127" s="769" t="s">
        <v>283</v>
      </c>
      <c r="C127" s="773" t="s">
        <v>762</v>
      </c>
      <c r="D127" s="779">
        <v>0</v>
      </c>
      <c r="E127" s="782">
        <v>-59889</v>
      </c>
      <c r="F127" s="782">
        <v>-274000</v>
      </c>
      <c r="G127" s="779">
        <v>0</v>
      </c>
      <c r="H127" s="782">
        <v>-39000</v>
      </c>
      <c r="I127" s="779">
        <v>0</v>
      </c>
      <c r="J127" s="780">
        <v>109198</v>
      </c>
      <c r="K127" s="781">
        <v>-1.82</v>
      </c>
      <c r="L127" s="771"/>
      <c r="M127" s="785">
        <v>-274000</v>
      </c>
      <c r="N127" s="785">
        <v>-226000</v>
      </c>
      <c r="O127" s="773">
        <v>0</v>
      </c>
      <c r="P127" s="785">
        <v>-39000</v>
      </c>
      <c r="Q127" s="773">
        <v>0</v>
      </c>
      <c r="R127" s="773">
        <v>0</v>
      </c>
      <c r="S127" s="773">
        <v>0</v>
      </c>
      <c r="T127" s="773">
        <v>0</v>
      </c>
      <c r="U127" s="773">
        <v>0</v>
      </c>
      <c r="V127" s="772" t="s">
        <v>283</v>
      </c>
      <c r="W127" s="765" t="s">
        <v>283</v>
      </c>
      <c r="X127" s="765" t="s">
        <v>283</v>
      </c>
      <c r="Y127" s="765" t="s">
        <v>283</v>
      </c>
      <c r="Z127" s="765" t="s">
        <v>283</v>
      </c>
      <c r="AA127" s="765" t="s">
        <v>283</v>
      </c>
      <c r="AB127" s="765" t="s">
        <v>283</v>
      </c>
      <c r="AC127" s="765" t="s">
        <v>283</v>
      </c>
      <c r="AD127" s="765" t="s">
        <v>283</v>
      </c>
      <c r="AE127" s="765" t="s">
        <v>283</v>
      </c>
      <c r="AF127" s="765" t="s">
        <v>283</v>
      </c>
      <c r="AG127" s="765" t="s">
        <v>283</v>
      </c>
      <c r="AH127" s="765" t="s">
        <v>283</v>
      </c>
      <c r="AI127" s="765" t="s">
        <v>283</v>
      </c>
      <c r="AJ127" s="765" t="s">
        <v>283</v>
      </c>
      <c r="AK127" s="765" t="s">
        <v>283</v>
      </c>
      <c r="AL127" s="765" t="s">
        <v>283</v>
      </c>
      <c r="AM127" s="765" t="s">
        <v>283</v>
      </c>
      <c r="AN127" s="765" t="s">
        <v>283</v>
      </c>
      <c r="AO127" s="765" t="s">
        <v>283</v>
      </c>
      <c r="AP127" s="765" t="s">
        <v>283</v>
      </c>
      <c r="AQ127" s="765" t="s">
        <v>283</v>
      </c>
      <c r="AR127" s="765" t="s">
        <v>283</v>
      </c>
      <c r="AS127" s="765" t="s">
        <v>283</v>
      </c>
      <c r="AT127" s="765" t="s">
        <v>283</v>
      </c>
    </row>
    <row r="128" spans="1:46" ht="15">
      <c r="A128" s="765" t="s">
        <v>283</v>
      </c>
      <c r="B128" s="769" t="s">
        <v>283</v>
      </c>
      <c r="C128" s="773" t="s">
        <v>763</v>
      </c>
      <c r="D128" s="779" t="s">
        <v>764</v>
      </c>
      <c r="E128" s="779" t="s">
        <v>764</v>
      </c>
      <c r="F128" s="779" t="s">
        <v>765</v>
      </c>
      <c r="G128" s="779" t="s">
        <v>766</v>
      </c>
      <c r="H128" s="779" t="s">
        <v>767</v>
      </c>
      <c r="I128" s="779" t="s">
        <v>768</v>
      </c>
      <c r="J128" s="779" t="s">
        <v>769</v>
      </c>
      <c r="K128" s="779">
        <v>0.21</v>
      </c>
      <c r="L128" s="771"/>
      <c r="M128" s="773" t="s">
        <v>766</v>
      </c>
      <c r="N128" s="773" t="s">
        <v>765</v>
      </c>
      <c r="O128" s="773"/>
      <c r="P128" s="773"/>
      <c r="Q128" s="773"/>
      <c r="R128" s="773"/>
      <c r="S128" s="773"/>
      <c r="T128" s="773"/>
      <c r="U128" s="773"/>
      <c r="V128" s="772" t="s">
        <v>283</v>
      </c>
      <c r="W128" s="765" t="s">
        <v>283</v>
      </c>
      <c r="X128" s="765" t="s">
        <v>283</v>
      </c>
      <c r="Y128" s="765" t="s">
        <v>283</v>
      </c>
      <c r="Z128" s="765" t="s">
        <v>283</v>
      </c>
      <c r="AA128" s="765" t="s">
        <v>283</v>
      </c>
      <c r="AB128" s="765" t="s">
        <v>283</v>
      </c>
      <c r="AC128" s="765" t="s">
        <v>283</v>
      </c>
      <c r="AD128" s="765" t="s">
        <v>283</v>
      </c>
      <c r="AE128" s="765" t="s">
        <v>283</v>
      </c>
      <c r="AF128" s="765" t="s">
        <v>283</v>
      </c>
      <c r="AG128" s="765" t="s">
        <v>283</v>
      </c>
      <c r="AH128" s="765" t="s">
        <v>283</v>
      </c>
      <c r="AI128" s="765" t="s">
        <v>283</v>
      </c>
      <c r="AJ128" s="765" t="s">
        <v>283</v>
      </c>
      <c r="AK128" s="765" t="s">
        <v>283</v>
      </c>
      <c r="AL128" s="765" t="s">
        <v>283</v>
      </c>
      <c r="AM128" s="765" t="s">
        <v>283</v>
      </c>
      <c r="AN128" s="765" t="s">
        <v>283</v>
      </c>
      <c r="AO128" s="765" t="s">
        <v>283</v>
      </c>
      <c r="AP128" s="765" t="s">
        <v>283</v>
      </c>
      <c r="AQ128" s="765" t="s">
        <v>283</v>
      </c>
      <c r="AR128" s="765" t="s">
        <v>283</v>
      </c>
      <c r="AS128" s="765" t="s">
        <v>283</v>
      </c>
      <c r="AT128" s="765" t="s">
        <v>283</v>
      </c>
    </row>
    <row r="129" spans="1:46" ht="15">
      <c r="A129" s="765" t="s">
        <v>283</v>
      </c>
      <c r="B129" s="769" t="s">
        <v>283</v>
      </c>
      <c r="C129" s="778" t="s">
        <v>639</v>
      </c>
      <c r="D129" s="774" t="s">
        <v>283</v>
      </c>
      <c r="E129" s="774" t="s">
        <v>283</v>
      </c>
      <c r="F129" s="774" t="s">
        <v>283</v>
      </c>
      <c r="G129" s="774" t="s">
        <v>283</v>
      </c>
      <c r="H129" s="774" t="s">
        <v>283</v>
      </c>
      <c r="I129" s="774" t="s">
        <v>283</v>
      </c>
      <c r="J129" s="774" t="s">
        <v>283</v>
      </c>
      <c r="K129" s="774" t="s">
        <v>283</v>
      </c>
      <c r="L129" s="774" t="s">
        <v>283</v>
      </c>
      <c r="M129" s="774" t="s">
        <v>283</v>
      </c>
      <c r="N129" s="774" t="s">
        <v>283</v>
      </c>
      <c r="O129" s="774" t="s">
        <v>283</v>
      </c>
      <c r="P129" s="774" t="s">
        <v>283</v>
      </c>
      <c r="Q129" s="774" t="s">
        <v>283</v>
      </c>
      <c r="R129" s="774" t="s">
        <v>283</v>
      </c>
      <c r="S129" s="774" t="s">
        <v>283</v>
      </c>
      <c r="T129" s="774" t="s">
        <v>283</v>
      </c>
      <c r="U129" s="774" t="s">
        <v>283</v>
      </c>
      <c r="V129" s="772" t="s">
        <v>283</v>
      </c>
      <c r="W129" s="765" t="s">
        <v>283</v>
      </c>
      <c r="X129" s="765" t="s">
        <v>283</v>
      </c>
      <c r="Y129" s="765" t="s">
        <v>283</v>
      </c>
      <c r="Z129" s="765" t="s">
        <v>283</v>
      </c>
      <c r="AA129" s="765" t="s">
        <v>283</v>
      </c>
      <c r="AB129" s="765" t="s">
        <v>283</v>
      </c>
      <c r="AC129" s="765" t="s">
        <v>283</v>
      </c>
      <c r="AD129" s="765" t="s">
        <v>283</v>
      </c>
      <c r="AE129" s="765" t="s">
        <v>283</v>
      </c>
      <c r="AF129" s="765" t="s">
        <v>283</v>
      </c>
      <c r="AG129" s="765" t="s">
        <v>283</v>
      </c>
      <c r="AH129" s="765" t="s">
        <v>283</v>
      </c>
      <c r="AI129" s="765" t="s">
        <v>283</v>
      </c>
      <c r="AJ129" s="765" t="s">
        <v>283</v>
      </c>
      <c r="AK129" s="765" t="s">
        <v>283</v>
      </c>
      <c r="AL129" s="765" t="s">
        <v>283</v>
      </c>
      <c r="AM129" s="765" t="s">
        <v>283</v>
      </c>
      <c r="AN129" s="765" t="s">
        <v>283</v>
      </c>
      <c r="AO129" s="765" t="s">
        <v>283</v>
      </c>
      <c r="AP129" s="765" t="s">
        <v>283</v>
      </c>
      <c r="AQ129" s="765" t="s">
        <v>283</v>
      </c>
      <c r="AR129" s="765" t="s">
        <v>283</v>
      </c>
      <c r="AS129" s="765" t="s">
        <v>283</v>
      </c>
      <c r="AT129" s="765" t="s">
        <v>283</v>
      </c>
    </row>
    <row r="130" spans="1:46" ht="15">
      <c r="A130" s="765" t="s">
        <v>283</v>
      </c>
      <c r="B130" s="769" t="s">
        <v>283</v>
      </c>
      <c r="C130" s="773" t="s">
        <v>770</v>
      </c>
      <c r="D130" s="781">
        <v>-0.13</v>
      </c>
      <c r="E130" s="781">
        <v>-0.38</v>
      </c>
      <c r="F130" s="781">
        <v>-1.86</v>
      </c>
      <c r="G130" s="779">
        <v>0.08</v>
      </c>
      <c r="H130" s="781">
        <v>-0.25</v>
      </c>
      <c r="I130" s="779">
        <v>0.01</v>
      </c>
      <c r="J130" s="779">
        <v>0.74</v>
      </c>
      <c r="K130" s="781">
        <v>-1.96</v>
      </c>
      <c r="L130" s="771"/>
      <c r="M130" s="773">
        <v>0.08</v>
      </c>
      <c r="N130" s="773">
        <v>0.04</v>
      </c>
      <c r="O130" s="784">
        <v>-0.06</v>
      </c>
      <c r="P130" s="784">
        <v>-0.26</v>
      </c>
      <c r="Q130" s="784">
        <v>-1.86</v>
      </c>
      <c r="R130" s="784">
        <v>-0.2</v>
      </c>
      <c r="S130" s="773"/>
      <c r="T130" s="773"/>
      <c r="U130" s="773"/>
      <c r="V130" s="772" t="s">
        <v>283</v>
      </c>
      <c r="W130" s="765" t="s">
        <v>283</v>
      </c>
      <c r="X130" s="765" t="s">
        <v>283</v>
      </c>
      <c r="Y130" s="765" t="s">
        <v>283</v>
      </c>
      <c r="Z130" s="765" t="s">
        <v>283</v>
      </c>
      <c r="AA130" s="765" t="s">
        <v>283</v>
      </c>
      <c r="AB130" s="765" t="s">
        <v>283</v>
      </c>
      <c r="AC130" s="765" t="s">
        <v>283</v>
      </c>
      <c r="AD130" s="765" t="s">
        <v>283</v>
      </c>
      <c r="AE130" s="765" t="s">
        <v>283</v>
      </c>
      <c r="AF130" s="765" t="s">
        <v>283</v>
      </c>
      <c r="AG130" s="765" t="s">
        <v>283</v>
      </c>
      <c r="AH130" s="765" t="s">
        <v>283</v>
      </c>
      <c r="AI130" s="765" t="s">
        <v>283</v>
      </c>
      <c r="AJ130" s="765" t="s">
        <v>283</v>
      </c>
      <c r="AK130" s="765" t="s">
        <v>283</v>
      </c>
      <c r="AL130" s="765" t="s">
        <v>283</v>
      </c>
      <c r="AM130" s="765" t="s">
        <v>283</v>
      </c>
      <c r="AN130" s="765" t="s">
        <v>283</v>
      </c>
      <c r="AO130" s="765" t="s">
        <v>283</v>
      </c>
      <c r="AP130" s="765" t="s">
        <v>283</v>
      </c>
      <c r="AQ130" s="765" t="s">
        <v>283</v>
      </c>
      <c r="AR130" s="765" t="s">
        <v>283</v>
      </c>
      <c r="AS130" s="765" t="s">
        <v>283</v>
      </c>
      <c r="AT130" s="765" t="s">
        <v>283</v>
      </c>
    </row>
    <row r="131" spans="1:46" ht="15">
      <c r="A131" s="765" t="s">
        <v>283</v>
      </c>
      <c r="B131" s="769" t="s">
        <v>283</v>
      </c>
      <c r="C131" s="773" t="s">
        <v>771</v>
      </c>
      <c r="D131" s="781">
        <v>-0.11</v>
      </c>
      <c r="E131" s="781">
        <v>-0.33</v>
      </c>
      <c r="F131" s="781">
        <v>-1.7</v>
      </c>
      <c r="G131" s="779">
        <v>0.11</v>
      </c>
      <c r="H131" s="781">
        <v>-0.23</v>
      </c>
      <c r="I131" s="779">
        <v>0.04</v>
      </c>
      <c r="J131" s="779">
        <v>0.68</v>
      </c>
      <c r="K131" s="781">
        <v>-2.06</v>
      </c>
      <c r="L131" s="771"/>
      <c r="M131" s="773">
        <v>0.11</v>
      </c>
      <c r="N131" s="773">
        <v>0.06</v>
      </c>
      <c r="O131" s="784">
        <v>-0.03</v>
      </c>
      <c r="P131" s="784">
        <v>-0.25</v>
      </c>
      <c r="Q131" s="784">
        <v>-1.7</v>
      </c>
      <c r="R131" s="784">
        <v>-0.19</v>
      </c>
      <c r="S131" s="773"/>
      <c r="T131" s="773"/>
      <c r="U131" s="773"/>
      <c r="V131" s="772" t="s">
        <v>283</v>
      </c>
      <c r="W131" s="765" t="s">
        <v>283</v>
      </c>
      <c r="X131" s="765" t="s">
        <v>283</v>
      </c>
      <c r="Y131" s="765" t="s">
        <v>283</v>
      </c>
      <c r="Z131" s="765" t="s">
        <v>283</v>
      </c>
      <c r="AA131" s="765" t="s">
        <v>283</v>
      </c>
      <c r="AB131" s="765" t="s">
        <v>283</v>
      </c>
      <c r="AC131" s="765" t="s">
        <v>283</v>
      </c>
      <c r="AD131" s="765" t="s">
        <v>283</v>
      </c>
      <c r="AE131" s="765" t="s">
        <v>283</v>
      </c>
      <c r="AF131" s="765" t="s">
        <v>283</v>
      </c>
      <c r="AG131" s="765" t="s">
        <v>283</v>
      </c>
      <c r="AH131" s="765" t="s">
        <v>283</v>
      </c>
      <c r="AI131" s="765" t="s">
        <v>283</v>
      </c>
      <c r="AJ131" s="765" t="s">
        <v>283</v>
      </c>
      <c r="AK131" s="765" t="s">
        <v>283</v>
      </c>
      <c r="AL131" s="765" t="s">
        <v>283</v>
      </c>
      <c r="AM131" s="765" t="s">
        <v>283</v>
      </c>
      <c r="AN131" s="765" t="s">
        <v>283</v>
      </c>
      <c r="AO131" s="765" t="s">
        <v>283</v>
      </c>
      <c r="AP131" s="765" t="s">
        <v>283</v>
      </c>
      <c r="AQ131" s="765" t="s">
        <v>283</v>
      </c>
      <c r="AR131" s="765" t="s">
        <v>283</v>
      </c>
      <c r="AS131" s="765" t="s">
        <v>283</v>
      </c>
      <c r="AT131" s="765" t="s">
        <v>283</v>
      </c>
    </row>
    <row r="132" spans="1:46" ht="15">
      <c r="A132" s="765" t="s">
        <v>283</v>
      </c>
      <c r="B132" s="769" t="s">
        <v>283</v>
      </c>
      <c r="C132" s="778" t="s">
        <v>421</v>
      </c>
      <c r="D132" s="774" t="s">
        <v>283</v>
      </c>
      <c r="E132" s="774" t="s">
        <v>283</v>
      </c>
      <c r="F132" s="774" t="s">
        <v>283</v>
      </c>
      <c r="G132" s="774" t="s">
        <v>283</v>
      </c>
      <c r="H132" s="774" t="s">
        <v>283</v>
      </c>
      <c r="I132" s="774" t="s">
        <v>283</v>
      </c>
      <c r="J132" s="774" t="s">
        <v>283</v>
      </c>
      <c r="K132" s="774" t="s">
        <v>283</v>
      </c>
      <c r="L132" s="774" t="s">
        <v>283</v>
      </c>
      <c r="M132" s="774" t="s">
        <v>283</v>
      </c>
      <c r="N132" s="774" t="s">
        <v>283</v>
      </c>
      <c r="O132" s="774" t="s">
        <v>283</v>
      </c>
      <c r="P132" s="774" t="s">
        <v>283</v>
      </c>
      <c r="Q132" s="774" t="s">
        <v>283</v>
      </c>
      <c r="R132" s="774" t="s">
        <v>283</v>
      </c>
      <c r="S132" s="774" t="s">
        <v>283</v>
      </c>
      <c r="T132" s="774" t="s">
        <v>283</v>
      </c>
      <c r="U132" s="774" t="s">
        <v>283</v>
      </c>
      <c r="V132" s="772" t="s">
        <v>283</v>
      </c>
      <c r="W132" s="765" t="s">
        <v>283</v>
      </c>
      <c r="X132" s="765" t="s">
        <v>283</v>
      </c>
      <c r="Y132" s="765" t="s">
        <v>283</v>
      </c>
      <c r="Z132" s="765" t="s">
        <v>283</v>
      </c>
      <c r="AA132" s="765" t="s">
        <v>283</v>
      </c>
      <c r="AB132" s="765" t="s">
        <v>283</v>
      </c>
      <c r="AC132" s="765" t="s">
        <v>283</v>
      </c>
      <c r="AD132" s="765" t="s">
        <v>283</v>
      </c>
      <c r="AE132" s="765" t="s">
        <v>283</v>
      </c>
      <c r="AF132" s="765" t="s">
        <v>283</v>
      </c>
      <c r="AG132" s="765" t="s">
        <v>283</v>
      </c>
      <c r="AH132" s="765" t="s">
        <v>283</v>
      </c>
      <c r="AI132" s="765" t="s">
        <v>283</v>
      </c>
      <c r="AJ132" s="765" t="s">
        <v>283</v>
      </c>
      <c r="AK132" s="765" t="s">
        <v>283</v>
      </c>
      <c r="AL132" s="765" t="s">
        <v>283</v>
      </c>
      <c r="AM132" s="765" t="s">
        <v>283</v>
      </c>
      <c r="AN132" s="765" t="s">
        <v>283</v>
      </c>
      <c r="AO132" s="765" t="s">
        <v>283</v>
      </c>
      <c r="AP132" s="765" t="s">
        <v>283</v>
      </c>
      <c r="AQ132" s="765" t="s">
        <v>283</v>
      </c>
      <c r="AR132" s="765" t="s">
        <v>283</v>
      </c>
      <c r="AS132" s="765" t="s">
        <v>283</v>
      </c>
      <c r="AT132" s="765" t="s">
        <v>283</v>
      </c>
    </row>
    <row r="133" spans="1:46" ht="15">
      <c r="A133" s="765" t="s">
        <v>283</v>
      </c>
      <c r="B133" s="769" t="s">
        <v>283</v>
      </c>
      <c r="C133" s="773" t="s">
        <v>422</v>
      </c>
      <c r="D133" s="779" t="s">
        <v>283</v>
      </c>
      <c r="E133" s="779" t="s">
        <v>283</v>
      </c>
      <c r="F133" s="779" t="s">
        <v>283</v>
      </c>
      <c r="G133" s="779" t="s">
        <v>283</v>
      </c>
      <c r="H133" s="779" t="s">
        <v>283</v>
      </c>
      <c r="I133" s="779" t="s">
        <v>283</v>
      </c>
      <c r="J133" s="779" t="s">
        <v>283</v>
      </c>
      <c r="K133" s="779" t="s">
        <v>283</v>
      </c>
      <c r="L133" s="771"/>
      <c r="M133" s="773" t="s">
        <v>423</v>
      </c>
      <c r="N133" s="773" t="s">
        <v>423</v>
      </c>
      <c r="O133" s="773" t="s">
        <v>423</v>
      </c>
      <c r="P133" s="773" t="s">
        <v>423</v>
      </c>
      <c r="Q133" s="773" t="s">
        <v>423</v>
      </c>
      <c r="R133" s="773" t="s">
        <v>423</v>
      </c>
      <c r="S133" s="773" t="s">
        <v>423</v>
      </c>
      <c r="T133" s="773" t="s">
        <v>423</v>
      </c>
      <c r="U133" s="773" t="s">
        <v>423</v>
      </c>
      <c r="V133" s="772" t="s">
        <v>283</v>
      </c>
      <c r="W133" s="765" t="s">
        <v>283</v>
      </c>
      <c r="X133" s="765" t="s">
        <v>283</v>
      </c>
      <c r="Y133" s="765" t="s">
        <v>283</v>
      </c>
      <c r="Z133" s="765" t="s">
        <v>283</v>
      </c>
      <c r="AA133" s="765" t="s">
        <v>283</v>
      </c>
      <c r="AB133" s="765" t="s">
        <v>283</v>
      </c>
      <c r="AC133" s="765" t="s">
        <v>283</v>
      </c>
      <c r="AD133" s="765" t="s">
        <v>283</v>
      </c>
      <c r="AE133" s="765" t="s">
        <v>283</v>
      </c>
      <c r="AF133" s="765" t="s">
        <v>283</v>
      </c>
      <c r="AG133" s="765" t="s">
        <v>283</v>
      </c>
      <c r="AH133" s="765" t="s">
        <v>283</v>
      </c>
      <c r="AI133" s="765" t="s">
        <v>283</v>
      </c>
      <c r="AJ133" s="765" t="s">
        <v>283</v>
      </c>
      <c r="AK133" s="765" t="s">
        <v>283</v>
      </c>
      <c r="AL133" s="765" t="s">
        <v>283</v>
      </c>
      <c r="AM133" s="765" t="s">
        <v>283</v>
      </c>
      <c r="AN133" s="765" t="s">
        <v>283</v>
      </c>
      <c r="AO133" s="765" t="s">
        <v>283</v>
      </c>
      <c r="AP133" s="765" t="s">
        <v>283</v>
      </c>
      <c r="AQ133" s="765" t="s">
        <v>283</v>
      </c>
      <c r="AR133" s="765" t="s">
        <v>283</v>
      </c>
      <c r="AS133" s="765" t="s">
        <v>283</v>
      </c>
      <c r="AT133" s="765" t="s">
        <v>283</v>
      </c>
    </row>
    <row r="134" spans="1:46" ht="15">
      <c r="A134" s="765" t="s">
        <v>283</v>
      </c>
      <c r="B134" s="769" t="s">
        <v>283</v>
      </c>
      <c r="C134" s="773" t="s">
        <v>424</v>
      </c>
      <c r="D134" s="779" t="s">
        <v>283</v>
      </c>
      <c r="E134" s="779" t="s">
        <v>283</v>
      </c>
      <c r="F134" s="779" t="s">
        <v>283</v>
      </c>
      <c r="G134" s="779" t="s">
        <v>283</v>
      </c>
      <c r="H134" s="779" t="s">
        <v>283</v>
      </c>
      <c r="I134" s="779" t="s">
        <v>283</v>
      </c>
      <c r="J134" s="779" t="s">
        <v>283</v>
      </c>
      <c r="K134" s="779" t="s">
        <v>283</v>
      </c>
      <c r="L134" s="771"/>
      <c r="M134" s="773" t="s">
        <v>423</v>
      </c>
      <c r="N134" s="773" t="s">
        <v>423</v>
      </c>
      <c r="O134" s="773" t="s">
        <v>423</v>
      </c>
      <c r="P134" s="773" t="s">
        <v>423</v>
      </c>
      <c r="Q134" s="773" t="s">
        <v>423</v>
      </c>
      <c r="R134" s="773" t="s">
        <v>423</v>
      </c>
      <c r="S134" s="773" t="s">
        <v>423</v>
      </c>
      <c r="T134" s="773" t="s">
        <v>425</v>
      </c>
      <c r="U134" s="773" t="s">
        <v>425</v>
      </c>
      <c r="V134" s="772" t="s">
        <v>283</v>
      </c>
      <c r="W134" s="765" t="s">
        <v>283</v>
      </c>
      <c r="X134" s="765" t="s">
        <v>283</v>
      </c>
      <c r="Y134" s="765" t="s">
        <v>283</v>
      </c>
      <c r="Z134" s="765" t="s">
        <v>283</v>
      </c>
      <c r="AA134" s="765" t="s">
        <v>283</v>
      </c>
      <c r="AB134" s="765" t="s">
        <v>283</v>
      </c>
      <c r="AC134" s="765" t="s">
        <v>283</v>
      </c>
      <c r="AD134" s="765" t="s">
        <v>283</v>
      </c>
      <c r="AE134" s="765" t="s">
        <v>283</v>
      </c>
      <c r="AF134" s="765" t="s">
        <v>283</v>
      </c>
      <c r="AG134" s="765" t="s">
        <v>283</v>
      </c>
      <c r="AH134" s="765" t="s">
        <v>283</v>
      </c>
      <c r="AI134" s="765" t="s">
        <v>283</v>
      </c>
      <c r="AJ134" s="765" t="s">
        <v>283</v>
      </c>
      <c r="AK134" s="765" t="s">
        <v>283</v>
      </c>
      <c r="AL134" s="765" t="s">
        <v>283</v>
      </c>
      <c r="AM134" s="765" t="s">
        <v>283</v>
      </c>
      <c r="AN134" s="765" t="s">
        <v>283</v>
      </c>
      <c r="AO134" s="765" t="s">
        <v>283</v>
      </c>
      <c r="AP134" s="765" t="s">
        <v>283</v>
      </c>
      <c r="AQ134" s="765" t="s">
        <v>283</v>
      </c>
      <c r="AR134" s="765" t="s">
        <v>283</v>
      </c>
      <c r="AS134" s="765" t="s">
        <v>283</v>
      </c>
      <c r="AT134" s="765" t="s">
        <v>283</v>
      </c>
    </row>
    <row r="135" spans="1:46" ht="15">
      <c r="A135" s="765" t="s">
        <v>283</v>
      </c>
      <c r="B135" s="769" t="s">
        <v>283</v>
      </c>
      <c r="C135" s="773" t="s">
        <v>426</v>
      </c>
      <c r="D135" s="779" t="s">
        <v>283</v>
      </c>
      <c r="E135" s="779" t="s">
        <v>283</v>
      </c>
      <c r="F135" s="779" t="s">
        <v>283</v>
      </c>
      <c r="G135" s="779" t="s">
        <v>283</v>
      </c>
      <c r="H135" s="779" t="s">
        <v>283</v>
      </c>
      <c r="I135" s="779" t="s">
        <v>283</v>
      </c>
      <c r="J135" s="779" t="s">
        <v>283</v>
      </c>
      <c r="K135" s="779" t="s">
        <v>283</v>
      </c>
      <c r="L135" s="771"/>
      <c r="M135" s="773" t="s">
        <v>425</v>
      </c>
      <c r="N135" s="773" t="s">
        <v>425</v>
      </c>
      <c r="O135" s="773" t="s">
        <v>425</v>
      </c>
      <c r="P135" s="773" t="s">
        <v>425</v>
      </c>
      <c r="Q135" s="773" t="s">
        <v>425</v>
      </c>
      <c r="R135" s="773" t="s">
        <v>425</v>
      </c>
      <c r="S135" s="773" t="s">
        <v>425</v>
      </c>
      <c r="T135" s="773" t="s">
        <v>423</v>
      </c>
      <c r="U135" s="773" t="s">
        <v>423</v>
      </c>
      <c r="V135" s="772" t="s">
        <v>283</v>
      </c>
      <c r="W135" s="765" t="s">
        <v>283</v>
      </c>
      <c r="X135" s="765" t="s">
        <v>283</v>
      </c>
      <c r="Y135" s="765" t="s">
        <v>283</v>
      </c>
      <c r="Z135" s="765" t="s">
        <v>283</v>
      </c>
      <c r="AA135" s="765" t="s">
        <v>283</v>
      </c>
      <c r="AB135" s="765" t="s">
        <v>283</v>
      </c>
      <c r="AC135" s="765" t="s">
        <v>283</v>
      </c>
      <c r="AD135" s="765" t="s">
        <v>283</v>
      </c>
      <c r="AE135" s="765" t="s">
        <v>283</v>
      </c>
      <c r="AF135" s="765" t="s">
        <v>283</v>
      </c>
      <c r="AG135" s="765" t="s">
        <v>283</v>
      </c>
      <c r="AH135" s="765" t="s">
        <v>283</v>
      </c>
      <c r="AI135" s="765" t="s">
        <v>283</v>
      </c>
      <c r="AJ135" s="765" t="s">
        <v>283</v>
      </c>
      <c r="AK135" s="765" t="s">
        <v>283</v>
      </c>
      <c r="AL135" s="765" t="s">
        <v>283</v>
      </c>
      <c r="AM135" s="765" t="s">
        <v>283</v>
      </c>
      <c r="AN135" s="765" t="s">
        <v>283</v>
      </c>
      <c r="AO135" s="765" t="s">
        <v>283</v>
      </c>
      <c r="AP135" s="765" t="s">
        <v>283</v>
      </c>
      <c r="AQ135" s="765" t="s">
        <v>283</v>
      </c>
      <c r="AR135" s="765" t="s">
        <v>283</v>
      </c>
      <c r="AS135" s="765" t="s">
        <v>283</v>
      </c>
      <c r="AT135" s="765" t="s">
        <v>283</v>
      </c>
    </row>
    <row r="136" spans="1:46" ht="15">
      <c r="A136" s="765" t="s">
        <v>283</v>
      </c>
      <c r="B136" s="769" t="s">
        <v>283</v>
      </c>
      <c r="C136" s="773" t="s">
        <v>427</v>
      </c>
      <c r="D136" s="779" t="s">
        <v>283</v>
      </c>
      <c r="E136" s="779" t="s">
        <v>283</v>
      </c>
      <c r="F136" s="779" t="s">
        <v>283</v>
      </c>
      <c r="G136" s="779" t="s">
        <v>283</v>
      </c>
      <c r="H136" s="779" t="s">
        <v>283</v>
      </c>
      <c r="I136" s="779" t="s">
        <v>283</v>
      </c>
      <c r="J136" s="779" t="s">
        <v>283</v>
      </c>
      <c r="K136" s="779" t="s">
        <v>283</v>
      </c>
      <c r="L136" s="771"/>
      <c r="M136" s="773" t="s">
        <v>423</v>
      </c>
      <c r="N136" s="773" t="s">
        <v>423</v>
      </c>
      <c r="O136" s="773" t="s">
        <v>423</v>
      </c>
      <c r="P136" s="773" t="s">
        <v>423</v>
      </c>
      <c r="Q136" s="773" t="s">
        <v>423</v>
      </c>
      <c r="R136" s="773" t="s">
        <v>423</v>
      </c>
      <c r="S136" s="773" t="s">
        <v>423</v>
      </c>
      <c r="T136" s="773" t="s">
        <v>423</v>
      </c>
      <c r="U136" s="773" t="s">
        <v>423</v>
      </c>
      <c r="V136" s="772" t="s">
        <v>283</v>
      </c>
      <c r="W136" s="765" t="s">
        <v>283</v>
      </c>
      <c r="X136" s="765" t="s">
        <v>283</v>
      </c>
      <c r="Y136" s="765" t="s">
        <v>283</v>
      </c>
      <c r="Z136" s="765" t="s">
        <v>283</v>
      </c>
      <c r="AA136" s="765" t="s">
        <v>283</v>
      </c>
      <c r="AB136" s="765" t="s">
        <v>283</v>
      </c>
      <c r="AC136" s="765" t="s">
        <v>283</v>
      </c>
      <c r="AD136" s="765" t="s">
        <v>283</v>
      </c>
      <c r="AE136" s="765" t="s">
        <v>283</v>
      </c>
      <c r="AF136" s="765" t="s">
        <v>283</v>
      </c>
      <c r="AG136" s="765" t="s">
        <v>283</v>
      </c>
      <c r="AH136" s="765" t="s">
        <v>283</v>
      </c>
      <c r="AI136" s="765" t="s">
        <v>283</v>
      </c>
      <c r="AJ136" s="765" t="s">
        <v>283</v>
      </c>
      <c r="AK136" s="765" t="s">
        <v>283</v>
      </c>
      <c r="AL136" s="765" t="s">
        <v>283</v>
      </c>
      <c r="AM136" s="765" t="s">
        <v>283</v>
      </c>
      <c r="AN136" s="765" t="s">
        <v>283</v>
      </c>
      <c r="AO136" s="765" t="s">
        <v>283</v>
      </c>
      <c r="AP136" s="765" t="s">
        <v>283</v>
      </c>
      <c r="AQ136" s="765" t="s">
        <v>283</v>
      </c>
      <c r="AR136" s="765" t="s">
        <v>283</v>
      </c>
      <c r="AS136" s="765" t="s">
        <v>283</v>
      </c>
      <c r="AT136" s="765" t="s">
        <v>283</v>
      </c>
    </row>
    <row r="137" spans="1:46" ht="15">
      <c r="A137" s="765" t="s">
        <v>283</v>
      </c>
      <c r="B137" s="769" t="s">
        <v>283</v>
      </c>
      <c r="C137" s="771"/>
      <c r="D137" s="771"/>
      <c r="E137" s="771"/>
      <c r="F137" s="771"/>
      <c r="G137" s="771"/>
      <c r="H137" s="771"/>
      <c r="I137" s="771"/>
      <c r="J137" s="771"/>
      <c r="K137" s="771"/>
      <c r="L137" s="771"/>
      <c r="M137" s="771"/>
      <c r="N137" s="771"/>
      <c r="O137" s="771"/>
      <c r="P137" s="771"/>
      <c r="Q137" s="771"/>
      <c r="R137" s="771"/>
      <c r="S137" s="771"/>
      <c r="T137" s="771"/>
      <c r="U137" s="771"/>
      <c r="V137" s="772" t="s">
        <v>283</v>
      </c>
      <c r="W137" s="765" t="s">
        <v>283</v>
      </c>
      <c r="X137" s="765" t="s">
        <v>283</v>
      </c>
      <c r="Y137" s="765" t="s">
        <v>283</v>
      </c>
      <c r="Z137" s="765" t="s">
        <v>283</v>
      </c>
      <c r="AA137" s="765" t="s">
        <v>283</v>
      </c>
      <c r="AB137" s="765" t="s">
        <v>283</v>
      </c>
      <c r="AC137" s="765" t="s">
        <v>283</v>
      </c>
      <c r="AD137" s="765" t="s">
        <v>283</v>
      </c>
      <c r="AE137" s="765" t="s">
        <v>283</v>
      </c>
      <c r="AF137" s="765" t="s">
        <v>283</v>
      </c>
      <c r="AG137" s="765" t="s">
        <v>283</v>
      </c>
      <c r="AH137" s="765" t="s">
        <v>283</v>
      </c>
      <c r="AI137" s="765" t="s">
        <v>283</v>
      </c>
      <c r="AJ137" s="765" t="s">
        <v>283</v>
      </c>
      <c r="AK137" s="765" t="s">
        <v>283</v>
      </c>
      <c r="AL137" s="765" t="s">
        <v>283</v>
      </c>
      <c r="AM137" s="765" t="s">
        <v>283</v>
      </c>
      <c r="AN137" s="765" t="s">
        <v>283</v>
      </c>
      <c r="AO137" s="765" t="s">
        <v>283</v>
      </c>
      <c r="AP137" s="765" t="s">
        <v>283</v>
      </c>
      <c r="AQ137" s="765" t="s">
        <v>283</v>
      </c>
      <c r="AR137" s="765" t="s">
        <v>283</v>
      </c>
      <c r="AS137" s="765" t="s">
        <v>283</v>
      </c>
      <c r="AT137" s="765" t="s">
        <v>283</v>
      </c>
    </row>
    <row r="138" spans="1:46" ht="15">
      <c r="A138" s="765" t="s">
        <v>283</v>
      </c>
      <c r="B138" s="769" t="s">
        <v>283</v>
      </c>
      <c r="C138" s="771"/>
      <c r="D138" s="771"/>
      <c r="E138" s="771"/>
      <c r="F138" s="771"/>
      <c r="G138" s="771"/>
      <c r="H138" s="771"/>
      <c r="I138" s="771"/>
      <c r="J138" s="771"/>
      <c r="K138" s="771"/>
      <c r="L138" s="771"/>
      <c r="M138" s="771"/>
      <c r="N138" s="771"/>
      <c r="O138" s="771"/>
      <c r="P138" s="771"/>
      <c r="Q138" s="771"/>
      <c r="R138" s="771"/>
      <c r="S138" s="771"/>
      <c r="T138" s="771"/>
      <c r="U138" s="771"/>
      <c r="V138" s="772" t="s">
        <v>283</v>
      </c>
      <c r="W138" s="765" t="s">
        <v>283</v>
      </c>
      <c r="X138" s="765" t="s">
        <v>283</v>
      </c>
      <c r="Y138" s="765" t="s">
        <v>283</v>
      </c>
      <c r="Z138" s="765" t="s">
        <v>283</v>
      </c>
      <c r="AA138" s="765" t="s">
        <v>283</v>
      </c>
      <c r="AB138" s="765" t="s">
        <v>283</v>
      </c>
      <c r="AC138" s="765" t="s">
        <v>283</v>
      </c>
      <c r="AD138" s="765" t="s">
        <v>283</v>
      </c>
      <c r="AE138" s="765" t="s">
        <v>283</v>
      </c>
      <c r="AF138" s="765" t="s">
        <v>283</v>
      </c>
      <c r="AG138" s="765" t="s">
        <v>283</v>
      </c>
      <c r="AH138" s="765" t="s">
        <v>283</v>
      </c>
      <c r="AI138" s="765" t="s">
        <v>283</v>
      </c>
      <c r="AJ138" s="765" t="s">
        <v>283</v>
      </c>
      <c r="AK138" s="765" t="s">
        <v>283</v>
      </c>
      <c r="AL138" s="765" t="s">
        <v>283</v>
      </c>
      <c r="AM138" s="765" t="s">
        <v>283</v>
      </c>
      <c r="AN138" s="765" t="s">
        <v>283</v>
      </c>
      <c r="AO138" s="765" t="s">
        <v>283</v>
      </c>
      <c r="AP138" s="765" t="s">
        <v>283</v>
      </c>
      <c r="AQ138" s="765" t="s">
        <v>283</v>
      </c>
      <c r="AR138" s="765" t="s">
        <v>283</v>
      </c>
      <c r="AS138" s="765" t="s">
        <v>283</v>
      </c>
      <c r="AT138" s="765" t="s">
        <v>283</v>
      </c>
    </row>
    <row r="139" spans="1:46" ht="15">
      <c r="A139" s="765" t="s">
        <v>283</v>
      </c>
      <c r="B139" s="769" t="s">
        <v>283</v>
      </c>
      <c r="C139" s="773" t="s">
        <v>428</v>
      </c>
      <c r="D139" s="771"/>
      <c r="E139" s="771"/>
      <c r="F139" s="771"/>
      <c r="G139" s="771"/>
      <c r="H139" s="771"/>
      <c r="I139" s="771"/>
      <c r="J139" s="771"/>
      <c r="K139" s="771"/>
      <c r="L139" s="771"/>
      <c r="M139" s="771"/>
      <c r="N139" s="771"/>
      <c r="O139" s="771"/>
      <c r="P139" s="771"/>
      <c r="Q139" s="771"/>
      <c r="R139" s="771"/>
      <c r="S139" s="771"/>
      <c r="T139" s="771"/>
      <c r="U139" s="771"/>
      <c r="V139" s="772" t="s">
        <v>283</v>
      </c>
      <c r="W139" s="765" t="s">
        <v>283</v>
      </c>
      <c r="X139" s="765" t="s">
        <v>283</v>
      </c>
      <c r="Y139" s="765" t="s">
        <v>283</v>
      </c>
      <c r="Z139" s="765" t="s">
        <v>283</v>
      </c>
      <c r="AA139" s="765" t="s">
        <v>283</v>
      </c>
      <c r="AB139" s="765" t="s">
        <v>283</v>
      </c>
      <c r="AC139" s="765" t="s">
        <v>283</v>
      </c>
      <c r="AD139" s="765" t="s">
        <v>283</v>
      </c>
      <c r="AE139" s="765" t="s">
        <v>283</v>
      </c>
      <c r="AF139" s="765" t="s">
        <v>283</v>
      </c>
      <c r="AG139" s="765" t="s">
        <v>283</v>
      </c>
      <c r="AH139" s="765" t="s">
        <v>283</v>
      </c>
      <c r="AI139" s="765" t="s">
        <v>283</v>
      </c>
      <c r="AJ139" s="765" t="s">
        <v>283</v>
      </c>
      <c r="AK139" s="765" t="s">
        <v>283</v>
      </c>
      <c r="AL139" s="765" t="s">
        <v>283</v>
      </c>
      <c r="AM139" s="765" t="s">
        <v>283</v>
      </c>
      <c r="AN139" s="765" t="s">
        <v>283</v>
      </c>
      <c r="AO139" s="765" t="s">
        <v>283</v>
      </c>
      <c r="AP139" s="765" t="s">
        <v>283</v>
      </c>
      <c r="AQ139" s="765" t="s">
        <v>283</v>
      </c>
      <c r="AR139" s="765" t="s">
        <v>283</v>
      </c>
      <c r="AS139" s="765" t="s">
        <v>283</v>
      </c>
      <c r="AT139" s="765" t="s">
        <v>283</v>
      </c>
    </row>
    <row r="140" spans="1:46" ht="15">
      <c r="A140" s="765" t="s">
        <v>283</v>
      </c>
      <c r="B140" s="769" t="s">
        <v>283</v>
      </c>
      <c r="C140" s="771"/>
      <c r="D140" s="771"/>
      <c r="E140" s="771"/>
      <c r="F140" s="771"/>
      <c r="G140" s="771"/>
      <c r="H140" s="771"/>
      <c r="I140" s="771"/>
      <c r="J140" s="771"/>
      <c r="K140" s="771"/>
      <c r="L140" s="771"/>
      <c r="M140" s="771"/>
      <c r="N140" s="771"/>
      <c r="O140" s="771"/>
      <c r="P140" s="771"/>
      <c r="Q140" s="771"/>
      <c r="R140" s="771"/>
      <c r="S140" s="771"/>
      <c r="T140" s="771"/>
      <c r="U140" s="771"/>
      <c r="V140" s="772" t="s">
        <v>283</v>
      </c>
      <c r="W140" s="765" t="s">
        <v>283</v>
      </c>
      <c r="X140" s="765" t="s">
        <v>283</v>
      </c>
      <c r="Y140" s="765" t="s">
        <v>283</v>
      </c>
      <c r="Z140" s="765" t="s">
        <v>283</v>
      </c>
      <c r="AA140" s="765" t="s">
        <v>283</v>
      </c>
      <c r="AB140" s="765" t="s">
        <v>283</v>
      </c>
      <c r="AC140" s="765" t="s">
        <v>283</v>
      </c>
      <c r="AD140" s="765" t="s">
        <v>283</v>
      </c>
      <c r="AE140" s="765" t="s">
        <v>283</v>
      </c>
      <c r="AF140" s="765" t="s">
        <v>283</v>
      </c>
      <c r="AG140" s="765" t="s">
        <v>283</v>
      </c>
      <c r="AH140" s="765" t="s">
        <v>283</v>
      </c>
      <c r="AI140" s="765" t="s">
        <v>283</v>
      </c>
      <c r="AJ140" s="765" t="s">
        <v>283</v>
      </c>
      <c r="AK140" s="765" t="s">
        <v>283</v>
      </c>
      <c r="AL140" s="765" t="s">
        <v>283</v>
      </c>
      <c r="AM140" s="765" t="s">
        <v>283</v>
      </c>
      <c r="AN140" s="765" t="s">
        <v>283</v>
      </c>
      <c r="AO140" s="765" t="s">
        <v>283</v>
      </c>
      <c r="AP140" s="765" t="s">
        <v>283</v>
      </c>
      <c r="AQ140" s="765" t="s">
        <v>283</v>
      </c>
      <c r="AR140" s="765" t="s">
        <v>283</v>
      </c>
      <c r="AS140" s="765" t="s">
        <v>283</v>
      </c>
      <c r="AT140" s="765" t="s">
        <v>283</v>
      </c>
    </row>
    <row r="141" spans="1:46" ht="15">
      <c r="A141" s="765" t="s">
        <v>283</v>
      </c>
      <c r="B141" s="795" t="s">
        <v>283</v>
      </c>
      <c r="C141" s="796" t="s">
        <v>283</v>
      </c>
      <c r="D141" s="796" t="s">
        <v>283</v>
      </c>
      <c r="E141" s="796" t="s">
        <v>283</v>
      </c>
      <c r="F141" s="796" t="s">
        <v>283</v>
      </c>
      <c r="G141" s="796" t="s">
        <v>283</v>
      </c>
      <c r="H141" s="796" t="s">
        <v>283</v>
      </c>
      <c r="I141" s="796" t="s">
        <v>283</v>
      </c>
      <c r="J141" s="796" t="s">
        <v>283</v>
      </c>
      <c r="K141" s="796" t="s">
        <v>283</v>
      </c>
      <c r="L141" s="796" t="s">
        <v>283</v>
      </c>
      <c r="M141" s="796" t="s">
        <v>283</v>
      </c>
      <c r="N141" s="796" t="s">
        <v>283</v>
      </c>
      <c r="O141" s="796" t="s">
        <v>283</v>
      </c>
      <c r="P141" s="796" t="s">
        <v>283</v>
      </c>
      <c r="Q141" s="796" t="s">
        <v>283</v>
      </c>
      <c r="R141" s="796" t="s">
        <v>283</v>
      </c>
      <c r="S141" s="796" t="s">
        <v>283</v>
      </c>
      <c r="T141" s="796" t="s">
        <v>283</v>
      </c>
      <c r="U141" s="796" t="s">
        <v>283</v>
      </c>
      <c r="V141" s="797" t="s">
        <v>283</v>
      </c>
      <c r="W141" s="765" t="s">
        <v>283</v>
      </c>
      <c r="X141" s="765" t="s">
        <v>283</v>
      </c>
      <c r="Y141" s="765" t="s">
        <v>283</v>
      </c>
      <c r="Z141" s="765" t="s">
        <v>283</v>
      </c>
      <c r="AA141" s="765" t="s">
        <v>283</v>
      </c>
      <c r="AB141" s="765" t="s">
        <v>283</v>
      </c>
      <c r="AC141" s="765" t="s">
        <v>283</v>
      </c>
      <c r="AD141" s="765" t="s">
        <v>283</v>
      </c>
      <c r="AE141" s="765" t="s">
        <v>283</v>
      </c>
      <c r="AF141" s="765" t="s">
        <v>283</v>
      </c>
      <c r="AG141" s="765" t="s">
        <v>283</v>
      </c>
      <c r="AH141" s="765" t="s">
        <v>283</v>
      </c>
      <c r="AI141" s="765" t="s">
        <v>283</v>
      </c>
      <c r="AJ141" s="765" t="s">
        <v>283</v>
      </c>
      <c r="AK141" s="765" t="s">
        <v>283</v>
      </c>
      <c r="AL141" s="765" t="s">
        <v>283</v>
      </c>
      <c r="AM141" s="765" t="s">
        <v>283</v>
      </c>
      <c r="AN141" s="765" t="s">
        <v>283</v>
      </c>
      <c r="AO141" s="765" t="s">
        <v>283</v>
      </c>
      <c r="AP141" s="765" t="s">
        <v>283</v>
      </c>
      <c r="AQ141" s="765" t="s">
        <v>283</v>
      </c>
      <c r="AR141" s="765" t="s">
        <v>283</v>
      </c>
      <c r="AS141" s="765" t="s">
        <v>283</v>
      </c>
      <c r="AT141" s="765" t="s">
        <v>283</v>
      </c>
    </row>
    <row r="142" spans="1:46" ht="15">
      <c r="A142" s="765" t="s">
        <v>283</v>
      </c>
      <c r="B142" s="765" t="s">
        <v>283</v>
      </c>
      <c r="C142" s="765" t="s">
        <v>283</v>
      </c>
      <c r="D142" s="765" t="s">
        <v>283</v>
      </c>
      <c r="E142" s="765" t="s">
        <v>283</v>
      </c>
      <c r="F142" s="765" t="s">
        <v>283</v>
      </c>
      <c r="G142" s="765" t="s">
        <v>283</v>
      </c>
      <c r="H142" s="765" t="s">
        <v>283</v>
      </c>
      <c r="I142" s="765" t="s">
        <v>283</v>
      </c>
      <c r="J142" s="765" t="s">
        <v>283</v>
      </c>
      <c r="K142" s="765" t="s">
        <v>283</v>
      </c>
      <c r="L142" s="765" t="s">
        <v>283</v>
      </c>
      <c r="M142" s="765" t="s">
        <v>283</v>
      </c>
      <c r="N142" s="765" t="s">
        <v>283</v>
      </c>
      <c r="O142" s="765" t="s">
        <v>283</v>
      </c>
      <c r="P142" s="765" t="s">
        <v>283</v>
      </c>
      <c r="Q142" s="765" t="s">
        <v>283</v>
      </c>
      <c r="R142" s="765" t="s">
        <v>283</v>
      </c>
      <c r="S142" s="765" t="s">
        <v>283</v>
      </c>
      <c r="T142" s="765" t="s">
        <v>283</v>
      </c>
      <c r="U142" s="765" t="s">
        <v>283</v>
      </c>
      <c r="V142" s="765" t="s">
        <v>283</v>
      </c>
      <c r="W142" s="765" t="s">
        <v>283</v>
      </c>
      <c r="X142" s="765" t="s">
        <v>283</v>
      </c>
      <c r="Y142" s="765" t="s">
        <v>283</v>
      </c>
      <c r="Z142" s="765" t="s">
        <v>283</v>
      </c>
      <c r="AA142" s="765" t="s">
        <v>283</v>
      </c>
      <c r="AB142" s="765" t="s">
        <v>283</v>
      </c>
      <c r="AC142" s="765" t="s">
        <v>283</v>
      </c>
      <c r="AD142" s="765" t="s">
        <v>283</v>
      </c>
      <c r="AE142" s="765" t="s">
        <v>283</v>
      </c>
      <c r="AF142" s="765" t="s">
        <v>283</v>
      </c>
      <c r="AG142" s="765" t="s">
        <v>283</v>
      </c>
      <c r="AH142" s="765" t="s">
        <v>283</v>
      </c>
      <c r="AI142" s="765" t="s">
        <v>283</v>
      </c>
      <c r="AJ142" s="765" t="s">
        <v>283</v>
      </c>
      <c r="AK142" s="765" t="s">
        <v>283</v>
      </c>
      <c r="AL142" s="765" t="s">
        <v>283</v>
      </c>
      <c r="AM142" s="765" t="s">
        <v>283</v>
      </c>
      <c r="AN142" s="765" t="s">
        <v>283</v>
      </c>
      <c r="AO142" s="765" t="s">
        <v>283</v>
      </c>
      <c r="AP142" s="765" t="s">
        <v>283</v>
      </c>
      <c r="AQ142" s="765" t="s">
        <v>283</v>
      </c>
      <c r="AR142" s="765" t="s">
        <v>283</v>
      </c>
      <c r="AS142" s="765" t="s">
        <v>283</v>
      </c>
      <c r="AT142" s="765" t="s">
        <v>283</v>
      </c>
    </row>
  </sheetData>
  <mergeCells count="1">
    <mergeCell ref="D4:E4"/>
  </mergeCells>
  <hyperlinks>
    <hyperlink ref="T7" r:id="rId1" xr:uid="{9ADF8830-F422-4321-80BC-9C2E27FEFD1A}"/>
    <hyperlink ref="U7" r:id="rId2" xr:uid="{62AC8BB1-F276-4301-98BC-2564EA8B6E66}"/>
    <hyperlink ref="M8" r:id="rId3" xr:uid="{7B8FBA52-3076-4875-B817-F35D6EC4A39C}"/>
    <hyperlink ref="N8" r:id="rId4" xr:uid="{2FE14627-F4E2-4171-BBA2-0EAD685CFB8A}"/>
    <hyperlink ref="O8" r:id="rId5" xr:uid="{E8B668D8-122A-47BF-9472-6D82D03EE619}"/>
    <hyperlink ref="P8" r:id="rId6" xr:uid="{1EC292A7-4A8C-4870-B2F7-3217A73A301D}"/>
    <hyperlink ref="Q8" r:id="rId7" xr:uid="{A1FE4D63-EF98-415D-9B70-CB4488EE46EC}"/>
    <hyperlink ref="R8" r:id="rId8" xr:uid="{3B2C171A-4F16-4BA7-8D34-945A5CBBE26F}"/>
    <hyperlink ref="S8" r:id="rId9" xr:uid="{3DA759FC-3B1D-413A-BD8A-93CB0DAB761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59999389629810485"/>
  </sheetPr>
  <dimension ref="A1:J22"/>
  <sheetViews>
    <sheetView showGridLines="0" zoomScale="145" zoomScaleNormal="145" workbookViewId="0">
      <selection activeCell="D6" sqref="D6"/>
    </sheetView>
  </sheetViews>
  <sheetFormatPr defaultColWidth="0" defaultRowHeight="9.9499999999999993" zeroHeight="1"/>
  <cols>
    <col min="1" max="1" width="9.1640625" customWidth="1"/>
    <col min="2" max="2" width="25.6640625" customWidth="1"/>
    <col min="3" max="3" width="12.5" customWidth="1"/>
    <col min="4" max="4" width="24.1640625" customWidth="1"/>
    <col min="5" max="7" width="9.1640625" customWidth="1"/>
    <col min="8" max="8" width="16.5" customWidth="1"/>
    <col min="9" max="10" width="9.1640625" customWidth="1"/>
    <col min="11" max="16384" width="9.1640625" hidden="1"/>
  </cols>
  <sheetData>
    <row r="1" spans="2:8" ht="27.6">
      <c r="B1" s="18" t="s">
        <v>1</v>
      </c>
    </row>
    <row r="2" spans="2:8"/>
    <row r="3" spans="2:8" ht="18.95">
      <c r="B3" s="17" t="s">
        <v>772</v>
      </c>
      <c r="C3" s="19" t="s">
        <v>773</v>
      </c>
      <c r="D3" s="25" t="s">
        <v>122</v>
      </c>
      <c r="E3" s="20"/>
    </row>
    <row r="4" spans="2:8">
      <c r="B4" s="96" t="s">
        <v>774</v>
      </c>
      <c r="C4" s="21" t="s">
        <v>775</v>
      </c>
      <c r="D4" s="22" t="str">
        <f>Subject</f>
        <v>Grab Holdings</v>
      </c>
      <c r="E4" s="23" t="s">
        <v>776</v>
      </c>
    </row>
    <row r="5" spans="2:8">
      <c r="B5" s="96" t="s">
        <v>777</v>
      </c>
      <c r="C5" s="21" t="s">
        <v>777</v>
      </c>
      <c r="D5" s="1">
        <v>1</v>
      </c>
      <c r="E5" s="23" t="s">
        <v>778</v>
      </c>
    </row>
    <row r="6" spans="2:8">
      <c r="B6" s="96" t="s">
        <v>779</v>
      </c>
      <c r="C6" s="21" t="s">
        <v>777</v>
      </c>
      <c r="D6" s="137">
        <v>0.17</v>
      </c>
      <c r="E6" s="26" t="s">
        <v>780</v>
      </c>
    </row>
    <row r="7" spans="2:8">
      <c r="B7" s="96" t="s">
        <v>781</v>
      </c>
      <c r="C7" s="21" t="s">
        <v>781</v>
      </c>
      <c r="D7" s="138" t="s">
        <v>782</v>
      </c>
      <c r="E7" s="26" t="s">
        <v>783</v>
      </c>
    </row>
    <row r="8" spans="2:8">
      <c r="B8" s="96" t="s">
        <v>784</v>
      </c>
      <c r="D8" s="138" t="s">
        <v>785</v>
      </c>
      <c r="E8" s="26" t="s">
        <v>786</v>
      </c>
    </row>
    <row r="9" spans="2:8"/>
    <row r="10" spans="2:8" ht="18.95">
      <c r="B10" s="17" t="s">
        <v>787</v>
      </c>
    </row>
    <row r="11" spans="2:8">
      <c r="B11" s="96" t="s">
        <v>788</v>
      </c>
      <c r="C11" s="21" t="s">
        <v>65</v>
      </c>
      <c r="D11" s="139">
        <v>46022</v>
      </c>
      <c r="E11" s="23" t="s">
        <v>788</v>
      </c>
      <c r="H11" s="37"/>
    </row>
    <row r="12" spans="2:8">
      <c r="B12" s="96" t="s">
        <v>789</v>
      </c>
      <c r="C12" s="21" t="s">
        <v>65</v>
      </c>
      <c r="D12" s="139">
        <v>46387</v>
      </c>
      <c r="E12" s="24" t="s">
        <v>790</v>
      </c>
      <c r="H12" s="145" t="s">
        <v>791</v>
      </c>
    </row>
    <row r="13" spans="2:8">
      <c r="B13" s="96" t="s">
        <v>792</v>
      </c>
      <c r="C13" s="21" t="s">
        <v>793</v>
      </c>
      <c r="D13" s="95">
        <v>5</v>
      </c>
      <c r="E13" s="26" t="s">
        <v>794</v>
      </c>
    </row>
    <row r="14" spans="2:8">
      <c r="B14" s="96" t="s">
        <v>795</v>
      </c>
      <c r="C14" s="21" t="s">
        <v>793</v>
      </c>
      <c r="D14" s="95">
        <v>10</v>
      </c>
      <c r="E14" s="26" t="s">
        <v>796</v>
      </c>
    </row>
    <row r="15" spans="2:8"/>
    <row r="16" spans="2:8"/>
    <row r="17"/>
    <row r="18"/>
    <row r="19"/>
    <row r="20"/>
    <row r="21"/>
    <row r="22"/>
  </sheetData>
  <dataValidations count="1">
    <dataValidation type="list" allowBlank="1" showInputMessage="1" showErrorMessage="1" sqref="D8:D10" xr:uid="{00000000-0002-0000-0200-000000000000}">
      <formula1>"k,m,b"</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sheetPr>
  <dimension ref="A1:Y339"/>
  <sheetViews>
    <sheetView showGridLines="0" topLeftCell="A160" zoomScaleNormal="100" workbookViewId="0">
      <selection activeCell="A199" sqref="A199"/>
    </sheetView>
  </sheetViews>
  <sheetFormatPr defaultColWidth="0" defaultRowHeight="11.25" outlineLevelRow="1"/>
  <cols>
    <col min="1" max="1" width="10.6640625" style="241" bestFit="1" customWidth="1"/>
    <col min="2" max="2" width="72.1640625" bestFit="1" customWidth="1"/>
    <col min="3" max="3" width="12.6640625" bestFit="1" customWidth="1"/>
    <col min="4" max="4" width="16.83203125" bestFit="1" customWidth="1"/>
    <col min="5" max="8" width="17.33203125" bestFit="1" customWidth="1"/>
    <col min="9" max="9" width="14.83203125" bestFit="1" customWidth="1"/>
    <col min="10" max="10" width="73.83203125" bestFit="1" customWidth="1"/>
    <col min="11" max="19" width="9.1640625" customWidth="1"/>
    <col min="20" max="25" width="0" hidden="1" customWidth="1"/>
    <col min="26" max="16384" width="9.1640625" hidden="1"/>
  </cols>
  <sheetData>
    <row r="1" spans="1:19" ht="27">
      <c r="A1" s="800"/>
      <c r="B1" s="801" t="s">
        <v>797</v>
      </c>
      <c r="C1" s="746"/>
      <c r="D1" s="746"/>
      <c r="E1" s="746"/>
      <c r="F1" s="746"/>
      <c r="G1" s="746"/>
      <c r="H1" s="746"/>
      <c r="I1" s="746"/>
      <c r="J1" s="746"/>
      <c r="K1" s="746"/>
      <c r="L1" s="746"/>
      <c r="M1" s="746"/>
      <c r="N1" s="746"/>
      <c r="O1" s="746"/>
      <c r="P1" s="746"/>
      <c r="Q1" s="746"/>
      <c r="R1" s="746"/>
      <c r="S1" s="746"/>
    </row>
    <row r="2" spans="1:19">
      <c r="A2" s="800"/>
      <c r="B2" s="802"/>
      <c r="C2" s="746"/>
      <c r="D2" s="746"/>
      <c r="E2" s="746"/>
      <c r="F2" s="746"/>
      <c r="G2" s="746"/>
      <c r="H2" s="746"/>
      <c r="I2" s="746"/>
      <c r="J2" s="746"/>
      <c r="K2" s="746"/>
      <c r="L2" s="746"/>
      <c r="M2" s="746"/>
      <c r="N2" s="746"/>
      <c r="O2" s="746"/>
      <c r="P2" s="746"/>
      <c r="Q2" s="746"/>
      <c r="R2" s="746"/>
      <c r="S2" s="746"/>
    </row>
    <row r="3" spans="1:19">
      <c r="A3" s="800"/>
      <c r="B3" s="803"/>
      <c r="C3" s="746"/>
      <c r="D3" s="746"/>
      <c r="E3" s="746"/>
      <c r="F3" s="746"/>
      <c r="G3" s="746"/>
      <c r="H3" s="746"/>
      <c r="I3" s="746"/>
      <c r="J3" s="746"/>
      <c r="K3" s="746"/>
      <c r="L3" s="746"/>
      <c r="M3" s="746"/>
      <c r="N3" s="746"/>
      <c r="O3" s="746"/>
      <c r="P3" s="746"/>
      <c r="Q3" s="746"/>
      <c r="R3" s="746"/>
      <c r="S3" s="746"/>
    </row>
    <row r="4" spans="1:19">
      <c r="A4" s="800"/>
      <c r="B4" s="803"/>
      <c r="C4" s="746"/>
      <c r="D4" s="746"/>
      <c r="E4" s="746"/>
      <c r="F4" s="746"/>
      <c r="G4" s="746"/>
      <c r="H4" s="746"/>
      <c r="I4" s="746"/>
      <c r="J4" s="746"/>
      <c r="K4" s="746"/>
      <c r="L4" s="746"/>
      <c r="M4" s="746"/>
      <c r="N4" s="746"/>
      <c r="O4" s="746"/>
      <c r="P4" s="746"/>
      <c r="Q4" s="746"/>
      <c r="R4" s="746"/>
      <c r="S4" s="746"/>
    </row>
    <row r="5" spans="1:19">
      <c r="A5" s="800"/>
      <c r="B5" s="803"/>
      <c r="C5" s="746"/>
      <c r="D5" s="746"/>
      <c r="E5" s="746"/>
      <c r="F5" s="746"/>
      <c r="G5" s="746"/>
      <c r="H5" s="746"/>
      <c r="I5" s="746"/>
      <c r="J5" s="746"/>
      <c r="K5" s="746"/>
      <c r="L5" s="746"/>
      <c r="M5" s="746"/>
      <c r="N5" s="746"/>
      <c r="O5" s="746"/>
      <c r="P5" s="746"/>
      <c r="Q5" s="746"/>
      <c r="R5" s="746"/>
      <c r="S5" s="746"/>
    </row>
    <row r="6" spans="1:19">
      <c r="A6" s="800"/>
      <c r="B6" s="803"/>
      <c r="C6" s="746"/>
      <c r="D6" s="746"/>
      <c r="E6" s="746"/>
      <c r="F6" s="746"/>
      <c r="G6" s="746"/>
      <c r="H6" s="746"/>
      <c r="I6" s="746"/>
      <c r="J6" s="746"/>
      <c r="K6" s="746"/>
      <c r="L6" s="746"/>
      <c r="M6" s="746"/>
      <c r="N6" s="746"/>
      <c r="O6" s="746"/>
      <c r="P6" s="746"/>
      <c r="Q6" s="746"/>
      <c r="R6" s="746"/>
      <c r="S6" s="746"/>
    </row>
    <row r="7" spans="1:19">
      <c r="A7" s="800"/>
      <c r="B7" s="803"/>
      <c r="C7" s="746"/>
      <c r="D7" s="746"/>
      <c r="E7" s="746"/>
      <c r="F7" s="746"/>
      <c r="G7" s="746"/>
      <c r="H7" s="746"/>
      <c r="I7" s="746"/>
      <c r="J7" s="746"/>
      <c r="K7" s="746"/>
      <c r="L7" s="746"/>
      <c r="M7" s="746"/>
      <c r="N7" s="746"/>
      <c r="O7" s="746"/>
      <c r="P7" s="746"/>
      <c r="Q7" s="746"/>
      <c r="R7" s="746"/>
      <c r="S7" s="746"/>
    </row>
    <row r="8" spans="1:19">
      <c r="A8" s="800"/>
      <c r="B8" s="746"/>
      <c r="C8" s="746"/>
      <c r="D8" s="746"/>
      <c r="E8" s="746"/>
      <c r="F8" s="746"/>
      <c r="G8" s="746"/>
      <c r="H8" s="746"/>
      <c r="I8" s="746"/>
      <c r="J8" s="746"/>
      <c r="K8" s="746"/>
      <c r="L8" s="746"/>
      <c r="M8" s="746"/>
      <c r="N8" s="746"/>
      <c r="O8" s="746"/>
      <c r="P8" s="746"/>
      <c r="Q8" s="746"/>
      <c r="R8" s="746"/>
      <c r="S8" s="746"/>
    </row>
    <row r="9" spans="1:19">
      <c r="A9" s="800"/>
      <c r="B9" s="746"/>
      <c r="C9" s="746"/>
      <c r="D9" s="746"/>
      <c r="E9" s="746"/>
      <c r="F9" s="746"/>
      <c r="G9" s="746"/>
      <c r="H9" s="746"/>
      <c r="I9" s="746"/>
      <c r="J9" s="746"/>
      <c r="K9" s="746"/>
      <c r="L9" s="746"/>
      <c r="M9" s="746"/>
      <c r="N9" s="746"/>
      <c r="O9" s="746"/>
      <c r="P9" s="746"/>
      <c r="Q9" s="746"/>
      <c r="R9" s="746"/>
      <c r="S9" s="746"/>
    </row>
    <row r="10" spans="1:19">
      <c r="A10" s="800"/>
      <c r="B10" s="746" t="s">
        <v>784</v>
      </c>
      <c r="C10" s="804" t="s">
        <v>798</v>
      </c>
      <c r="D10" s="746"/>
      <c r="E10" s="746"/>
      <c r="F10" s="746"/>
      <c r="G10" s="746"/>
      <c r="H10" s="746"/>
      <c r="I10" s="746"/>
      <c r="J10" s="746"/>
      <c r="K10" s="746"/>
      <c r="L10" s="746"/>
      <c r="M10" s="746"/>
      <c r="N10" s="746"/>
      <c r="O10" s="746"/>
      <c r="P10" s="746"/>
      <c r="Q10" s="746"/>
      <c r="R10" s="746"/>
      <c r="S10" s="746"/>
    </row>
    <row r="11" spans="1:19">
      <c r="A11" s="800"/>
      <c r="B11" s="746" t="s">
        <v>799</v>
      </c>
      <c r="C11" s="746"/>
      <c r="D11" s="746"/>
      <c r="E11" s="746"/>
      <c r="F11" s="746"/>
      <c r="G11" s="746"/>
      <c r="H11" s="805">
        <v>12</v>
      </c>
      <c r="I11" s="806">
        <v>1</v>
      </c>
      <c r="J11" s="746"/>
      <c r="K11" s="746"/>
      <c r="L11" s="746"/>
      <c r="M11" s="746"/>
      <c r="N11" s="746"/>
      <c r="O11" s="746"/>
      <c r="P11" s="746"/>
      <c r="Q11" s="746"/>
      <c r="R11" s="746"/>
      <c r="S11" s="746"/>
    </row>
    <row r="12" spans="1:19">
      <c r="A12" s="807"/>
      <c r="B12" s="746" t="s">
        <v>800</v>
      </c>
      <c r="C12" s="746"/>
      <c r="D12" s="746"/>
      <c r="E12" s="746"/>
      <c r="F12" s="746"/>
      <c r="G12" s="746"/>
      <c r="H12" s="808" t="s">
        <v>801</v>
      </c>
      <c r="I12" s="746"/>
      <c r="J12" s="746"/>
      <c r="K12" s="746"/>
      <c r="L12" s="746"/>
      <c r="M12" s="746"/>
      <c r="N12" s="746"/>
      <c r="O12" s="746"/>
      <c r="P12" s="746"/>
      <c r="Q12" s="746"/>
      <c r="R12" s="746"/>
      <c r="S12" s="746"/>
    </row>
    <row r="13" spans="1:19">
      <c r="A13" s="807">
        <v>1</v>
      </c>
      <c r="B13" s="809" t="s">
        <v>802</v>
      </c>
      <c r="C13" s="803"/>
      <c r="D13" s="803">
        <v>-4</v>
      </c>
      <c r="E13" s="803">
        <v>-3</v>
      </c>
      <c r="F13" s="803">
        <v>-2</v>
      </c>
      <c r="G13" s="803">
        <v>-1</v>
      </c>
      <c r="H13" s="803">
        <v>0</v>
      </c>
      <c r="I13" s="746"/>
      <c r="J13" s="746"/>
      <c r="K13" s="746"/>
      <c r="L13" s="746"/>
      <c r="M13" s="746"/>
      <c r="N13" s="746"/>
      <c r="O13" s="746"/>
      <c r="P13" s="746"/>
      <c r="Q13" s="746"/>
      <c r="R13" s="746"/>
      <c r="S13" s="746"/>
    </row>
    <row r="14" spans="1:19">
      <c r="A14" s="807">
        <v>2</v>
      </c>
      <c r="B14" s="810" t="s">
        <v>803</v>
      </c>
      <c r="C14" s="810" t="s">
        <v>283</v>
      </c>
      <c r="D14" s="810" t="s">
        <v>283</v>
      </c>
      <c r="E14" s="810" t="s">
        <v>283</v>
      </c>
      <c r="F14" s="810" t="s">
        <v>283</v>
      </c>
      <c r="G14" s="810" t="s">
        <v>283</v>
      </c>
      <c r="H14" s="810" t="s">
        <v>283</v>
      </c>
      <c r="I14" s="810" t="s">
        <v>283</v>
      </c>
      <c r="J14" s="746"/>
      <c r="K14" s="746"/>
      <c r="L14" s="746"/>
      <c r="M14" s="746"/>
      <c r="N14" s="746"/>
      <c r="O14" s="746"/>
      <c r="P14" s="746"/>
      <c r="Q14" s="746"/>
      <c r="R14" s="746"/>
      <c r="S14" s="746"/>
    </row>
    <row r="15" spans="1:19">
      <c r="A15" s="807">
        <v>3</v>
      </c>
      <c r="B15" s="811" t="s">
        <v>804</v>
      </c>
      <c r="C15" s="811" t="s">
        <v>283</v>
      </c>
      <c r="D15" s="811" t="s">
        <v>805</v>
      </c>
      <c r="E15" s="811" t="s">
        <v>806</v>
      </c>
      <c r="F15" s="811" t="s">
        <v>807</v>
      </c>
      <c r="G15" s="811" t="s">
        <v>808</v>
      </c>
      <c r="H15" s="811" t="s">
        <v>809</v>
      </c>
      <c r="I15" s="812" t="s">
        <v>810</v>
      </c>
      <c r="J15" s="746"/>
      <c r="K15" s="746"/>
      <c r="L15" s="746"/>
      <c r="M15" s="746"/>
      <c r="N15" s="746"/>
      <c r="O15" s="746"/>
      <c r="P15" s="746"/>
      <c r="Q15" s="746"/>
      <c r="R15" s="746"/>
      <c r="S15" s="746"/>
    </row>
    <row r="16" spans="1:19" ht="12.75">
      <c r="A16" s="807">
        <v>4</v>
      </c>
      <c r="B16" s="813" t="s">
        <v>25</v>
      </c>
      <c r="C16" s="813"/>
      <c r="D16" s="872">
        <f>SUM(D17)</f>
        <v>675000</v>
      </c>
      <c r="E16" s="872">
        <f>SUM(E17:E17)</f>
        <v>1433000</v>
      </c>
      <c r="F16" s="872">
        <f>SUM(F17:F17)</f>
        <v>2359000</v>
      </c>
      <c r="G16" s="872">
        <f>SUM(G17:G17)</f>
        <v>2797000</v>
      </c>
      <c r="H16" s="872">
        <f>SUM(H17:H17)</f>
        <v>3370000</v>
      </c>
      <c r="I16" s="814" t="s">
        <v>811</v>
      </c>
      <c r="J16" s="746"/>
      <c r="K16" s="746"/>
      <c r="L16" s="746"/>
      <c r="M16" s="746"/>
      <c r="N16" s="746"/>
      <c r="O16" s="746"/>
      <c r="P16" s="746"/>
      <c r="Q16" s="746"/>
      <c r="R16" s="746"/>
      <c r="S16" s="746"/>
    </row>
    <row r="17" spans="1:19" ht="12.75">
      <c r="A17" s="807"/>
      <c r="B17" s="878" t="s">
        <v>812</v>
      </c>
      <c r="C17" s="813"/>
      <c r="D17" s="879">
        <f>IS!Q13</f>
        <v>675000</v>
      </c>
      <c r="E17" s="879">
        <f>IS!P13</f>
        <v>1433000</v>
      </c>
      <c r="F17" s="879">
        <f>IS!O13</f>
        <v>2359000</v>
      </c>
      <c r="G17" s="879">
        <f>IS!N13</f>
        <v>2797000</v>
      </c>
      <c r="H17" s="879">
        <f>IS!M13</f>
        <v>3370000</v>
      </c>
      <c r="I17" s="814"/>
      <c r="J17" s="746"/>
      <c r="K17" s="746"/>
      <c r="L17" s="746"/>
      <c r="M17" s="746"/>
      <c r="N17" s="746"/>
      <c r="O17" s="746"/>
      <c r="P17" s="746"/>
      <c r="Q17" s="746"/>
      <c r="R17" s="746"/>
      <c r="S17" s="746"/>
    </row>
    <row r="18" spans="1:19">
      <c r="A18" s="807">
        <v>7</v>
      </c>
      <c r="B18" s="803"/>
      <c r="C18" s="813"/>
      <c r="D18" s="866"/>
      <c r="E18" s="866"/>
      <c r="F18" s="866"/>
      <c r="G18" s="866"/>
      <c r="H18" s="866"/>
      <c r="I18" s="814" t="s">
        <v>283</v>
      </c>
      <c r="J18" s="803"/>
      <c r="K18" s="746"/>
      <c r="L18" s="746"/>
      <c r="M18" s="746"/>
      <c r="N18" s="746"/>
      <c r="O18" s="746"/>
      <c r="P18" s="746"/>
      <c r="Q18" s="746"/>
      <c r="R18" s="746"/>
      <c r="S18" s="746"/>
    </row>
    <row r="19" spans="1:19" ht="12.75">
      <c r="A19" s="807">
        <v>8</v>
      </c>
      <c r="B19" s="813" t="s">
        <v>813</v>
      </c>
      <c r="C19" s="813"/>
      <c r="D19" s="867">
        <f>-'FinancialData(BS&amp;IS)'!D6</f>
        <v>-1070000</v>
      </c>
      <c r="E19" s="867">
        <f>-'FinancialData(BS&amp;IS)'!E6</f>
        <v>-1356000</v>
      </c>
      <c r="F19" s="867">
        <f>-'FinancialData(BS&amp;IS)'!F6</f>
        <v>-1499000</v>
      </c>
      <c r="G19" s="867">
        <f>-'FinancialData(BS&amp;IS)'!G6</f>
        <v>-1623000</v>
      </c>
      <c r="H19" s="867">
        <f>-'FinancialData(BS&amp;IS)'!H6</f>
        <v>-1914000</v>
      </c>
      <c r="I19" s="814" t="s">
        <v>811</v>
      </c>
      <c r="J19" s="746"/>
      <c r="K19" s="746"/>
      <c r="L19" s="746"/>
      <c r="M19" s="746"/>
      <c r="N19" s="746"/>
      <c r="O19" s="746"/>
      <c r="P19" s="746"/>
      <c r="Q19" s="746"/>
      <c r="R19" s="746"/>
      <c r="S19" s="746"/>
    </row>
    <row r="20" spans="1:19">
      <c r="A20" s="807">
        <v>9</v>
      </c>
      <c r="B20" s="816" t="s">
        <v>27</v>
      </c>
      <c r="C20" s="816"/>
      <c r="D20" s="868">
        <f>SUM(D17:D19)</f>
        <v>-395000</v>
      </c>
      <c r="E20" s="868">
        <f t="shared" ref="E20:H20" si="0">SUM(E17:E19)</f>
        <v>77000</v>
      </c>
      <c r="F20" s="868">
        <f t="shared" si="0"/>
        <v>860000</v>
      </c>
      <c r="G20" s="868">
        <f t="shared" si="0"/>
        <v>1174000</v>
      </c>
      <c r="H20" s="868">
        <f t="shared" si="0"/>
        <v>1456000</v>
      </c>
      <c r="I20" s="817" t="s">
        <v>811</v>
      </c>
      <c r="J20" s="746"/>
      <c r="K20" s="746"/>
      <c r="L20" s="746"/>
      <c r="M20" s="746"/>
      <c r="N20" s="746"/>
      <c r="O20" s="746"/>
      <c r="P20" s="746"/>
      <c r="Q20" s="746"/>
      <c r="R20" s="746"/>
      <c r="S20" s="746"/>
    </row>
    <row r="21" spans="1:19">
      <c r="A21" s="807">
        <v>10</v>
      </c>
      <c r="B21" s="813"/>
      <c r="C21" s="813"/>
      <c r="D21" s="866"/>
      <c r="E21" s="866"/>
      <c r="F21" s="866"/>
      <c r="G21" s="866"/>
      <c r="H21" s="866"/>
      <c r="I21" s="814" t="s">
        <v>283</v>
      </c>
      <c r="J21" s="746"/>
      <c r="K21" s="746"/>
      <c r="L21" s="746"/>
      <c r="M21" s="746"/>
      <c r="N21" s="746"/>
      <c r="O21" s="746"/>
      <c r="P21" s="746"/>
      <c r="Q21" s="746"/>
      <c r="R21" s="746"/>
      <c r="S21" s="746"/>
    </row>
    <row r="22" spans="1:19" ht="12.75">
      <c r="A22" s="807">
        <v>11</v>
      </c>
      <c r="B22" s="880" t="s">
        <v>814</v>
      </c>
      <c r="C22" s="881" t="s">
        <v>815</v>
      </c>
      <c r="D22" s="879">
        <f>-IS!Q20</f>
        <v>-241000</v>
      </c>
      <c r="E22" s="879">
        <f>-IS!P20</f>
        <v>-278000</v>
      </c>
      <c r="F22" s="879">
        <f>-IS!O20</f>
        <v>-293000</v>
      </c>
      <c r="G22" s="879">
        <f>-IS!N20</f>
        <v>-324000</v>
      </c>
      <c r="H22" s="879">
        <f>-IS!M20</f>
        <v>-367000</v>
      </c>
      <c r="I22" s="814" t="s">
        <v>811</v>
      </c>
      <c r="J22" s="815" t="s">
        <v>816</v>
      </c>
      <c r="K22" s="746"/>
      <c r="L22" s="746"/>
      <c r="M22" s="746"/>
      <c r="N22" s="746"/>
      <c r="O22" s="746"/>
      <c r="P22" s="746"/>
      <c r="Q22" s="746"/>
      <c r="R22" s="746"/>
      <c r="S22" s="746"/>
    </row>
    <row r="23" spans="1:19" ht="12.75">
      <c r="A23" s="807">
        <v>12</v>
      </c>
      <c r="B23" s="880" t="s">
        <v>817</v>
      </c>
      <c r="C23" s="881" t="s">
        <v>818</v>
      </c>
      <c r="D23" s="879">
        <f>-IS!Q19*0.7</f>
        <v>-380800</v>
      </c>
      <c r="E23" s="879">
        <f>-IS!R19*0.7</f>
        <v>-228200</v>
      </c>
      <c r="F23" s="879">
        <f>-IS!O19*0.7</f>
        <v>-385000</v>
      </c>
      <c r="G23" s="879">
        <f>-IS!N19*0.7</f>
        <v>-358400</v>
      </c>
      <c r="H23" s="879">
        <f>-IS!M19*0.7</f>
        <v>-321300</v>
      </c>
      <c r="I23" s="814" t="s">
        <v>811</v>
      </c>
      <c r="J23" s="815" t="s">
        <v>819</v>
      </c>
      <c r="K23" s="746"/>
      <c r="L23" s="746"/>
      <c r="M23" s="746"/>
      <c r="N23" s="746"/>
      <c r="O23" s="746"/>
      <c r="P23" s="746"/>
      <c r="Q23" s="746"/>
      <c r="R23" s="746"/>
      <c r="S23" s="746"/>
    </row>
    <row r="24" spans="1:19" ht="12.75">
      <c r="A24" s="807">
        <v>13</v>
      </c>
      <c r="B24" s="880" t="s">
        <v>820</v>
      </c>
      <c r="C24" s="881" t="s">
        <v>818</v>
      </c>
      <c r="D24" s="879">
        <f>-IS!Q19*0.3</f>
        <v>-163200</v>
      </c>
      <c r="E24" s="879">
        <f>-IS!P19*0.3</f>
        <v>-193800</v>
      </c>
      <c r="F24" s="879">
        <f>-IS!O19*0.3</f>
        <v>-165000</v>
      </c>
      <c r="G24" s="879">
        <f>-IS!N19*0.3</f>
        <v>-153600</v>
      </c>
      <c r="H24" s="879">
        <f>-IS!M19*0.3</f>
        <v>-137700</v>
      </c>
      <c r="I24" s="814" t="s">
        <v>811</v>
      </c>
      <c r="J24" s="815" t="s">
        <v>821</v>
      </c>
      <c r="K24" s="746"/>
      <c r="L24" s="746"/>
      <c r="M24" s="746"/>
      <c r="N24" s="746"/>
      <c r="O24" s="746"/>
      <c r="P24" s="746"/>
      <c r="Q24" s="746"/>
      <c r="R24" s="746"/>
      <c r="S24" s="746"/>
    </row>
    <row r="25" spans="1:19" ht="12.75">
      <c r="A25" s="807"/>
      <c r="B25" s="880" t="s">
        <v>30</v>
      </c>
      <c r="C25" s="881" t="s">
        <v>818</v>
      </c>
      <c r="D25" s="879">
        <f>-IS!Q22</f>
        <v>-356000</v>
      </c>
      <c r="E25" s="879">
        <f>-IS!P22</f>
        <v>-465000</v>
      </c>
      <c r="F25" s="879">
        <f>-IS!O22</f>
        <v>-421000</v>
      </c>
      <c r="G25" s="879">
        <f>-IS!N22</f>
        <v>-410000</v>
      </c>
      <c r="H25" s="879">
        <f>-IS!M22</f>
        <v>-428000</v>
      </c>
      <c r="I25" s="814"/>
      <c r="J25" s="815"/>
      <c r="K25" s="746"/>
      <c r="L25" s="746"/>
      <c r="M25" s="746"/>
      <c r="N25" s="746"/>
      <c r="O25" s="746"/>
      <c r="P25" s="746"/>
      <c r="Q25" s="746"/>
      <c r="R25" s="746"/>
      <c r="S25" s="746"/>
    </row>
    <row r="26" spans="1:19" ht="12.75">
      <c r="A26" s="807">
        <v>14</v>
      </c>
      <c r="B26" s="880" t="s">
        <v>822</v>
      </c>
      <c r="C26" s="881" t="s">
        <v>818</v>
      </c>
      <c r="D26" s="879">
        <v>12000</v>
      </c>
      <c r="E26" s="879">
        <v>17000</v>
      </c>
      <c r="F26" s="879">
        <v>17000</v>
      </c>
      <c r="G26" s="879">
        <v>17000</v>
      </c>
      <c r="H26" s="879">
        <v>20000</v>
      </c>
      <c r="I26" s="814" t="s">
        <v>811</v>
      </c>
      <c r="J26" s="815" t="s">
        <v>821</v>
      </c>
      <c r="K26" s="746"/>
      <c r="L26" s="746"/>
      <c r="M26" s="746"/>
      <c r="N26" s="746"/>
      <c r="O26" s="746"/>
      <c r="P26" s="746"/>
      <c r="Q26" s="746"/>
      <c r="R26" s="746"/>
      <c r="S26" s="746"/>
    </row>
    <row r="27" spans="1:19">
      <c r="A27" s="807">
        <v>16</v>
      </c>
      <c r="B27" s="816" t="s">
        <v>823</v>
      </c>
      <c r="C27" s="816"/>
      <c r="D27" s="868">
        <f>SUM(D20:D26)</f>
        <v>-1524000</v>
      </c>
      <c r="E27" s="868">
        <f t="shared" ref="E27:H27" si="1">SUM(E20:E26)</f>
        <v>-1071000</v>
      </c>
      <c r="F27" s="868">
        <f t="shared" si="1"/>
        <v>-387000</v>
      </c>
      <c r="G27" s="868">
        <f t="shared" si="1"/>
        <v>-55000</v>
      </c>
      <c r="H27" s="868">
        <f t="shared" si="1"/>
        <v>222000</v>
      </c>
      <c r="I27" s="817" t="s">
        <v>811</v>
      </c>
      <c r="J27" s="803"/>
      <c r="K27" s="746"/>
      <c r="L27" s="746"/>
      <c r="M27" s="746"/>
      <c r="N27" s="746"/>
      <c r="O27" s="746"/>
      <c r="P27" s="746"/>
      <c r="Q27" s="746"/>
      <c r="R27" s="746"/>
      <c r="S27" s="746"/>
    </row>
    <row r="28" spans="1:19">
      <c r="A28" s="807">
        <v>17</v>
      </c>
      <c r="B28" s="813"/>
      <c r="C28" s="813"/>
      <c r="D28" s="866"/>
      <c r="E28" s="866"/>
      <c r="F28" s="866"/>
      <c r="G28" s="866"/>
      <c r="H28" s="866"/>
      <c r="I28" s="814" t="s">
        <v>283</v>
      </c>
      <c r="J28" s="746"/>
      <c r="K28" s="746"/>
      <c r="L28" s="746"/>
      <c r="M28" s="746"/>
      <c r="N28" s="746"/>
      <c r="O28" s="746"/>
      <c r="P28" s="746"/>
      <c r="Q28" s="746"/>
      <c r="R28" s="746"/>
      <c r="S28" s="746"/>
    </row>
    <row r="29" spans="1:19" ht="12.75">
      <c r="A29" s="807">
        <v>18</v>
      </c>
      <c r="B29" s="813" t="s">
        <v>824</v>
      </c>
      <c r="C29" s="813"/>
      <c r="D29" s="867">
        <f>-BS!Q59</f>
        <v>358000</v>
      </c>
      <c r="E29" s="867">
        <f>-BS!P59</f>
        <v>442000</v>
      </c>
      <c r="F29" s="867">
        <f>-BS!O59</f>
        <v>522000</v>
      </c>
      <c r="G29" s="867">
        <f>-BS!N59</f>
        <v>558000</v>
      </c>
      <c r="H29" s="867">
        <f>-BS!M59</f>
        <v>654000</v>
      </c>
      <c r="I29" s="814" t="s">
        <v>811</v>
      </c>
      <c r="J29" s="815" t="s">
        <v>825</v>
      </c>
      <c r="K29" s="746"/>
      <c r="L29" s="746"/>
      <c r="M29" s="746"/>
      <c r="N29" s="746"/>
      <c r="O29" s="746"/>
      <c r="P29" s="746"/>
      <c r="Q29" s="746"/>
      <c r="R29" s="746"/>
      <c r="S29" s="746"/>
    </row>
    <row r="30" spans="1:19" ht="12.75">
      <c r="A30" s="807">
        <v>19</v>
      </c>
      <c r="B30" s="813" t="s">
        <v>826</v>
      </c>
      <c r="C30" s="813"/>
      <c r="D30" s="867"/>
      <c r="E30" s="867"/>
      <c r="F30" s="867"/>
      <c r="G30" s="867"/>
      <c r="H30" s="867"/>
      <c r="I30" s="814" t="s">
        <v>811</v>
      </c>
      <c r="J30" s="815" t="s">
        <v>825</v>
      </c>
      <c r="K30" s="746"/>
      <c r="L30" s="746"/>
      <c r="M30" s="746"/>
      <c r="N30" s="746"/>
      <c r="O30" s="746"/>
      <c r="P30" s="746"/>
      <c r="Q30" s="746"/>
      <c r="R30" s="746"/>
      <c r="S30" s="746"/>
    </row>
    <row r="31" spans="1:19">
      <c r="A31" s="807">
        <v>20</v>
      </c>
      <c r="B31" s="818" t="s">
        <v>827</v>
      </c>
      <c r="C31" s="818" t="s">
        <v>283</v>
      </c>
      <c r="D31" s="819">
        <f>SUM(D27:D30)</f>
        <v>-1166000</v>
      </c>
      <c r="E31" s="819">
        <f t="shared" ref="E31:H31" si="2">SUM(E27:E30)</f>
        <v>-629000</v>
      </c>
      <c r="F31" s="819">
        <f t="shared" si="2"/>
        <v>135000</v>
      </c>
      <c r="G31" s="819">
        <f t="shared" si="2"/>
        <v>503000</v>
      </c>
      <c r="H31" s="819">
        <f t="shared" si="2"/>
        <v>876000</v>
      </c>
      <c r="I31" s="820" t="s">
        <v>811</v>
      </c>
      <c r="J31" s="746"/>
      <c r="K31" s="746"/>
      <c r="L31" s="746"/>
      <c r="M31" s="746"/>
      <c r="N31" s="746"/>
      <c r="O31" s="746"/>
      <c r="P31" s="746"/>
      <c r="Q31" s="746"/>
      <c r="R31" s="746"/>
      <c r="S31" s="746"/>
    </row>
    <row r="32" spans="1:19">
      <c r="A32" s="807">
        <v>21</v>
      </c>
      <c r="B32" s="821" t="s">
        <v>828</v>
      </c>
      <c r="C32" s="813"/>
      <c r="D32" s="813"/>
      <c r="E32" s="813"/>
      <c r="F32" s="813"/>
      <c r="G32" s="813"/>
      <c r="H32" s="813"/>
      <c r="I32" s="813"/>
      <c r="J32" s="746"/>
      <c r="K32" s="746"/>
      <c r="L32" s="746"/>
      <c r="M32" s="746"/>
      <c r="N32" s="746"/>
      <c r="O32" s="746"/>
      <c r="P32" s="746"/>
      <c r="Q32" s="746"/>
      <c r="R32" s="746"/>
      <c r="S32" s="746"/>
    </row>
    <row r="33" spans="1:19">
      <c r="A33" s="807"/>
      <c r="B33" s="821"/>
      <c r="C33" s="813"/>
      <c r="D33" s="813"/>
      <c r="E33" s="813"/>
      <c r="F33" s="813"/>
      <c r="G33" s="813"/>
      <c r="H33" s="813"/>
      <c r="I33" s="813"/>
      <c r="J33" s="746"/>
      <c r="K33" s="746"/>
      <c r="L33" s="746"/>
      <c r="M33" s="746"/>
      <c r="N33" s="746"/>
      <c r="O33" s="746"/>
      <c r="P33" s="746"/>
      <c r="Q33" s="746"/>
      <c r="R33" s="746"/>
      <c r="S33" s="746"/>
    </row>
    <row r="34" spans="1:19" outlineLevel="1">
      <c r="A34" s="807">
        <v>30</v>
      </c>
      <c r="B34" s="746"/>
      <c r="C34" s="746"/>
      <c r="D34" s="746"/>
      <c r="E34" s="746"/>
      <c r="F34" s="746"/>
      <c r="G34" s="746"/>
      <c r="H34" s="746"/>
      <c r="I34" s="746"/>
      <c r="J34" s="746"/>
      <c r="K34" s="746"/>
      <c r="L34" s="746"/>
      <c r="M34" s="746"/>
      <c r="N34" s="746"/>
      <c r="O34" s="746"/>
      <c r="P34" s="746"/>
      <c r="Q34" s="746"/>
      <c r="R34" s="746"/>
      <c r="S34" s="746"/>
    </row>
    <row r="35" spans="1:19" outlineLevel="1">
      <c r="A35" s="807"/>
      <c r="B35" s="746"/>
      <c r="C35" s="746"/>
      <c r="D35" s="746"/>
      <c r="E35" s="746"/>
      <c r="F35" s="746"/>
      <c r="G35" s="746"/>
      <c r="H35" s="746"/>
      <c r="I35" s="746"/>
      <c r="J35" s="746"/>
      <c r="K35" s="746"/>
      <c r="L35" s="746"/>
      <c r="M35" s="746"/>
      <c r="N35" s="746"/>
      <c r="O35" s="746"/>
      <c r="P35" s="746"/>
      <c r="Q35" s="746"/>
      <c r="R35" s="746"/>
      <c r="S35" s="746"/>
    </row>
    <row r="36" spans="1:19" outlineLevel="1">
      <c r="A36" s="807">
        <v>31</v>
      </c>
      <c r="B36" s="810" t="s">
        <v>829</v>
      </c>
      <c r="C36" s="810" t="s">
        <v>283</v>
      </c>
      <c r="D36" s="810" t="s">
        <v>283</v>
      </c>
      <c r="E36" s="810" t="s">
        <v>283</v>
      </c>
      <c r="F36" s="810" t="s">
        <v>283</v>
      </c>
      <c r="G36" s="810" t="s">
        <v>283</v>
      </c>
      <c r="H36" s="810" t="s">
        <v>283</v>
      </c>
      <c r="I36" s="810" t="s">
        <v>283</v>
      </c>
      <c r="J36" s="746"/>
      <c r="K36" s="746"/>
      <c r="L36" s="746"/>
      <c r="M36" s="746"/>
      <c r="N36" s="746"/>
      <c r="O36" s="746"/>
      <c r="P36" s="746"/>
      <c r="Q36" s="746"/>
      <c r="R36" s="746"/>
      <c r="S36" s="746"/>
    </row>
    <row r="37" spans="1:19" outlineLevel="1">
      <c r="A37" s="807">
        <v>32</v>
      </c>
      <c r="B37" s="811" t="s">
        <v>283</v>
      </c>
      <c r="C37" s="811" t="s">
        <v>283</v>
      </c>
      <c r="D37" s="811" t="s">
        <v>805</v>
      </c>
      <c r="E37" s="811" t="s">
        <v>806</v>
      </c>
      <c r="F37" s="811" t="s">
        <v>807</v>
      </c>
      <c r="G37" s="811" t="s">
        <v>808</v>
      </c>
      <c r="H37" s="811" t="s">
        <v>809</v>
      </c>
      <c r="I37" s="812" t="s">
        <v>830</v>
      </c>
      <c r="J37" s="746"/>
      <c r="K37" s="746"/>
      <c r="L37" s="746"/>
      <c r="M37" s="746"/>
      <c r="N37" s="746"/>
      <c r="O37" s="746"/>
      <c r="P37" s="746"/>
      <c r="Q37" s="746"/>
      <c r="R37" s="746"/>
      <c r="S37" s="746"/>
    </row>
    <row r="38" spans="1:19" outlineLevel="1">
      <c r="A38" s="807"/>
      <c r="B38" s="822" t="s">
        <v>831</v>
      </c>
      <c r="C38" s="823"/>
      <c r="D38" s="823"/>
      <c r="E38" s="823"/>
      <c r="F38" s="823"/>
      <c r="G38" s="823"/>
      <c r="H38" s="823"/>
      <c r="I38" s="824" t="s">
        <v>283</v>
      </c>
      <c r="J38" s="746"/>
      <c r="K38" s="746"/>
      <c r="L38" s="746"/>
      <c r="M38" s="746"/>
      <c r="N38" s="746"/>
      <c r="O38" s="746"/>
      <c r="P38" s="746"/>
      <c r="Q38" s="746"/>
      <c r="R38" s="746"/>
      <c r="S38" s="746"/>
    </row>
    <row r="39" spans="1:19" outlineLevel="1">
      <c r="A39" s="807">
        <v>33</v>
      </c>
      <c r="B39" s="813" t="s">
        <v>25</v>
      </c>
      <c r="C39" s="813"/>
      <c r="D39" s="813"/>
      <c r="E39" s="825">
        <v>1.123</v>
      </c>
      <c r="F39" s="825">
        <v>0.64600000000000002</v>
      </c>
      <c r="G39" s="825">
        <v>0.186</v>
      </c>
      <c r="H39" s="825">
        <v>0.20499999999999999</v>
      </c>
      <c r="I39" s="826">
        <v>0.33</v>
      </c>
      <c r="J39" s="815" t="s">
        <v>832</v>
      </c>
      <c r="K39" s="746"/>
      <c r="L39" s="746"/>
      <c r="M39" s="746"/>
      <c r="N39" s="746"/>
      <c r="O39" s="746"/>
      <c r="P39" s="746"/>
      <c r="Q39" s="746"/>
      <c r="R39" s="746"/>
      <c r="S39" s="746"/>
    </row>
    <row r="40" spans="1:19" outlineLevel="1">
      <c r="A40" s="807">
        <v>34</v>
      </c>
      <c r="B40" s="813" t="s">
        <v>813</v>
      </c>
      <c r="C40" s="813"/>
      <c r="D40" s="813"/>
      <c r="E40" s="813"/>
      <c r="F40" s="825">
        <v>0.105</v>
      </c>
      <c r="G40" s="825">
        <v>8.3000000000000004E-2</v>
      </c>
      <c r="H40" s="825">
        <v>0.17899999999999999</v>
      </c>
      <c r="I40" s="826">
        <v>0.122</v>
      </c>
      <c r="J40" s="803"/>
      <c r="K40" s="746"/>
      <c r="L40" s="746"/>
      <c r="M40" s="746"/>
      <c r="N40" s="746"/>
      <c r="O40" s="746"/>
      <c r="P40" s="746"/>
      <c r="Q40" s="746"/>
      <c r="R40" s="746"/>
      <c r="S40" s="746"/>
    </row>
    <row r="41" spans="1:19" outlineLevel="1">
      <c r="A41" s="807">
        <v>35</v>
      </c>
      <c r="B41" s="813" t="s">
        <v>817</v>
      </c>
      <c r="C41" s="813"/>
      <c r="D41" s="813"/>
      <c r="E41" s="825">
        <v>0.158</v>
      </c>
      <c r="F41" s="825">
        <v>-0.13600000000000001</v>
      </c>
      <c r="G41" s="825">
        <v>-5.2999999999999999E-2</v>
      </c>
      <c r="H41" s="825">
        <v>-9.7000000000000003E-2</v>
      </c>
      <c r="I41" s="826">
        <v>-9.6000000000000002E-2</v>
      </c>
      <c r="J41" s="803"/>
      <c r="K41" s="746"/>
      <c r="L41" s="746"/>
      <c r="M41" s="746"/>
      <c r="N41" s="746"/>
      <c r="O41" s="746"/>
      <c r="P41" s="746"/>
      <c r="Q41" s="746"/>
      <c r="R41" s="746"/>
      <c r="S41" s="746"/>
    </row>
    <row r="42" spans="1:19">
      <c r="A42" s="807">
        <v>36</v>
      </c>
      <c r="B42" s="813" t="s">
        <v>820</v>
      </c>
      <c r="C42" s="813"/>
      <c r="D42" s="813"/>
      <c r="E42" s="825">
        <v>0.25600000000000001</v>
      </c>
      <c r="F42" s="825">
        <v>-0.17499999999999999</v>
      </c>
      <c r="G42" s="825">
        <v>-0.106</v>
      </c>
      <c r="H42" s="825">
        <v>-0.11799999999999999</v>
      </c>
      <c r="I42" s="826">
        <v>-0.13400000000000001</v>
      </c>
      <c r="J42" s="803"/>
      <c r="K42" s="746"/>
      <c r="L42" s="746"/>
      <c r="M42" s="746"/>
      <c r="N42" s="746"/>
      <c r="O42" s="746"/>
      <c r="P42" s="746"/>
      <c r="Q42" s="746"/>
      <c r="R42" s="746"/>
      <c r="S42" s="746"/>
    </row>
    <row r="43" spans="1:19" outlineLevel="1">
      <c r="A43" s="807">
        <v>37</v>
      </c>
      <c r="B43" s="813" t="s">
        <v>30</v>
      </c>
      <c r="C43" s="813"/>
      <c r="D43" s="813"/>
      <c r="E43" s="825">
        <v>0.30599999999999999</v>
      </c>
      <c r="F43" s="825">
        <v>-9.5000000000000001E-2</v>
      </c>
      <c r="G43" s="825">
        <v>-2.5999999999999999E-2</v>
      </c>
      <c r="H43" s="825">
        <v>4.3999999999999997E-2</v>
      </c>
      <c r="I43" s="826">
        <v>-2.7E-2</v>
      </c>
      <c r="J43" s="803"/>
      <c r="K43" s="746"/>
      <c r="L43" s="746"/>
      <c r="M43" s="746"/>
      <c r="N43" s="746"/>
      <c r="O43" s="746"/>
      <c r="P43" s="746"/>
      <c r="Q43" s="746"/>
      <c r="R43" s="746"/>
      <c r="S43" s="746"/>
    </row>
    <row r="44" spans="1:19">
      <c r="A44" s="807">
        <v>38</v>
      </c>
      <c r="B44" s="813" t="s">
        <v>822</v>
      </c>
      <c r="C44" s="813"/>
      <c r="D44" s="813"/>
      <c r="E44" s="825">
        <v>0.41699999999999998</v>
      </c>
      <c r="F44" s="825">
        <v>0</v>
      </c>
      <c r="G44" s="825">
        <v>0</v>
      </c>
      <c r="H44" s="825">
        <v>0.17599999999999999</v>
      </c>
      <c r="I44" s="826">
        <v>5.6000000000000001E-2</v>
      </c>
      <c r="J44" s="803"/>
      <c r="K44" s="746"/>
      <c r="L44" s="746"/>
      <c r="M44" s="746"/>
      <c r="N44" s="746"/>
      <c r="O44" s="746"/>
      <c r="P44" s="746"/>
      <c r="Q44" s="746"/>
      <c r="R44" s="746"/>
      <c r="S44" s="746"/>
    </row>
    <row r="45" spans="1:19">
      <c r="A45" s="807">
        <v>39</v>
      </c>
      <c r="B45" s="813"/>
      <c r="C45" s="813"/>
      <c r="D45" s="813"/>
      <c r="E45" s="813"/>
      <c r="F45" s="813"/>
      <c r="G45" s="813"/>
      <c r="H45" s="813"/>
      <c r="I45" s="746"/>
      <c r="J45" s="803"/>
      <c r="K45" s="746"/>
      <c r="L45" s="746"/>
      <c r="M45" s="746"/>
      <c r="N45" s="746"/>
      <c r="O45" s="746"/>
      <c r="P45" s="746"/>
      <c r="Q45" s="746"/>
      <c r="R45" s="746"/>
      <c r="S45" s="746"/>
    </row>
    <row r="46" spans="1:19">
      <c r="A46" s="807">
        <v>40</v>
      </c>
      <c r="B46" s="813"/>
      <c r="C46" s="813"/>
      <c r="D46" s="813"/>
      <c r="E46" s="813"/>
      <c r="F46" s="813"/>
      <c r="G46" s="813"/>
      <c r="H46" s="813"/>
      <c r="I46" s="814" t="s">
        <v>283</v>
      </c>
      <c r="J46" s="803"/>
      <c r="K46" s="746"/>
      <c r="L46" s="746"/>
      <c r="M46" s="746"/>
      <c r="N46" s="746"/>
      <c r="O46" s="746"/>
      <c r="P46" s="746"/>
      <c r="Q46" s="746"/>
      <c r="R46" s="746"/>
      <c r="S46" s="746"/>
    </row>
    <row r="47" spans="1:19">
      <c r="A47" s="807">
        <v>41</v>
      </c>
      <c r="B47" s="822" t="s">
        <v>833</v>
      </c>
      <c r="C47" s="813"/>
      <c r="D47" s="813"/>
      <c r="E47" s="813"/>
      <c r="F47" s="813"/>
      <c r="G47" s="813"/>
      <c r="H47" s="813"/>
      <c r="I47" s="827" t="s">
        <v>834</v>
      </c>
      <c r="J47" s="803"/>
      <c r="K47" s="746"/>
      <c r="L47" s="746"/>
      <c r="M47" s="746"/>
      <c r="N47" s="746"/>
      <c r="O47" s="746"/>
      <c r="P47" s="746"/>
      <c r="Q47" s="746"/>
      <c r="R47" s="746"/>
      <c r="S47" s="746"/>
    </row>
    <row r="48" spans="1:19">
      <c r="A48" s="807">
        <v>42</v>
      </c>
      <c r="B48" s="813" t="s">
        <v>814</v>
      </c>
      <c r="C48" s="813"/>
      <c r="D48" s="825">
        <v>0.35699999999999998</v>
      </c>
      <c r="E48" s="825">
        <v>0.19400000000000001</v>
      </c>
      <c r="F48" s="825">
        <v>0.124</v>
      </c>
      <c r="G48" s="825">
        <v>0.11600000000000001</v>
      </c>
      <c r="H48" s="825">
        <v>0.109</v>
      </c>
      <c r="I48" s="826">
        <v>0.11600000000000001</v>
      </c>
      <c r="J48" s="803"/>
      <c r="K48" s="746"/>
      <c r="L48" s="746"/>
      <c r="M48" s="746"/>
      <c r="N48" s="746"/>
      <c r="O48" s="746"/>
      <c r="P48" s="746"/>
      <c r="Q48" s="746"/>
      <c r="R48" s="746"/>
      <c r="S48" s="746"/>
    </row>
    <row r="49" spans="1:19">
      <c r="A49" s="807">
        <v>43</v>
      </c>
      <c r="B49" s="813" t="s">
        <v>835</v>
      </c>
      <c r="C49" s="813"/>
      <c r="D49" s="825">
        <v>1</v>
      </c>
      <c r="E49" s="825">
        <v>5.3999999999999999E-2</v>
      </c>
      <c r="F49" s="825">
        <v>0.36499999999999999</v>
      </c>
      <c r="G49" s="825">
        <v>0.42</v>
      </c>
      <c r="H49" s="825">
        <v>0.432</v>
      </c>
      <c r="I49" s="826">
        <v>0.40500000000000003</v>
      </c>
      <c r="J49" s="746"/>
      <c r="K49" s="746"/>
      <c r="L49" s="746"/>
      <c r="M49" s="746"/>
      <c r="N49" s="746"/>
      <c r="O49" s="746"/>
      <c r="P49" s="746"/>
      <c r="Q49" s="746"/>
      <c r="R49" s="746"/>
      <c r="S49" s="746"/>
    </row>
    <row r="50" spans="1:19">
      <c r="A50" s="807">
        <v>44</v>
      </c>
      <c r="B50" s="813" t="s">
        <v>108</v>
      </c>
      <c r="C50" s="813"/>
      <c r="D50" s="825">
        <v>-0.67300000000000004</v>
      </c>
      <c r="E50" s="825">
        <v>-0.90400000000000003</v>
      </c>
      <c r="F50" s="825">
        <v>-0.16400000000000001</v>
      </c>
      <c r="G50" s="825">
        <v>-0.02</v>
      </c>
      <c r="H50" s="825">
        <v>6.6000000000000003E-2</v>
      </c>
      <c r="I50" s="826">
        <v>-3.9E-2</v>
      </c>
      <c r="J50" s="746"/>
      <c r="K50" s="746"/>
      <c r="L50" s="746"/>
      <c r="M50" s="746"/>
      <c r="N50" s="746"/>
      <c r="O50" s="746"/>
      <c r="P50" s="746"/>
      <c r="Q50" s="746"/>
      <c r="R50" s="746"/>
      <c r="S50" s="746"/>
    </row>
    <row r="51" spans="1:19">
      <c r="A51" s="807">
        <v>45</v>
      </c>
      <c r="B51" s="813" t="s">
        <v>110</v>
      </c>
      <c r="C51" s="813"/>
      <c r="D51" s="825">
        <v>-0.58399999999999996</v>
      </c>
      <c r="E51" s="825">
        <v>-0.83399999999999996</v>
      </c>
      <c r="F51" s="825">
        <v>-0.107</v>
      </c>
      <c r="G51" s="825">
        <v>3.3000000000000002E-2</v>
      </c>
      <c r="H51" s="825">
        <v>0.11700000000000001</v>
      </c>
      <c r="I51" s="826">
        <v>1.4E-2</v>
      </c>
      <c r="J51" s="746"/>
      <c r="K51" s="746"/>
      <c r="L51" s="746"/>
      <c r="M51" s="746"/>
      <c r="N51" s="746"/>
      <c r="O51" s="746"/>
      <c r="P51" s="746"/>
      <c r="Q51" s="746"/>
      <c r="R51" s="746"/>
      <c r="S51" s="746"/>
    </row>
    <row r="52" spans="1:19">
      <c r="A52" s="800"/>
      <c r="B52" s="828" t="s">
        <v>283</v>
      </c>
      <c r="C52" s="828" t="s">
        <v>283</v>
      </c>
      <c r="D52" s="828" t="s">
        <v>283</v>
      </c>
      <c r="E52" s="828" t="s">
        <v>283</v>
      </c>
      <c r="F52" s="828" t="s">
        <v>283</v>
      </c>
      <c r="G52" s="828" t="s">
        <v>283</v>
      </c>
      <c r="H52" s="828" t="s">
        <v>283</v>
      </c>
      <c r="I52" s="829" t="s">
        <v>283</v>
      </c>
      <c r="J52" s="746"/>
      <c r="K52" s="746"/>
      <c r="L52" s="746"/>
      <c r="M52" s="746"/>
      <c r="N52" s="746"/>
      <c r="O52" s="746"/>
      <c r="P52" s="746"/>
      <c r="Q52" s="746"/>
      <c r="R52" s="746"/>
      <c r="S52" s="746"/>
    </row>
    <row r="53" spans="1:19">
      <c r="A53" s="800"/>
      <c r="B53" s="821" t="s">
        <v>836</v>
      </c>
      <c r="C53" s="830"/>
      <c r="D53" s="830"/>
      <c r="E53" s="830"/>
      <c r="F53" s="830"/>
      <c r="G53" s="830"/>
      <c r="H53" s="830"/>
      <c r="I53" s="830"/>
      <c r="J53" s="746"/>
      <c r="K53" s="746"/>
      <c r="L53" s="746"/>
      <c r="M53" s="746"/>
      <c r="N53" s="746"/>
      <c r="O53" s="746"/>
      <c r="P53" s="746"/>
      <c r="Q53" s="746"/>
      <c r="R53" s="746"/>
      <c r="S53" s="746"/>
    </row>
    <row r="54" spans="1:19">
      <c r="A54" s="800"/>
      <c r="B54" s="822" t="s">
        <v>837</v>
      </c>
      <c r="C54" s="746"/>
      <c r="D54" s="746"/>
      <c r="E54" s="746"/>
      <c r="F54" s="746"/>
      <c r="G54" s="746"/>
      <c r="H54" s="746"/>
      <c r="I54" s="746"/>
      <c r="J54" s="746"/>
      <c r="K54" s="746"/>
      <c r="L54" s="746"/>
      <c r="M54" s="746"/>
      <c r="N54" s="746"/>
      <c r="O54" s="746"/>
      <c r="P54" s="746"/>
      <c r="Q54" s="746"/>
      <c r="R54" s="746"/>
      <c r="S54" s="746"/>
    </row>
    <row r="55" spans="1:19">
      <c r="A55" s="800"/>
      <c r="B55" s="813" t="s">
        <v>838</v>
      </c>
      <c r="C55" s="746"/>
      <c r="D55" s="746"/>
      <c r="E55" s="746"/>
      <c r="F55" s="746"/>
      <c r="G55" s="746"/>
      <c r="H55" s="746"/>
      <c r="I55" s="746"/>
      <c r="J55" s="746"/>
      <c r="K55" s="746"/>
      <c r="L55" s="746"/>
      <c r="M55" s="746"/>
      <c r="N55" s="746"/>
      <c r="O55" s="746"/>
      <c r="P55" s="746"/>
      <c r="Q55" s="746"/>
      <c r="R55" s="746"/>
      <c r="S55" s="746"/>
    </row>
    <row r="56" spans="1:19">
      <c r="A56" s="800"/>
      <c r="B56" s="746"/>
      <c r="C56" s="746"/>
      <c r="D56" s="746"/>
      <c r="E56" s="746"/>
      <c r="F56" s="746"/>
      <c r="G56" s="746"/>
      <c r="H56" s="746"/>
      <c r="I56" s="746"/>
      <c r="J56" s="746"/>
      <c r="K56" s="746"/>
      <c r="L56" s="746"/>
      <c r="M56" s="746"/>
      <c r="N56" s="746"/>
      <c r="O56" s="746"/>
      <c r="P56" s="746"/>
      <c r="Q56" s="746"/>
      <c r="R56" s="746"/>
      <c r="S56" s="746"/>
    </row>
    <row r="57" spans="1:19">
      <c r="A57" s="800"/>
      <c r="B57" s="746"/>
      <c r="C57" s="746"/>
      <c r="D57" s="746"/>
      <c r="E57" s="746"/>
      <c r="F57" s="746"/>
      <c r="G57" s="746"/>
      <c r="H57" s="746"/>
      <c r="I57" s="746"/>
      <c r="J57" s="746"/>
      <c r="K57" s="746"/>
      <c r="L57" s="746"/>
      <c r="M57" s="746"/>
      <c r="N57" s="746"/>
      <c r="O57" s="746"/>
      <c r="P57" s="746"/>
      <c r="Q57" s="746"/>
      <c r="R57" s="746"/>
      <c r="S57" s="746"/>
    </row>
    <row r="58" spans="1:19">
      <c r="A58" s="831"/>
      <c r="B58" s="810" t="s">
        <v>839</v>
      </c>
      <c r="C58" s="810" t="s">
        <v>283</v>
      </c>
      <c r="D58" s="810" t="s">
        <v>283</v>
      </c>
      <c r="E58" s="810" t="s">
        <v>283</v>
      </c>
      <c r="F58" s="810" t="s">
        <v>283</v>
      </c>
      <c r="G58" s="810" t="s">
        <v>283</v>
      </c>
      <c r="H58" s="810" t="s">
        <v>283</v>
      </c>
      <c r="I58" s="810" t="s">
        <v>283</v>
      </c>
      <c r="J58" s="746"/>
      <c r="K58" s="746"/>
      <c r="L58" s="746"/>
      <c r="M58" s="746"/>
      <c r="N58" s="746"/>
      <c r="O58" s="746"/>
      <c r="P58" s="746"/>
      <c r="Q58" s="746"/>
      <c r="R58" s="746"/>
      <c r="S58" s="746"/>
    </row>
    <row r="59" spans="1:19">
      <c r="A59" s="831"/>
      <c r="B59" s="811" t="s">
        <v>804</v>
      </c>
      <c r="C59" s="811" t="s">
        <v>283</v>
      </c>
      <c r="D59" s="811" t="s">
        <v>805</v>
      </c>
      <c r="E59" s="811" t="s">
        <v>806</v>
      </c>
      <c r="F59" s="811" t="s">
        <v>807</v>
      </c>
      <c r="G59" s="811" t="s">
        <v>808</v>
      </c>
      <c r="H59" s="811" t="s">
        <v>809</v>
      </c>
      <c r="I59" s="812" t="s">
        <v>830</v>
      </c>
      <c r="J59" s="746"/>
      <c r="K59" s="746"/>
      <c r="L59" s="746"/>
      <c r="M59" s="746"/>
      <c r="N59" s="746"/>
      <c r="O59" s="746"/>
      <c r="P59" s="746"/>
      <c r="Q59" s="746"/>
      <c r="R59" s="746"/>
      <c r="S59" s="746"/>
    </row>
    <row r="60" spans="1:19">
      <c r="A60" s="831"/>
      <c r="B60" s="816" t="s">
        <v>840</v>
      </c>
      <c r="C60" s="746"/>
      <c r="D60" s="869"/>
      <c r="E60" s="869"/>
      <c r="F60" s="869"/>
      <c r="G60" s="869"/>
      <c r="H60" s="869"/>
      <c r="I60" s="814" t="s">
        <v>283</v>
      </c>
      <c r="J60" s="746"/>
      <c r="K60" s="746"/>
      <c r="L60" s="746"/>
      <c r="M60" s="746"/>
      <c r="N60" s="746"/>
      <c r="O60" s="746"/>
      <c r="P60" s="746"/>
      <c r="Q60" s="746"/>
      <c r="R60" s="746"/>
      <c r="S60" s="746"/>
    </row>
    <row r="61" spans="1:19" ht="12.75">
      <c r="A61" s="832" t="s">
        <v>841</v>
      </c>
      <c r="B61" s="746" t="s">
        <v>842</v>
      </c>
      <c r="C61" s="746"/>
      <c r="D61" s="867">
        <f>BS!Q60</f>
        <v>441000</v>
      </c>
      <c r="E61" s="867">
        <f>BS!P60</f>
        <v>492000</v>
      </c>
      <c r="F61" s="867">
        <f>BS!O60</f>
        <v>512000</v>
      </c>
      <c r="G61" s="867">
        <f>BS!N60</f>
        <v>567000</v>
      </c>
      <c r="H61" s="867">
        <f>BS!M60</f>
        <v>831000</v>
      </c>
      <c r="I61" s="826">
        <f>IFERROR((H61/E61)^(1/COUNT(F61:H61))-1,"")</f>
        <v>0.19090917273921004</v>
      </c>
      <c r="J61" s="746"/>
      <c r="K61" s="746"/>
      <c r="L61" s="746"/>
      <c r="M61" s="746"/>
      <c r="N61" s="746"/>
      <c r="O61" s="746"/>
      <c r="P61" s="746"/>
      <c r="Q61" s="746"/>
      <c r="R61" s="746"/>
      <c r="S61" s="746"/>
    </row>
    <row r="62" spans="1:19" ht="12.75">
      <c r="A62" s="832" t="s">
        <v>843</v>
      </c>
      <c r="B62" s="746" t="s">
        <v>844</v>
      </c>
      <c r="C62" s="746"/>
      <c r="D62" s="867">
        <f>BS!Q81</f>
        <v>675000</v>
      </c>
      <c r="E62" s="867">
        <f>BS!P81</f>
        <v>904000</v>
      </c>
      <c r="F62" s="867">
        <f>BS!O81</f>
        <v>916000</v>
      </c>
      <c r="G62" s="867">
        <f>BS!N81</f>
        <v>975000</v>
      </c>
      <c r="H62" s="867">
        <f>BS!M81</f>
        <v>1057000</v>
      </c>
      <c r="I62" s="826">
        <f>IFERROR((H62/E62)^(1/COUNT(F62:H62))-1,"")</f>
        <v>5.3502374834593081E-2</v>
      </c>
      <c r="J62" s="746"/>
      <c r="K62" s="746"/>
      <c r="L62" s="746"/>
      <c r="M62" s="746"/>
      <c r="N62" s="746"/>
      <c r="O62" s="746"/>
      <c r="P62" s="746"/>
      <c r="Q62" s="746"/>
      <c r="R62" s="746"/>
      <c r="S62" s="746"/>
    </row>
    <row r="63" spans="1:19" ht="12.75">
      <c r="A63" s="832" t="s">
        <v>845</v>
      </c>
      <c r="B63" s="746" t="s">
        <v>846</v>
      </c>
      <c r="C63" s="746"/>
      <c r="D63" s="867">
        <f>BS!Q92</f>
        <v>1255000</v>
      </c>
      <c r="E63" s="867">
        <f>BS!P92</f>
        <v>1849000</v>
      </c>
      <c r="F63" s="867">
        <f>BS!O92</f>
        <v>1290000</v>
      </c>
      <c r="G63" s="867">
        <f>BS!N92</f>
        <v>896000</v>
      </c>
      <c r="H63" s="867">
        <f>BS!M92</f>
        <v>1332000</v>
      </c>
      <c r="I63" s="826">
        <f t="shared" ref="I63:I66" si="3">IFERROR((H63/E63)^(1/COUNT(F63:H63))-1,"")</f>
        <v>-0.10355750040581246</v>
      </c>
      <c r="J63" s="746"/>
      <c r="K63" s="746"/>
      <c r="L63" s="746"/>
      <c r="M63" s="746"/>
      <c r="N63" s="746"/>
      <c r="O63" s="746"/>
      <c r="P63" s="746"/>
      <c r="Q63" s="746"/>
      <c r="R63" s="746"/>
      <c r="S63" s="746"/>
    </row>
    <row r="64" spans="1:19" ht="12.75">
      <c r="A64" s="832" t="s">
        <v>847</v>
      </c>
      <c r="B64" s="746" t="s">
        <v>848</v>
      </c>
      <c r="C64" s="746"/>
      <c r="D64" s="867">
        <f>BS!Q96</f>
        <v>0</v>
      </c>
      <c r="E64" s="867">
        <f>BS!P96</f>
        <v>87000</v>
      </c>
      <c r="F64" s="867">
        <f>BS!O96</f>
        <v>148000</v>
      </c>
      <c r="G64" s="867">
        <f>BS!N96</f>
        <v>105000</v>
      </c>
      <c r="H64" s="867">
        <f>BS!M96</f>
        <v>420000</v>
      </c>
      <c r="I64" s="826">
        <f t="shared" si="3"/>
        <v>0.69009070237798786</v>
      </c>
      <c r="J64" s="746"/>
      <c r="K64" s="746"/>
      <c r="L64" s="746"/>
      <c r="M64" s="746"/>
      <c r="N64" s="746"/>
      <c r="O64" s="746"/>
      <c r="P64" s="746"/>
      <c r="Q64" s="746"/>
      <c r="R64" s="746"/>
      <c r="S64" s="746"/>
    </row>
    <row r="65" spans="1:19" ht="12.75">
      <c r="A65" s="832" t="s">
        <v>845</v>
      </c>
      <c r="B65" s="746" t="s">
        <v>849</v>
      </c>
      <c r="C65" s="746"/>
      <c r="D65" s="867">
        <f>BS!Q100</f>
        <v>127000</v>
      </c>
      <c r="E65" s="867">
        <f>BS!P100</f>
        <v>130000</v>
      </c>
      <c r="F65" s="867">
        <f>BS!O100</f>
        <v>102000</v>
      </c>
      <c r="G65" s="867">
        <f>BS!N100</f>
        <v>119000</v>
      </c>
      <c r="H65" s="867">
        <f>BS!M100</f>
        <v>178000</v>
      </c>
      <c r="I65" s="826">
        <f t="shared" si="3"/>
        <v>0.11043263421957272</v>
      </c>
      <c r="J65" s="746"/>
      <c r="K65" s="746"/>
      <c r="L65" s="746"/>
      <c r="M65" s="746"/>
      <c r="N65" s="746"/>
      <c r="O65" s="746"/>
      <c r="P65" s="746"/>
      <c r="Q65" s="746"/>
      <c r="R65" s="746"/>
      <c r="S65" s="746"/>
    </row>
    <row r="66" spans="1:19" ht="12.75">
      <c r="A66" s="832" t="s">
        <v>850</v>
      </c>
      <c r="B66" s="746" t="s">
        <v>851</v>
      </c>
      <c r="C66" s="746"/>
      <c r="D66" s="867">
        <f>BS!Q101</f>
        <v>5000</v>
      </c>
      <c r="E66" s="867">
        <f>BS!P101</f>
        <v>20000</v>
      </c>
      <c r="F66" s="867">
        <f>BS!O101</f>
        <v>56000</v>
      </c>
      <c r="G66" s="867">
        <f>BS!N101</f>
        <v>67000</v>
      </c>
      <c r="H66" s="867">
        <f>BS!M101</f>
        <v>85000</v>
      </c>
      <c r="I66" s="826">
        <f t="shared" si="3"/>
        <v>0.61980590063874175</v>
      </c>
      <c r="J66" s="746"/>
      <c r="K66" s="746"/>
      <c r="L66" s="746"/>
      <c r="M66" s="746"/>
      <c r="N66" s="746"/>
      <c r="O66" s="746"/>
      <c r="P66" s="746"/>
      <c r="Q66" s="746"/>
      <c r="R66" s="746"/>
      <c r="S66" s="746"/>
    </row>
    <row r="67" spans="1:19">
      <c r="A67" s="832" t="s">
        <v>850</v>
      </c>
      <c r="B67" s="746" t="s">
        <v>852</v>
      </c>
      <c r="C67" s="746"/>
      <c r="D67" s="870" t="s">
        <v>283</v>
      </c>
      <c r="E67" s="870" t="s">
        <v>283</v>
      </c>
      <c r="F67" s="870" t="s">
        <v>283</v>
      </c>
      <c r="G67" s="870" t="s">
        <v>283</v>
      </c>
      <c r="H67" s="870" t="s">
        <v>283</v>
      </c>
      <c r="I67" s="814" t="s">
        <v>283</v>
      </c>
      <c r="J67" s="746"/>
      <c r="K67" s="746"/>
      <c r="L67" s="746"/>
      <c r="M67" s="746"/>
      <c r="N67" s="746"/>
      <c r="O67" s="746"/>
      <c r="P67" s="746"/>
      <c r="Q67" s="746"/>
      <c r="R67" s="746"/>
      <c r="S67" s="746"/>
    </row>
    <row r="68" spans="1:19">
      <c r="A68" s="832" t="s">
        <v>850</v>
      </c>
      <c r="B68" s="746" t="s">
        <v>853</v>
      </c>
      <c r="C68" s="746"/>
      <c r="D68" s="870" t="s">
        <v>283</v>
      </c>
      <c r="E68" s="870" t="s">
        <v>283</v>
      </c>
      <c r="F68" s="870" t="s">
        <v>283</v>
      </c>
      <c r="G68" s="870" t="s">
        <v>283</v>
      </c>
      <c r="H68" s="870" t="s">
        <v>283</v>
      </c>
      <c r="I68" s="814" t="s">
        <v>283</v>
      </c>
      <c r="J68" s="746"/>
      <c r="K68" s="746"/>
      <c r="L68" s="746"/>
      <c r="M68" s="746"/>
      <c r="N68" s="746"/>
      <c r="O68" s="746"/>
      <c r="P68" s="746"/>
      <c r="Q68" s="746"/>
      <c r="R68" s="746"/>
      <c r="S68" s="746"/>
    </row>
    <row r="69" spans="1:19">
      <c r="A69" s="832" t="s">
        <v>850</v>
      </c>
      <c r="B69" s="746" t="s">
        <v>854</v>
      </c>
      <c r="C69" s="746"/>
      <c r="D69" s="870" t="s">
        <v>283</v>
      </c>
      <c r="E69" s="870" t="s">
        <v>283</v>
      </c>
      <c r="F69" s="870" t="s">
        <v>283</v>
      </c>
      <c r="G69" s="870" t="s">
        <v>283</v>
      </c>
      <c r="H69" s="870" t="s">
        <v>283</v>
      </c>
      <c r="I69" s="814" t="s">
        <v>283</v>
      </c>
      <c r="J69" s="746"/>
      <c r="K69" s="746"/>
      <c r="L69" s="746"/>
      <c r="M69" s="746"/>
      <c r="N69" s="746"/>
      <c r="O69" s="746"/>
      <c r="P69" s="746"/>
      <c r="Q69" s="746"/>
      <c r="R69" s="746"/>
      <c r="S69" s="746"/>
    </row>
    <row r="70" spans="1:19">
      <c r="A70" s="833"/>
      <c r="B70" s="834" t="s">
        <v>283</v>
      </c>
      <c r="C70" s="834" t="s">
        <v>283</v>
      </c>
      <c r="D70" s="871" t="s">
        <v>283</v>
      </c>
      <c r="E70" s="871" t="s">
        <v>283</v>
      </c>
      <c r="F70" s="871" t="s">
        <v>283</v>
      </c>
      <c r="G70" s="871" t="s">
        <v>283</v>
      </c>
      <c r="H70" s="871" t="s">
        <v>283</v>
      </c>
      <c r="I70" s="835" t="s">
        <v>283</v>
      </c>
      <c r="J70" s="746"/>
      <c r="K70" s="746"/>
      <c r="L70" s="746"/>
      <c r="M70" s="746"/>
      <c r="N70" s="746"/>
      <c r="O70" s="746"/>
      <c r="P70" s="746"/>
      <c r="Q70" s="746"/>
      <c r="R70" s="746"/>
      <c r="S70" s="746"/>
    </row>
    <row r="71" spans="1:19">
      <c r="A71" s="831"/>
      <c r="B71" s="816" t="s">
        <v>855</v>
      </c>
      <c r="C71" s="836"/>
      <c r="D71" s="883">
        <f>SUM(D61:D70)</f>
        <v>2503000</v>
      </c>
      <c r="E71" s="883">
        <f t="shared" ref="E71:H71" si="4">SUM(E61:E70)</f>
        <v>3482000</v>
      </c>
      <c r="F71" s="883">
        <f t="shared" si="4"/>
        <v>3024000</v>
      </c>
      <c r="G71" s="883">
        <f t="shared" si="4"/>
        <v>2729000</v>
      </c>
      <c r="H71" s="883">
        <f t="shared" si="4"/>
        <v>3903000</v>
      </c>
      <c r="I71" s="826">
        <f t="shared" ref="I71:I72" si="5">IFERROR((H71/E71)^(1/COUNT(F71:H71))-1,"")</f>
        <v>3.8779239593156545E-2</v>
      </c>
      <c r="J71" s="746"/>
      <c r="K71" s="746"/>
      <c r="L71" s="746"/>
      <c r="M71" s="746"/>
      <c r="N71" s="746"/>
      <c r="O71" s="746"/>
      <c r="P71" s="746"/>
      <c r="Q71" s="746"/>
      <c r="R71" s="746"/>
      <c r="S71" s="746"/>
    </row>
    <row r="72" spans="1:19">
      <c r="A72" s="831"/>
      <c r="B72" s="746"/>
      <c r="C72" s="746"/>
      <c r="D72" s="746"/>
      <c r="E72" s="746"/>
      <c r="F72" s="746"/>
      <c r="G72" s="746"/>
      <c r="H72" s="746"/>
      <c r="I72" s="826"/>
      <c r="J72" s="746"/>
      <c r="K72" s="746"/>
      <c r="L72" s="746"/>
      <c r="M72" s="746"/>
      <c r="N72" s="746"/>
      <c r="O72" s="746"/>
      <c r="P72" s="746"/>
      <c r="Q72" s="746"/>
      <c r="R72" s="746"/>
      <c r="S72" s="746"/>
    </row>
    <row r="73" spans="1:19" ht="12.75">
      <c r="A73" s="832" t="s">
        <v>856</v>
      </c>
      <c r="B73" s="746" t="s">
        <v>857</v>
      </c>
      <c r="C73" s="746"/>
      <c r="D73" s="867">
        <f>BS!Q17</f>
        <v>4838000</v>
      </c>
      <c r="E73" s="867">
        <f>BS!P17</f>
        <v>1952000</v>
      </c>
      <c r="F73" s="867">
        <f>BS!O17</f>
        <v>3138000</v>
      </c>
      <c r="G73" s="867">
        <f>BS!N17</f>
        <v>2964000</v>
      </c>
      <c r="H73" s="867">
        <f>BS!M17</f>
        <v>3433000</v>
      </c>
      <c r="I73" s="826">
        <f>IFERROR((H73/E73)^(1/COUNT(F73:H73))-1,"")</f>
        <v>0.20706686970798671</v>
      </c>
      <c r="J73" s="746"/>
      <c r="K73" s="746"/>
      <c r="L73" s="746"/>
      <c r="M73" s="746"/>
      <c r="N73" s="746"/>
      <c r="O73" s="746"/>
      <c r="P73" s="746"/>
      <c r="Q73" s="746"/>
      <c r="R73" s="746"/>
      <c r="S73" s="746"/>
    </row>
    <row r="74" spans="1:19" ht="12.75">
      <c r="A74" s="832" t="s">
        <v>850</v>
      </c>
      <c r="B74" s="746" t="s">
        <v>858</v>
      </c>
      <c r="C74" s="746"/>
      <c r="D74" s="867">
        <f>BS!Q34</f>
        <v>288000</v>
      </c>
      <c r="E74" s="867">
        <f>BS!P34</f>
        <v>406000</v>
      </c>
      <c r="F74" s="867">
        <f>BS!O34</f>
        <v>486000</v>
      </c>
      <c r="G74" s="867">
        <f>BS!N34</f>
        <v>663000</v>
      </c>
      <c r="H74" s="867">
        <f>BS!M34</f>
        <v>1034000</v>
      </c>
      <c r="I74" s="826">
        <f>IFERROR((H74/E74)^(1/COUNT(F74:H74))-1,"")</f>
        <v>0.36562513545233921</v>
      </c>
      <c r="J74" s="746"/>
      <c r="K74" s="746"/>
      <c r="L74" s="746"/>
      <c r="M74" s="746"/>
      <c r="N74" s="746"/>
      <c r="O74" s="746"/>
      <c r="P74" s="746"/>
      <c r="Q74" s="746"/>
      <c r="R74" s="746"/>
      <c r="S74" s="746"/>
    </row>
    <row r="75" spans="1:19" ht="12.75">
      <c r="A75" s="832" t="s">
        <v>850</v>
      </c>
      <c r="B75" s="746" t="s">
        <v>859</v>
      </c>
      <c r="C75" s="746"/>
      <c r="D75" s="867">
        <f>BS!Q24</f>
        <v>4000</v>
      </c>
      <c r="E75" s="867">
        <f>BS!P24</f>
        <v>48000</v>
      </c>
      <c r="F75" s="867">
        <f>BS!O24</f>
        <v>49000</v>
      </c>
      <c r="G75" s="867">
        <f>BS!N24</f>
        <v>59000</v>
      </c>
      <c r="H75" s="867">
        <f>BS!M24</f>
        <v>87000</v>
      </c>
      <c r="I75" s="826">
        <f t="shared" ref="I75:I78" si="6">IFERROR((H75/E75)^(1/COUNT(F75:H75))-1,"")</f>
        <v>0.21924974026832822</v>
      </c>
      <c r="J75" s="746"/>
      <c r="K75" s="746"/>
      <c r="L75" s="746"/>
      <c r="M75" s="746"/>
      <c r="N75" s="746"/>
      <c r="O75" s="746"/>
      <c r="P75" s="746"/>
      <c r="Q75" s="746"/>
      <c r="R75" s="746"/>
      <c r="S75" s="746"/>
    </row>
    <row r="76" spans="1:19" ht="12.75">
      <c r="A76" s="832" t="s">
        <v>850</v>
      </c>
      <c r="B76" s="746" t="s">
        <v>860</v>
      </c>
      <c r="C76" s="746"/>
      <c r="D76" s="867">
        <f>BS!Q36</f>
        <v>23000</v>
      </c>
      <c r="E76" s="867">
        <f>BS!P36</f>
        <v>24000</v>
      </c>
      <c r="F76" s="867">
        <f>BS!O36</f>
        <v>27000</v>
      </c>
      <c r="G76" s="867">
        <f>BS!N36</f>
        <v>81000</v>
      </c>
      <c r="H76" s="867">
        <f>BS!M36</f>
        <v>11000</v>
      </c>
      <c r="I76" s="826">
        <f t="shared" si="6"/>
        <v>-0.2289891651362097</v>
      </c>
      <c r="J76" s="746"/>
      <c r="K76" s="746"/>
      <c r="L76" s="746"/>
      <c r="M76" s="746"/>
      <c r="N76" s="746"/>
      <c r="O76" s="746"/>
      <c r="P76" s="746"/>
      <c r="Q76" s="746"/>
      <c r="R76" s="746"/>
      <c r="S76" s="746"/>
    </row>
    <row r="77" spans="1:19" ht="12.75">
      <c r="A77" s="832" t="s">
        <v>850</v>
      </c>
      <c r="B77" s="746" t="s">
        <v>861</v>
      </c>
      <c r="C77" s="746"/>
      <c r="D77" s="867">
        <f>BS!Q35</f>
        <v>129000</v>
      </c>
      <c r="E77" s="867">
        <f>BS!P35</f>
        <v>124000</v>
      </c>
      <c r="F77" s="867">
        <f>BS!O35</f>
        <v>163000</v>
      </c>
      <c r="G77" s="867">
        <f>BS!N35</f>
        <v>134000</v>
      </c>
      <c r="H77" s="867">
        <f>BS!M35</f>
        <v>144000</v>
      </c>
      <c r="I77" s="826">
        <f t="shared" si="6"/>
        <v>5.1107017667857857E-2</v>
      </c>
      <c r="J77" s="746"/>
      <c r="K77" s="746"/>
      <c r="L77" s="746"/>
      <c r="M77" s="746"/>
      <c r="N77" s="746"/>
      <c r="O77" s="746"/>
      <c r="P77" s="746"/>
      <c r="Q77" s="746"/>
      <c r="R77" s="746"/>
      <c r="S77" s="746"/>
    </row>
    <row r="78" spans="1:19" ht="12.75">
      <c r="A78" s="832" t="s">
        <v>845</v>
      </c>
      <c r="B78" s="746" t="s">
        <v>862</v>
      </c>
      <c r="C78" s="746"/>
      <c r="D78" s="867">
        <f>BS!Q21</f>
        <v>3240000</v>
      </c>
      <c r="E78" s="867">
        <f>BS!P21</f>
        <v>3134000</v>
      </c>
      <c r="F78" s="867">
        <f>BS!O21</f>
        <v>1905000</v>
      </c>
      <c r="G78" s="867">
        <f>BS!N21</f>
        <v>2665000</v>
      </c>
      <c r="H78" s="867">
        <f>BS!M21</f>
        <v>3371000</v>
      </c>
      <c r="I78" s="826">
        <f t="shared" si="6"/>
        <v>2.4597409387285163E-2</v>
      </c>
      <c r="J78" s="746"/>
      <c r="K78" s="746"/>
      <c r="L78" s="746"/>
      <c r="M78" s="746"/>
      <c r="N78" s="746"/>
      <c r="O78" s="746"/>
      <c r="P78" s="746"/>
      <c r="Q78" s="746"/>
      <c r="R78" s="746"/>
      <c r="S78" s="746"/>
    </row>
    <row r="79" spans="1:19" ht="12.75">
      <c r="A79" s="832" t="s">
        <v>845</v>
      </c>
      <c r="B79" s="746" t="s">
        <v>863</v>
      </c>
      <c r="C79" s="746"/>
      <c r="D79" s="867">
        <f>BS!Q23</f>
        <v>153000</v>
      </c>
      <c r="E79" s="867"/>
      <c r="F79" s="867"/>
      <c r="G79" s="867"/>
      <c r="H79" s="867"/>
      <c r="I79" s="826"/>
      <c r="J79" s="746" t="str">
        <f t="shared" ref="J76:J79" si="7">IFERROR((H79/E79)^(1/COUNT(F79:H79))-1,"")</f>
        <v/>
      </c>
      <c r="K79" s="746"/>
      <c r="L79" s="746"/>
      <c r="M79" s="746"/>
      <c r="N79" s="746"/>
      <c r="O79" s="746"/>
      <c r="P79" s="746"/>
      <c r="Q79" s="746"/>
      <c r="R79" s="746"/>
      <c r="S79" s="746"/>
    </row>
    <row r="80" spans="1:19">
      <c r="A80" s="832" t="s">
        <v>850</v>
      </c>
      <c r="B80" s="746" t="s">
        <v>864</v>
      </c>
      <c r="C80" s="746"/>
      <c r="D80" s="870" t="s">
        <v>283</v>
      </c>
      <c r="E80" s="870" t="s">
        <v>283</v>
      </c>
      <c r="F80" s="870" t="s">
        <v>283</v>
      </c>
      <c r="G80" s="870" t="s">
        <v>283</v>
      </c>
      <c r="H80" s="870" t="s">
        <v>283</v>
      </c>
      <c r="I80" s="814" t="s">
        <v>283</v>
      </c>
      <c r="J80" s="746"/>
      <c r="K80" s="746"/>
      <c r="L80" s="746"/>
      <c r="M80" s="746"/>
      <c r="N80" s="746"/>
      <c r="O80" s="746"/>
      <c r="P80" s="746"/>
      <c r="Q80" s="746"/>
      <c r="R80" s="746"/>
      <c r="S80" s="746"/>
    </row>
    <row r="81" spans="1:19">
      <c r="A81" s="832" t="s">
        <v>850</v>
      </c>
      <c r="B81" s="746" t="s">
        <v>865</v>
      </c>
      <c r="C81" s="746"/>
      <c r="D81" s="870" t="s">
        <v>283</v>
      </c>
      <c r="E81" s="870" t="s">
        <v>283</v>
      </c>
      <c r="F81" s="870" t="s">
        <v>283</v>
      </c>
      <c r="G81" s="870" t="s">
        <v>283</v>
      </c>
      <c r="H81" s="870" t="s">
        <v>283</v>
      </c>
      <c r="I81" s="814" t="s">
        <v>283</v>
      </c>
      <c r="J81" s="746"/>
      <c r="K81" s="746"/>
      <c r="L81" s="746"/>
      <c r="M81" s="746"/>
      <c r="N81" s="746"/>
      <c r="O81" s="746"/>
      <c r="P81" s="746"/>
      <c r="Q81" s="746"/>
      <c r="R81" s="746"/>
      <c r="S81" s="746"/>
    </row>
    <row r="82" spans="1:19">
      <c r="A82" s="832" t="s">
        <v>850</v>
      </c>
      <c r="B82" s="746" t="s">
        <v>866</v>
      </c>
      <c r="C82" s="746"/>
      <c r="D82" s="870" t="s">
        <v>283</v>
      </c>
      <c r="E82" s="870" t="s">
        <v>283</v>
      </c>
      <c r="F82" s="870" t="s">
        <v>283</v>
      </c>
      <c r="G82" s="870" t="s">
        <v>283</v>
      </c>
      <c r="H82" s="870" t="s">
        <v>283</v>
      </c>
      <c r="I82" s="814" t="s">
        <v>283</v>
      </c>
      <c r="J82" s="746"/>
      <c r="K82" s="746"/>
      <c r="L82" s="746"/>
      <c r="M82" s="746"/>
      <c r="N82" s="746"/>
      <c r="O82" s="746"/>
      <c r="P82" s="746"/>
      <c r="Q82" s="746"/>
      <c r="R82" s="746"/>
      <c r="S82" s="746"/>
    </row>
    <row r="83" spans="1:19">
      <c r="A83" s="833"/>
      <c r="B83" s="746"/>
      <c r="C83" s="746"/>
      <c r="D83" s="746"/>
      <c r="E83" s="746"/>
      <c r="F83" s="746"/>
      <c r="G83" s="746"/>
      <c r="H83" s="746"/>
      <c r="I83" s="884" t="s">
        <v>283</v>
      </c>
      <c r="J83" s="746"/>
      <c r="K83" s="746"/>
      <c r="L83" s="746"/>
      <c r="M83" s="746"/>
      <c r="N83" s="746"/>
      <c r="O83" s="746"/>
      <c r="P83" s="746"/>
      <c r="Q83" s="746"/>
      <c r="R83" s="746"/>
      <c r="S83" s="746"/>
    </row>
    <row r="84" spans="1:19">
      <c r="A84" s="831"/>
      <c r="B84" s="838" t="s">
        <v>867</v>
      </c>
      <c r="C84" s="839" t="s">
        <v>283</v>
      </c>
      <c r="D84" s="885">
        <f>SUM(D73:D79)</f>
        <v>8675000</v>
      </c>
      <c r="E84" s="885">
        <f t="shared" ref="E84:H84" si="8">SUM(E73:E78)</f>
        <v>5688000</v>
      </c>
      <c r="F84" s="885">
        <f t="shared" si="8"/>
        <v>5768000</v>
      </c>
      <c r="G84" s="885">
        <f t="shared" si="8"/>
        <v>6566000</v>
      </c>
      <c r="H84" s="885">
        <f t="shared" si="8"/>
        <v>8080000</v>
      </c>
      <c r="I84" s="840">
        <f>IFERROR((H84/E84)^(1/COUNT(F84:H84))-1,"")</f>
        <v>0.12413186253219743</v>
      </c>
      <c r="J84" s="746"/>
      <c r="K84" s="746"/>
      <c r="L84" s="746"/>
      <c r="M84" s="746"/>
      <c r="N84" s="746"/>
      <c r="O84" s="746"/>
      <c r="P84" s="746"/>
      <c r="Q84" s="746"/>
      <c r="R84" s="746"/>
      <c r="S84" s="746"/>
    </row>
    <row r="85" spans="1:19">
      <c r="A85" s="831"/>
      <c r="B85" s="746"/>
      <c r="C85" s="746"/>
      <c r="D85" s="746"/>
      <c r="E85" s="746"/>
      <c r="F85" s="746"/>
      <c r="G85" s="746"/>
      <c r="H85" s="746"/>
      <c r="I85" s="840" t="str">
        <f t="shared" ref="I85:I113" si="9">IFERROR((H85/E85)^(1/COUNT(F85:H85))-1,"")</f>
        <v/>
      </c>
      <c r="J85" s="746"/>
      <c r="K85" s="746"/>
      <c r="L85" s="746"/>
      <c r="M85" s="746"/>
      <c r="N85" s="746"/>
      <c r="O85" s="746"/>
      <c r="P85" s="746"/>
      <c r="Q85" s="746"/>
      <c r="R85" s="746"/>
      <c r="S85" s="746"/>
    </row>
    <row r="86" spans="1:19">
      <c r="A86" s="831"/>
      <c r="B86" s="816" t="s">
        <v>49</v>
      </c>
      <c r="C86" s="836"/>
      <c r="D86" s="883">
        <f>SUM(D71,D84)</f>
        <v>11178000</v>
      </c>
      <c r="E86" s="883">
        <f t="shared" ref="E86:H86" si="10">SUM(E71,E84)</f>
        <v>9170000</v>
      </c>
      <c r="F86" s="883">
        <f t="shared" si="10"/>
        <v>8792000</v>
      </c>
      <c r="G86" s="883">
        <f t="shared" si="10"/>
        <v>9295000</v>
      </c>
      <c r="H86" s="883">
        <f t="shared" si="10"/>
        <v>11983000</v>
      </c>
      <c r="I86" s="840">
        <f t="shared" si="9"/>
        <v>9.3281689585740679E-2</v>
      </c>
      <c r="J86" s="746"/>
      <c r="K86" s="746"/>
      <c r="L86" s="746"/>
      <c r="M86" s="746"/>
      <c r="N86" s="746"/>
      <c r="O86" s="746"/>
      <c r="P86" s="746"/>
      <c r="Q86" s="746"/>
      <c r="R86" s="746"/>
      <c r="S86" s="746"/>
    </row>
    <row r="87" spans="1:19">
      <c r="A87" s="831"/>
      <c r="B87" s="816"/>
      <c r="C87" s="746"/>
      <c r="D87" s="746"/>
      <c r="E87" s="746"/>
      <c r="F87" s="746"/>
      <c r="G87" s="746"/>
      <c r="H87" s="746"/>
      <c r="I87" s="840" t="str">
        <f t="shared" si="9"/>
        <v/>
      </c>
      <c r="J87" s="746"/>
      <c r="K87" s="746"/>
      <c r="L87" s="746"/>
      <c r="M87" s="746"/>
      <c r="N87" s="746"/>
      <c r="O87" s="746"/>
      <c r="P87" s="746"/>
      <c r="Q87" s="746"/>
      <c r="R87" s="746"/>
      <c r="S87" s="746"/>
    </row>
    <row r="88" spans="1:19">
      <c r="A88" s="831"/>
      <c r="B88" s="816" t="s">
        <v>523</v>
      </c>
      <c r="C88" s="746"/>
      <c r="D88" s="746"/>
      <c r="E88" s="746"/>
      <c r="F88" s="746"/>
      <c r="G88" s="746"/>
      <c r="H88" s="746"/>
      <c r="I88" s="840" t="str">
        <f t="shared" si="9"/>
        <v/>
      </c>
      <c r="J88" s="746"/>
      <c r="K88" s="746"/>
      <c r="L88" s="746"/>
      <c r="M88" s="746"/>
      <c r="N88" s="746"/>
      <c r="O88" s="746"/>
      <c r="P88" s="746"/>
      <c r="Q88" s="746"/>
      <c r="R88" s="746"/>
      <c r="S88" s="746"/>
    </row>
    <row r="89" spans="1:19" ht="12.75">
      <c r="A89" s="832" t="s">
        <v>868</v>
      </c>
      <c r="B89" s="746" t="s">
        <v>869</v>
      </c>
      <c r="C89" s="746"/>
      <c r="D89" s="867">
        <f>BS!Q113</f>
        <v>251000</v>
      </c>
      <c r="E89" s="867">
        <f>BS!P113</f>
        <v>297000</v>
      </c>
      <c r="F89" s="867">
        <f>BS!O113</f>
        <v>328000</v>
      </c>
      <c r="G89" s="867">
        <f>BS!N113</f>
        <v>379000</v>
      </c>
      <c r="H89" s="867">
        <f>BS!M113</f>
        <v>584000</v>
      </c>
      <c r="I89" s="840">
        <f t="shared" si="9"/>
        <v>0.25281073456353487</v>
      </c>
      <c r="J89" s="746"/>
      <c r="K89" s="746"/>
      <c r="L89" s="746"/>
      <c r="M89" s="746"/>
      <c r="N89" s="746"/>
      <c r="O89" s="746"/>
      <c r="P89" s="746"/>
      <c r="Q89" s="746"/>
      <c r="R89" s="746"/>
      <c r="S89" s="746"/>
    </row>
    <row r="90" spans="1:19" ht="12.75">
      <c r="A90" s="832" t="s">
        <v>868</v>
      </c>
      <c r="B90" s="746" t="s">
        <v>870</v>
      </c>
      <c r="C90" s="746"/>
      <c r="D90" s="867">
        <f>BS!Q114</f>
        <v>587000</v>
      </c>
      <c r="E90" s="867">
        <f>BS!P114</f>
        <v>633000</v>
      </c>
      <c r="F90" s="867">
        <f>BS!O114</f>
        <v>605000</v>
      </c>
      <c r="G90" s="867">
        <f>BS!N114</f>
        <v>724000</v>
      </c>
      <c r="H90" s="867">
        <f>BS!M114</f>
        <v>709000</v>
      </c>
      <c r="I90" s="840">
        <f t="shared" si="9"/>
        <v>3.8518350936873391E-2</v>
      </c>
      <c r="J90" s="746"/>
      <c r="K90" s="746"/>
      <c r="L90" s="746"/>
      <c r="M90" s="746"/>
      <c r="N90" s="746"/>
      <c r="O90" s="746"/>
      <c r="P90" s="746"/>
      <c r="Q90" s="746"/>
      <c r="R90" s="746"/>
      <c r="S90" s="746"/>
    </row>
    <row r="91" spans="1:19" ht="12.75">
      <c r="A91" s="832" t="s">
        <v>51</v>
      </c>
      <c r="B91" s="746" t="s">
        <v>871</v>
      </c>
      <c r="C91" s="746"/>
      <c r="D91" s="867">
        <f>BS!Q125</f>
        <v>144000</v>
      </c>
      <c r="E91" s="867">
        <f>BS!P125</f>
        <v>117000</v>
      </c>
      <c r="F91" s="867">
        <f>BS!O125</f>
        <v>125000</v>
      </c>
      <c r="G91" s="867">
        <f>BS!N125</f>
        <v>123000</v>
      </c>
      <c r="H91" s="867">
        <f>BS!M125</f>
        <v>1680000</v>
      </c>
      <c r="I91" s="840">
        <f t="shared" si="9"/>
        <v>1.430568172502678</v>
      </c>
      <c r="J91" s="746"/>
      <c r="K91" s="746"/>
      <c r="L91" s="746"/>
      <c r="M91" s="746"/>
      <c r="N91" s="746"/>
      <c r="O91" s="746"/>
      <c r="P91" s="746"/>
      <c r="Q91" s="746"/>
      <c r="R91" s="746"/>
      <c r="S91" s="746"/>
    </row>
    <row r="92" spans="1:19" ht="12.75">
      <c r="A92" s="832" t="s">
        <v>872</v>
      </c>
      <c r="B92" t="s">
        <v>873</v>
      </c>
      <c r="D92" s="867">
        <f>BS!Q126</f>
        <v>0</v>
      </c>
      <c r="E92" s="867">
        <f>BS!P126</f>
        <v>0</v>
      </c>
      <c r="F92" s="867">
        <f>BS!O126</f>
        <v>0</v>
      </c>
      <c r="G92" s="867">
        <f>BS!N126</f>
        <v>98000</v>
      </c>
      <c r="H92" s="867">
        <f>BS!M126</f>
        <v>0</v>
      </c>
      <c r="I92" s="840">
        <f>IFERROR((H93/E93)^(1/COUNT(F93:H93))-1,"")</f>
        <v>-0.13026795725525242</v>
      </c>
      <c r="J92" s="746"/>
      <c r="K92" s="746"/>
      <c r="L92" s="746"/>
      <c r="M92" s="746"/>
      <c r="N92" s="746"/>
      <c r="O92" s="746"/>
      <c r="P92" s="746"/>
      <c r="Q92" s="746"/>
      <c r="R92" s="746"/>
      <c r="S92" s="746"/>
    </row>
    <row r="93" spans="1:19" ht="12.75">
      <c r="A93" s="832" t="s">
        <v>868</v>
      </c>
      <c r="B93" s="746" t="s">
        <v>874</v>
      </c>
      <c r="C93" s="746"/>
      <c r="D93" s="867">
        <f>BS!Q128</f>
        <v>35000</v>
      </c>
      <c r="E93" s="867">
        <f>BS!P128</f>
        <v>38000</v>
      </c>
      <c r="F93" s="867">
        <f>BS!O128</f>
        <v>39000</v>
      </c>
      <c r="G93" s="867">
        <f>BS!N128</f>
        <v>41000</v>
      </c>
      <c r="H93" s="867">
        <f>BS!M128</f>
        <v>25000</v>
      </c>
      <c r="I93" s="840" t="str">
        <f>IFERROR((#REF!/#REF!)^(1/COUNT(#REF!))-1,"")</f>
        <v/>
      </c>
      <c r="J93" s="746"/>
      <c r="K93" s="746"/>
      <c r="L93" s="746"/>
      <c r="M93" s="746"/>
      <c r="N93" s="746"/>
      <c r="O93" s="746"/>
      <c r="P93" s="746"/>
      <c r="Q93" s="746"/>
      <c r="R93" s="746"/>
      <c r="S93" s="746"/>
    </row>
    <row r="94" spans="1:19" ht="12.75">
      <c r="A94" s="832" t="s">
        <v>868</v>
      </c>
      <c r="B94" s="746" t="s">
        <v>875</v>
      </c>
      <c r="C94" s="746"/>
      <c r="D94" s="867">
        <f>BS!Q130</f>
        <v>9000</v>
      </c>
      <c r="E94" s="867">
        <f>BS!P130</f>
        <v>12000</v>
      </c>
      <c r="F94" s="867">
        <f>BS!O130</f>
        <v>381000</v>
      </c>
      <c r="G94" s="867">
        <f>BS!N130</f>
        <v>1227000</v>
      </c>
      <c r="H94" s="867">
        <f>BS!M130</f>
        <v>1629000</v>
      </c>
      <c r="I94" s="840">
        <f t="shared" si="9"/>
        <v>4.1394101681524615</v>
      </c>
      <c r="J94" s="746"/>
      <c r="K94" s="746"/>
      <c r="L94" s="746"/>
      <c r="M94" s="746"/>
      <c r="N94" s="746"/>
      <c r="O94" s="746"/>
      <c r="P94" s="746"/>
      <c r="Q94" s="746"/>
      <c r="R94" s="746"/>
      <c r="S94" s="746"/>
    </row>
    <row r="95" spans="1:19" ht="12.75">
      <c r="A95" s="832" t="s">
        <v>868</v>
      </c>
      <c r="B95" s="746" t="s">
        <v>876</v>
      </c>
      <c r="C95" s="746"/>
      <c r="D95" s="867"/>
      <c r="E95" s="867"/>
      <c r="F95" s="867"/>
      <c r="G95" s="867"/>
      <c r="H95" s="867"/>
      <c r="I95" s="840" t="str">
        <f t="shared" si="9"/>
        <v/>
      </c>
      <c r="J95" s="746"/>
      <c r="K95" s="746"/>
      <c r="L95" s="746"/>
      <c r="M95" s="746"/>
      <c r="N95" s="746"/>
      <c r="O95" s="746"/>
      <c r="P95" s="746"/>
      <c r="Q95" s="746"/>
      <c r="R95" s="746"/>
      <c r="S95" s="746"/>
    </row>
    <row r="96" spans="1:19">
      <c r="A96" s="832" t="s">
        <v>868</v>
      </c>
      <c r="B96" s="746" t="s">
        <v>877</v>
      </c>
      <c r="C96" s="746"/>
      <c r="D96" s="870" t="s">
        <v>283</v>
      </c>
      <c r="E96" s="870" t="s">
        <v>283</v>
      </c>
      <c r="F96" s="870" t="s">
        <v>283</v>
      </c>
      <c r="G96" s="870" t="s">
        <v>283</v>
      </c>
      <c r="H96" s="870" t="s">
        <v>283</v>
      </c>
      <c r="I96" s="840" t="str">
        <f t="shared" si="9"/>
        <v/>
      </c>
      <c r="J96" s="746"/>
      <c r="K96" s="746"/>
      <c r="L96" s="746"/>
      <c r="M96" s="746"/>
      <c r="N96" s="746"/>
      <c r="O96" s="746"/>
      <c r="P96" s="746"/>
      <c r="Q96" s="746"/>
      <c r="R96" s="746"/>
      <c r="S96" s="746"/>
    </row>
    <row r="97" spans="1:19">
      <c r="A97" s="832" t="s">
        <v>868</v>
      </c>
      <c r="B97" s="746" t="s">
        <v>878</v>
      </c>
      <c r="C97" s="746"/>
      <c r="D97" s="870" t="s">
        <v>283</v>
      </c>
      <c r="E97" s="870" t="s">
        <v>283</v>
      </c>
      <c r="F97" s="870" t="s">
        <v>283</v>
      </c>
      <c r="G97" s="870" t="s">
        <v>283</v>
      </c>
      <c r="H97" s="870" t="s">
        <v>283</v>
      </c>
      <c r="I97" s="840" t="str">
        <f t="shared" si="9"/>
        <v/>
      </c>
      <c r="J97" s="746"/>
      <c r="K97" s="746"/>
      <c r="L97" s="746"/>
      <c r="M97" s="746"/>
      <c r="N97" s="746"/>
      <c r="O97" s="746"/>
      <c r="P97" s="746"/>
      <c r="Q97" s="746"/>
      <c r="R97" s="746"/>
      <c r="S97" s="746"/>
    </row>
    <row r="98" spans="1:19">
      <c r="A98" s="833"/>
      <c r="B98" s="746"/>
      <c r="C98" s="746"/>
      <c r="D98" s="746"/>
      <c r="E98" s="746"/>
      <c r="F98" s="746"/>
      <c r="G98" s="746"/>
      <c r="H98" s="746"/>
      <c r="I98" s="840" t="str">
        <f t="shared" si="9"/>
        <v/>
      </c>
      <c r="J98" s="746"/>
      <c r="K98" s="746"/>
      <c r="L98" s="746"/>
      <c r="M98" s="746"/>
      <c r="N98" s="746"/>
      <c r="O98" s="746"/>
      <c r="P98" s="746"/>
      <c r="Q98" s="746"/>
      <c r="R98" s="746"/>
      <c r="S98" s="746"/>
    </row>
    <row r="99" spans="1:19">
      <c r="A99" s="831"/>
      <c r="B99" s="838" t="s">
        <v>879</v>
      </c>
      <c r="C99" s="841" t="s">
        <v>283</v>
      </c>
      <c r="D99" s="886">
        <f>SUM(D89:D94)</f>
        <v>1026000</v>
      </c>
      <c r="E99" s="886">
        <f>SUM(E89:E94)</f>
        <v>1097000</v>
      </c>
      <c r="F99" s="886">
        <f>SUM(F89:F94)</f>
        <v>1478000</v>
      </c>
      <c r="G99" s="886">
        <f>SUM(G89:G94)</f>
        <v>2592000</v>
      </c>
      <c r="H99" s="886">
        <f>SUM(H89:H94)</f>
        <v>4627000</v>
      </c>
      <c r="I99" s="840">
        <f>IFERROR((H99/E99)^(1/COUNT(F99:H99))-1,"")</f>
        <v>0.61571326534451565</v>
      </c>
      <c r="J99" s="746"/>
      <c r="K99" s="746"/>
      <c r="L99" s="746"/>
      <c r="M99" s="746"/>
      <c r="N99" s="746"/>
      <c r="O99" s="746"/>
      <c r="P99" s="746"/>
      <c r="Q99" s="746"/>
      <c r="R99" s="746"/>
      <c r="S99" s="746"/>
    </row>
    <row r="100" spans="1:19">
      <c r="A100" s="831"/>
      <c r="B100" s="746"/>
      <c r="C100" s="746"/>
      <c r="D100" s="746"/>
      <c r="E100" s="746"/>
      <c r="F100" s="746"/>
      <c r="G100" s="746"/>
      <c r="H100" s="746"/>
      <c r="I100" s="840" t="str">
        <f t="shared" si="9"/>
        <v/>
      </c>
      <c r="J100" s="746"/>
      <c r="K100" s="746"/>
      <c r="L100" s="746"/>
      <c r="M100" s="746"/>
      <c r="N100" s="746"/>
      <c r="O100" s="746"/>
      <c r="P100" s="746"/>
      <c r="Q100" s="746"/>
      <c r="R100" s="746"/>
      <c r="S100" s="746"/>
    </row>
    <row r="101" spans="1:19" ht="14.25" customHeight="1">
      <c r="A101" s="832" t="s">
        <v>51</v>
      </c>
      <c r="B101" s="746" t="s">
        <v>880</v>
      </c>
      <c r="C101" s="746"/>
      <c r="D101" s="867">
        <f>BS!Q138</f>
        <v>1930000</v>
      </c>
      <c r="E101" s="867">
        <f>BS!P138</f>
        <v>1096000</v>
      </c>
      <c r="F101" s="867">
        <f>BS!O138</f>
        <v>544000</v>
      </c>
      <c r="G101" s="867">
        <f>BS!N138</f>
        <v>116000</v>
      </c>
      <c r="H101" s="867">
        <f>BS!M138</f>
        <v>188000</v>
      </c>
      <c r="I101" s="840">
        <f t="shared" si="9"/>
        <v>-0.44437416406824604</v>
      </c>
      <c r="J101" s="746"/>
      <c r="K101" s="746"/>
      <c r="L101" s="746"/>
      <c r="M101" s="746"/>
      <c r="N101" s="746"/>
      <c r="O101" s="746"/>
      <c r="P101" s="746"/>
      <c r="Q101" s="746"/>
      <c r="R101" s="746"/>
      <c r="S101" s="746"/>
    </row>
    <row r="102" spans="1:19" ht="12.75">
      <c r="A102" s="832" t="s">
        <v>881</v>
      </c>
      <c r="B102" s="746" t="s">
        <v>882</v>
      </c>
      <c r="C102" s="746"/>
      <c r="D102" s="867">
        <f>BS!Q139</f>
        <v>101000</v>
      </c>
      <c r="E102" s="867">
        <f>BS!P139</f>
        <v>152000</v>
      </c>
      <c r="F102" s="867">
        <f>BS!O139</f>
        <v>124000</v>
      </c>
      <c r="G102" s="867">
        <f>BS!N139</f>
        <v>125000</v>
      </c>
      <c r="H102" s="867">
        <f>BS!M139</f>
        <v>185000</v>
      </c>
      <c r="I102" s="840">
        <f t="shared" si="9"/>
        <v>6.7683948185645715E-2</v>
      </c>
      <c r="J102" s="746"/>
      <c r="K102" s="746"/>
      <c r="L102" s="746"/>
      <c r="M102" s="746"/>
      <c r="N102" s="746"/>
      <c r="O102" s="746"/>
      <c r="P102" s="746"/>
      <c r="Q102" s="746"/>
      <c r="R102" s="746"/>
      <c r="S102" s="746"/>
    </row>
    <row r="103" spans="1:19" ht="12.75">
      <c r="A103" s="832" t="s">
        <v>872</v>
      </c>
      <c r="B103" s="746" t="s">
        <v>883</v>
      </c>
      <c r="C103" s="746"/>
      <c r="D103" s="867">
        <f>BS!Q141</f>
        <v>54000</v>
      </c>
      <c r="E103" s="867">
        <f>BS!P141</f>
        <v>107000</v>
      </c>
      <c r="F103" s="867">
        <f>BS!O141</f>
        <v>124000</v>
      </c>
      <c r="G103" s="867">
        <f>BS!N141</f>
        <v>54000</v>
      </c>
      <c r="H103" s="867">
        <f>BS!M141</f>
        <v>156000</v>
      </c>
      <c r="I103" s="840">
        <f t="shared" si="9"/>
        <v>0.13391440772755669</v>
      </c>
      <c r="J103" s="746"/>
      <c r="K103" s="746"/>
      <c r="L103" s="746"/>
      <c r="M103" s="746"/>
      <c r="N103" s="746"/>
      <c r="O103" s="746"/>
      <c r="P103" s="746"/>
      <c r="Q103" s="746"/>
      <c r="R103" s="746"/>
      <c r="S103" s="746"/>
    </row>
    <row r="104" spans="1:19" ht="12.75">
      <c r="A104" s="832" t="s">
        <v>884</v>
      </c>
      <c r="B104" s="746" t="s">
        <v>885</v>
      </c>
      <c r="C104" s="746"/>
      <c r="D104" s="867">
        <f>BS!Q148</f>
        <v>33000</v>
      </c>
      <c r="E104" s="867">
        <f>BS!P148</f>
        <v>31000</v>
      </c>
      <c r="F104" s="867">
        <f>BS!O148</f>
        <v>29000</v>
      </c>
      <c r="G104" s="867">
        <f>BS!N148</f>
        <v>32000</v>
      </c>
      <c r="H104" s="867">
        <f>BS!M148</f>
        <v>35000</v>
      </c>
      <c r="I104" s="840">
        <f t="shared" si="9"/>
        <v>4.128301283656044E-2</v>
      </c>
      <c r="J104" s="746"/>
      <c r="K104" s="746"/>
      <c r="L104" s="746"/>
      <c r="M104" s="746"/>
      <c r="N104" s="746"/>
      <c r="O104" s="746"/>
      <c r="P104" s="746"/>
      <c r="Q104" s="746"/>
      <c r="R104" s="746"/>
      <c r="S104" s="746"/>
    </row>
    <row r="105" spans="1:19" ht="12.75">
      <c r="A105" s="832" t="s">
        <v>884</v>
      </c>
      <c r="B105" s="746" t="s">
        <v>886</v>
      </c>
      <c r="C105" s="746"/>
      <c r="D105" s="867">
        <f>BS!Q151</f>
        <v>3000</v>
      </c>
      <c r="E105" s="867">
        <f>BS!P151</f>
        <v>18000</v>
      </c>
      <c r="F105" s="867">
        <f>BS!O151</f>
        <v>20000</v>
      </c>
      <c r="G105" s="867">
        <f>BS!N151</f>
        <v>25000</v>
      </c>
      <c r="H105" s="867">
        <f>BS!M151</f>
        <v>35000</v>
      </c>
      <c r="I105" s="840">
        <f t="shared" si="9"/>
        <v>0.24814539786975121</v>
      </c>
      <c r="J105" s="746"/>
      <c r="K105" s="746"/>
      <c r="L105" s="746"/>
      <c r="M105" s="746"/>
      <c r="N105" s="746"/>
      <c r="O105" s="746"/>
      <c r="P105" s="746"/>
      <c r="Q105" s="746"/>
      <c r="R105" s="746"/>
      <c r="S105" s="746"/>
    </row>
    <row r="106" spans="1:19" ht="12.75">
      <c r="A106" s="832" t="s">
        <v>884</v>
      </c>
      <c r="B106" s="746" t="s">
        <v>887</v>
      </c>
      <c r="C106" s="746"/>
      <c r="D106" s="867">
        <f>BS!Q156</f>
        <v>12000</v>
      </c>
      <c r="E106" s="867">
        <f>BS!P156</f>
        <v>12000</v>
      </c>
      <c r="F106" s="867">
        <f>BS!O156</f>
        <v>5000</v>
      </c>
      <c r="G106" s="867" t="str">
        <f>BS!N156</f>
        <v> </v>
      </c>
      <c r="H106" s="867" t="str">
        <f>BS!M156</f>
        <v> </v>
      </c>
      <c r="I106" s="840" t="str">
        <f t="shared" si="9"/>
        <v/>
      </c>
      <c r="J106" s="746"/>
      <c r="K106" s="746"/>
      <c r="L106" s="746"/>
      <c r="M106" s="746"/>
      <c r="N106" s="746"/>
      <c r="O106" s="746"/>
      <c r="P106" s="746"/>
      <c r="Q106" s="746"/>
      <c r="R106" s="746"/>
      <c r="S106" s="746"/>
    </row>
    <row r="107" spans="1:19">
      <c r="A107" s="832" t="s">
        <v>51</v>
      </c>
      <c r="B107" s="746" t="s">
        <v>888</v>
      </c>
      <c r="C107" s="746"/>
      <c r="D107" s="870" t="s">
        <v>283</v>
      </c>
      <c r="E107" s="870" t="s">
        <v>283</v>
      </c>
      <c r="F107" s="870" t="s">
        <v>283</v>
      </c>
      <c r="G107" s="870" t="s">
        <v>283</v>
      </c>
      <c r="H107" s="870" t="s">
        <v>283</v>
      </c>
      <c r="I107" s="840" t="str">
        <f t="shared" si="9"/>
        <v/>
      </c>
      <c r="J107" s="746"/>
      <c r="K107" s="746"/>
      <c r="L107" s="746"/>
      <c r="M107" s="746"/>
      <c r="N107" s="746"/>
      <c r="O107" s="746"/>
      <c r="P107" s="746"/>
      <c r="Q107" s="746"/>
      <c r="R107" s="746"/>
      <c r="S107" s="746"/>
    </row>
    <row r="108" spans="1:19">
      <c r="A108" s="833"/>
      <c r="B108" s="746"/>
      <c r="C108" s="746"/>
      <c r="D108" s="746"/>
      <c r="E108" s="746"/>
      <c r="F108" s="746"/>
      <c r="G108" s="746"/>
      <c r="H108" s="746"/>
      <c r="I108" s="840" t="str">
        <f t="shared" si="9"/>
        <v/>
      </c>
      <c r="J108" s="746"/>
      <c r="K108" s="746"/>
      <c r="L108" s="746"/>
      <c r="M108" s="746"/>
      <c r="N108" s="746"/>
      <c r="O108" s="746"/>
      <c r="P108" s="746"/>
      <c r="Q108" s="746"/>
      <c r="R108" s="746"/>
      <c r="S108" s="746"/>
    </row>
    <row r="109" spans="1:19">
      <c r="A109" s="831"/>
      <c r="B109" s="838" t="s">
        <v>889</v>
      </c>
      <c r="C109" s="841" t="s">
        <v>283</v>
      </c>
      <c r="D109" s="886">
        <f>SUM(D101:D106)</f>
        <v>2133000</v>
      </c>
      <c r="E109" s="886">
        <f t="shared" ref="E109:H109" si="11">SUM(E101:E106)</f>
        <v>1416000</v>
      </c>
      <c r="F109" s="886">
        <f t="shared" si="11"/>
        <v>846000</v>
      </c>
      <c r="G109" s="886">
        <f t="shared" si="11"/>
        <v>352000</v>
      </c>
      <c r="H109" s="886">
        <f t="shared" si="11"/>
        <v>599000</v>
      </c>
      <c r="I109" s="842">
        <f t="shared" si="9"/>
        <v>-0.24932055711971279</v>
      </c>
      <c r="J109" s="746"/>
      <c r="K109" s="746"/>
      <c r="L109" s="746"/>
      <c r="M109" s="746"/>
      <c r="N109" s="746"/>
      <c r="O109" s="746"/>
      <c r="P109" s="746"/>
      <c r="Q109" s="746"/>
      <c r="R109" s="746"/>
      <c r="S109" s="746"/>
    </row>
    <row r="110" spans="1:19">
      <c r="A110" s="831"/>
      <c r="B110" s="746"/>
      <c r="C110" s="746"/>
      <c r="D110" s="746"/>
      <c r="E110" s="746"/>
      <c r="F110" s="746"/>
      <c r="G110" s="746"/>
      <c r="H110" s="746"/>
      <c r="I110" s="840" t="str">
        <f t="shared" si="9"/>
        <v/>
      </c>
      <c r="J110" s="746"/>
      <c r="K110" s="746"/>
      <c r="L110" s="746"/>
      <c r="M110" s="746"/>
      <c r="N110" s="746"/>
      <c r="O110" s="746"/>
      <c r="P110" s="746"/>
      <c r="Q110" s="746"/>
      <c r="R110" s="746"/>
      <c r="S110" s="746"/>
    </row>
    <row r="111" spans="1:19">
      <c r="A111" s="831"/>
      <c r="B111" s="816" t="s">
        <v>54</v>
      </c>
      <c r="C111" s="836"/>
      <c r="D111" s="883">
        <f>SUM(D99,D109)</f>
        <v>3159000</v>
      </c>
      <c r="E111" s="883">
        <f t="shared" ref="E111:H111" si="12">SUM(E99,E109)</f>
        <v>2513000</v>
      </c>
      <c r="F111" s="883">
        <f t="shared" si="12"/>
        <v>2324000</v>
      </c>
      <c r="G111" s="883">
        <f t="shared" si="12"/>
        <v>2944000</v>
      </c>
      <c r="H111" s="883">
        <f t="shared" si="12"/>
        <v>5226000</v>
      </c>
      <c r="I111" s="840">
        <f t="shared" si="9"/>
        <v>0.27641619433034736</v>
      </c>
      <c r="J111" s="746"/>
      <c r="K111" s="746"/>
      <c r="L111" s="746"/>
      <c r="M111" s="746"/>
      <c r="N111" s="746"/>
      <c r="O111" s="746"/>
      <c r="P111" s="746"/>
      <c r="Q111" s="746"/>
      <c r="R111" s="746"/>
      <c r="S111" s="746"/>
    </row>
    <row r="112" spans="1:19">
      <c r="A112" s="831"/>
      <c r="B112" s="746"/>
      <c r="C112" s="746"/>
      <c r="D112" s="746"/>
      <c r="E112" s="746"/>
      <c r="F112" s="746"/>
      <c r="G112" s="746"/>
      <c r="H112" s="746"/>
      <c r="I112" s="840" t="str">
        <f t="shared" si="9"/>
        <v/>
      </c>
      <c r="J112" s="746"/>
      <c r="K112" s="746"/>
      <c r="L112" s="746"/>
      <c r="M112" s="746"/>
      <c r="N112" s="746"/>
      <c r="O112" s="746"/>
      <c r="P112" s="746"/>
      <c r="Q112" s="746"/>
      <c r="R112" s="746"/>
      <c r="S112" s="746"/>
    </row>
    <row r="113" spans="1:19">
      <c r="A113" s="831"/>
      <c r="B113" s="818" t="s">
        <v>890</v>
      </c>
      <c r="C113" s="818" t="s">
        <v>283</v>
      </c>
      <c r="D113" s="887">
        <f>D86-D111</f>
        <v>8019000</v>
      </c>
      <c r="E113" s="887">
        <f>E86-E111</f>
        <v>6657000</v>
      </c>
      <c r="F113" s="887">
        <f>F86-F111</f>
        <v>6468000</v>
      </c>
      <c r="G113" s="887">
        <f>G86-G111</f>
        <v>6351000</v>
      </c>
      <c r="H113" s="887">
        <f>H86-H111</f>
        <v>6757000</v>
      </c>
      <c r="I113" s="889">
        <f t="shared" si="9"/>
        <v>4.9823950393466099E-3</v>
      </c>
      <c r="J113" s="746"/>
      <c r="K113" s="746"/>
      <c r="L113" s="746"/>
      <c r="M113" s="746"/>
      <c r="N113" s="746"/>
      <c r="O113" s="746"/>
      <c r="P113" s="746"/>
      <c r="Q113" s="746"/>
      <c r="R113" s="746"/>
      <c r="S113" s="746"/>
    </row>
    <row r="114" spans="1:19">
      <c r="A114" s="831"/>
      <c r="B114" s="746"/>
      <c r="C114" s="746"/>
      <c r="D114" s="746"/>
      <c r="E114" s="746"/>
      <c r="F114" s="746"/>
      <c r="G114" s="746"/>
      <c r="H114" s="746"/>
      <c r="I114" s="746"/>
      <c r="J114" s="746"/>
      <c r="K114" s="746"/>
      <c r="L114" s="746"/>
      <c r="M114" s="746"/>
      <c r="N114" s="746"/>
      <c r="O114" s="746"/>
      <c r="P114" s="746"/>
      <c r="Q114" s="746"/>
      <c r="R114" s="746"/>
      <c r="S114" s="746"/>
    </row>
    <row r="115" spans="1:19">
      <c r="A115" s="831"/>
      <c r="B115" s="746"/>
      <c r="C115" s="746"/>
      <c r="D115" s="746"/>
      <c r="E115" s="746"/>
      <c r="F115" s="746"/>
      <c r="G115" s="746"/>
      <c r="H115" s="746"/>
      <c r="I115" s="746"/>
      <c r="J115" s="746"/>
      <c r="K115" s="746"/>
      <c r="L115" s="746"/>
      <c r="M115" s="746"/>
      <c r="N115" s="746"/>
      <c r="O115" s="746"/>
      <c r="P115" s="746"/>
      <c r="Q115" s="746"/>
      <c r="R115" s="746"/>
      <c r="S115" s="746"/>
    </row>
    <row r="116" spans="1:19">
      <c r="A116" s="831"/>
      <c r="B116" s="746"/>
      <c r="C116" s="746"/>
      <c r="D116" s="746"/>
      <c r="E116" s="746"/>
      <c r="F116" s="746"/>
      <c r="G116" s="746"/>
      <c r="H116" s="746"/>
      <c r="I116" s="746"/>
      <c r="J116" s="746"/>
      <c r="K116" s="746"/>
      <c r="L116" s="746"/>
      <c r="M116" s="746"/>
      <c r="N116" s="746"/>
      <c r="O116" s="746"/>
      <c r="P116" s="746"/>
      <c r="Q116" s="746"/>
      <c r="R116" s="746"/>
      <c r="S116" s="746"/>
    </row>
    <row r="117" spans="1:19">
      <c r="A117" s="831"/>
      <c r="B117" s="810" t="s">
        <v>891</v>
      </c>
      <c r="C117" s="810" t="s">
        <v>283</v>
      </c>
      <c r="D117" s="810" t="s">
        <v>283</v>
      </c>
      <c r="E117" s="810" t="s">
        <v>283</v>
      </c>
      <c r="F117" s="810" t="s">
        <v>283</v>
      </c>
      <c r="G117" s="810" t="s">
        <v>283</v>
      </c>
      <c r="H117" s="810" t="s">
        <v>283</v>
      </c>
      <c r="I117" s="810" t="s">
        <v>283</v>
      </c>
      <c r="J117" s="746"/>
      <c r="K117" s="746"/>
      <c r="L117" s="746"/>
      <c r="M117" s="746"/>
      <c r="N117" s="746"/>
      <c r="O117" s="746"/>
      <c r="P117" s="746"/>
      <c r="Q117" s="746"/>
      <c r="R117" s="746"/>
      <c r="S117" s="746"/>
    </row>
    <row r="118" spans="1:19">
      <c r="A118" s="831"/>
      <c r="B118" s="811" t="s">
        <v>804</v>
      </c>
      <c r="C118" s="811" t="s">
        <v>283</v>
      </c>
      <c r="D118" s="811" t="s">
        <v>805</v>
      </c>
      <c r="E118" s="811" t="s">
        <v>806</v>
      </c>
      <c r="F118" s="811" t="s">
        <v>807</v>
      </c>
      <c r="G118" s="811" t="s">
        <v>808</v>
      </c>
      <c r="H118" s="811" t="s">
        <v>809</v>
      </c>
      <c r="I118" s="812" t="s">
        <v>830</v>
      </c>
      <c r="J118" s="746"/>
      <c r="K118" s="746"/>
      <c r="L118" s="746"/>
      <c r="M118" s="746"/>
      <c r="N118" s="746"/>
      <c r="O118" s="746"/>
      <c r="P118" s="746"/>
      <c r="Q118" s="746"/>
      <c r="R118" s="746"/>
      <c r="S118" s="746"/>
    </row>
    <row r="119" spans="1:19" ht="12.75">
      <c r="A119" s="831"/>
      <c r="B119" s="813" t="s">
        <v>892</v>
      </c>
      <c r="C119" s="823"/>
      <c r="D119" s="867">
        <f>CF!Q63</f>
        <v>-73000</v>
      </c>
      <c r="E119" s="867">
        <f>CF!P63</f>
        <v>-58000</v>
      </c>
      <c r="F119" s="867">
        <f>CF!O63</f>
        <v>-71000</v>
      </c>
      <c r="G119" s="867">
        <f>CF!N63</f>
        <v>-77000</v>
      </c>
      <c r="H119" s="867">
        <f>CF!M63</f>
        <v>-97000</v>
      </c>
      <c r="I119" s="826">
        <f>IFERROR((H119/E119)^(1/COUNT(F119:H119))-1,"")</f>
        <v>0.18699233242985747</v>
      </c>
      <c r="J119" s="815" t="s">
        <v>893</v>
      </c>
      <c r="K119" s="746"/>
      <c r="L119" s="746"/>
      <c r="M119" s="746"/>
      <c r="N119" s="746"/>
      <c r="O119" s="746"/>
      <c r="P119" s="746"/>
      <c r="Q119" s="746"/>
      <c r="R119" s="746"/>
      <c r="S119" s="746"/>
    </row>
    <row r="120" spans="1:19" ht="12.75">
      <c r="A120" s="831"/>
      <c r="B120" s="844" t="s">
        <v>894</v>
      </c>
      <c r="C120" s="845" t="s">
        <v>283</v>
      </c>
      <c r="D120" s="882">
        <f>CF!Q64</f>
        <v>25000</v>
      </c>
      <c r="E120" s="882">
        <f>CF!P64</f>
        <v>12000</v>
      </c>
      <c r="F120" s="882">
        <f>CF!O64</f>
        <v>28000</v>
      </c>
      <c r="G120" s="882">
        <f>CF!N64</f>
        <v>26000</v>
      </c>
      <c r="H120" s="882">
        <f>CF!M64</f>
        <v>16000</v>
      </c>
      <c r="I120" s="826">
        <f t="shared" ref="I120:I121" si="13">IFERROR((H120/E120)^(1/COUNT(F120:H120))-1,"")</f>
        <v>0.10064241629820891</v>
      </c>
      <c r="J120" s="746"/>
      <c r="K120" s="746"/>
      <c r="L120" s="746"/>
      <c r="M120" s="746"/>
      <c r="N120" s="746"/>
      <c r="O120" s="746"/>
      <c r="P120" s="746"/>
      <c r="Q120" s="746"/>
      <c r="R120" s="746"/>
      <c r="S120" s="746"/>
    </row>
    <row r="121" spans="1:19">
      <c r="A121" s="831"/>
      <c r="B121" s="823" t="s">
        <v>895</v>
      </c>
      <c r="C121" s="823"/>
      <c r="D121" s="846">
        <f>SUM(D119:D120)</f>
        <v>-48000</v>
      </c>
      <c r="E121" s="846">
        <f t="shared" ref="E121:H121" si="14">SUM(E119:E120)</f>
        <v>-46000</v>
      </c>
      <c r="F121" s="846">
        <f t="shared" si="14"/>
        <v>-43000</v>
      </c>
      <c r="G121" s="846">
        <f t="shared" si="14"/>
        <v>-51000</v>
      </c>
      <c r="H121" s="846">
        <f t="shared" si="14"/>
        <v>-81000</v>
      </c>
      <c r="I121" s="847">
        <f>IFERROR((H121/E121)^(1/COUNT(F121:H121))-1,"")</f>
        <v>0.20756095555469312</v>
      </c>
      <c r="J121" s="746"/>
      <c r="K121" s="746"/>
      <c r="L121" s="746"/>
      <c r="M121" s="746"/>
      <c r="N121" s="746"/>
      <c r="O121" s="746"/>
      <c r="P121" s="746"/>
      <c r="Q121" s="746"/>
      <c r="R121" s="746"/>
      <c r="S121" s="746"/>
    </row>
    <row r="122" spans="1:19">
      <c r="A122" s="831"/>
      <c r="B122" s="823"/>
      <c r="C122" s="823"/>
      <c r="D122" s="823"/>
      <c r="E122" s="823"/>
      <c r="F122" s="823"/>
      <c r="G122" s="823"/>
      <c r="H122" s="823"/>
      <c r="I122" s="892" t="s">
        <v>830</v>
      </c>
      <c r="J122" s="746"/>
      <c r="K122" s="746"/>
      <c r="L122" s="746"/>
      <c r="M122" s="746"/>
      <c r="N122" s="746"/>
      <c r="O122" s="746"/>
      <c r="P122" s="746"/>
      <c r="Q122" s="746"/>
      <c r="R122" s="746"/>
      <c r="S122" s="746"/>
    </row>
    <row r="123" spans="1:19">
      <c r="A123" s="831"/>
      <c r="B123" s="823" t="s">
        <v>896</v>
      </c>
      <c r="C123" s="823"/>
      <c r="D123" s="848">
        <f>IFERROR(D121/D$16,"")</f>
        <v>-7.1111111111111111E-2</v>
      </c>
      <c r="E123" s="848">
        <f t="shared" ref="E123:H123" si="15">IFERROR(E121/E$16,"")</f>
        <v>-3.2100488485694349E-2</v>
      </c>
      <c r="F123" s="848">
        <f t="shared" si="15"/>
        <v>-1.8228062738448497E-2</v>
      </c>
      <c r="G123" s="848">
        <f t="shared" si="15"/>
        <v>-1.8233821952091528E-2</v>
      </c>
      <c r="H123" s="848">
        <f t="shared" si="15"/>
        <v>-2.4035608308605343E-2</v>
      </c>
      <c r="I123" s="847">
        <f t="shared" ref="I122:I123" si="16">IFERROR((H123/E123)^(1/COUNT(F123:H123))-1,"")</f>
        <v>-9.1940111245940037E-2</v>
      </c>
      <c r="J123" s="746"/>
      <c r="K123" s="746"/>
      <c r="L123" s="746"/>
      <c r="M123" s="746"/>
      <c r="N123" s="746"/>
      <c r="O123" s="746"/>
      <c r="P123" s="746"/>
      <c r="Q123" s="746"/>
      <c r="R123" s="746"/>
      <c r="S123" s="746"/>
    </row>
    <row r="124" spans="1:19" outlineLevel="1">
      <c r="A124" s="831"/>
      <c r="B124" s="823" t="s">
        <v>897</v>
      </c>
      <c r="C124" s="823"/>
      <c r="D124" s="849">
        <f>IFERROR(AVERAGE(D123:D123), "")</f>
        <v>-7.1111111111111111E-2</v>
      </c>
      <c r="E124" s="849">
        <f>IFERROR(AVERAGE(D123:E123), "")</f>
        <v>-5.1605799798402727E-2</v>
      </c>
      <c r="F124" s="849">
        <f>IFERROR(AVERAGE(D123:F123), "")</f>
        <v>-4.0479887445084649E-2</v>
      </c>
      <c r="G124" s="849">
        <f>IFERROR(AVERAGE(E123:G123), "")</f>
        <v>-2.2854124392078123E-2</v>
      </c>
      <c r="H124" s="849">
        <f>IFERROR(AVERAGE(F123:H123), "")</f>
        <v>-2.0165830999715122E-2</v>
      </c>
      <c r="I124" s="824" t="s">
        <v>283</v>
      </c>
      <c r="J124" s="746"/>
      <c r="K124" s="746"/>
      <c r="L124" s="746"/>
      <c r="M124" s="746"/>
      <c r="N124" s="746"/>
      <c r="O124" s="746"/>
      <c r="P124" s="746"/>
      <c r="Q124" s="746"/>
      <c r="R124" s="746"/>
      <c r="S124" s="746"/>
    </row>
    <row r="125" spans="1:19">
      <c r="A125" s="831"/>
      <c r="B125" s="850" t="s">
        <v>283</v>
      </c>
      <c r="C125" s="850" t="s">
        <v>283</v>
      </c>
      <c r="D125" s="850" t="s">
        <v>283</v>
      </c>
      <c r="E125" s="850" t="s">
        <v>283</v>
      </c>
      <c r="F125" s="850" t="s">
        <v>283</v>
      </c>
      <c r="G125" s="850" t="s">
        <v>283</v>
      </c>
      <c r="H125" s="850" t="s">
        <v>283</v>
      </c>
      <c r="I125" s="851" t="s">
        <v>283</v>
      </c>
      <c r="J125" s="746"/>
      <c r="K125" s="746"/>
      <c r="L125" s="746"/>
      <c r="M125" s="746"/>
      <c r="N125" s="746"/>
      <c r="O125" s="746"/>
      <c r="P125" s="746"/>
      <c r="Q125" s="746"/>
      <c r="R125" s="746"/>
      <c r="S125" s="746"/>
    </row>
    <row r="126" spans="1:19">
      <c r="A126" s="831"/>
      <c r="B126" s="823"/>
      <c r="C126" s="823"/>
      <c r="D126" s="823"/>
      <c r="E126" s="823"/>
      <c r="F126" s="823"/>
      <c r="G126" s="823"/>
      <c r="H126" s="823"/>
      <c r="I126" s="823"/>
      <c r="J126" s="746"/>
      <c r="K126" s="746"/>
      <c r="L126" s="746"/>
      <c r="M126" s="746"/>
      <c r="N126" s="746"/>
      <c r="O126" s="746"/>
      <c r="P126" s="746"/>
      <c r="Q126" s="746"/>
      <c r="R126" s="746"/>
      <c r="S126" s="746"/>
    </row>
    <row r="127" spans="1:19">
      <c r="A127" s="831"/>
      <c r="B127" s="810" t="s">
        <v>898</v>
      </c>
      <c r="C127" s="810" t="s">
        <v>283</v>
      </c>
      <c r="D127" s="810" t="s">
        <v>283</v>
      </c>
      <c r="E127" s="810" t="s">
        <v>283</v>
      </c>
      <c r="F127" s="810" t="s">
        <v>283</v>
      </c>
      <c r="G127" s="810" t="s">
        <v>283</v>
      </c>
      <c r="H127" s="810" t="s">
        <v>283</v>
      </c>
      <c r="I127" s="810" t="s">
        <v>283</v>
      </c>
      <c r="J127" s="746"/>
      <c r="K127" s="746"/>
      <c r="L127" s="746"/>
      <c r="M127" s="746"/>
      <c r="N127" s="746"/>
      <c r="O127" s="746"/>
      <c r="P127" s="746"/>
      <c r="Q127" s="746"/>
      <c r="R127" s="746"/>
      <c r="S127" s="746"/>
    </row>
    <row r="128" spans="1:19">
      <c r="A128" s="831"/>
      <c r="B128" s="811" t="s">
        <v>804</v>
      </c>
      <c r="C128" s="811" t="s">
        <v>283</v>
      </c>
      <c r="D128" s="811" t="s">
        <v>805</v>
      </c>
      <c r="E128" s="811" t="s">
        <v>806</v>
      </c>
      <c r="F128" s="811" t="s">
        <v>807</v>
      </c>
      <c r="G128" s="811" t="s">
        <v>808</v>
      </c>
      <c r="H128" s="811" t="s">
        <v>809</v>
      </c>
      <c r="I128" s="812" t="s">
        <v>830</v>
      </c>
      <c r="J128" s="746"/>
      <c r="K128" s="746"/>
      <c r="L128" s="746"/>
      <c r="M128" s="746"/>
      <c r="N128" s="746"/>
      <c r="O128" s="746"/>
      <c r="P128" s="746"/>
      <c r="Q128" s="746"/>
      <c r="R128" s="746"/>
      <c r="S128" s="746"/>
    </row>
    <row r="129" spans="1:19">
      <c r="A129" s="831" t="s">
        <v>850</v>
      </c>
      <c r="B129" s="746" t="s">
        <v>899</v>
      </c>
      <c r="C129" s="746"/>
      <c r="D129" s="852">
        <f>SUMIF($A$61:$A$107,$A129, D$61:D$107)</f>
        <v>449000</v>
      </c>
      <c r="E129" s="852">
        <f t="shared" ref="E129:H129" si="17">SUMIF($A$61:$A$107,$A129, E$61:E$107)</f>
        <v>622000</v>
      </c>
      <c r="F129" s="852">
        <f t="shared" si="17"/>
        <v>781000</v>
      </c>
      <c r="G129" s="852">
        <f t="shared" si="17"/>
        <v>1004000</v>
      </c>
      <c r="H129" s="852">
        <f t="shared" si="17"/>
        <v>1361000</v>
      </c>
      <c r="I129" s="840">
        <f>IFERROR((H129/E129)^(1/COUNT(F129:H129))-1,"")</f>
        <v>0.29824277252623044</v>
      </c>
      <c r="J129" s="746"/>
      <c r="K129" s="746"/>
      <c r="L129" s="746"/>
      <c r="M129" s="746"/>
      <c r="N129" s="746"/>
      <c r="O129" s="746"/>
      <c r="P129" s="746"/>
      <c r="Q129" s="746"/>
      <c r="R129" s="746"/>
      <c r="S129" s="746"/>
    </row>
    <row r="130" spans="1:19">
      <c r="A130" s="831" t="s">
        <v>868</v>
      </c>
      <c r="B130" s="834" t="s">
        <v>900</v>
      </c>
      <c r="C130" s="834" t="s">
        <v>283</v>
      </c>
      <c r="D130" s="853">
        <f>-SUMIF($A$61:$A$108,$A130, D$61:D$108)</f>
        <v>-882000</v>
      </c>
      <c r="E130" s="853">
        <f t="shared" ref="E130:H130" si="18">-SUMIF($A$61:$A$108,$A130, E$61:E$108)</f>
        <v>-980000</v>
      </c>
      <c r="F130" s="853">
        <f t="shared" si="18"/>
        <v>-1353000</v>
      </c>
      <c r="G130" s="853">
        <f t="shared" si="18"/>
        <v>-2371000</v>
      </c>
      <c r="H130" s="853">
        <f t="shared" si="18"/>
        <v>-2947000</v>
      </c>
      <c r="I130" s="840">
        <f t="shared" ref="I130:I133" si="19">IFERROR((H130/E130)^(1/COUNT(F130:H130))-1,"")</f>
        <v>0.44339330557682866</v>
      </c>
      <c r="J130" s="746"/>
      <c r="K130" s="746"/>
      <c r="L130" s="746"/>
      <c r="M130" s="746"/>
      <c r="N130" s="746"/>
      <c r="O130" s="746"/>
      <c r="P130" s="746"/>
      <c r="Q130" s="746"/>
      <c r="R130" s="746"/>
      <c r="S130" s="746"/>
    </row>
    <row r="131" spans="1:19">
      <c r="A131" s="831"/>
      <c r="B131" s="836" t="s">
        <v>901</v>
      </c>
      <c r="C131" s="836"/>
      <c r="D131" s="854">
        <f>SUM(D129:D130)</f>
        <v>-433000</v>
      </c>
      <c r="E131" s="854">
        <f t="shared" ref="E131:H131" si="20">SUM(E129:E130)</f>
        <v>-358000</v>
      </c>
      <c r="F131" s="854">
        <f t="shared" si="20"/>
        <v>-572000</v>
      </c>
      <c r="G131" s="854">
        <f t="shared" si="20"/>
        <v>-1367000</v>
      </c>
      <c r="H131" s="854">
        <f t="shared" si="20"/>
        <v>-1586000</v>
      </c>
      <c r="I131" s="890">
        <f t="shared" si="19"/>
        <v>0.64237900786771829</v>
      </c>
      <c r="J131" s="746"/>
      <c r="K131" s="746"/>
      <c r="L131" s="746"/>
      <c r="M131" s="746"/>
      <c r="N131" s="746"/>
      <c r="O131" s="746"/>
      <c r="P131" s="746"/>
      <c r="Q131" s="746"/>
      <c r="R131" s="746"/>
      <c r="S131" s="746"/>
    </row>
    <row r="132" spans="1:19">
      <c r="A132" s="831"/>
      <c r="B132" s="836"/>
      <c r="C132" s="836"/>
      <c r="D132" s="836"/>
      <c r="E132" s="836"/>
      <c r="F132" s="836"/>
      <c r="G132" s="836"/>
      <c r="H132" s="836"/>
      <c r="I132" s="892" t="s">
        <v>830</v>
      </c>
      <c r="J132" s="746"/>
      <c r="K132" s="746"/>
      <c r="L132" s="746"/>
      <c r="M132" s="746"/>
      <c r="N132" s="746"/>
      <c r="O132" s="746"/>
      <c r="P132" s="746"/>
      <c r="Q132" s="746"/>
      <c r="R132" s="746"/>
      <c r="S132" s="746"/>
    </row>
    <row r="133" spans="1:19">
      <c r="A133" s="831"/>
      <c r="B133" s="836" t="s">
        <v>902</v>
      </c>
      <c r="C133" s="746"/>
      <c r="D133" s="848">
        <f>IFERROR(D131/D$16,"")</f>
        <v>-0.64148148148148143</v>
      </c>
      <c r="E133" s="848">
        <f t="shared" ref="E133:H133" si="21">IFERROR(E131/E$16,"")</f>
        <v>-0.24982554082344732</v>
      </c>
      <c r="F133" s="848">
        <f t="shared" si="21"/>
        <v>-0.24247562526494276</v>
      </c>
      <c r="G133" s="848">
        <f t="shared" si="21"/>
        <v>-0.48873793350017875</v>
      </c>
      <c r="H133" s="848">
        <f t="shared" si="21"/>
        <v>-0.47062314540059347</v>
      </c>
      <c r="I133" s="891">
        <f t="shared" si="19"/>
        <v>0.2350337200918351</v>
      </c>
      <c r="J133" s="746"/>
      <c r="K133" s="746"/>
      <c r="L133" s="746"/>
      <c r="M133" s="746"/>
      <c r="N133" s="746"/>
      <c r="O133" s="746"/>
      <c r="P133" s="746"/>
      <c r="Q133" s="746"/>
      <c r="R133" s="746"/>
      <c r="S133" s="746"/>
    </row>
    <row r="134" spans="1:19">
      <c r="A134" s="831"/>
      <c r="B134" s="836" t="s">
        <v>903</v>
      </c>
      <c r="C134" s="746"/>
      <c r="D134" s="849">
        <f>IFERROR(AVERAGE(D133:D133), "")</f>
        <v>-0.64148148148148143</v>
      </c>
      <c r="E134" s="849">
        <f>IFERROR(AVERAGE(D133:E133), "")</f>
        <v>-0.44565351115246438</v>
      </c>
      <c r="F134" s="849">
        <f>IFERROR(AVERAGE(D133:F133), "")</f>
        <v>-0.37792754918995719</v>
      </c>
      <c r="G134" s="849">
        <f>IFERROR(AVERAGE(E133:G133), "")</f>
        <v>-0.32701303319618963</v>
      </c>
      <c r="H134" s="849">
        <f>IFERROR(AVERAGE(F133:H133), "")</f>
        <v>-0.40061223472190499</v>
      </c>
      <c r="I134" s="837" t="s">
        <v>283</v>
      </c>
      <c r="J134" s="746"/>
      <c r="K134" s="746"/>
      <c r="L134" s="746"/>
      <c r="M134" s="746"/>
      <c r="N134" s="746"/>
      <c r="O134" s="746"/>
      <c r="P134" s="746"/>
      <c r="Q134" s="746"/>
      <c r="R134" s="746"/>
      <c r="S134" s="746"/>
    </row>
    <row r="135" spans="1:19">
      <c r="A135" s="831"/>
      <c r="B135" s="746"/>
      <c r="C135" s="746"/>
      <c r="D135" s="746"/>
      <c r="E135" s="746"/>
      <c r="F135" s="746"/>
      <c r="G135" s="746"/>
      <c r="H135" s="746"/>
      <c r="I135" s="837" t="s">
        <v>283</v>
      </c>
      <c r="J135" s="746"/>
      <c r="K135" s="746"/>
      <c r="L135" s="746"/>
      <c r="M135" s="746"/>
      <c r="N135" s="746"/>
      <c r="O135" s="746"/>
      <c r="P135" s="746"/>
      <c r="Q135" s="746"/>
      <c r="R135" s="746"/>
      <c r="S135" s="746"/>
    </row>
    <row r="136" spans="1:19">
      <c r="A136" s="831"/>
      <c r="B136" s="818" t="s">
        <v>904</v>
      </c>
      <c r="C136" s="818" t="s">
        <v>283</v>
      </c>
      <c r="D136" s="818" t="s">
        <v>283</v>
      </c>
      <c r="E136" s="818">
        <f>IFERROR(D131-E131,"")</f>
        <v>-75000</v>
      </c>
      <c r="F136" s="818">
        <f t="shared" ref="F136:H136" si="22">IFERROR(E131-F131,"")</f>
        <v>214000</v>
      </c>
      <c r="G136" s="818">
        <f t="shared" si="22"/>
        <v>795000</v>
      </c>
      <c r="H136" s="818">
        <f t="shared" si="22"/>
        <v>219000</v>
      </c>
      <c r="I136" s="843" t="s">
        <v>283</v>
      </c>
      <c r="J136" s="746"/>
      <c r="K136" s="746"/>
      <c r="L136" s="746"/>
      <c r="M136" s="746"/>
      <c r="N136" s="746"/>
      <c r="O136" s="746"/>
      <c r="P136" s="746"/>
      <c r="Q136" s="746"/>
      <c r="R136" s="746"/>
      <c r="S136" s="746"/>
    </row>
    <row r="137" spans="1:19" outlineLevel="1">
      <c r="A137" s="831"/>
      <c r="B137" s="802"/>
      <c r="C137" s="746"/>
      <c r="D137" s="746"/>
      <c r="E137" s="746"/>
      <c r="F137" s="746"/>
      <c r="G137" s="746"/>
      <c r="H137" s="746"/>
      <c r="I137" s="746"/>
      <c r="J137" s="746"/>
      <c r="K137" s="746"/>
      <c r="L137" s="746"/>
      <c r="M137" s="746"/>
      <c r="N137" s="746"/>
      <c r="O137" s="746"/>
      <c r="P137" s="746"/>
      <c r="Q137" s="746"/>
      <c r="R137" s="746"/>
      <c r="S137" s="746"/>
    </row>
    <row r="138" spans="1:19" outlineLevel="1">
      <c r="A138" s="831"/>
      <c r="B138" s="810" t="s">
        <v>905</v>
      </c>
      <c r="C138" s="810" t="s">
        <v>283</v>
      </c>
      <c r="D138" s="810" t="s">
        <v>283</v>
      </c>
      <c r="E138" s="810" t="s">
        <v>283</v>
      </c>
      <c r="F138" s="810" t="s">
        <v>283</v>
      </c>
      <c r="G138" s="810" t="s">
        <v>283</v>
      </c>
      <c r="H138" s="810" t="s">
        <v>283</v>
      </c>
      <c r="I138" s="810" t="s">
        <v>283</v>
      </c>
      <c r="J138" s="746"/>
      <c r="K138" s="746"/>
      <c r="L138" s="746"/>
      <c r="M138" s="746"/>
      <c r="N138" s="746"/>
      <c r="O138" s="746"/>
      <c r="P138" s="746"/>
      <c r="Q138" s="746"/>
      <c r="R138" s="746"/>
      <c r="S138" s="746"/>
    </row>
    <row r="139" spans="1:19" outlineLevel="1">
      <c r="A139" s="831"/>
      <c r="B139" s="811" t="s">
        <v>804</v>
      </c>
      <c r="C139" s="811" t="s">
        <v>283</v>
      </c>
      <c r="D139" s="811" t="s">
        <v>805</v>
      </c>
      <c r="E139" s="811" t="s">
        <v>806</v>
      </c>
      <c r="F139" s="811" t="s">
        <v>807</v>
      </c>
      <c r="G139" s="811" t="s">
        <v>808</v>
      </c>
      <c r="H139" s="811" t="s">
        <v>809</v>
      </c>
      <c r="I139" s="812" t="s">
        <v>830</v>
      </c>
      <c r="J139" s="746"/>
      <c r="K139" s="746"/>
      <c r="L139" s="746"/>
      <c r="M139" s="746"/>
      <c r="N139" s="746"/>
      <c r="O139" s="746"/>
      <c r="P139" s="746"/>
      <c r="Q139" s="746"/>
      <c r="R139" s="746"/>
      <c r="S139" s="746"/>
    </row>
    <row r="140" spans="1:19" outlineLevel="1">
      <c r="A140" s="831" t="s">
        <v>51</v>
      </c>
      <c r="B140" s="746" t="s">
        <v>906</v>
      </c>
      <c r="C140" s="746"/>
      <c r="D140" s="852">
        <f>-SUMIF($A$61:$A$108,$A140, D$61:D$108)</f>
        <v>-2074000</v>
      </c>
      <c r="E140" s="852">
        <f t="shared" ref="E140:H140" si="23">-SUMIF($A$61:$A$108,$A140, E$61:E$108)</f>
        <v>-1213000</v>
      </c>
      <c r="F140" s="852">
        <f t="shared" si="23"/>
        <v>-669000</v>
      </c>
      <c r="G140" s="852">
        <f t="shared" si="23"/>
        <v>-239000</v>
      </c>
      <c r="H140" s="852">
        <f t="shared" si="23"/>
        <v>-1868000</v>
      </c>
      <c r="I140" s="840">
        <f>IFERROR((H140/E140)^(1/COUNT(F140:H140))-1,"")</f>
        <v>0.15479622897781353</v>
      </c>
      <c r="J140" s="746"/>
      <c r="K140" s="746"/>
      <c r="L140" s="746"/>
      <c r="M140" s="746"/>
      <c r="N140" s="746"/>
      <c r="O140" s="746"/>
      <c r="P140" s="746"/>
      <c r="Q140" s="746"/>
      <c r="R140" s="746"/>
      <c r="S140" s="746"/>
    </row>
    <row r="141" spans="1:19" outlineLevel="1">
      <c r="A141" s="831" t="s">
        <v>856</v>
      </c>
      <c r="B141" s="834" t="s">
        <v>907</v>
      </c>
      <c r="C141" s="834" t="s">
        <v>283</v>
      </c>
      <c r="D141" s="834">
        <f>SUMIF($A$61:$A$108,$A141, D$61:D$108)</f>
        <v>4838000</v>
      </c>
      <c r="E141" s="834">
        <f t="shared" ref="E141:H141" si="24">SUMIF($A$61:$A$108,$A141, E$61:E$108)</f>
        <v>1952000</v>
      </c>
      <c r="F141" s="834">
        <f t="shared" si="24"/>
        <v>3138000</v>
      </c>
      <c r="G141" s="834">
        <f t="shared" si="24"/>
        <v>2964000</v>
      </c>
      <c r="H141" s="834">
        <f t="shared" si="24"/>
        <v>3433000</v>
      </c>
      <c r="I141" s="840">
        <f t="shared" ref="I141:I142" si="25">IFERROR((H141/E141)^(1/COUNT(F141:H141))-1,"")</f>
        <v>0.20706686970798671</v>
      </c>
      <c r="J141" s="746"/>
      <c r="K141" s="746"/>
      <c r="L141" s="746"/>
      <c r="M141" s="746"/>
      <c r="N141" s="746"/>
      <c r="O141" s="746"/>
      <c r="P141" s="746"/>
      <c r="Q141" s="746"/>
      <c r="R141" s="746"/>
      <c r="S141" s="746"/>
    </row>
    <row r="142" spans="1:19" outlineLevel="1">
      <c r="A142" s="831"/>
      <c r="B142" s="818" t="s">
        <v>905</v>
      </c>
      <c r="C142" s="818" t="s">
        <v>283</v>
      </c>
      <c r="D142" s="819">
        <f>SUM(D140:D141)</f>
        <v>2764000</v>
      </c>
      <c r="E142" s="819">
        <f t="shared" ref="E142:H142" si="26">SUM(E140:E141)</f>
        <v>739000</v>
      </c>
      <c r="F142" s="819">
        <f t="shared" si="26"/>
        <v>2469000</v>
      </c>
      <c r="G142" s="819">
        <f t="shared" si="26"/>
        <v>2725000</v>
      </c>
      <c r="H142" s="819">
        <f t="shared" si="26"/>
        <v>1565000</v>
      </c>
      <c r="I142" s="889">
        <f t="shared" si="25"/>
        <v>0.28417230990410025</v>
      </c>
      <c r="J142" s="746"/>
      <c r="K142" s="746"/>
      <c r="L142" s="746"/>
      <c r="M142" s="746"/>
      <c r="N142" s="746"/>
      <c r="O142" s="746"/>
      <c r="P142" s="746"/>
      <c r="Q142" s="746"/>
      <c r="R142" s="746"/>
      <c r="S142" s="746"/>
    </row>
    <row r="143" spans="1:19" outlineLevel="1">
      <c r="A143" s="831"/>
      <c r="B143" s="836"/>
      <c r="C143" s="746"/>
      <c r="D143" s="746"/>
      <c r="E143" s="746"/>
      <c r="F143" s="746"/>
      <c r="G143" s="746"/>
      <c r="H143" s="746"/>
      <c r="I143" s="746"/>
      <c r="J143" s="746"/>
      <c r="K143" s="746"/>
      <c r="L143" s="746"/>
      <c r="M143" s="746"/>
      <c r="N143" s="746"/>
      <c r="O143" s="746"/>
      <c r="P143" s="746"/>
      <c r="Q143" s="746"/>
      <c r="R143" s="746"/>
      <c r="S143" s="746"/>
    </row>
    <row r="144" spans="1:19" outlineLevel="1">
      <c r="A144" s="831"/>
      <c r="B144" s="810" t="s">
        <v>908</v>
      </c>
      <c r="C144" s="810" t="s">
        <v>283</v>
      </c>
      <c r="D144" s="810" t="s">
        <v>283</v>
      </c>
      <c r="E144" s="810" t="s">
        <v>283</v>
      </c>
      <c r="F144" s="810" t="s">
        <v>283</v>
      </c>
      <c r="G144" s="810" t="s">
        <v>283</v>
      </c>
      <c r="H144" s="810" t="s">
        <v>283</v>
      </c>
      <c r="I144" s="810" t="s">
        <v>283</v>
      </c>
      <c r="J144" s="746"/>
      <c r="K144" s="746"/>
      <c r="L144" s="746"/>
      <c r="M144" s="746"/>
      <c r="N144" s="746"/>
      <c r="O144" s="746"/>
      <c r="P144" s="746"/>
      <c r="Q144" s="746"/>
      <c r="R144" s="746"/>
      <c r="S144" s="746"/>
    </row>
    <row r="145" spans="1:19" outlineLevel="1">
      <c r="A145" s="831"/>
      <c r="B145" s="811" t="s">
        <v>804</v>
      </c>
      <c r="C145" s="811" t="s">
        <v>283</v>
      </c>
      <c r="D145" s="811" t="s">
        <v>805</v>
      </c>
      <c r="E145" s="811" t="s">
        <v>806</v>
      </c>
      <c r="F145" s="811" t="s">
        <v>807</v>
      </c>
      <c r="G145" s="811" t="s">
        <v>808</v>
      </c>
      <c r="H145" s="811" t="s">
        <v>809</v>
      </c>
      <c r="I145" s="812" t="s">
        <v>830</v>
      </c>
      <c r="J145" s="746"/>
      <c r="K145" s="746"/>
      <c r="L145" s="746"/>
      <c r="M145" s="746"/>
      <c r="N145" s="746"/>
      <c r="O145" s="746"/>
      <c r="P145" s="746"/>
      <c r="Q145" s="746"/>
      <c r="R145" s="746"/>
      <c r="S145" s="746"/>
    </row>
    <row r="146" spans="1:19" outlineLevel="1">
      <c r="A146" s="831" t="s">
        <v>845</v>
      </c>
      <c r="B146" s="746" t="s">
        <v>909</v>
      </c>
      <c r="C146" s="746"/>
      <c r="D146" s="746">
        <f>SUMIF($A$61:$A$108,$A146, D$61:D$108)</f>
        <v>4775000</v>
      </c>
      <c r="E146" s="746">
        <f t="shared" ref="E146:H147" si="27">SUMIF($A$61:$A$108,$A146, E$61:E$108)</f>
        <v>5113000</v>
      </c>
      <c r="F146" s="746">
        <f t="shared" si="27"/>
        <v>3297000</v>
      </c>
      <c r="G146" s="746">
        <f t="shared" si="27"/>
        <v>3680000</v>
      </c>
      <c r="H146" s="746">
        <f t="shared" si="27"/>
        <v>4881000</v>
      </c>
      <c r="I146" s="840">
        <f>IFERROR((H146/E146)^(1/COUNT(F146:H146))-1,"")</f>
        <v>-1.5359553185847474E-2</v>
      </c>
      <c r="J146" s="746"/>
      <c r="K146" s="746"/>
      <c r="L146" s="746"/>
      <c r="M146" s="746"/>
      <c r="N146" s="746"/>
      <c r="O146" s="746"/>
      <c r="P146" s="746"/>
      <c r="Q146" s="746"/>
      <c r="R146" s="746"/>
      <c r="S146" s="746"/>
    </row>
    <row r="147" spans="1:19" outlineLevel="1">
      <c r="A147" s="831" t="s">
        <v>872</v>
      </c>
      <c r="B147" s="746" t="s">
        <v>910</v>
      </c>
      <c r="C147" s="746"/>
      <c r="D147" s="746">
        <f>-SUMIF($A$61:$A$108,$A147, D$61:D$108)</f>
        <v>-54000</v>
      </c>
      <c r="E147" s="746">
        <f t="shared" ref="E147:H147" si="28">-SUMIF($A$61:$A$108,$A147, E$61:E$108)</f>
        <v>-107000</v>
      </c>
      <c r="F147" s="746">
        <f t="shared" si="28"/>
        <v>-124000</v>
      </c>
      <c r="G147" s="746">
        <f t="shared" si="28"/>
        <v>-152000</v>
      </c>
      <c r="H147" s="746">
        <f t="shared" si="28"/>
        <v>-156000</v>
      </c>
      <c r="I147" s="840">
        <f t="shared" ref="I147:I148" si="29">IFERROR((H147/E147)^(1/COUNT(F147:H147))-1,"")</f>
        <v>0.13391440772755669</v>
      </c>
      <c r="J147" s="746"/>
      <c r="K147" s="746"/>
      <c r="L147" s="746"/>
      <c r="M147" s="746"/>
      <c r="N147" s="746"/>
      <c r="O147" s="746"/>
      <c r="P147" s="746"/>
      <c r="Q147" s="746"/>
      <c r="R147" s="746"/>
      <c r="S147" s="746"/>
    </row>
    <row r="148" spans="1:19" outlineLevel="1">
      <c r="A148" s="831"/>
      <c r="B148" s="818" t="s">
        <v>911</v>
      </c>
      <c r="C148" s="818" t="s">
        <v>283</v>
      </c>
      <c r="D148" s="818">
        <f>SUM(D146:D147)</f>
        <v>4721000</v>
      </c>
      <c r="E148" s="818">
        <f t="shared" ref="E148:H148" si="30">SUM(E146:E147)</f>
        <v>5006000</v>
      </c>
      <c r="F148" s="818">
        <f t="shared" si="30"/>
        <v>3173000</v>
      </c>
      <c r="G148" s="818">
        <f t="shared" si="30"/>
        <v>3528000</v>
      </c>
      <c r="H148" s="818">
        <f t="shared" si="30"/>
        <v>4725000</v>
      </c>
      <c r="I148" s="889">
        <f>IFERROR((H148/E148)^(1/COUNT(F148:H148))-1,"")</f>
        <v>-1.9072321171074713E-2</v>
      </c>
      <c r="J148" s="746"/>
      <c r="K148" s="746"/>
      <c r="L148" s="746"/>
      <c r="M148" s="746"/>
      <c r="N148" s="746"/>
      <c r="O148" s="746"/>
      <c r="P148" s="746"/>
      <c r="Q148" s="746"/>
      <c r="R148" s="746"/>
      <c r="S148" s="746"/>
    </row>
    <row r="149" spans="1:19" outlineLevel="1">
      <c r="A149" s="831"/>
      <c r="B149" s="746"/>
      <c r="C149" s="746"/>
      <c r="D149" s="746"/>
      <c r="E149" s="746"/>
      <c r="F149" s="746"/>
      <c r="G149" s="746"/>
      <c r="H149" s="746"/>
      <c r="I149" s="746"/>
      <c r="J149" s="746"/>
      <c r="K149" s="746"/>
      <c r="L149" s="746"/>
      <c r="M149" s="746"/>
      <c r="N149" s="746"/>
      <c r="O149" s="746"/>
      <c r="P149" s="746"/>
      <c r="Q149" s="746"/>
      <c r="R149" s="746"/>
      <c r="S149" s="746"/>
    </row>
    <row r="150" spans="1:19" outlineLevel="1">
      <c r="A150" s="831"/>
      <c r="B150" s="810" t="s">
        <v>912</v>
      </c>
      <c r="C150" s="810" t="s">
        <v>283</v>
      </c>
      <c r="D150" s="810" t="s">
        <v>283</v>
      </c>
      <c r="E150" s="810" t="s">
        <v>283</v>
      </c>
      <c r="F150" s="810" t="s">
        <v>283</v>
      </c>
      <c r="G150" s="810" t="s">
        <v>283</v>
      </c>
      <c r="H150" s="810" t="s">
        <v>283</v>
      </c>
      <c r="I150" s="810" t="s">
        <v>283</v>
      </c>
      <c r="J150" s="746"/>
      <c r="K150" s="746"/>
      <c r="L150" s="746"/>
      <c r="M150" s="746"/>
      <c r="N150" s="746"/>
      <c r="O150" s="746"/>
      <c r="P150" s="746"/>
      <c r="Q150" s="746"/>
      <c r="R150" s="746"/>
      <c r="S150" s="746"/>
    </row>
    <row r="151" spans="1:19" outlineLevel="1">
      <c r="A151" s="831"/>
      <c r="B151" s="811" t="s">
        <v>804</v>
      </c>
      <c r="C151" s="811" t="s">
        <v>283</v>
      </c>
      <c r="D151" s="811" t="s">
        <v>805</v>
      </c>
      <c r="E151" s="811" t="s">
        <v>806</v>
      </c>
      <c r="F151" s="811" t="s">
        <v>807</v>
      </c>
      <c r="G151" s="811" t="s">
        <v>808</v>
      </c>
      <c r="H151" s="811" t="s">
        <v>809</v>
      </c>
      <c r="I151" s="812" t="s">
        <v>830</v>
      </c>
      <c r="J151" s="746"/>
      <c r="K151" s="746"/>
      <c r="L151" s="746"/>
      <c r="M151" s="746"/>
      <c r="N151" s="746"/>
      <c r="O151" s="746"/>
      <c r="P151" s="746"/>
      <c r="Q151" s="746"/>
      <c r="R151" s="746"/>
      <c r="S151" s="746"/>
    </row>
    <row r="152" spans="1:19" outlineLevel="1">
      <c r="A152" s="831"/>
      <c r="B152" s="822"/>
      <c r="C152" s="813"/>
      <c r="D152" s="813"/>
      <c r="E152" s="813"/>
      <c r="F152" s="813"/>
      <c r="G152" s="813"/>
      <c r="H152" s="813"/>
      <c r="I152" s="814" t="s">
        <v>283</v>
      </c>
      <c r="J152" s="803"/>
      <c r="K152" s="746"/>
      <c r="L152" s="746"/>
      <c r="M152" s="746"/>
      <c r="N152" s="746"/>
      <c r="O152" s="746"/>
      <c r="P152" s="746"/>
      <c r="Q152" s="746"/>
      <c r="R152" s="746"/>
      <c r="S152" s="746"/>
    </row>
    <row r="153" spans="1:19" outlineLevel="1">
      <c r="A153" s="831" t="s">
        <v>841</v>
      </c>
      <c r="B153" s="813" t="s">
        <v>913</v>
      </c>
      <c r="C153" s="813"/>
      <c r="D153" s="866">
        <f>D61</f>
        <v>441000</v>
      </c>
      <c r="E153" s="866">
        <f t="shared" ref="E153:H153" si="31">E61</f>
        <v>492000</v>
      </c>
      <c r="F153" s="866">
        <f t="shared" si="31"/>
        <v>512000</v>
      </c>
      <c r="G153" s="866">
        <f t="shared" si="31"/>
        <v>567000</v>
      </c>
      <c r="H153" s="866">
        <f t="shared" si="31"/>
        <v>831000</v>
      </c>
      <c r="I153" s="826">
        <f>IFERROR((H153/E153)^(1/COUNT(F153:H153))-1,"")</f>
        <v>0.19090917273921004</v>
      </c>
      <c r="J153" s="815"/>
      <c r="K153" s="746"/>
      <c r="L153" s="746"/>
      <c r="M153" s="746"/>
      <c r="N153" s="746"/>
      <c r="O153" s="746"/>
      <c r="P153" s="746"/>
      <c r="Q153" s="746"/>
      <c r="R153" s="746"/>
      <c r="S153" s="746"/>
    </row>
    <row r="154" spans="1:19" outlineLevel="1">
      <c r="A154" s="831" t="s">
        <v>843</v>
      </c>
      <c r="B154" s="813" t="s">
        <v>914</v>
      </c>
      <c r="C154" s="813"/>
      <c r="D154" s="866">
        <f>D62</f>
        <v>675000</v>
      </c>
      <c r="E154" s="866">
        <f t="shared" ref="E154:H154" si="32">E62</f>
        <v>904000</v>
      </c>
      <c r="F154" s="866">
        <f t="shared" si="32"/>
        <v>916000</v>
      </c>
      <c r="G154" s="866">
        <f t="shared" si="32"/>
        <v>975000</v>
      </c>
      <c r="H154" s="866">
        <f t="shared" si="32"/>
        <v>1057000</v>
      </c>
      <c r="I154" s="826">
        <f t="shared" ref="I154:I174" si="33">IFERROR((H154/E154)^(1/COUNT(F154:H154))-1,"")</f>
        <v>5.3502374834593081E-2</v>
      </c>
      <c r="J154" s="803"/>
      <c r="K154" s="746"/>
      <c r="L154" s="746"/>
      <c r="M154" s="746"/>
      <c r="N154" s="746"/>
      <c r="O154" s="746"/>
      <c r="P154" s="746"/>
      <c r="Q154" s="746"/>
      <c r="R154" s="746"/>
      <c r="S154" s="746"/>
    </row>
    <row r="155" spans="1:19" outlineLevel="1">
      <c r="A155" s="831"/>
      <c r="B155" s="813"/>
      <c r="C155" s="813"/>
      <c r="D155" s="813"/>
      <c r="E155" s="813"/>
      <c r="F155" s="813"/>
      <c r="G155" s="813"/>
      <c r="H155" s="813"/>
      <c r="I155" s="826" t="str">
        <f t="shared" si="33"/>
        <v/>
      </c>
      <c r="J155" s="803"/>
      <c r="K155" s="746"/>
      <c r="L155" s="746"/>
      <c r="M155" s="746"/>
      <c r="N155" s="746"/>
      <c r="O155" s="746"/>
      <c r="P155" s="746"/>
      <c r="Q155" s="746"/>
      <c r="R155" s="746"/>
      <c r="S155" s="746"/>
    </row>
    <row r="156" spans="1:19" outlineLevel="1">
      <c r="A156" s="831"/>
      <c r="B156" s="822"/>
      <c r="C156" s="813"/>
      <c r="D156" s="813"/>
      <c r="E156" s="813"/>
      <c r="F156" s="813"/>
      <c r="G156" s="813"/>
      <c r="H156" s="813"/>
      <c r="I156" s="826" t="str">
        <f t="shared" si="33"/>
        <v/>
      </c>
      <c r="J156" s="803"/>
      <c r="K156" s="746"/>
      <c r="L156" s="746"/>
      <c r="M156" s="746"/>
      <c r="N156" s="746"/>
      <c r="O156" s="746"/>
      <c r="P156" s="746"/>
      <c r="Q156" s="746"/>
      <c r="R156" s="746"/>
      <c r="S156" s="746"/>
    </row>
    <row r="157" spans="1:19" outlineLevel="1">
      <c r="A157" s="831"/>
      <c r="B157" s="813" t="s">
        <v>915</v>
      </c>
      <c r="C157" s="813"/>
      <c r="D157" s="866">
        <f>D74</f>
        <v>288000</v>
      </c>
      <c r="E157" s="866">
        <f t="shared" ref="E157:H157" si="34">E74</f>
        <v>406000</v>
      </c>
      <c r="F157" s="866">
        <f t="shared" si="34"/>
        <v>486000</v>
      </c>
      <c r="G157" s="866">
        <f t="shared" si="34"/>
        <v>663000</v>
      </c>
      <c r="H157" s="866">
        <f t="shared" si="34"/>
        <v>1034000</v>
      </c>
      <c r="I157" s="826">
        <f t="shared" si="33"/>
        <v>0.36562513545233921</v>
      </c>
      <c r="J157" s="803"/>
      <c r="K157" s="746"/>
      <c r="L157" s="746"/>
      <c r="M157" s="746"/>
      <c r="N157" s="746"/>
      <c r="O157" s="746"/>
      <c r="P157" s="746"/>
      <c r="Q157" s="746"/>
      <c r="R157" s="746"/>
      <c r="S157" s="746"/>
    </row>
    <row r="158" spans="1:19" outlineLevel="1">
      <c r="A158" s="831"/>
      <c r="B158" s="813" t="s">
        <v>43</v>
      </c>
      <c r="C158" s="813"/>
      <c r="D158" s="866">
        <f>D75</f>
        <v>4000</v>
      </c>
      <c r="E158" s="866">
        <f t="shared" ref="E158:H158" si="35">E75</f>
        <v>48000</v>
      </c>
      <c r="F158" s="866">
        <f t="shared" si="35"/>
        <v>49000</v>
      </c>
      <c r="G158" s="866">
        <f t="shared" si="35"/>
        <v>59000</v>
      </c>
      <c r="H158" s="866">
        <f t="shared" si="35"/>
        <v>87000</v>
      </c>
      <c r="I158" s="826">
        <f t="shared" si="33"/>
        <v>0.21924974026832822</v>
      </c>
      <c r="J158" s="803"/>
      <c r="K158" s="746"/>
      <c r="L158" s="746"/>
      <c r="M158" s="746"/>
      <c r="N158" s="746"/>
      <c r="O158" s="746"/>
      <c r="P158" s="746"/>
      <c r="Q158" s="746"/>
      <c r="R158" s="746"/>
      <c r="S158" s="746"/>
    </row>
    <row r="159" spans="1:19">
      <c r="A159" s="831"/>
      <c r="B159" s="813" t="s">
        <v>916</v>
      </c>
      <c r="C159" s="813"/>
      <c r="D159" s="866">
        <f>-D89</f>
        <v>-251000</v>
      </c>
      <c r="E159" s="866">
        <f t="shared" ref="E159:H159" si="36">-E89</f>
        <v>-297000</v>
      </c>
      <c r="F159" s="866">
        <f t="shared" si="36"/>
        <v>-328000</v>
      </c>
      <c r="G159" s="866">
        <f t="shared" si="36"/>
        <v>-379000</v>
      </c>
      <c r="H159" s="866">
        <f t="shared" si="36"/>
        <v>-584000</v>
      </c>
      <c r="I159" s="826">
        <f t="shared" si="33"/>
        <v>0.25281073456353487</v>
      </c>
      <c r="J159" s="815"/>
      <c r="K159" s="746"/>
      <c r="L159" s="746"/>
      <c r="M159" s="746"/>
      <c r="N159" s="746"/>
      <c r="O159" s="746"/>
      <c r="P159" s="746"/>
      <c r="Q159" s="746"/>
      <c r="R159" s="746"/>
      <c r="S159" s="746"/>
    </row>
    <row r="160" spans="1:19">
      <c r="A160" s="831"/>
      <c r="B160" s="813" t="s">
        <v>860</v>
      </c>
      <c r="C160" s="813"/>
      <c r="D160" s="866">
        <f>D129-D157-D158</f>
        <v>157000</v>
      </c>
      <c r="E160" s="866">
        <f t="shared" ref="E160:H160" si="37">E129-E157-E158</f>
        <v>168000</v>
      </c>
      <c r="F160" s="866">
        <f t="shared" si="37"/>
        <v>246000</v>
      </c>
      <c r="G160" s="866">
        <f t="shared" si="37"/>
        <v>282000</v>
      </c>
      <c r="H160" s="866">
        <f t="shared" si="37"/>
        <v>240000</v>
      </c>
      <c r="I160" s="826">
        <f t="shared" si="33"/>
        <v>0.12624788044360602</v>
      </c>
      <c r="J160" s="815"/>
      <c r="K160" s="746"/>
      <c r="L160" s="746"/>
      <c r="M160" s="746"/>
      <c r="N160" s="746"/>
      <c r="O160" s="746"/>
      <c r="P160" s="746"/>
      <c r="Q160" s="746"/>
      <c r="R160" s="746"/>
      <c r="S160" s="746"/>
    </row>
    <row r="161" spans="1:19">
      <c r="A161" s="831"/>
      <c r="B161" s="813" t="s">
        <v>917</v>
      </c>
      <c r="C161" s="813"/>
      <c r="D161" s="866">
        <f>D130-D159</f>
        <v>-631000</v>
      </c>
      <c r="E161" s="866">
        <f t="shared" ref="E161:H161" si="38">E130-E159</f>
        <v>-683000</v>
      </c>
      <c r="F161" s="866">
        <f t="shared" si="38"/>
        <v>-1025000</v>
      </c>
      <c r="G161" s="866">
        <f t="shared" si="38"/>
        <v>-1992000</v>
      </c>
      <c r="H161" s="866">
        <f t="shared" si="38"/>
        <v>-2363000</v>
      </c>
      <c r="I161" s="826">
        <f t="shared" si="33"/>
        <v>0.51244992943943313</v>
      </c>
      <c r="J161" s="815"/>
      <c r="K161" s="746"/>
      <c r="L161" s="746"/>
      <c r="M161" s="746"/>
      <c r="N161" s="746"/>
      <c r="O161" s="746"/>
      <c r="P161" s="746"/>
      <c r="Q161" s="746"/>
      <c r="R161" s="746"/>
      <c r="S161" s="746"/>
    </row>
    <row r="162" spans="1:19">
      <c r="A162" s="831"/>
      <c r="B162" s="816" t="s">
        <v>918</v>
      </c>
      <c r="C162" s="816"/>
      <c r="D162" s="868">
        <f>SUM(D157:D161)</f>
        <v>-433000</v>
      </c>
      <c r="E162" s="868">
        <f t="shared" ref="E162:H162" si="39">SUM(E157:E161)</f>
        <v>-358000</v>
      </c>
      <c r="F162" s="868">
        <f t="shared" si="39"/>
        <v>-572000</v>
      </c>
      <c r="G162" s="868">
        <f t="shared" si="39"/>
        <v>-1367000</v>
      </c>
      <c r="H162" s="868">
        <f t="shared" si="39"/>
        <v>-1586000</v>
      </c>
      <c r="I162" s="826">
        <f t="shared" si="33"/>
        <v>0.64237900786771829</v>
      </c>
      <c r="J162" s="746"/>
      <c r="K162" s="746"/>
      <c r="L162" s="746"/>
      <c r="M162" s="746"/>
      <c r="N162" s="746"/>
      <c r="O162" s="746"/>
      <c r="P162" s="746"/>
      <c r="Q162" s="746"/>
      <c r="R162" s="746"/>
      <c r="S162" s="746"/>
    </row>
    <row r="163" spans="1:19">
      <c r="A163" s="831"/>
      <c r="B163" s="813"/>
      <c r="C163" s="813"/>
      <c r="D163" s="813"/>
      <c r="E163" s="813"/>
      <c r="F163" s="813"/>
      <c r="G163" s="813"/>
      <c r="H163" s="813"/>
      <c r="I163" s="826" t="str">
        <f t="shared" si="33"/>
        <v/>
      </c>
      <c r="J163" s="746"/>
      <c r="K163" s="746"/>
      <c r="L163" s="746"/>
      <c r="M163" s="746"/>
      <c r="N163" s="746"/>
      <c r="O163" s="746"/>
      <c r="P163" s="746"/>
      <c r="Q163" s="746"/>
      <c r="R163" s="746"/>
      <c r="S163" s="746"/>
    </row>
    <row r="164" spans="1:19">
      <c r="A164" s="831"/>
      <c r="B164" s="838" t="s">
        <v>919</v>
      </c>
      <c r="C164" s="838" t="s">
        <v>283</v>
      </c>
      <c r="D164" s="893">
        <f>SUM(D153,D154,D162)</f>
        <v>683000</v>
      </c>
      <c r="E164" s="893">
        <f t="shared" ref="E164:H164" si="40">SUM(E153,E154,E162)</f>
        <v>1038000</v>
      </c>
      <c r="F164" s="893">
        <f t="shared" si="40"/>
        <v>856000</v>
      </c>
      <c r="G164" s="893">
        <f t="shared" si="40"/>
        <v>175000</v>
      </c>
      <c r="H164" s="893">
        <f t="shared" si="40"/>
        <v>302000</v>
      </c>
      <c r="I164" s="894">
        <f t="shared" si="33"/>
        <v>-0.33737187843882177</v>
      </c>
      <c r="J164" s="746"/>
      <c r="K164" s="746"/>
      <c r="L164" s="746"/>
      <c r="M164" s="746"/>
      <c r="N164" s="746"/>
      <c r="O164" s="746"/>
      <c r="P164" s="746"/>
      <c r="Q164" s="746"/>
      <c r="R164" s="746"/>
      <c r="S164" s="746"/>
    </row>
    <row r="165" spans="1:19">
      <c r="A165" s="831"/>
      <c r="B165" s="813"/>
      <c r="C165" s="813"/>
      <c r="D165" s="866"/>
      <c r="E165" s="866"/>
      <c r="F165" s="866"/>
      <c r="G165" s="866"/>
      <c r="H165" s="866"/>
      <c r="I165" s="826" t="str">
        <f t="shared" si="33"/>
        <v/>
      </c>
      <c r="J165" s="746"/>
      <c r="K165" s="746"/>
      <c r="L165" s="746"/>
      <c r="M165" s="746"/>
      <c r="N165" s="746"/>
      <c r="O165" s="746"/>
      <c r="P165" s="746"/>
      <c r="Q165" s="746"/>
      <c r="R165" s="746"/>
      <c r="S165" s="746"/>
    </row>
    <row r="166" spans="1:19">
      <c r="A166" s="831"/>
      <c r="B166" s="813" t="s">
        <v>51</v>
      </c>
      <c r="C166" s="813"/>
      <c r="D166" s="866">
        <f>D140</f>
        <v>-2074000</v>
      </c>
      <c r="E166" s="866">
        <f t="shared" ref="E166:H166" si="41">E140</f>
        <v>-1213000</v>
      </c>
      <c r="F166" s="866">
        <f t="shared" si="41"/>
        <v>-669000</v>
      </c>
      <c r="G166" s="866">
        <f t="shared" si="41"/>
        <v>-239000</v>
      </c>
      <c r="H166" s="866">
        <f t="shared" si="41"/>
        <v>-1868000</v>
      </c>
      <c r="I166" s="826">
        <f t="shared" si="33"/>
        <v>0.15479622897781353</v>
      </c>
      <c r="J166" s="746"/>
      <c r="K166" s="746"/>
      <c r="L166" s="746"/>
      <c r="M166" s="746"/>
      <c r="N166" s="746"/>
      <c r="O166" s="746"/>
      <c r="P166" s="746"/>
      <c r="Q166" s="746"/>
      <c r="R166" s="746"/>
      <c r="S166" s="746"/>
    </row>
    <row r="167" spans="1:19">
      <c r="A167" s="831"/>
      <c r="B167" s="813" t="s">
        <v>920</v>
      </c>
      <c r="C167" s="813"/>
      <c r="D167" s="866">
        <f>D141</f>
        <v>4838000</v>
      </c>
      <c r="E167" s="866">
        <f t="shared" ref="E167:H167" si="42">E141</f>
        <v>1952000</v>
      </c>
      <c r="F167" s="866">
        <f t="shared" si="42"/>
        <v>3138000</v>
      </c>
      <c r="G167" s="866">
        <f t="shared" si="42"/>
        <v>2964000</v>
      </c>
      <c r="H167" s="866">
        <f t="shared" si="42"/>
        <v>3433000</v>
      </c>
      <c r="I167" s="826">
        <f t="shared" si="33"/>
        <v>0.20706686970798671</v>
      </c>
      <c r="J167" s="746"/>
      <c r="K167" s="746"/>
      <c r="L167" s="746"/>
      <c r="M167" s="746"/>
      <c r="N167" s="746"/>
      <c r="O167" s="746"/>
      <c r="P167" s="746"/>
      <c r="Q167" s="746"/>
      <c r="R167" s="746"/>
      <c r="S167" s="746"/>
    </row>
    <row r="168" spans="1:19">
      <c r="A168" s="831"/>
      <c r="B168" s="838" t="s">
        <v>921</v>
      </c>
      <c r="C168" s="838" t="s">
        <v>283</v>
      </c>
      <c r="D168" s="893">
        <f>SUM(D166:D167)</f>
        <v>2764000</v>
      </c>
      <c r="E168" s="893">
        <f t="shared" ref="E168:H168" si="43">SUM(E166:E167)</f>
        <v>739000</v>
      </c>
      <c r="F168" s="893">
        <f t="shared" si="43"/>
        <v>2469000</v>
      </c>
      <c r="G168" s="893">
        <f t="shared" si="43"/>
        <v>2725000</v>
      </c>
      <c r="H168" s="893">
        <f t="shared" si="43"/>
        <v>1565000</v>
      </c>
      <c r="I168" s="894">
        <f t="shared" si="33"/>
        <v>0.28417230990410025</v>
      </c>
      <c r="J168" s="746"/>
      <c r="K168" s="746"/>
      <c r="L168" s="746"/>
      <c r="M168" s="746"/>
      <c r="N168" s="746"/>
      <c r="O168" s="746"/>
      <c r="P168" s="746"/>
      <c r="Q168" s="746"/>
      <c r="R168" s="746"/>
      <c r="S168" s="746"/>
    </row>
    <row r="169" spans="1:19">
      <c r="A169" s="831"/>
      <c r="B169" s="813"/>
      <c r="C169" s="813"/>
      <c r="D169" s="866"/>
      <c r="E169" s="866"/>
      <c r="F169" s="866"/>
      <c r="G169" s="866"/>
      <c r="H169" s="866"/>
      <c r="I169" s="826" t="str">
        <f t="shared" si="33"/>
        <v/>
      </c>
      <c r="J169" s="746"/>
      <c r="K169" s="746"/>
      <c r="L169" s="746"/>
      <c r="M169" s="746"/>
      <c r="N169" s="746"/>
      <c r="O169" s="746"/>
      <c r="P169" s="746"/>
      <c r="Q169" s="746"/>
      <c r="R169" s="746"/>
      <c r="S169" s="746"/>
    </row>
    <row r="170" spans="1:19">
      <c r="A170" s="831"/>
      <c r="B170" s="813" t="s">
        <v>922</v>
      </c>
      <c r="C170" s="813"/>
      <c r="D170" s="866">
        <f>D146</f>
        <v>4775000</v>
      </c>
      <c r="E170" s="866">
        <f t="shared" ref="E170:H170" si="44">E146</f>
        <v>5113000</v>
      </c>
      <c r="F170" s="866">
        <f t="shared" si="44"/>
        <v>3297000</v>
      </c>
      <c r="G170" s="866">
        <f t="shared" si="44"/>
        <v>3680000</v>
      </c>
      <c r="H170" s="866">
        <f t="shared" si="44"/>
        <v>4881000</v>
      </c>
      <c r="I170" s="826">
        <f t="shared" si="33"/>
        <v>-1.5359553185847474E-2</v>
      </c>
      <c r="J170" s="746"/>
      <c r="K170" s="746"/>
      <c r="L170" s="746"/>
      <c r="M170" s="746"/>
      <c r="N170" s="746"/>
      <c r="O170" s="746"/>
      <c r="P170" s="746"/>
      <c r="Q170" s="746"/>
      <c r="R170" s="746"/>
      <c r="S170" s="746"/>
    </row>
    <row r="171" spans="1:19">
      <c r="A171" s="831"/>
      <c r="B171" s="813" t="s">
        <v>923</v>
      </c>
      <c r="C171" s="813"/>
      <c r="D171" s="866">
        <f>D147</f>
        <v>-54000</v>
      </c>
      <c r="E171" s="866">
        <f t="shared" ref="E171:H171" si="45">E147</f>
        <v>-107000</v>
      </c>
      <c r="F171" s="866">
        <f t="shared" si="45"/>
        <v>-124000</v>
      </c>
      <c r="G171" s="866">
        <f t="shared" si="45"/>
        <v>-152000</v>
      </c>
      <c r="H171" s="866">
        <f t="shared" si="45"/>
        <v>-156000</v>
      </c>
      <c r="I171" s="826">
        <f t="shared" si="33"/>
        <v>0.13391440772755669</v>
      </c>
      <c r="J171" s="746"/>
      <c r="K171" s="746"/>
      <c r="L171" s="746"/>
      <c r="M171" s="746"/>
      <c r="N171" s="746"/>
      <c r="O171" s="746"/>
      <c r="P171" s="746"/>
      <c r="Q171" s="746"/>
      <c r="R171" s="746"/>
      <c r="S171" s="746"/>
    </row>
    <row r="172" spans="1:19">
      <c r="A172" s="831"/>
      <c r="B172" s="838" t="s">
        <v>924</v>
      </c>
      <c r="C172" s="838" t="s">
        <v>283</v>
      </c>
      <c r="D172" s="893">
        <f>SUM(D170:D171)</f>
        <v>4721000</v>
      </c>
      <c r="E172" s="893">
        <f t="shared" ref="E172:H172" si="46">SUM(E170:E171)</f>
        <v>5006000</v>
      </c>
      <c r="F172" s="893">
        <f t="shared" si="46"/>
        <v>3173000</v>
      </c>
      <c r="G172" s="893">
        <f t="shared" si="46"/>
        <v>3528000</v>
      </c>
      <c r="H172" s="893">
        <f t="shared" si="46"/>
        <v>4725000</v>
      </c>
      <c r="I172" s="894">
        <f t="shared" si="33"/>
        <v>-1.9072321171074713E-2</v>
      </c>
      <c r="J172" s="746"/>
      <c r="K172" s="746"/>
      <c r="L172" s="746"/>
      <c r="M172" s="746"/>
      <c r="N172" s="746"/>
      <c r="O172" s="746"/>
      <c r="P172" s="746"/>
      <c r="Q172" s="746"/>
      <c r="R172" s="746"/>
      <c r="S172" s="746"/>
    </row>
    <row r="173" spans="1:19">
      <c r="A173" s="831"/>
      <c r="B173" s="813"/>
      <c r="C173" s="813"/>
      <c r="D173" s="813"/>
      <c r="E173" s="813"/>
      <c r="F173" s="813"/>
      <c r="G173" s="813"/>
      <c r="H173" s="813"/>
      <c r="I173" s="826" t="str">
        <f t="shared" si="33"/>
        <v/>
      </c>
      <c r="J173" s="746"/>
      <c r="K173" s="746"/>
      <c r="L173" s="746"/>
      <c r="M173" s="746"/>
      <c r="N173" s="746"/>
      <c r="O173" s="746"/>
      <c r="P173" s="746"/>
      <c r="Q173" s="746"/>
      <c r="R173" s="746"/>
      <c r="S173" s="746"/>
    </row>
    <row r="174" spans="1:19">
      <c r="A174" s="831"/>
      <c r="B174" s="818" t="s">
        <v>925</v>
      </c>
      <c r="C174" s="818" t="s">
        <v>283</v>
      </c>
      <c r="D174" s="887">
        <f>SUM(D164,D168,D172)</f>
        <v>8168000</v>
      </c>
      <c r="E174" s="887">
        <f t="shared" ref="E174:H174" si="47">SUM(E164,E168,E172)</f>
        <v>6783000</v>
      </c>
      <c r="F174" s="887">
        <f t="shared" si="47"/>
        <v>6498000</v>
      </c>
      <c r="G174" s="887">
        <f t="shared" si="47"/>
        <v>6428000</v>
      </c>
      <c r="H174" s="887">
        <f t="shared" si="47"/>
        <v>6592000</v>
      </c>
      <c r="I174" s="895">
        <f t="shared" si="33"/>
        <v>-9.4757162167687925E-3</v>
      </c>
      <c r="J174" s="746"/>
      <c r="K174" s="746"/>
      <c r="L174" s="746"/>
      <c r="M174" s="746"/>
      <c r="N174" s="746"/>
      <c r="O174" s="746"/>
      <c r="P174" s="746"/>
      <c r="Q174" s="746"/>
      <c r="R174" s="746"/>
      <c r="S174" s="746"/>
    </row>
    <row r="175" spans="1:19">
      <c r="A175" s="831"/>
      <c r="B175" s="821" t="s">
        <v>828</v>
      </c>
      <c r="C175" s="830"/>
      <c r="D175" s="830"/>
      <c r="E175" s="830"/>
      <c r="F175" s="830"/>
      <c r="G175" s="830"/>
      <c r="H175" s="830"/>
      <c r="I175" s="830"/>
      <c r="J175" s="746"/>
      <c r="K175" s="746"/>
      <c r="L175" s="746"/>
      <c r="M175" s="746"/>
      <c r="N175" s="746"/>
      <c r="O175" s="746"/>
      <c r="P175" s="746"/>
      <c r="Q175" s="746"/>
      <c r="R175" s="746"/>
      <c r="S175" s="746"/>
    </row>
    <row r="176" spans="1:19">
      <c r="A176" s="831"/>
      <c r="B176" s="746"/>
      <c r="C176" s="746"/>
      <c r="D176" s="746"/>
      <c r="E176" s="746"/>
      <c r="F176" s="746"/>
      <c r="G176" s="746"/>
      <c r="H176" s="746"/>
      <c r="I176" s="746"/>
      <c r="J176" s="746"/>
      <c r="K176" s="746"/>
      <c r="L176" s="746"/>
      <c r="M176" s="746"/>
      <c r="N176" s="746"/>
      <c r="O176" s="746"/>
      <c r="P176" s="746"/>
      <c r="Q176" s="746"/>
      <c r="R176" s="746"/>
      <c r="S176" s="746"/>
    </row>
    <row r="177" spans="1:19">
      <c r="A177" s="831"/>
      <c r="B177" s="810" t="s">
        <v>926</v>
      </c>
      <c r="C177" s="810" t="s">
        <v>283</v>
      </c>
      <c r="D177" s="810" t="s">
        <v>283</v>
      </c>
      <c r="E177" s="810" t="s">
        <v>283</v>
      </c>
      <c r="F177" s="810" t="s">
        <v>283</v>
      </c>
      <c r="G177" s="810" t="s">
        <v>283</v>
      </c>
      <c r="H177" s="810" t="s">
        <v>283</v>
      </c>
      <c r="I177" s="810" t="s">
        <v>283</v>
      </c>
      <c r="J177" s="746"/>
      <c r="K177" s="746"/>
      <c r="L177" s="746"/>
      <c r="M177" s="746"/>
      <c r="N177" s="746"/>
      <c r="O177" s="746"/>
      <c r="P177" s="746"/>
      <c r="Q177" s="746"/>
      <c r="R177" s="746"/>
      <c r="S177" s="746"/>
    </row>
    <row r="178" spans="1:19">
      <c r="A178" s="831"/>
      <c r="B178" s="811" t="s">
        <v>283</v>
      </c>
      <c r="C178" s="811" t="s">
        <v>283</v>
      </c>
      <c r="D178" s="811" t="s">
        <v>805</v>
      </c>
      <c r="E178" s="811" t="s">
        <v>806</v>
      </c>
      <c r="F178" s="811" t="s">
        <v>807</v>
      </c>
      <c r="G178" s="811" t="s">
        <v>808</v>
      </c>
      <c r="H178" s="811" t="s">
        <v>809</v>
      </c>
      <c r="I178" s="812" t="s">
        <v>834</v>
      </c>
      <c r="J178" s="746"/>
      <c r="K178" s="746"/>
      <c r="L178" s="746"/>
      <c r="M178" s="746"/>
      <c r="N178" s="746"/>
      <c r="O178" s="746"/>
      <c r="P178" s="746"/>
      <c r="Q178" s="746"/>
      <c r="R178" s="746"/>
      <c r="S178" s="746"/>
    </row>
    <row r="179" spans="1:19">
      <c r="A179" s="831"/>
      <c r="B179" s="816" t="s">
        <v>927</v>
      </c>
      <c r="C179" s="813"/>
      <c r="D179" s="813"/>
      <c r="E179" s="813"/>
      <c r="F179" s="813"/>
      <c r="G179" s="813"/>
      <c r="H179" s="813"/>
      <c r="I179" s="814" t="s">
        <v>283</v>
      </c>
      <c r="J179" s="746"/>
      <c r="K179" s="746"/>
      <c r="L179" s="746"/>
      <c r="M179" s="746"/>
      <c r="N179" s="746"/>
      <c r="O179" s="746"/>
      <c r="P179" s="746"/>
      <c r="Q179" s="746"/>
      <c r="R179" s="746"/>
      <c r="S179" s="746"/>
    </row>
    <row r="180" spans="1:19">
      <c r="A180" s="831"/>
      <c r="B180" s="813" t="s">
        <v>928</v>
      </c>
      <c r="C180" s="813"/>
      <c r="D180" s="898">
        <f>IFERROR(D16/D153,"")</f>
        <v>1.5306122448979591</v>
      </c>
      <c r="E180" s="898">
        <f t="shared" ref="E180:I180" si="48">IFERROR(E16/E153,"")</f>
        <v>2.9126016260162602</v>
      </c>
      <c r="F180" s="898">
        <f t="shared" si="48"/>
        <v>4.607421875</v>
      </c>
      <c r="G180" s="898">
        <f t="shared" si="48"/>
        <v>4.9329805996472667</v>
      </c>
      <c r="H180" s="898">
        <f t="shared" si="48"/>
        <v>4.055354993983153</v>
      </c>
      <c r="I180" s="899">
        <f>IFERROR(AVERAGE(F180:H180),"")</f>
        <v>4.5319191562101393</v>
      </c>
      <c r="J180" s="746"/>
      <c r="K180" s="746"/>
      <c r="L180" s="746"/>
      <c r="M180" s="746"/>
      <c r="N180" s="746"/>
      <c r="O180" s="746"/>
      <c r="P180" s="746"/>
      <c r="Q180" s="746"/>
      <c r="R180" s="746"/>
      <c r="S180" s="746"/>
    </row>
    <row r="181" spans="1:19">
      <c r="A181" s="831"/>
      <c r="B181" s="822"/>
      <c r="C181" s="813"/>
      <c r="D181" s="813"/>
      <c r="E181" s="813"/>
      <c r="F181" s="813"/>
      <c r="G181" s="813"/>
      <c r="H181" s="813"/>
      <c r="I181" s="814" t="s">
        <v>283</v>
      </c>
      <c r="J181" s="746"/>
      <c r="K181" s="746"/>
      <c r="L181" s="746"/>
      <c r="M181" s="746"/>
      <c r="N181" s="746"/>
      <c r="O181" s="746"/>
      <c r="P181" s="746"/>
      <c r="Q181" s="746"/>
      <c r="R181" s="746"/>
      <c r="S181" s="746"/>
    </row>
    <row r="182" spans="1:19">
      <c r="A182" s="831"/>
      <c r="B182" s="816" t="s">
        <v>929</v>
      </c>
      <c r="C182" s="813"/>
      <c r="D182" s="813"/>
      <c r="E182" s="813"/>
      <c r="F182" s="813"/>
      <c r="G182" s="813"/>
      <c r="H182" s="813"/>
      <c r="I182" s="827"/>
      <c r="J182" s="746"/>
      <c r="K182" s="746"/>
      <c r="L182" s="746"/>
      <c r="M182" s="746"/>
      <c r="N182" s="746"/>
      <c r="O182" s="746"/>
      <c r="P182" s="746"/>
      <c r="Q182" s="746"/>
      <c r="R182" s="746"/>
      <c r="S182" s="746"/>
    </row>
    <row r="183" spans="1:19">
      <c r="A183" s="831"/>
      <c r="B183" s="813" t="s">
        <v>930</v>
      </c>
      <c r="C183" s="813"/>
      <c r="D183" s="896">
        <f>IFERROR(D157/D16*365,"")</f>
        <v>155.73333333333335</v>
      </c>
      <c r="E183" s="896">
        <f t="shared" ref="E183:H183" si="49">IFERROR(E157/E16*365,"")</f>
        <v>103.41242149337054</v>
      </c>
      <c r="F183" s="896">
        <f t="shared" si="49"/>
        <v>75.197117422636708</v>
      </c>
      <c r="G183" s="896">
        <f t="shared" si="49"/>
        <v>86.519485162674286</v>
      </c>
      <c r="H183" s="896">
        <f t="shared" si="49"/>
        <v>111.99109792284865</v>
      </c>
      <c r="I183" s="900">
        <f>IFERROR(AVERAGE(F183:H183),"")</f>
        <v>91.235900169386539</v>
      </c>
      <c r="J183" s="803"/>
      <c r="K183" s="746"/>
      <c r="L183" s="746"/>
      <c r="M183" s="746"/>
      <c r="N183" s="746"/>
      <c r="O183" s="746"/>
      <c r="P183" s="746"/>
      <c r="Q183" s="746"/>
      <c r="R183" s="746"/>
      <c r="S183" s="746"/>
    </row>
    <row r="184" spans="1:19">
      <c r="A184" s="831"/>
      <c r="B184" s="813" t="s">
        <v>931</v>
      </c>
      <c r="C184" s="813"/>
      <c r="D184" s="896">
        <f>IFERROR(D159/D19*365,"")</f>
        <v>85.621495327102807</v>
      </c>
      <c r="E184" s="896">
        <f t="shared" ref="E184:H184" si="50">IFERROR(E159/E19*365,"")</f>
        <v>79.944690265486727</v>
      </c>
      <c r="F184" s="896">
        <f t="shared" si="50"/>
        <v>79.866577718478993</v>
      </c>
      <c r="G184" s="896">
        <f t="shared" si="50"/>
        <v>85.234134319162038</v>
      </c>
      <c r="H184" s="896">
        <f t="shared" si="50"/>
        <v>111.36886102403344</v>
      </c>
      <c r="I184" s="900">
        <f t="shared" ref="I184:I195" si="51">IFERROR(AVERAGE(F184:H184),"")</f>
        <v>92.156524353891484</v>
      </c>
      <c r="J184" s="746"/>
      <c r="K184" s="746"/>
      <c r="L184" s="746"/>
      <c r="M184" s="746"/>
      <c r="N184" s="746"/>
      <c r="O184" s="746"/>
      <c r="P184" s="746"/>
      <c r="Q184" s="746"/>
      <c r="R184" s="746"/>
      <c r="S184" s="746"/>
    </row>
    <row r="185" spans="1:19">
      <c r="A185" s="831"/>
      <c r="B185" s="813" t="s">
        <v>932</v>
      </c>
      <c r="C185" s="813"/>
      <c r="D185" s="896">
        <f>IFERROR(-D158/D19*365,"")</f>
        <v>1.3644859813084114</v>
      </c>
      <c r="E185" s="896">
        <f t="shared" ref="E185:H185" si="52">IFERROR(-E158/E19*365,"")</f>
        <v>12.920353982300885</v>
      </c>
      <c r="F185" s="896">
        <f t="shared" si="52"/>
        <v>11.931287525016677</v>
      </c>
      <c r="G185" s="896">
        <f t="shared" si="52"/>
        <v>13.268638324091189</v>
      </c>
      <c r="H185" s="896">
        <f t="shared" si="52"/>
        <v>16.59090909090909</v>
      </c>
      <c r="I185" s="900">
        <f t="shared" si="51"/>
        <v>13.930278313338983</v>
      </c>
      <c r="J185" s="746"/>
      <c r="K185" s="746"/>
      <c r="L185" s="746"/>
      <c r="M185" s="746"/>
      <c r="N185" s="746"/>
      <c r="O185" s="746"/>
      <c r="P185" s="746"/>
      <c r="Q185" s="746"/>
      <c r="R185" s="746"/>
      <c r="S185" s="746"/>
    </row>
    <row r="186" spans="1:19">
      <c r="A186" s="831"/>
      <c r="B186" s="823" t="s">
        <v>933</v>
      </c>
      <c r="C186" s="823"/>
      <c r="D186" s="897">
        <f>IFERROR(D183+D184-D185,"")</f>
        <v>239.99034267912776</v>
      </c>
      <c r="E186" s="897">
        <f t="shared" ref="E186:H186" si="53">IFERROR(E183+E184-E185,"")</f>
        <v>170.43675777655639</v>
      </c>
      <c r="F186" s="897">
        <f t="shared" si="53"/>
        <v>143.13240761609904</v>
      </c>
      <c r="G186" s="897">
        <f t="shared" si="53"/>
        <v>158.48498115774512</v>
      </c>
      <c r="H186" s="897">
        <f t="shared" si="53"/>
        <v>206.76904985597301</v>
      </c>
      <c r="I186" s="900">
        <f t="shared" si="51"/>
        <v>169.46214620993905</v>
      </c>
      <c r="J186" s="746"/>
      <c r="K186" s="746"/>
      <c r="L186" s="746"/>
      <c r="M186" s="746"/>
      <c r="N186" s="746"/>
      <c r="O186" s="746"/>
      <c r="P186" s="746"/>
      <c r="Q186" s="746"/>
      <c r="R186" s="746"/>
      <c r="S186" s="746"/>
    </row>
    <row r="187" spans="1:19">
      <c r="A187" s="831"/>
      <c r="B187" s="746"/>
      <c r="C187" s="746"/>
      <c r="D187" s="746"/>
      <c r="E187" s="746"/>
      <c r="F187" s="746"/>
      <c r="G187" s="746"/>
      <c r="H187" s="746"/>
      <c r="I187" s="900"/>
      <c r="J187" s="746"/>
      <c r="K187" s="746"/>
      <c r="L187" s="746"/>
      <c r="M187" s="746"/>
      <c r="N187" s="746"/>
      <c r="O187" s="746"/>
      <c r="P187" s="746"/>
      <c r="Q187" s="746"/>
      <c r="R187" s="746"/>
      <c r="S187" s="746"/>
    </row>
    <row r="188" spans="1:19">
      <c r="A188" s="831"/>
      <c r="B188" s="816" t="s">
        <v>934</v>
      </c>
      <c r="C188" s="746"/>
      <c r="D188" s="746"/>
      <c r="E188" s="746"/>
      <c r="F188" s="746"/>
      <c r="G188" s="746"/>
      <c r="H188" s="746"/>
      <c r="I188" s="900"/>
      <c r="J188" s="746"/>
      <c r="K188" s="746"/>
      <c r="L188" s="746"/>
      <c r="M188" s="746"/>
      <c r="N188" s="746"/>
      <c r="O188" s="746"/>
      <c r="P188" s="746"/>
      <c r="Q188" s="746"/>
      <c r="R188" s="746"/>
      <c r="S188" s="746"/>
    </row>
    <row r="189" spans="1:19">
      <c r="A189" s="831"/>
      <c r="B189" s="746" t="s">
        <v>860</v>
      </c>
      <c r="C189" s="746"/>
      <c r="D189" s="848">
        <f>IFERROR(D160/$D$16,"")</f>
        <v>0.2325925925925926</v>
      </c>
      <c r="E189" s="848">
        <f t="shared" ref="E189:H189" si="54">IFERROR(E160/E16,"")</f>
        <v>0.11723656664340544</v>
      </c>
      <c r="F189" s="848">
        <f t="shared" si="54"/>
        <v>0.10428147520135651</v>
      </c>
      <c r="G189" s="848">
        <f t="shared" si="54"/>
        <v>0.10082230961744726</v>
      </c>
      <c r="H189" s="848">
        <f t="shared" si="54"/>
        <v>7.1216617210682495E-2</v>
      </c>
      <c r="I189" s="900">
        <f t="shared" si="51"/>
        <v>9.2106800676495418E-2</v>
      </c>
      <c r="J189" s="746"/>
      <c r="K189" s="746"/>
      <c r="L189" s="746"/>
      <c r="M189" s="746"/>
      <c r="N189" s="746"/>
      <c r="O189" s="746"/>
      <c r="P189" s="746"/>
      <c r="Q189" s="746"/>
      <c r="R189" s="746"/>
      <c r="S189" s="746"/>
    </row>
    <row r="190" spans="1:19">
      <c r="A190" s="831"/>
      <c r="B190" s="746" t="s">
        <v>917</v>
      </c>
      <c r="C190" s="746"/>
      <c r="D190" s="848">
        <f>IFERROR(D161/$D$16,"")</f>
        <v>-0.93481481481481477</v>
      </c>
      <c r="E190" s="848">
        <f t="shared" ref="E190:H190" si="55">IFERROR(E161/$D$16,"")</f>
        <v>-1.0118518518518518</v>
      </c>
      <c r="F190" s="848">
        <f t="shared" si="55"/>
        <v>-1.5185185185185186</v>
      </c>
      <c r="G190" s="848">
        <f t="shared" si="55"/>
        <v>-2.951111111111111</v>
      </c>
      <c r="H190" s="848">
        <f>IFERROR(H161/$D$16,"")</f>
        <v>-3.5007407407407407</v>
      </c>
      <c r="I190" s="900">
        <f t="shared" si="51"/>
        <v>-2.6567901234567901</v>
      </c>
      <c r="J190" s="746"/>
      <c r="K190" s="746"/>
      <c r="L190" s="746"/>
      <c r="M190" s="746"/>
      <c r="N190" s="746"/>
      <c r="O190" s="746"/>
      <c r="P190" s="746"/>
      <c r="Q190" s="746"/>
      <c r="R190" s="746"/>
      <c r="S190" s="746"/>
    </row>
    <row r="191" spans="1:19">
      <c r="A191" s="831"/>
      <c r="B191" s="746"/>
      <c r="C191" s="746"/>
      <c r="D191" s="746"/>
      <c r="E191" s="746"/>
      <c r="F191" s="746"/>
      <c r="G191" s="746"/>
      <c r="H191" s="746"/>
      <c r="I191" s="900"/>
      <c r="J191" s="746"/>
      <c r="K191" s="746"/>
      <c r="L191" s="746"/>
      <c r="M191" s="746"/>
      <c r="N191" s="746"/>
      <c r="O191" s="746"/>
      <c r="P191" s="746"/>
      <c r="Q191" s="746"/>
      <c r="R191" s="746"/>
      <c r="S191" s="746"/>
    </row>
    <row r="192" spans="1:19" outlineLevel="1">
      <c r="A192" s="831"/>
      <c r="B192" s="816" t="s">
        <v>935</v>
      </c>
      <c r="C192" s="746"/>
      <c r="D192" s="746"/>
      <c r="E192" s="746"/>
      <c r="F192" s="746"/>
      <c r="G192" s="746"/>
      <c r="H192" s="746"/>
      <c r="I192" s="900"/>
      <c r="J192" s="746"/>
      <c r="K192" s="746"/>
      <c r="L192" s="746"/>
      <c r="M192" s="746"/>
      <c r="N192" s="746"/>
      <c r="O192" s="746"/>
      <c r="P192" s="746"/>
      <c r="Q192" s="746"/>
      <c r="R192" s="746"/>
      <c r="S192" s="746"/>
    </row>
    <row r="193" spans="1:19" outlineLevel="1">
      <c r="A193" s="831"/>
      <c r="B193" s="746" t="s">
        <v>936</v>
      </c>
      <c r="C193" s="746"/>
      <c r="D193" s="848">
        <f>IFERROR((D31*(1-tax))/D86,"")</f>
        <v>-8.6578994453390595E-2</v>
      </c>
      <c r="E193" s="848">
        <f>IFERROR((E31*(1-tax))/E86,"")</f>
        <v>-5.6932388222464561E-2</v>
      </c>
      <c r="F193" s="848">
        <f>IFERROR((F31*(1-tax))/F86,"")</f>
        <v>1.2744540491355778E-2</v>
      </c>
      <c r="G193" s="848">
        <f>IFERROR((G31*(1-tax))/G86,"NA")</f>
        <v>4.4915545992469066E-2</v>
      </c>
      <c r="H193" s="848">
        <f>IFERROR((H31*(1-tax))/H86,"")</f>
        <v>6.0675957606609363E-2</v>
      </c>
      <c r="I193" s="826">
        <f t="shared" si="51"/>
        <v>3.9445348030144732E-2</v>
      </c>
      <c r="J193" s="803" t="s">
        <v>937</v>
      </c>
      <c r="K193" s="746"/>
      <c r="L193" s="746"/>
      <c r="M193" s="746"/>
      <c r="N193" s="746"/>
      <c r="O193" s="746"/>
      <c r="P193" s="746"/>
      <c r="Q193" s="746"/>
      <c r="R193" s="746"/>
      <c r="S193" s="746"/>
    </row>
    <row r="194" spans="1:19" outlineLevel="1">
      <c r="A194" s="831"/>
      <c r="B194" s="746" t="s">
        <v>938</v>
      </c>
      <c r="C194" s="746"/>
      <c r="D194" s="848">
        <f>IFERROR((D31*(1-tax))/D164,"")</f>
        <v>-1.4169546120058565</v>
      </c>
      <c r="E194" s="848">
        <f>IFERROR((E31*(1-tax))/E164,"")</f>
        <v>-0.50295761078998069</v>
      </c>
      <c r="F194" s="848">
        <f>IFERROR((F31*(1-tax))/F164,"")</f>
        <v>0.13089953271028038</v>
      </c>
      <c r="G194" s="848">
        <f>IFERROR((G31*(1-tax))/G164,"NA")</f>
        <v>2.3856571428571427</v>
      </c>
      <c r="H194" s="848">
        <f>IFERROR((H31*(1-tax))/H164,"")</f>
        <v>2.407549668874172</v>
      </c>
      <c r="I194" s="826">
        <f t="shared" si="51"/>
        <v>1.6413687814805318</v>
      </c>
      <c r="J194" s="803" t="s">
        <v>939</v>
      </c>
      <c r="K194" s="746"/>
      <c r="L194" s="746"/>
      <c r="M194" s="746"/>
      <c r="N194" s="746"/>
      <c r="O194" s="746"/>
      <c r="P194" s="746"/>
      <c r="Q194" s="746"/>
      <c r="R194" s="746"/>
      <c r="S194" s="746"/>
    </row>
    <row r="195" spans="1:19" outlineLevel="1">
      <c r="A195" s="831"/>
      <c r="B195" s="746" t="s">
        <v>940</v>
      </c>
      <c r="C195" s="746"/>
      <c r="D195" s="848">
        <f>IFERROR(D27/D174,"")</f>
        <v>-0.18658178256611166</v>
      </c>
      <c r="E195" s="848">
        <f t="shared" ref="E195:H195" si="56">IFERROR(E27/E174,"")</f>
        <v>-0.15789473684210525</v>
      </c>
      <c r="F195" s="848">
        <f t="shared" si="56"/>
        <v>-5.9556786703601108E-2</v>
      </c>
      <c r="G195" s="848">
        <f t="shared" si="56"/>
        <v>-8.5563161169881774E-3</v>
      </c>
      <c r="H195" s="848">
        <f t="shared" si="56"/>
        <v>3.3677184466019416E-2</v>
      </c>
      <c r="I195" s="826">
        <f t="shared" si="51"/>
        <v>-1.147863945152329E-2</v>
      </c>
      <c r="J195" s="803" t="s">
        <v>941</v>
      </c>
      <c r="K195" s="746"/>
      <c r="L195" s="746"/>
      <c r="M195" s="746"/>
      <c r="N195" s="746"/>
      <c r="O195" s="746"/>
      <c r="P195" s="746"/>
      <c r="Q195" s="746"/>
      <c r="R195" s="746"/>
      <c r="S195" s="746"/>
    </row>
    <row r="196" spans="1:19" outlineLevel="1">
      <c r="A196" s="831"/>
      <c r="B196" s="828" t="s">
        <v>283</v>
      </c>
      <c r="C196" s="828" t="s">
        <v>283</v>
      </c>
      <c r="D196" s="828" t="s">
        <v>283</v>
      </c>
      <c r="E196" s="828" t="s">
        <v>283</v>
      </c>
      <c r="F196" s="828" t="s">
        <v>283</v>
      </c>
      <c r="G196" s="828" t="s">
        <v>283</v>
      </c>
      <c r="H196" s="828" t="s">
        <v>283</v>
      </c>
      <c r="I196" s="829" t="s">
        <v>283</v>
      </c>
      <c r="J196" s="746"/>
      <c r="K196" s="746"/>
      <c r="L196" s="746"/>
      <c r="M196" s="746"/>
      <c r="N196" s="746"/>
      <c r="O196" s="746"/>
      <c r="P196" s="746"/>
      <c r="Q196" s="746"/>
      <c r="R196" s="746"/>
      <c r="S196" s="746"/>
    </row>
    <row r="197" spans="1:19">
      <c r="A197" s="831"/>
      <c r="B197" s="821" t="s">
        <v>836</v>
      </c>
      <c r="C197" s="830"/>
      <c r="D197" s="830"/>
      <c r="E197" s="830"/>
      <c r="F197" s="830"/>
      <c r="G197" s="830"/>
      <c r="H197" s="830"/>
      <c r="I197" s="830"/>
      <c r="J197" s="746"/>
      <c r="K197" s="746"/>
      <c r="L197" s="746"/>
      <c r="M197" s="746"/>
      <c r="N197" s="746"/>
      <c r="O197" s="746"/>
      <c r="P197" s="746"/>
      <c r="Q197" s="746"/>
      <c r="R197" s="746"/>
      <c r="S197" s="746"/>
    </row>
    <row r="198" spans="1:19">
      <c r="A198" s="831"/>
      <c r="B198" s="746"/>
      <c r="C198" s="746"/>
      <c r="D198" s="746"/>
      <c r="E198" s="746"/>
      <c r="F198" s="746"/>
      <c r="G198" s="746"/>
      <c r="H198" s="746"/>
      <c r="I198" s="746"/>
      <c r="J198" s="746"/>
      <c r="K198" s="746"/>
      <c r="L198" s="746"/>
      <c r="M198" s="746"/>
      <c r="N198" s="746"/>
      <c r="O198" s="746"/>
      <c r="P198" s="746"/>
      <c r="Q198" s="746"/>
      <c r="R198" s="746"/>
      <c r="S198" s="746"/>
    </row>
    <row r="199" spans="1:19">
      <c r="A199" s="831"/>
      <c r="B199" s="746"/>
      <c r="C199" s="746"/>
      <c r="D199" s="746"/>
      <c r="E199" s="746"/>
      <c r="F199" s="746"/>
      <c r="G199" s="746"/>
      <c r="H199" s="746"/>
      <c r="I199" s="746"/>
      <c r="J199" s="746"/>
      <c r="K199" s="746"/>
      <c r="L199" s="746"/>
      <c r="M199" s="746"/>
      <c r="N199" s="746"/>
      <c r="O199" s="746"/>
      <c r="P199" s="746"/>
      <c r="Q199" s="746"/>
      <c r="R199" s="746"/>
      <c r="S199" s="746"/>
    </row>
    <row r="200" spans="1:19">
      <c r="A200" s="800"/>
      <c r="B200" s="746"/>
      <c r="C200" s="746"/>
      <c r="D200" s="746"/>
      <c r="E200" s="746"/>
      <c r="F200" s="746"/>
      <c r="G200" s="746"/>
      <c r="H200" s="746"/>
      <c r="I200" s="746"/>
      <c r="J200" s="746"/>
      <c r="K200" s="746"/>
      <c r="L200" s="746"/>
      <c r="M200" s="746"/>
      <c r="N200" s="746"/>
      <c r="O200" s="746"/>
      <c r="P200" s="746"/>
      <c r="Q200" s="746"/>
      <c r="R200" s="746"/>
      <c r="S200" s="746"/>
    </row>
    <row r="201" spans="1:19">
      <c r="A201" s="800"/>
      <c r="B201" s="746"/>
      <c r="C201" s="746"/>
      <c r="D201" s="746"/>
      <c r="E201" s="746"/>
      <c r="F201" s="746"/>
      <c r="G201" s="746"/>
      <c r="H201" s="746"/>
      <c r="I201" s="746"/>
      <c r="J201" s="746"/>
      <c r="K201" s="746"/>
      <c r="L201" s="746"/>
      <c r="M201" s="746"/>
      <c r="N201" s="746"/>
      <c r="O201" s="746"/>
      <c r="P201" s="746"/>
      <c r="Q201" s="746"/>
      <c r="R201" s="746"/>
      <c r="S201" s="746"/>
    </row>
    <row r="202" spans="1:19">
      <c r="A202" s="800"/>
      <c r="B202" s="746"/>
      <c r="C202" s="746"/>
      <c r="D202" s="746"/>
      <c r="E202" s="746"/>
      <c r="F202" s="746"/>
      <c r="G202" s="746"/>
      <c r="H202" s="746"/>
      <c r="I202" s="746"/>
      <c r="J202" s="746"/>
      <c r="K202" s="746"/>
      <c r="L202" s="746"/>
      <c r="M202" s="746"/>
      <c r="N202" s="746"/>
      <c r="O202" s="746"/>
      <c r="P202" s="746"/>
      <c r="Q202" s="746"/>
      <c r="R202" s="746"/>
      <c r="S202" s="746"/>
    </row>
    <row r="203" spans="1:19">
      <c r="A203" s="800"/>
      <c r="B203" s="746"/>
      <c r="C203" s="746"/>
      <c r="D203" s="746"/>
      <c r="E203" s="746"/>
      <c r="F203" s="746"/>
      <c r="G203" s="746"/>
      <c r="H203" s="746"/>
      <c r="I203" s="746"/>
      <c r="J203" s="746"/>
      <c r="K203" s="746"/>
      <c r="L203" s="746"/>
      <c r="M203" s="746"/>
      <c r="N203" s="746"/>
      <c r="O203" s="746"/>
      <c r="P203" s="746"/>
      <c r="Q203" s="746"/>
      <c r="R203" s="746"/>
      <c r="S203" s="746"/>
    </row>
    <row r="204" spans="1:19">
      <c r="A204" s="800"/>
      <c r="B204" s="746"/>
      <c r="C204" s="746"/>
      <c r="D204" s="746"/>
      <c r="E204" s="746"/>
      <c r="F204" s="746"/>
      <c r="G204" s="746"/>
      <c r="H204" s="746"/>
      <c r="I204" s="746"/>
      <c r="J204" s="746"/>
      <c r="K204" s="746"/>
      <c r="L204" s="746"/>
      <c r="M204" s="746"/>
      <c r="N204" s="746"/>
      <c r="O204" s="746"/>
      <c r="P204" s="746"/>
      <c r="Q204" s="746"/>
      <c r="R204" s="746"/>
      <c r="S204" s="746"/>
    </row>
    <row r="205" spans="1:19">
      <c r="A205" s="800"/>
      <c r="B205" s="746"/>
      <c r="C205" s="746"/>
      <c r="D205" s="746"/>
      <c r="E205" s="746"/>
      <c r="F205" s="746"/>
      <c r="G205" s="746"/>
      <c r="H205" s="746"/>
      <c r="I205" s="746"/>
      <c r="J205" s="746"/>
      <c r="K205" s="746"/>
      <c r="L205" s="746"/>
      <c r="M205" s="746"/>
      <c r="N205" s="746"/>
      <c r="O205" s="746"/>
      <c r="P205" s="746"/>
      <c r="Q205" s="746"/>
      <c r="R205" s="746"/>
      <c r="S205" s="746"/>
    </row>
    <row r="206" spans="1:19">
      <c r="A206" s="800"/>
      <c r="B206" s="746"/>
      <c r="C206" s="746"/>
      <c r="D206" s="746"/>
      <c r="E206" s="746"/>
      <c r="F206" s="746"/>
      <c r="G206" s="746"/>
      <c r="H206" s="746"/>
      <c r="I206" s="746"/>
      <c r="J206" s="746"/>
      <c r="K206" s="746"/>
      <c r="L206" s="746"/>
      <c r="M206" s="746"/>
      <c r="N206" s="746"/>
      <c r="O206" s="746"/>
      <c r="P206" s="746"/>
      <c r="Q206" s="746"/>
      <c r="R206" s="746"/>
      <c r="S206" s="746"/>
    </row>
    <row r="207" spans="1:19">
      <c r="A207" s="800"/>
      <c r="B207" s="746"/>
      <c r="C207" s="746"/>
      <c r="D207" s="746"/>
      <c r="E207" s="746"/>
      <c r="F207" s="746"/>
      <c r="G207" s="746"/>
      <c r="H207" s="746"/>
      <c r="I207" s="746"/>
      <c r="J207" s="746"/>
      <c r="K207" s="746"/>
      <c r="L207" s="746"/>
      <c r="M207" s="746"/>
      <c r="N207" s="746"/>
      <c r="O207" s="746"/>
      <c r="P207" s="746"/>
      <c r="Q207" s="746"/>
      <c r="R207" s="746"/>
      <c r="S207" s="746"/>
    </row>
    <row r="208" spans="1:19">
      <c r="A208" s="800"/>
      <c r="B208" s="746"/>
      <c r="C208" s="746"/>
      <c r="D208" s="746"/>
      <c r="E208" s="746"/>
      <c r="F208" s="746"/>
      <c r="G208" s="746"/>
      <c r="H208" s="746"/>
      <c r="I208" s="746"/>
      <c r="J208" s="746"/>
      <c r="K208" s="746"/>
      <c r="L208" s="746"/>
      <c r="M208" s="746"/>
      <c r="N208" s="746"/>
      <c r="O208" s="746"/>
      <c r="P208" s="746"/>
      <c r="Q208" s="746"/>
      <c r="R208" s="746"/>
      <c r="S208" s="746"/>
    </row>
    <row r="209" spans="1:19">
      <c r="A209" s="800"/>
      <c r="B209" s="746"/>
      <c r="C209" s="746"/>
      <c r="D209" s="746"/>
      <c r="E209" s="746"/>
      <c r="F209" s="746"/>
      <c r="G209" s="746"/>
      <c r="H209" s="746"/>
      <c r="I209" s="746"/>
      <c r="J209" s="746"/>
      <c r="K209" s="746"/>
      <c r="L209" s="746"/>
      <c r="M209" s="746"/>
      <c r="N209" s="746"/>
      <c r="O209" s="746"/>
      <c r="P209" s="746"/>
      <c r="Q209" s="746"/>
      <c r="R209" s="746"/>
      <c r="S209" s="746"/>
    </row>
    <row r="210" spans="1:19">
      <c r="A210" s="800"/>
      <c r="B210" s="746"/>
      <c r="C210" s="746"/>
      <c r="D210" s="746"/>
      <c r="E210" s="746"/>
      <c r="F210" s="746"/>
      <c r="G210" s="746"/>
      <c r="H210" s="746"/>
      <c r="I210" s="746"/>
      <c r="J210" s="746"/>
      <c r="K210" s="746"/>
      <c r="L210" s="746"/>
      <c r="M210" s="746"/>
      <c r="N210" s="746"/>
      <c r="O210" s="746"/>
      <c r="P210" s="746"/>
      <c r="Q210" s="746"/>
      <c r="R210" s="746"/>
      <c r="S210" s="746"/>
    </row>
    <row r="211" spans="1:19">
      <c r="A211" s="800"/>
      <c r="B211" s="746"/>
      <c r="C211" s="746"/>
      <c r="D211" s="746"/>
      <c r="E211" s="746"/>
      <c r="F211" s="746"/>
      <c r="G211" s="746"/>
      <c r="H211" s="746"/>
      <c r="I211" s="746"/>
      <c r="J211" s="746"/>
      <c r="K211" s="746"/>
      <c r="L211" s="746"/>
      <c r="M211" s="746"/>
      <c r="N211" s="746"/>
      <c r="O211" s="746"/>
      <c r="P211" s="746"/>
      <c r="Q211" s="746"/>
      <c r="R211" s="746"/>
      <c r="S211" s="746"/>
    </row>
    <row r="212" spans="1:19">
      <c r="A212" s="800"/>
      <c r="B212" s="746"/>
      <c r="C212" s="746"/>
      <c r="D212" s="746"/>
      <c r="E212" s="746"/>
      <c r="F212" s="746"/>
      <c r="G212" s="746"/>
      <c r="H212" s="746"/>
      <c r="I212" s="746"/>
      <c r="J212" s="746"/>
      <c r="K212" s="746"/>
      <c r="L212" s="746"/>
      <c r="M212" s="746"/>
      <c r="N212" s="746"/>
      <c r="O212" s="746"/>
      <c r="P212" s="746"/>
      <c r="Q212" s="746"/>
      <c r="R212" s="746"/>
      <c r="S212" s="746"/>
    </row>
    <row r="213" spans="1:19">
      <c r="A213" s="800"/>
      <c r="B213" s="746"/>
      <c r="C213" s="746"/>
      <c r="D213" s="746"/>
      <c r="E213" s="746"/>
      <c r="F213" s="746"/>
      <c r="G213" s="746"/>
      <c r="H213" s="746"/>
      <c r="I213" s="746"/>
      <c r="J213" s="746"/>
      <c r="K213" s="746"/>
      <c r="L213" s="746"/>
      <c r="M213" s="746"/>
      <c r="N213" s="746"/>
      <c r="O213" s="746"/>
      <c r="P213" s="746"/>
      <c r="Q213" s="746"/>
      <c r="R213" s="746"/>
      <c r="S213" s="746"/>
    </row>
    <row r="214" spans="1:19">
      <c r="A214" s="800"/>
      <c r="B214" s="746"/>
      <c r="C214" s="746"/>
      <c r="D214" s="746"/>
      <c r="E214" s="746"/>
      <c r="F214" s="746"/>
      <c r="G214" s="746"/>
      <c r="H214" s="746"/>
      <c r="I214" s="746"/>
      <c r="J214" s="746"/>
      <c r="K214" s="746"/>
      <c r="L214" s="746"/>
      <c r="M214" s="746"/>
      <c r="N214" s="746"/>
      <c r="O214" s="746"/>
      <c r="P214" s="746"/>
      <c r="Q214" s="746"/>
      <c r="R214" s="746"/>
      <c r="S214" s="746"/>
    </row>
    <row r="215" spans="1:19">
      <c r="A215" s="800"/>
      <c r="B215" s="746"/>
      <c r="C215" s="746"/>
      <c r="D215" s="746"/>
      <c r="E215" s="746"/>
      <c r="F215" s="746"/>
      <c r="G215" s="746"/>
      <c r="H215" s="746"/>
      <c r="I215" s="746"/>
      <c r="J215" s="746"/>
      <c r="K215" s="746"/>
      <c r="L215" s="746"/>
      <c r="M215" s="746"/>
      <c r="N215" s="746"/>
      <c r="O215" s="746"/>
      <c r="P215" s="746"/>
      <c r="Q215" s="746"/>
      <c r="R215" s="746"/>
      <c r="S215" s="746"/>
    </row>
    <row r="216" spans="1:19">
      <c r="A216" s="800"/>
      <c r="B216" s="746"/>
      <c r="C216" s="746"/>
      <c r="D216" s="746"/>
      <c r="E216" s="746"/>
      <c r="F216" s="746"/>
      <c r="G216" s="746"/>
      <c r="H216" s="746"/>
      <c r="I216" s="746"/>
      <c r="J216" s="746"/>
      <c r="K216" s="746"/>
      <c r="L216" s="746"/>
      <c r="M216" s="746"/>
      <c r="N216" s="746"/>
      <c r="O216" s="746"/>
      <c r="P216" s="746"/>
      <c r="Q216" s="746"/>
      <c r="R216" s="746"/>
      <c r="S216" s="746"/>
    </row>
    <row r="217" spans="1:19">
      <c r="A217" s="800"/>
      <c r="B217" s="746"/>
      <c r="C217" s="746"/>
      <c r="D217" s="746"/>
      <c r="E217" s="746"/>
      <c r="F217" s="746"/>
      <c r="G217" s="746"/>
      <c r="H217" s="746"/>
      <c r="I217" s="746"/>
      <c r="J217" s="746"/>
      <c r="K217" s="746"/>
      <c r="L217" s="746"/>
      <c r="M217" s="746"/>
      <c r="N217" s="746"/>
      <c r="O217" s="746"/>
      <c r="P217" s="746"/>
      <c r="Q217" s="746"/>
      <c r="R217" s="746"/>
      <c r="S217" s="746"/>
    </row>
    <row r="218" spans="1:19">
      <c r="A218" s="800"/>
      <c r="B218" s="746"/>
      <c r="C218" s="746"/>
      <c r="D218" s="746"/>
      <c r="E218" s="746"/>
      <c r="F218" s="746"/>
      <c r="G218" s="746"/>
      <c r="H218" s="746"/>
      <c r="I218" s="746"/>
      <c r="J218" s="746"/>
      <c r="K218" s="746"/>
      <c r="L218" s="746"/>
      <c r="M218" s="746"/>
      <c r="N218" s="746"/>
      <c r="O218" s="746"/>
      <c r="P218" s="746"/>
      <c r="Q218" s="746"/>
      <c r="R218" s="746"/>
      <c r="S218" s="746"/>
    </row>
    <row r="219" spans="1:19">
      <c r="A219" s="800"/>
      <c r="B219" s="746"/>
      <c r="C219" s="746"/>
      <c r="D219" s="746"/>
      <c r="E219" s="746"/>
      <c r="F219" s="746"/>
      <c r="G219" s="746"/>
      <c r="H219" s="746"/>
      <c r="I219" s="746"/>
      <c r="J219" s="746"/>
      <c r="K219" s="746"/>
      <c r="L219" s="746"/>
      <c r="M219" s="746"/>
      <c r="N219" s="746"/>
      <c r="O219" s="746"/>
      <c r="P219" s="746"/>
      <c r="Q219" s="746"/>
      <c r="R219" s="746"/>
      <c r="S219" s="746"/>
    </row>
    <row r="220" spans="1:19">
      <c r="A220" s="800"/>
      <c r="B220" s="746"/>
      <c r="C220" s="746"/>
      <c r="D220" s="746"/>
      <c r="E220" s="746"/>
      <c r="F220" s="746"/>
      <c r="G220" s="746"/>
      <c r="H220" s="746"/>
      <c r="I220" s="746"/>
      <c r="J220" s="746"/>
      <c r="K220" s="746"/>
      <c r="L220" s="746"/>
      <c r="M220" s="746"/>
      <c r="N220" s="746"/>
      <c r="O220" s="746"/>
      <c r="P220" s="746"/>
      <c r="Q220" s="746"/>
      <c r="R220" s="746"/>
      <c r="S220" s="746"/>
    </row>
    <row r="221" spans="1:19">
      <c r="A221" s="800"/>
      <c r="B221" s="746"/>
      <c r="C221" s="746"/>
      <c r="D221" s="746"/>
      <c r="E221" s="746"/>
      <c r="F221" s="746"/>
      <c r="G221" s="746"/>
      <c r="H221" s="746"/>
      <c r="I221" s="746"/>
      <c r="J221" s="746"/>
      <c r="K221" s="746"/>
      <c r="L221" s="746"/>
      <c r="M221" s="746"/>
      <c r="N221" s="746"/>
      <c r="O221" s="746"/>
      <c r="P221" s="746"/>
      <c r="Q221" s="746"/>
      <c r="R221" s="746"/>
      <c r="S221" s="746"/>
    </row>
    <row r="222" spans="1:19">
      <c r="A222" s="831"/>
      <c r="B222" s="746"/>
      <c r="C222" s="746"/>
      <c r="D222" s="746"/>
      <c r="E222" s="746"/>
      <c r="F222" s="746"/>
      <c r="G222" s="746"/>
      <c r="H222" s="746"/>
      <c r="I222" s="746"/>
      <c r="J222" s="746"/>
      <c r="K222" s="746"/>
      <c r="L222" s="746"/>
      <c r="M222" s="746"/>
      <c r="N222" s="746"/>
      <c r="O222" s="746"/>
      <c r="P222" s="746"/>
      <c r="Q222" s="746"/>
      <c r="R222" s="746"/>
      <c r="S222" s="746"/>
    </row>
    <row r="223" spans="1:19">
      <c r="A223" s="831"/>
      <c r="B223" s="746"/>
      <c r="C223" s="746"/>
      <c r="D223" s="746"/>
      <c r="E223" s="746"/>
      <c r="F223" s="746"/>
      <c r="G223" s="746"/>
      <c r="H223" s="746"/>
      <c r="I223" s="746"/>
      <c r="J223" s="746"/>
      <c r="K223" s="746"/>
      <c r="L223" s="746"/>
      <c r="M223" s="746"/>
      <c r="N223" s="746"/>
      <c r="O223" s="746"/>
      <c r="P223" s="746"/>
      <c r="Q223" s="746"/>
      <c r="R223" s="746"/>
      <c r="S223" s="746"/>
    </row>
    <row r="224" spans="1:19">
      <c r="A224" s="831"/>
      <c r="B224" s="746"/>
      <c r="C224" s="746"/>
      <c r="D224" s="746"/>
      <c r="E224" s="746"/>
      <c r="F224" s="746"/>
      <c r="G224" s="746"/>
      <c r="H224" s="746"/>
      <c r="I224" s="746"/>
      <c r="J224" s="746"/>
      <c r="K224" s="746"/>
      <c r="L224" s="746"/>
      <c r="M224" s="746"/>
      <c r="N224" s="746"/>
      <c r="O224" s="746"/>
      <c r="P224" s="746"/>
      <c r="Q224" s="746"/>
      <c r="R224" s="746"/>
      <c r="S224" s="746"/>
    </row>
    <row r="225" spans="1:19">
      <c r="A225" s="831"/>
      <c r="B225" s="746"/>
      <c r="C225" s="746"/>
      <c r="D225" s="746"/>
      <c r="E225" s="746"/>
      <c r="F225" s="746"/>
      <c r="G225" s="746"/>
      <c r="H225" s="746"/>
      <c r="I225" s="746"/>
      <c r="J225" s="746"/>
      <c r="K225" s="746"/>
      <c r="L225" s="746"/>
      <c r="M225" s="746"/>
      <c r="N225" s="746"/>
      <c r="O225" s="746"/>
      <c r="P225" s="746"/>
      <c r="Q225" s="746"/>
      <c r="R225" s="746"/>
      <c r="S225" s="746"/>
    </row>
    <row r="226" spans="1:19">
      <c r="A226" s="831"/>
      <c r="B226" s="746"/>
      <c r="C226" s="746"/>
      <c r="D226" s="746"/>
      <c r="E226" s="746"/>
      <c r="F226" s="746"/>
      <c r="G226" s="746"/>
      <c r="H226" s="746"/>
      <c r="I226" s="746"/>
      <c r="J226" s="746"/>
      <c r="K226" s="746"/>
      <c r="L226" s="746"/>
      <c r="M226" s="746"/>
      <c r="N226" s="746"/>
      <c r="O226" s="746"/>
      <c r="P226" s="746"/>
      <c r="Q226" s="746"/>
      <c r="R226" s="746"/>
      <c r="S226" s="746"/>
    </row>
    <row r="227" spans="1:19">
      <c r="A227" s="831"/>
      <c r="B227" s="746"/>
      <c r="C227" s="746"/>
      <c r="D227" s="746"/>
      <c r="E227" s="746"/>
      <c r="F227" s="746"/>
      <c r="G227" s="746"/>
      <c r="H227" s="746"/>
      <c r="I227" s="746"/>
      <c r="J227" s="746"/>
      <c r="K227" s="746"/>
      <c r="L227" s="746"/>
      <c r="M227" s="746"/>
      <c r="N227" s="746"/>
      <c r="O227" s="746"/>
      <c r="P227" s="746"/>
      <c r="Q227" s="746"/>
      <c r="R227" s="746"/>
      <c r="S227" s="746"/>
    </row>
    <row r="228" spans="1:19">
      <c r="A228" s="831"/>
      <c r="B228" s="746"/>
      <c r="C228" s="746"/>
      <c r="D228" s="746"/>
      <c r="E228" s="746"/>
      <c r="F228" s="746"/>
      <c r="G228" s="746"/>
      <c r="H228" s="746"/>
      <c r="I228" s="746"/>
      <c r="J228" s="746"/>
      <c r="K228" s="746"/>
      <c r="L228" s="746"/>
      <c r="M228" s="746"/>
      <c r="N228" s="746"/>
      <c r="O228" s="746"/>
      <c r="P228" s="746"/>
      <c r="Q228" s="746"/>
      <c r="R228" s="746"/>
      <c r="S228" s="746"/>
    </row>
    <row r="229" spans="1:19">
      <c r="A229" s="831"/>
      <c r="B229" s="746"/>
      <c r="C229" s="746"/>
      <c r="D229" s="746"/>
      <c r="E229" s="746"/>
      <c r="F229" s="746"/>
      <c r="G229" s="746"/>
      <c r="H229" s="746"/>
      <c r="I229" s="746"/>
      <c r="J229" s="746"/>
      <c r="K229" s="746"/>
      <c r="L229" s="746"/>
      <c r="M229" s="746"/>
      <c r="N229" s="746"/>
      <c r="O229" s="746"/>
      <c r="P229" s="746"/>
      <c r="Q229" s="746"/>
      <c r="R229" s="746"/>
      <c r="S229" s="746"/>
    </row>
    <row r="230" spans="1:19">
      <c r="A230" s="831"/>
      <c r="B230" s="746"/>
      <c r="C230" s="746"/>
      <c r="D230" s="746"/>
      <c r="E230" s="746"/>
      <c r="F230" s="746"/>
      <c r="G230" s="746"/>
      <c r="H230" s="746"/>
      <c r="I230" s="746"/>
      <c r="J230" s="746"/>
      <c r="K230" s="746"/>
      <c r="L230" s="746"/>
      <c r="M230" s="746"/>
      <c r="N230" s="746"/>
      <c r="O230" s="746"/>
      <c r="P230" s="746"/>
      <c r="Q230" s="746"/>
      <c r="R230" s="746"/>
      <c r="S230" s="746"/>
    </row>
    <row r="231" spans="1:19">
      <c r="A231" s="831"/>
      <c r="B231" s="746"/>
      <c r="C231" s="746"/>
      <c r="D231" s="746"/>
      <c r="E231" s="746"/>
      <c r="F231" s="746"/>
      <c r="G231" s="746"/>
      <c r="H231" s="746"/>
      <c r="I231" s="746"/>
      <c r="J231" s="746"/>
      <c r="K231" s="746"/>
      <c r="L231" s="746"/>
      <c r="M231" s="746"/>
      <c r="N231" s="746"/>
      <c r="O231" s="746"/>
      <c r="P231" s="746"/>
      <c r="Q231" s="746"/>
      <c r="R231" s="746"/>
      <c r="S231" s="746"/>
    </row>
    <row r="232" spans="1:19">
      <c r="A232" s="831"/>
      <c r="B232" s="746"/>
      <c r="C232" s="746"/>
      <c r="D232" s="746"/>
      <c r="E232" s="746"/>
      <c r="F232" s="746"/>
      <c r="G232" s="746"/>
      <c r="H232" s="746"/>
      <c r="I232" s="746"/>
      <c r="J232" s="746"/>
      <c r="K232" s="746"/>
      <c r="L232" s="746"/>
      <c r="M232" s="746"/>
      <c r="N232" s="746"/>
      <c r="O232" s="746"/>
      <c r="P232" s="746"/>
      <c r="Q232" s="746"/>
      <c r="R232" s="746"/>
      <c r="S232" s="746"/>
    </row>
    <row r="233" spans="1:19">
      <c r="A233" s="831"/>
      <c r="B233" s="746"/>
      <c r="C233" s="746"/>
      <c r="D233" s="746"/>
      <c r="E233" s="746"/>
      <c r="F233" s="746"/>
      <c r="G233" s="746"/>
      <c r="H233" s="746"/>
      <c r="I233" s="746"/>
      <c r="J233" s="746"/>
      <c r="K233" s="746"/>
      <c r="L233" s="746"/>
      <c r="M233" s="746"/>
      <c r="N233" s="746"/>
      <c r="O233" s="746"/>
      <c r="P233" s="746"/>
      <c r="Q233" s="746"/>
      <c r="R233" s="746"/>
      <c r="S233" s="746"/>
    </row>
    <row r="234" spans="1:19">
      <c r="A234" s="831"/>
      <c r="B234" s="746"/>
      <c r="C234" s="746"/>
      <c r="D234" s="746"/>
      <c r="E234" s="746"/>
      <c r="F234" s="746"/>
      <c r="G234" s="746"/>
      <c r="H234" s="746"/>
      <c r="I234" s="746"/>
      <c r="J234" s="746"/>
      <c r="K234" s="746"/>
      <c r="L234" s="746"/>
      <c r="M234" s="746"/>
      <c r="N234" s="746"/>
      <c r="O234" s="746"/>
      <c r="P234" s="746"/>
      <c r="Q234" s="746"/>
      <c r="R234" s="746"/>
      <c r="S234" s="746"/>
    </row>
    <row r="235" spans="1:19">
      <c r="A235" s="831"/>
      <c r="B235" s="746"/>
      <c r="C235" s="746"/>
      <c r="D235" s="746"/>
      <c r="E235" s="746"/>
      <c r="F235" s="746"/>
      <c r="G235" s="746"/>
      <c r="H235" s="746"/>
      <c r="I235" s="746"/>
      <c r="J235" s="746"/>
      <c r="K235" s="746"/>
      <c r="L235" s="746"/>
      <c r="M235" s="746"/>
      <c r="N235" s="746"/>
      <c r="O235" s="746"/>
      <c r="P235" s="746"/>
      <c r="Q235" s="746"/>
      <c r="R235" s="746"/>
      <c r="S235" s="746"/>
    </row>
    <row r="236" spans="1:19">
      <c r="A236" s="831"/>
      <c r="B236" s="746"/>
      <c r="C236" s="746"/>
      <c r="D236" s="746"/>
      <c r="E236" s="746"/>
      <c r="F236" s="746"/>
      <c r="G236" s="746"/>
      <c r="H236" s="746"/>
      <c r="I236" s="746"/>
      <c r="J236" s="746"/>
      <c r="K236" s="746"/>
      <c r="L236" s="746"/>
      <c r="M236" s="746"/>
      <c r="N236" s="746"/>
      <c r="O236" s="746"/>
      <c r="P236" s="746"/>
      <c r="Q236" s="746"/>
      <c r="R236" s="746"/>
      <c r="S236" s="746"/>
    </row>
    <row r="237" spans="1:19">
      <c r="A237" s="831"/>
      <c r="B237" s="746"/>
      <c r="C237" s="746"/>
      <c r="D237" s="746"/>
      <c r="E237" s="746"/>
      <c r="F237" s="746"/>
      <c r="G237" s="746"/>
      <c r="H237" s="746"/>
      <c r="I237" s="746"/>
      <c r="J237" s="746"/>
      <c r="K237" s="746"/>
      <c r="L237" s="746"/>
      <c r="M237" s="746"/>
      <c r="N237" s="746"/>
      <c r="O237" s="746"/>
      <c r="P237" s="746"/>
      <c r="Q237" s="746"/>
      <c r="R237" s="746"/>
      <c r="S237" s="746"/>
    </row>
    <row r="238" spans="1:19">
      <c r="A238" s="831"/>
      <c r="B238" s="746"/>
      <c r="C238" s="746"/>
      <c r="D238" s="746"/>
      <c r="E238" s="746"/>
      <c r="F238" s="746"/>
      <c r="G238" s="746"/>
      <c r="H238" s="746"/>
      <c r="I238" s="746"/>
      <c r="J238" s="746"/>
      <c r="K238" s="746"/>
      <c r="L238" s="746"/>
      <c r="M238" s="746"/>
      <c r="N238" s="746"/>
      <c r="O238" s="746"/>
      <c r="P238" s="746"/>
      <c r="Q238" s="746"/>
      <c r="R238" s="746"/>
      <c r="S238" s="746"/>
    </row>
    <row r="239" spans="1:19">
      <c r="A239" s="831"/>
      <c r="B239" s="746"/>
      <c r="C239" s="746"/>
      <c r="D239" s="746"/>
      <c r="E239" s="746"/>
      <c r="F239" s="746"/>
      <c r="G239" s="746"/>
      <c r="H239" s="746"/>
      <c r="I239" s="746"/>
      <c r="J239" s="746"/>
      <c r="K239" s="746"/>
      <c r="L239" s="746"/>
      <c r="M239" s="746"/>
      <c r="N239" s="746"/>
      <c r="O239" s="746"/>
      <c r="P239" s="746"/>
      <c r="Q239" s="746"/>
      <c r="R239" s="746"/>
      <c r="S239" s="746"/>
    </row>
    <row r="240" spans="1:19">
      <c r="A240" s="831"/>
      <c r="B240" s="746"/>
      <c r="C240" s="746"/>
      <c r="D240" s="746"/>
      <c r="E240" s="746"/>
      <c r="F240" s="746"/>
      <c r="G240" s="746"/>
      <c r="H240" s="746"/>
      <c r="I240" s="746"/>
      <c r="J240" s="746"/>
      <c r="K240" s="746"/>
      <c r="L240" s="746"/>
      <c r="M240" s="746"/>
      <c r="N240" s="746"/>
      <c r="O240" s="746"/>
      <c r="P240" s="746"/>
      <c r="Q240" s="746"/>
      <c r="R240" s="746"/>
      <c r="S240" s="746"/>
    </row>
    <row r="241" spans="1:19">
      <c r="A241" s="831"/>
      <c r="B241" s="746"/>
      <c r="C241" s="746"/>
      <c r="D241" s="746"/>
      <c r="E241" s="746"/>
      <c r="F241" s="746"/>
      <c r="G241" s="746"/>
      <c r="H241" s="746"/>
      <c r="I241" s="746"/>
      <c r="J241" s="746"/>
      <c r="K241" s="746"/>
      <c r="L241" s="746"/>
      <c r="M241" s="746"/>
      <c r="N241" s="746"/>
      <c r="O241" s="746"/>
      <c r="P241" s="746"/>
      <c r="Q241" s="746"/>
      <c r="R241" s="746"/>
      <c r="S241" s="746"/>
    </row>
    <row r="242" spans="1:19">
      <c r="A242" s="831"/>
      <c r="B242" s="746"/>
      <c r="C242" s="746"/>
      <c r="D242" s="746"/>
      <c r="E242" s="746"/>
      <c r="F242" s="746"/>
      <c r="G242" s="746"/>
      <c r="H242" s="746"/>
      <c r="I242" s="746"/>
      <c r="J242" s="746"/>
      <c r="K242" s="746"/>
      <c r="L242" s="746"/>
      <c r="M242" s="746"/>
      <c r="N242" s="746"/>
      <c r="O242" s="746"/>
      <c r="P242" s="746"/>
      <c r="Q242" s="746"/>
      <c r="R242" s="746"/>
      <c r="S242" s="746"/>
    </row>
    <row r="243" spans="1:19">
      <c r="A243" s="831"/>
      <c r="B243" s="746"/>
      <c r="C243" s="746"/>
      <c r="D243" s="746"/>
      <c r="E243" s="746"/>
      <c r="F243" s="746"/>
      <c r="G243" s="746"/>
      <c r="H243" s="746"/>
      <c r="I243" s="746"/>
      <c r="J243" s="746"/>
      <c r="K243" s="746"/>
      <c r="L243" s="746"/>
      <c r="M243" s="746"/>
      <c r="N243" s="746"/>
      <c r="O243" s="746"/>
      <c r="P243" s="746"/>
      <c r="Q243" s="746"/>
      <c r="R243" s="746"/>
      <c r="S243" s="746"/>
    </row>
    <row r="244" spans="1:19">
      <c r="A244" s="831"/>
      <c r="B244" s="746"/>
      <c r="C244" s="746"/>
      <c r="D244" s="746"/>
      <c r="E244" s="746"/>
      <c r="F244" s="746"/>
      <c r="G244" s="746"/>
      <c r="H244" s="746"/>
      <c r="I244" s="746"/>
      <c r="J244" s="746"/>
      <c r="K244" s="746"/>
      <c r="L244" s="746"/>
      <c r="M244" s="746"/>
      <c r="N244" s="746"/>
      <c r="O244" s="746"/>
      <c r="P244" s="746"/>
      <c r="Q244" s="746"/>
      <c r="R244" s="746"/>
      <c r="S244" s="746"/>
    </row>
    <row r="245" spans="1:19">
      <c r="A245" s="831"/>
      <c r="B245" s="746"/>
      <c r="C245" s="746"/>
      <c r="D245" s="746"/>
      <c r="E245" s="746"/>
      <c r="F245" s="746"/>
      <c r="G245" s="746"/>
      <c r="H245" s="746"/>
      <c r="I245" s="746"/>
      <c r="J245" s="746"/>
      <c r="K245" s="746"/>
      <c r="L245" s="746"/>
      <c r="M245" s="746"/>
      <c r="N245" s="746"/>
      <c r="O245" s="746"/>
      <c r="P245" s="746"/>
      <c r="Q245" s="746"/>
      <c r="R245" s="746"/>
      <c r="S245" s="746"/>
    </row>
    <row r="246" spans="1:19">
      <c r="A246" s="831"/>
      <c r="B246" s="746"/>
      <c r="C246" s="746"/>
      <c r="D246" s="746"/>
      <c r="E246" s="746"/>
      <c r="F246" s="746"/>
      <c r="G246" s="746"/>
      <c r="H246" s="746"/>
      <c r="I246" s="746"/>
      <c r="J246" s="746"/>
      <c r="K246" s="746"/>
      <c r="L246" s="746"/>
      <c r="M246" s="746"/>
      <c r="N246" s="746"/>
      <c r="O246" s="746"/>
      <c r="P246" s="746"/>
      <c r="Q246" s="746"/>
      <c r="R246" s="746"/>
      <c r="S246" s="746"/>
    </row>
    <row r="247" spans="1:19">
      <c r="A247" s="831"/>
      <c r="B247" s="746"/>
      <c r="C247" s="746"/>
      <c r="D247" s="746"/>
      <c r="E247" s="746"/>
      <c r="F247" s="746"/>
      <c r="G247" s="746"/>
      <c r="H247" s="746"/>
      <c r="I247" s="746"/>
      <c r="J247" s="746"/>
      <c r="K247" s="746"/>
      <c r="L247" s="746"/>
      <c r="M247" s="746"/>
      <c r="N247" s="746"/>
      <c r="O247" s="746"/>
      <c r="P247" s="746"/>
      <c r="Q247" s="746"/>
      <c r="R247" s="746"/>
      <c r="S247" s="746"/>
    </row>
    <row r="248" spans="1:19">
      <c r="A248" s="831"/>
      <c r="B248" s="746"/>
      <c r="C248" s="746"/>
      <c r="D248" s="746"/>
      <c r="E248" s="746"/>
      <c r="F248" s="746"/>
      <c r="G248" s="746"/>
      <c r="H248" s="746"/>
      <c r="I248" s="746"/>
      <c r="J248" s="746"/>
      <c r="K248" s="746"/>
      <c r="L248" s="746"/>
      <c r="M248" s="746"/>
      <c r="N248" s="746"/>
      <c r="O248" s="746"/>
      <c r="P248" s="746"/>
      <c r="Q248" s="746"/>
      <c r="R248" s="746"/>
      <c r="S248" s="746"/>
    </row>
    <row r="249" spans="1:19">
      <c r="A249" s="831"/>
      <c r="B249" s="746"/>
      <c r="C249" s="746"/>
      <c r="D249" s="746"/>
      <c r="E249" s="746"/>
      <c r="F249" s="746"/>
      <c r="G249" s="746"/>
      <c r="H249" s="746"/>
      <c r="I249" s="746"/>
      <c r="J249" s="746"/>
      <c r="K249" s="746"/>
      <c r="L249" s="746"/>
      <c r="M249" s="746"/>
      <c r="N249" s="746"/>
      <c r="O249" s="746"/>
      <c r="P249" s="746"/>
      <c r="Q249" s="746"/>
      <c r="R249" s="746"/>
      <c r="S249" s="746"/>
    </row>
    <row r="250" spans="1:19">
      <c r="A250" s="831"/>
      <c r="B250" s="746"/>
      <c r="C250" s="746"/>
      <c r="D250" s="746"/>
      <c r="E250" s="746"/>
      <c r="F250" s="746"/>
      <c r="G250" s="746"/>
      <c r="H250" s="746"/>
      <c r="I250" s="746"/>
      <c r="J250" s="746"/>
      <c r="K250" s="746"/>
      <c r="L250" s="746"/>
      <c r="M250" s="746"/>
      <c r="N250" s="746"/>
      <c r="O250" s="746"/>
      <c r="P250" s="746"/>
      <c r="Q250" s="746"/>
      <c r="R250" s="746"/>
      <c r="S250" s="746"/>
    </row>
    <row r="251" spans="1:19">
      <c r="A251" s="831"/>
      <c r="B251" s="746"/>
      <c r="C251" s="746"/>
      <c r="D251" s="746"/>
      <c r="E251" s="746"/>
      <c r="F251" s="746"/>
      <c r="G251" s="746"/>
      <c r="H251" s="746"/>
      <c r="I251" s="746"/>
      <c r="J251" s="746"/>
      <c r="K251" s="746"/>
      <c r="L251" s="746"/>
      <c r="M251" s="746"/>
      <c r="N251" s="746"/>
      <c r="O251" s="746"/>
      <c r="P251" s="746"/>
      <c r="Q251" s="746"/>
      <c r="R251" s="746"/>
      <c r="S251" s="746"/>
    </row>
    <row r="252" spans="1:19">
      <c r="A252" s="831"/>
      <c r="B252" s="746"/>
      <c r="C252" s="746"/>
      <c r="D252" s="746"/>
      <c r="E252" s="746"/>
      <c r="F252" s="746"/>
      <c r="G252" s="746"/>
      <c r="H252" s="746"/>
      <c r="I252" s="746"/>
      <c r="J252" s="746"/>
      <c r="K252" s="746"/>
      <c r="L252" s="746"/>
      <c r="M252" s="746"/>
      <c r="N252" s="746"/>
      <c r="O252" s="746"/>
      <c r="P252" s="746"/>
      <c r="Q252" s="746"/>
      <c r="R252" s="746"/>
      <c r="S252" s="746"/>
    </row>
    <row r="253" spans="1:19">
      <c r="A253" s="831"/>
      <c r="B253" s="746"/>
      <c r="C253" s="746"/>
      <c r="D253" s="746"/>
      <c r="E253" s="746"/>
      <c r="F253" s="746"/>
      <c r="G253" s="746"/>
      <c r="H253" s="746"/>
      <c r="I253" s="746"/>
      <c r="J253" s="746"/>
      <c r="K253" s="746"/>
      <c r="L253" s="746"/>
      <c r="M253" s="746"/>
      <c r="N253" s="746"/>
      <c r="O253" s="746"/>
      <c r="P253" s="746"/>
      <c r="Q253" s="746"/>
      <c r="R253" s="746"/>
      <c r="S253" s="746"/>
    </row>
    <row r="254" spans="1:19">
      <c r="A254" s="831"/>
      <c r="B254" s="746"/>
      <c r="C254" s="746"/>
      <c r="D254" s="746"/>
      <c r="E254" s="746"/>
      <c r="F254" s="746"/>
      <c r="G254" s="746"/>
      <c r="H254" s="746"/>
      <c r="I254" s="746"/>
      <c r="J254" s="746"/>
      <c r="K254" s="746"/>
      <c r="L254" s="746"/>
      <c r="M254" s="746"/>
      <c r="N254" s="746"/>
      <c r="O254" s="746"/>
      <c r="P254" s="746"/>
      <c r="Q254" s="746"/>
      <c r="R254" s="746"/>
      <c r="S254" s="746"/>
    </row>
    <row r="255" spans="1:19">
      <c r="A255" s="831"/>
      <c r="B255" s="746"/>
      <c r="C255" s="746"/>
      <c r="D255" s="746"/>
      <c r="E255" s="746"/>
      <c r="F255" s="746"/>
      <c r="G255" s="746"/>
      <c r="H255" s="746"/>
      <c r="I255" s="746"/>
      <c r="J255" s="746"/>
      <c r="K255" s="746"/>
      <c r="L255" s="746"/>
      <c r="M255" s="746"/>
      <c r="N255" s="746"/>
      <c r="O255" s="746"/>
      <c r="P255" s="746"/>
      <c r="Q255" s="746"/>
      <c r="R255" s="746"/>
      <c r="S255" s="746"/>
    </row>
    <row r="256" spans="1:19">
      <c r="A256" s="831"/>
      <c r="B256" s="746"/>
      <c r="C256" s="746"/>
      <c r="D256" s="746"/>
      <c r="E256" s="746"/>
      <c r="F256" s="746"/>
      <c r="G256" s="746"/>
      <c r="H256" s="746"/>
      <c r="I256" s="746"/>
      <c r="J256" s="746"/>
      <c r="K256" s="746"/>
      <c r="L256" s="746"/>
      <c r="M256" s="746"/>
      <c r="N256" s="746"/>
      <c r="O256" s="746"/>
      <c r="P256" s="746"/>
      <c r="Q256" s="746"/>
      <c r="R256" s="746"/>
      <c r="S256" s="746"/>
    </row>
    <row r="257" spans="1:19">
      <c r="A257" s="831"/>
      <c r="B257" s="746"/>
      <c r="C257" s="746"/>
      <c r="D257" s="746"/>
      <c r="E257" s="746"/>
      <c r="F257" s="746"/>
      <c r="G257" s="746"/>
      <c r="H257" s="746"/>
      <c r="I257" s="746"/>
      <c r="J257" s="746"/>
      <c r="K257" s="746"/>
      <c r="L257" s="746"/>
      <c r="M257" s="746"/>
      <c r="N257" s="746"/>
      <c r="O257" s="746"/>
      <c r="P257" s="746"/>
      <c r="Q257" s="746"/>
      <c r="R257" s="746"/>
      <c r="S257" s="746"/>
    </row>
    <row r="258" spans="1:19">
      <c r="A258" s="831"/>
      <c r="B258" s="746"/>
      <c r="C258" s="746"/>
      <c r="D258" s="746"/>
      <c r="E258" s="746"/>
      <c r="F258" s="746"/>
      <c r="G258" s="746"/>
      <c r="H258" s="746"/>
      <c r="I258" s="746"/>
      <c r="J258" s="746"/>
      <c r="K258" s="746"/>
      <c r="L258" s="746"/>
      <c r="M258" s="746"/>
      <c r="N258" s="746"/>
      <c r="O258" s="746"/>
      <c r="P258" s="746"/>
      <c r="Q258" s="746"/>
      <c r="R258" s="746"/>
      <c r="S258" s="746"/>
    </row>
    <row r="259" spans="1:19">
      <c r="A259" s="831"/>
      <c r="B259" s="746"/>
      <c r="C259" s="746"/>
      <c r="D259" s="746"/>
      <c r="E259" s="746"/>
      <c r="F259" s="746"/>
      <c r="G259" s="746"/>
      <c r="H259" s="746"/>
      <c r="I259" s="746"/>
      <c r="J259" s="746"/>
      <c r="K259" s="746"/>
      <c r="L259" s="746"/>
      <c r="M259" s="746"/>
      <c r="N259" s="746"/>
      <c r="O259" s="746"/>
      <c r="P259" s="746"/>
      <c r="Q259" s="746"/>
      <c r="R259" s="746"/>
      <c r="S259" s="746"/>
    </row>
    <row r="260" spans="1:19">
      <c r="A260" s="831"/>
      <c r="B260" s="746"/>
      <c r="C260" s="746"/>
      <c r="D260" s="746"/>
      <c r="E260" s="746"/>
      <c r="F260" s="746"/>
      <c r="G260" s="746"/>
      <c r="H260" s="746"/>
      <c r="I260" s="746"/>
      <c r="J260" s="746"/>
      <c r="K260" s="746"/>
      <c r="L260" s="746"/>
      <c r="M260" s="746"/>
      <c r="N260" s="746"/>
      <c r="O260" s="746"/>
      <c r="P260" s="746"/>
      <c r="Q260" s="746"/>
      <c r="R260" s="746"/>
      <c r="S260" s="746"/>
    </row>
    <row r="261" spans="1:19">
      <c r="A261" s="831"/>
      <c r="B261" s="746"/>
      <c r="C261" s="746"/>
      <c r="D261" s="746"/>
      <c r="E261" s="746"/>
      <c r="F261" s="746"/>
      <c r="G261" s="746"/>
      <c r="H261" s="746"/>
      <c r="I261" s="746"/>
      <c r="J261" s="746"/>
      <c r="K261" s="746"/>
      <c r="L261" s="746"/>
      <c r="M261" s="746"/>
      <c r="N261" s="746"/>
      <c r="O261" s="746"/>
      <c r="P261" s="746"/>
      <c r="Q261" s="746"/>
      <c r="R261" s="746"/>
      <c r="S261" s="746"/>
    </row>
    <row r="262" spans="1:19">
      <c r="A262" s="831"/>
      <c r="B262" s="746"/>
      <c r="C262" s="746"/>
      <c r="D262" s="746"/>
      <c r="E262" s="746"/>
      <c r="F262" s="746"/>
      <c r="G262" s="746"/>
      <c r="H262" s="746"/>
      <c r="I262" s="746"/>
      <c r="J262" s="746"/>
      <c r="K262" s="746"/>
      <c r="L262" s="746"/>
      <c r="M262" s="746"/>
      <c r="N262" s="746"/>
      <c r="O262" s="746"/>
      <c r="P262" s="746"/>
      <c r="Q262" s="746"/>
      <c r="R262" s="746"/>
      <c r="S262" s="746"/>
    </row>
    <row r="263" spans="1:19">
      <c r="A263" s="831"/>
      <c r="B263" s="746"/>
      <c r="C263" s="746"/>
      <c r="D263" s="746"/>
      <c r="E263" s="746"/>
      <c r="F263" s="746"/>
      <c r="G263" s="746"/>
      <c r="H263" s="746"/>
      <c r="I263" s="746"/>
      <c r="J263" s="746"/>
      <c r="K263" s="746"/>
      <c r="L263" s="746"/>
      <c r="M263" s="746"/>
      <c r="N263" s="746"/>
      <c r="O263" s="746"/>
      <c r="P263" s="746"/>
      <c r="Q263" s="746"/>
      <c r="R263" s="746"/>
      <c r="S263" s="746"/>
    </row>
    <row r="264" spans="1:19">
      <c r="A264" s="831"/>
      <c r="B264" s="746"/>
      <c r="C264" s="746"/>
      <c r="D264" s="746"/>
      <c r="E264" s="746"/>
      <c r="F264" s="746"/>
      <c r="G264" s="746"/>
      <c r="H264" s="746"/>
      <c r="I264" s="746"/>
      <c r="J264" s="746"/>
      <c r="K264" s="746"/>
      <c r="L264" s="746"/>
      <c r="M264" s="746"/>
      <c r="N264" s="746"/>
      <c r="O264" s="746"/>
      <c r="P264" s="746"/>
      <c r="Q264" s="746"/>
      <c r="R264" s="746"/>
      <c r="S264" s="746"/>
    </row>
    <row r="265" spans="1:19">
      <c r="A265" s="831"/>
      <c r="B265" s="746"/>
      <c r="C265" s="746"/>
      <c r="D265" s="746"/>
      <c r="E265" s="746"/>
      <c r="F265" s="746"/>
      <c r="G265" s="746"/>
      <c r="H265" s="746"/>
      <c r="I265" s="746"/>
      <c r="J265" s="746"/>
      <c r="K265" s="746"/>
      <c r="L265" s="746"/>
      <c r="M265" s="746"/>
      <c r="N265" s="746"/>
      <c r="O265" s="746"/>
      <c r="P265" s="746"/>
      <c r="Q265" s="746"/>
      <c r="R265" s="746"/>
      <c r="S265" s="746"/>
    </row>
    <row r="266" spans="1:19">
      <c r="A266" s="831"/>
      <c r="B266" s="746"/>
      <c r="C266" s="746"/>
      <c r="D266" s="746"/>
      <c r="E266" s="746"/>
      <c r="F266" s="746"/>
      <c r="G266" s="746"/>
      <c r="H266" s="746"/>
      <c r="I266" s="746"/>
      <c r="J266" s="746"/>
      <c r="K266" s="746"/>
      <c r="L266" s="746"/>
      <c r="M266" s="746"/>
      <c r="N266" s="746"/>
      <c r="O266" s="746"/>
      <c r="P266" s="746"/>
      <c r="Q266" s="746"/>
      <c r="R266" s="746"/>
      <c r="S266" s="746"/>
    </row>
    <row r="267" spans="1:19">
      <c r="A267" s="831"/>
      <c r="B267" s="746"/>
      <c r="C267" s="746"/>
      <c r="D267" s="746"/>
      <c r="E267" s="746"/>
      <c r="F267" s="746"/>
      <c r="G267" s="746"/>
      <c r="H267" s="746"/>
      <c r="I267" s="746"/>
      <c r="J267" s="746"/>
      <c r="K267" s="746"/>
      <c r="L267" s="746"/>
      <c r="M267" s="746"/>
      <c r="N267" s="746"/>
      <c r="O267" s="746"/>
      <c r="P267" s="746"/>
      <c r="Q267" s="746"/>
      <c r="R267" s="746"/>
      <c r="S267" s="746"/>
    </row>
    <row r="268" spans="1:19">
      <c r="A268" s="831"/>
      <c r="B268" s="746"/>
      <c r="C268" s="746"/>
      <c r="D268" s="746"/>
      <c r="E268" s="746"/>
      <c r="F268" s="746"/>
      <c r="G268" s="746"/>
      <c r="H268" s="746"/>
      <c r="I268" s="746"/>
      <c r="J268" s="746"/>
      <c r="K268" s="746"/>
      <c r="L268" s="746"/>
      <c r="M268" s="746"/>
      <c r="N268" s="746"/>
      <c r="O268" s="746"/>
      <c r="P268" s="746"/>
      <c r="Q268" s="746"/>
      <c r="R268" s="746"/>
      <c r="S268" s="746"/>
    </row>
    <row r="269" spans="1:19">
      <c r="A269" s="831"/>
      <c r="B269" s="746"/>
      <c r="C269" s="746"/>
      <c r="D269" s="746"/>
      <c r="E269" s="746"/>
      <c r="F269" s="746"/>
      <c r="G269" s="746"/>
      <c r="H269" s="746"/>
      <c r="I269" s="746"/>
      <c r="J269" s="746"/>
      <c r="K269" s="746"/>
      <c r="L269" s="746"/>
      <c r="M269" s="746"/>
      <c r="N269" s="746"/>
      <c r="O269" s="746"/>
      <c r="P269" s="746"/>
      <c r="Q269" s="746"/>
      <c r="R269" s="746"/>
      <c r="S269" s="746"/>
    </row>
    <row r="270" spans="1:19">
      <c r="A270" s="831"/>
      <c r="B270" s="746"/>
      <c r="C270" s="746"/>
      <c r="D270" s="746"/>
      <c r="E270" s="746"/>
      <c r="F270" s="746"/>
      <c r="G270" s="746"/>
      <c r="H270" s="746"/>
      <c r="I270" s="746"/>
      <c r="J270" s="746"/>
      <c r="K270" s="746"/>
      <c r="L270" s="746"/>
      <c r="M270" s="746"/>
      <c r="N270" s="746"/>
      <c r="O270" s="746"/>
      <c r="P270" s="746"/>
      <c r="Q270" s="746"/>
      <c r="R270" s="746"/>
      <c r="S270" s="746"/>
    </row>
    <row r="271" spans="1:19">
      <c r="A271" s="831"/>
      <c r="B271" s="746"/>
      <c r="C271" s="746"/>
      <c r="D271" s="746"/>
      <c r="E271" s="746"/>
      <c r="F271" s="746"/>
      <c r="G271" s="746"/>
      <c r="H271" s="746"/>
      <c r="I271" s="746"/>
      <c r="J271" s="746"/>
      <c r="K271" s="746"/>
      <c r="L271" s="746"/>
      <c r="M271" s="746"/>
      <c r="N271" s="746"/>
      <c r="O271" s="746"/>
      <c r="P271" s="746"/>
      <c r="Q271" s="746"/>
      <c r="R271" s="746"/>
      <c r="S271" s="746"/>
    </row>
    <row r="272" spans="1:19">
      <c r="A272" s="831"/>
      <c r="B272" s="746"/>
      <c r="C272" s="746"/>
      <c r="D272" s="746"/>
      <c r="E272" s="746"/>
      <c r="F272" s="746"/>
      <c r="G272" s="746"/>
      <c r="H272" s="746"/>
      <c r="I272" s="746"/>
      <c r="J272" s="746"/>
      <c r="K272" s="746"/>
      <c r="L272" s="746"/>
      <c r="M272" s="746"/>
      <c r="N272" s="746"/>
      <c r="O272" s="746"/>
      <c r="P272" s="746"/>
      <c r="Q272" s="746"/>
      <c r="R272" s="746"/>
      <c r="S272" s="746"/>
    </row>
    <row r="273" spans="1:19">
      <c r="A273" s="831"/>
      <c r="B273" s="746"/>
      <c r="C273" s="746"/>
      <c r="D273" s="746"/>
      <c r="E273" s="746"/>
      <c r="F273" s="746"/>
      <c r="G273" s="746"/>
      <c r="H273" s="746"/>
      <c r="I273" s="746"/>
      <c r="J273" s="746"/>
      <c r="K273" s="746"/>
      <c r="L273" s="746"/>
      <c r="M273" s="746"/>
      <c r="N273" s="746"/>
      <c r="O273" s="746"/>
      <c r="P273" s="746"/>
      <c r="Q273" s="746"/>
      <c r="R273" s="746"/>
      <c r="S273" s="746"/>
    </row>
    <row r="274" spans="1:19">
      <c r="A274" s="831"/>
      <c r="B274" s="746"/>
      <c r="C274" s="746"/>
      <c r="D274" s="746"/>
      <c r="E274" s="746"/>
      <c r="F274" s="746"/>
      <c r="G274" s="746"/>
      <c r="H274" s="746"/>
      <c r="I274" s="746"/>
      <c r="J274" s="746"/>
      <c r="K274" s="746"/>
      <c r="L274" s="746"/>
      <c r="M274" s="746"/>
      <c r="N274" s="746"/>
      <c r="O274" s="746"/>
      <c r="P274" s="746"/>
      <c r="Q274" s="746"/>
      <c r="R274" s="746"/>
      <c r="S274" s="746"/>
    </row>
    <row r="275" spans="1:19">
      <c r="A275" s="831"/>
      <c r="B275" s="746"/>
      <c r="C275" s="746"/>
      <c r="D275" s="746"/>
      <c r="E275" s="746"/>
      <c r="F275" s="746"/>
      <c r="G275" s="746"/>
      <c r="H275" s="746"/>
      <c r="I275" s="746"/>
      <c r="J275" s="746"/>
      <c r="K275" s="746"/>
      <c r="L275" s="746"/>
      <c r="M275" s="746"/>
      <c r="N275" s="746"/>
      <c r="O275" s="746"/>
      <c r="P275" s="746"/>
      <c r="Q275" s="746"/>
      <c r="R275" s="746"/>
      <c r="S275" s="746"/>
    </row>
    <row r="276" spans="1:19">
      <c r="A276" s="831"/>
      <c r="B276" s="746"/>
      <c r="C276" s="746"/>
      <c r="D276" s="746"/>
      <c r="E276" s="746"/>
      <c r="F276" s="746"/>
      <c r="G276" s="746"/>
      <c r="H276" s="746"/>
      <c r="I276" s="746"/>
      <c r="J276" s="746"/>
      <c r="K276" s="746"/>
      <c r="L276" s="746"/>
      <c r="M276" s="746"/>
      <c r="N276" s="746"/>
      <c r="O276" s="746"/>
      <c r="P276" s="746"/>
      <c r="Q276" s="746"/>
      <c r="R276" s="746"/>
      <c r="S276" s="746"/>
    </row>
    <row r="277" spans="1:19">
      <c r="A277" s="831"/>
      <c r="B277" s="746"/>
      <c r="C277" s="746"/>
      <c r="D277" s="746"/>
      <c r="E277" s="746"/>
      <c r="F277" s="746"/>
      <c r="G277" s="746"/>
      <c r="H277" s="746"/>
      <c r="I277" s="746"/>
      <c r="J277" s="746"/>
      <c r="K277" s="746"/>
      <c r="L277" s="746"/>
      <c r="M277" s="746"/>
      <c r="N277" s="746"/>
      <c r="O277" s="746"/>
      <c r="P277" s="746"/>
      <c r="Q277" s="746"/>
      <c r="R277" s="746"/>
      <c r="S277" s="746"/>
    </row>
    <row r="278" spans="1:19">
      <c r="A278" s="831"/>
      <c r="B278" s="746"/>
      <c r="C278" s="746"/>
      <c r="D278" s="746"/>
      <c r="E278" s="746"/>
      <c r="F278" s="746"/>
      <c r="G278" s="746"/>
      <c r="H278" s="746"/>
      <c r="I278" s="746"/>
      <c r="J278" s="746"/>
      <c r="K278" s="746"/>
      <c r="L278" s="746"/>
      <c r="M278" s="746"/>
      <c r="N278" s="746"/>
      <c r="O278" s="746"/>
      <c r="P278" s="746"/>
      <c r="Q278" s="746"/>
      <c r="R278" s="746"/>
      <c r="S278" s="746"/>
    </row>
    <row r="279" spans="1:19">
      <c r="A279" s="831"/>
      <c r="B279" s="746"/>
      <c r="C279" s="746"/>
      <c r="D279" s="746"/>
      <c r="E279" s="746"/>
      <c r="F279" s="746"/>
      <c r="G279" s="746"/>
      <c r="H279" s="746"/>
      <c r="I279" s="746"/>
      <c r="J279" s="746"/>
      <c r="K279" s="746"/>
      <c r="L279" s="746"/>
      <c r="M279" s="746"/>
      <c r="N279" s="746"/>
      <c r="O279" s="746"/>
      <c r="P279" s="746"/>
      <c r="Q279" s="746"/>
      <c r="R279" s="746"/>
      <c r="S279" s="746"/>
    </row>
    <row r="280" spans="1:19">
      <c r="A280" s="831"/>
      <c r="B280" s="746"/>
      <c r="C280" s="746"/>
      <c r="D280" s="746"/>
      <c r="E280" s="746"/>
      <c r="F280" s="746"/>
      <c r="G280" s="746"/>
      <c r="H280" s="746"/>
      <c r="I280" s="746"/>
      <c r="J280" s="746"/>
      <c r="K280" s="746"/>
      <c r="L280" s="746"/>
      <c r="M280" s="746"/>
      <c r="N280" s="746"/>
      <c r="O280" s="746"/>
      <c r="P280" s="746"/>
      <c r="Q280" s="746"/>
      <c r="R280" s="746"/>
      <c r="S280" s="746"/>
    </row>
    <row r="281" spans="1:19">
      <c r="A281" s="831"/>
      <c r="B281" s="746"/>
      <c r="C281" s="746"/>
      <c r="D281" s="746"/>
      <c r="E281" s="746"/>
      <c r="F281" s="746"/>
      <c r="G281" s="746"/>
      <c r="H281" s="746"/>
      <c r="I281" s="746"/>
      <c r="J281" s="746"/>
      <c r="K281" s="746"/>
      <c r="L281" s="746"/>
      <c r="M281" s="746"/>
      <c r="N281" s="746"/>
      <c r="O281" s="746"/>
      <c r="P281" s="746"/>
      <c r="Q281" s="746"/>
      <c r="R281" s="746"/>
      <c r="S281" s="746"/>
    </row>
    <row r="282" spans="1:19">
      <c r="A282" s="831"/>
      <c r="B282" s="746"/>
      <c r="C282" s="746"/>
      <c r="D282" s="746"/>
      <c r="E282" s="746"/>
      <c r="F282" s="746"/>
      <c r="G282" s="746"/>
      <c r="H282" s="746"/>
      <c r="I282" s="746"/>
      <c r="J282" s="746"/>
      <c r="K282" s="746"/>
      <c r="L282" s="746"/>
      <c r="M282" s="746"/>
      <c r="N282" s="746"/>
      <c r="O282" s="746"/>
      <c r="P282" s="746"/>
      <c r="Q282" s="746"/>
      <c r="R282" s="746"/>
      <c r="S282" s="746"/>
    </row>
    <row r="283" spans="1:19">
      <c r="A283" s="831"/>
      <c r="B283" s="746"/>
      <c r="C283" s="746"/>
      <c r="D283" s="746"/>
      <c r="E283" s="746"/>
      <c r="F283" s="746"/>
      <c r="G283" s="746"/>
      <c r="H283" s="746"/>
      <c r="I283" s="746"/>
      <c r="J283" s="746"/>
      <c r="K283" s="746"/>
      <c r="L283" s="746"/>
      <c r="M283" s="746"/>
      <c r="N283" s="746"/>
      <c r="O283" s="746"/>
      <c r="P283" s="746"/>
      <c r="Q283" s="746"/>
      <c r="R283" s="746"/>
      <c r="S283" s="746"/>
    </row>
    <row r="284" spans="1:19">
      <c r="A284" s="831"/>
      <c r="B284" s="746"/>
      <c r="C284" s="746"/>
      <c r="D284" s="746"/>
      <c r="E284" s="746"/>
      <c r="F284" s="746"/>
      <c r="G284" s="746"/>
      <c r="H284" s="746"/>
      <c r="I284" s="746"/>
      <c r="J284" s="746"/>
      <c r="K284" s="746"/>
      <c r="L284" s="746"/>
      <c r="M284" s="746"/>
      <c r="N284" s="746"/>
      <c r="O284" s="746"/>
      <c r="P284" s="746"/>
      <c r="Q284" s="746"/>
      <c r="R284" s="746"/>
      <c r="S284" s="746"/>
    </row>
    <row r="285" spans="1:19">
      <c r="A285" s="831"/>
      <c r="B285" s="746"/>
      <c r="C285" s="746"/>
      <c r="D285" s="746"/>
      <c r="E285" s="746"/>
      <c r="F285" s="746"/>
      <c r="G285" s="746"/>
      <c r="H285" s="746"/>
      <c r="I285" s="746"/>
      <c r="J285" s="746"/>
      <c r="K285" s="746"/>
      <c r="L285" s="746"/>
      <c r="M285" s="746"/>
      <c r="N285" s="746"/>
      <c r="O285" s="746"/>
      <c r="P285" s="746"/>
      <c r="Q285" s="746"/>
      <c r="R285" s="746"/>
      <c r="S285" s="746"/>
    </row>
    <row r="286" spans="1:19">
      <c r="A286" s="831"/>
      <c r="B286" s="746"/>
      <c r="C286" s="746"/>
      <c r="D286" s="746"/>
      <c r="E286" s="746"/>
      <c r="F286" s="746"/>
      <c r="G286" s="746"/>
      <c r="H286" s="746"/>
      <c r="I286" s="746"/>
      <c r="J286" s="746"/>
      <c r="K286" s="746"/>
      <c r="L286" s="746"/>
      <c r="M286" s="746"/>
      <c r="N286" s="746"/>
      <c r="O286" s="746"/>
      <c r="P286" s="746"/>
      <c r="Q286" s="746"/>
      <c r="R286" s="746"/>
      <c r="S286" s="746"/>
    </row>
    <row r="287" spans="1:19">
      <c r="A287" s="831"/>
      <c r="B287" s="746"/>
      <c r="C287" s="746"/>
      <c r="D287" s="746"/>
      <c r="E287" s="746"/>
      <c r="F287" s="746"/>
      <c r="G287" s="746"/>
      <c r="H287" s="746"/>
      <c r="I287" s="746"/>
      <c r="J287" s="746"/>
      <c r="K287" s="746"/>
      <c r="L287" s="746"/>
      <c r="M287" s="746"/>
      <c r="N287" s="746"/>
      <c r="O287" s="746"/>
      <c r="P287" s="746"/>
      <c r="Q287" s="746"/>
      <c r="R287" s="746"/>
      <c r="S287" s="746"/>
    </row>
    <row r="288" spans="1:19">
      <c r="A288" s="831"/>
      <c r="B288" s="746"/>
      <c r="C288" s="746"/>
      <c r="D288" s="746"/>
      <c r="E288" s="746"/>
      <c r="F288" s="746"/>
      <c r="G288" s="746"/>
      <c r="H288" s="746"/>
      <c r="I288" s="746"/>
      <c r="J288" s="746"/>
      <c r="K288" s="746"/>
      <c r="L288" s="746"/>
      <c r="M288" s="746"/>
      <c r="N288" s="746"/>
      <c r="O288" s="746"/>
      <c r="P288" s="746"/>
      <c r="Q288" s="746"/>
      <c r="R288" s="746"/>
      <c r="S288" s="746"/>
    </row>
    <row r="289" spans="1:19">
      <c r="A289" s="831"/>
      <c r="B289" s="746"/>
      <c r="C289" s="746"/>
      <c r="D289" s="746"/>
      <c r="E289" s="746"/>
      <c r="F289" s="746"/>
      <c r="G289" s="746"/>
      <c r="H289" s="746"/>
      <c r="I289" s="746"/>
      <c r="J289" s="746"/>
      <c r="K289" s="746"/>
      <c r="L289" s="746"/>
      <c r="M289" s="746"/>
      <c r="N289" s="746"/>
      <c r="O289" s="746"/>
      <c r="P289" s="746"/>
      <c r="Q289" s="746"/>
      <c r="R289" s="746"/>
      <c r="S289" s="746"/>
    </row>
    <row r="290" spans="1:19">
      <c r="A290" s="831"/>
      <c r="B290" s="746"/>
      <c r="C290" s="746"/>
      <c r="D290" s="746"/>
      <c r="E290" s="746"/>
      <c r="F290" s="746"/>
      <c r="G290" s="746"/>
      <c r="H290" s="746"/>
      <c r="I290" s="746"/>
      <c r="J290" s="746"/>
      <c r="K290" s="746"/>
      <c r="L290" s="746"/>
      <c r="M290" s="746"/>
      <c r="N290" s="746"/>
      <c r="O290" s="746"/>
      <c r="P290" s="746"/>
      <c r="Q290" s="746"/>
      <c r="R290" s="746"/>
      <c r="S290" s="746"/>
    </row>
    <row r="291" spans="1:19">
      <c r="A291" s="831"/>
      <c r="B291" s="746"/>
      <c r="C291" s="746"/>
      <c r="D291" s="746"/>
      <c r="E291" s="746"/>
      <c r="F291" s="746"/>
      <c r="G291" s="746"/>
      <c r="H291" s="746"/>
      <c r="I291" s="746"/>
      <c r="J291" s="746"/>
      <c r="K291" s="746"/>
      <c r="L291" s="746"/>
      <c r="M291" s="746"/>
      <c r="N291" s="746"/>
      <c r="O291" s="746"/>
      <c r="P291" s="746"/>
      <c r="Q291" s="746"/>
      <c r="R291" s="746"/>
      <c r="S291" s="746"/>
    </row>
    <row r="292" spans="1:19">
      <c r="A292" s="831"/>
      <c r="B292" s="746"/>
      <c r="C292" s="746"/>
      <c r="D292" s="746"/>
      <c r="E292" s="746"/>
      <c r="F292" s="746"/>
      <c r="G292" s="746"/>
      <c r="H292" s="746"/>
      <c r="I292" s="746"/>
      <c r="J292" s="746"/>
      <c r="K292" s="746"/>
      <c r="L292" s="746"/>
      <c r="M292" s="746"/>
      <c r="N292" s="746"/>
      <c r="O292" s="746"/>
      <c r="P292" s="746"/>
      <c r="Q292" s="746"/>
      <c r="R292" s="746"/>
      <c r="S292" s="746"/>
    </row>
    <row r="293" spans="1:19">
      <c r="A293" s="831"/>
      <c r="B293" s="746"/>
      <c r="C293" s="746"/>
      <c r="D293" s="746"/>
      <c r="E293" s="746"/>
      <c r="F293" s="746"/>
      <c r="G293" s="746"/>
      <c r="H293" s="746"/>
      <c r="I293" s="746"/>
      <c r="J293" s="746"/>
      <c r="K293" s="746"/>
      <c r="L293" s="746"/>
      <c r="M293" s="746"/>
      <c r="N293" s="746"/>
      <c r="O293" s="746"/>
      <c r="P293" s="746"/>
      <c r="Q293" s="746"/>
      <c r="R293" s="746"/>
      <c r="S293" s="746"/>
    </row>
    <row r="294" spans="1:19">
      <c r="A294" s="831"/>
      <c r="B294" s="746"/>
      <c r="C294" s="746"/>
      <c r="D294" s="746"/>
      <c r="E294" s="746"/>
      <c r="F294" s="746"/>
      <c r="G294" s="746"/>
      <c r="H294" s="746"/>
      <c r="I294" s="746"/>
      <c r="J294" s="746"/>
      <c r="K294" s="746"/>
      <c r="L294" s="746"/>
      <c r="M294" s="746"/>
      <c r="N294" s="746"/>
      <c r="O294" s="746"/>
      <c r="P294" s="746"/>
      <c r="Q294" s="746"/>
      <c r="R294" s="746"/>
      <c r="S294" s="746"/>
    </row>
    <row r="295" spans="1:19">
      <c r="A295" s="831"/>
      <c r="B295" s="746"/>
      <c r="C295" s="746"/>
      <c r="D295" s="746"/>
      <c r="E295" s="746"/>
      <c r="F295" s="746"/>
      <c r="G295" s="746"/>
      <c r="H295" s="746"/>
      <c r="I295" s="746"/>
      <c r="J295" s="746"/>
      <c r="K295" s="746"/>
      <c r="L295" s="746"/>
      <c r="M295" s="746"/>
      <c r="N295" s="746"/>
      <c r="O295" s="746"/>
      <c r="P295" s="746"/>
      <c r="Q295" s="746"/>
      <c r="R295" s="746"/>
      <c r="S295" s="746"/>
    </row>
    <row r="296" spans="1:19">
      <c r="A296" s="831"/>
      <c r="B296" s="746"/>
      <c r="C296" s="746"/>
      <c r="D296" s="746"/>
      <c r="E296" s="746"/>
      <c r="F296" s="746"/>
      <c r="G296" s="746"/>
      <c r="H296" s="746"/>
      <c r="I296" s="746"/>
      <c r="J296" s="746"/>
      <c r="K296" s="746"/>
      <c r="L296" s="746"/>
      <c r="M296" s="746"/>
      <c r="N296" s="746"/>
      <c r="O296" s="746"/>
      <c r="P296" s="746"/>
      <c r="Q296" s="746"/>
      <c r="R296" s="746"/>
      <c r="S296" s="746"/>
    </row>
    <row r="297" spans="1:19">
      <c r="A297" s="831"/>
      <c r="B297" s="746"/>
      <c r="C297" s="746"/>
      <c r="D297" s="746"/>
      <c r="E297" s="746"/>
      <c r="F297" s="746"/>
      <c r="G297" s="746"/>
      <c r="H297" s="746"/>
      <c r="I297" s="746"/>
      <c r="J297" s="746"/>
      <c r="K297" s="746"/>
      <c r="L297" s="746"/>
      <c r="M297" s="746"/>
      <c r="N297" s="746"/>
      <c r="O297" s="746"/>
      <c r="P297" s="746"/>
      <c r="Q297" s="746"/>
      <c r="R297" s="746"/>
      <c r="S297" s="746"/>
    </row>
    <row r="298" spans="1:19">
      <c r="A298" s="831"/>
      <c r="B298" s="746"/>
      <c r="C298" s="746"/>
      <c r="D298" s="746"/>
      <c r="E298" s="746"/>
      <c r="F298" s="746"/>
      <c r="G298" s="746"/>
      <c r="H298" s="746"/>
      <c r="I298" s="746"/>
      <c r="J298" s="746"/>
      <c r="K298" s="746"/>
      <c r="L298" s="746"/>
      <c r="M298" s="746"/>
      <c r="N298" s="746"/>
      <c r="O298" s="746"/>
      <c r="P298" s="746"/>
      <c r="Q298" s="746"/>
      <c r="R298" s="746"/>
      <c r="S298" s="746"/>
    </row>
    <row r="299" spans="1:19">
      <c r="A299" s="831"/>
      <c r="B299" s="746"/>
      <c r="C299" s="746"/>
      <c r="D299" s="746"/>
      <c r="E299" s="746"/>
      <c r="F299" s="746"/>
      <c r="G299" s="746"/>
      <c r="H299" s="746"/>
      <c r="I299" s="746"/>
      <c r="J299" s="746"/>
      <c r="K299" s="746"/>
      <c r="L299" s="746"/>
      <c r="M299" s="746"/>
      <c r="N299" s="746"/>
      <c r="O299" s="746"/>
      <c r="P299" s="746"/>
      <c r="Q299" s="746"/>
      <c r="R299" s="746"/>
      <c r="S299" s="746"/>
    </row>
    <row r="300" spans="1:19">
      <c r="A300" s="831"/>
      <c r="B300" s="746"/>
      <c r="C300" s="746"/>
      <c r="D300" s="746"/>
      <c r="E300" s="746"/>
      <c r="F300" s="746"/>
      <c r="G300" s="746"/>
      <c r="H300" s="746"/>
      <c r="I300" s="746"/>
      <c r="J300" s="746"/>
      <c r="K300" s="746"/>
      <c r="L300" s="746"/>
      <c r="M300" s="746"/>
      <c r="N300" s="746"/>
      <c r="O300" s="746"/>
      <c r="P300" s="746"/>
      <c r="Q300" s="746"/>
      <c r="R300" s="746"/>
      <c r="S300" s="746"/>
    </row>
    <row r="301" spans="1:19">
      <c r="A301" s="831"/>
      <c r="B301" s="746"/>
      <c r="C301" s="746"/>
      <c r="D301" s="746"/>
      <c r="E301" s="746"/>
      <c r="F301" s="746"/>
      <c r="G301" s="746"/>
      <c r="H301" s="746"/>
      <c r="I301" s="746"/>
      <c r="J301" s="746"/>
      <c r="K301" s="746"/>
      <c r="L301" s="746"/>
      <c r="M301" s="746"/>
      <c r="N301" s="746"/>
      <c r="O301" s="746"/>
      <c r="P301" s="746"/>
      <c r="Q301" s="746"/>
      <c r="R301" s="746"/>
      <c r="S301" s="746"/>
    </row>
    <row r="302" spans="1:19">
      <c r="A302" s="831"/>
      <c r="B302" s="746"/>
      <c r="C302" s="746"/>
      <c r="D302" s="746"/>
      <c r="E302" s="746"/>
      <c r="F302" s="746"/>
      <c r="G302" s="746"/>
      <c r="H302" s="746"/>
      <c r="I302" s="746"/>
      <c r="J302" s="746"/>
      <c r="K302" s="746"/>
      <c r="L302" s="746"/>
      <c r="M302" s="746"/>
      <c r="N302" s="746"/>
      <c r="O302" s="746"/>
      <c r="P302" s="746"/>
      <c r="Q302" s="746"/>
      <c r="R302" s="746"/>
      <c r="S302" s="746"/>
    </row>
    <row r="303" spans="1:19">
      <c r="A303" s="831"/>
      <c r="B303" s="746"/>
      <c r="C303" s="746"/>
      <c r="D303" s="746"/>
      <c r="E303" s="746"/>
      <c r="F303" s="746"/>
      <c r="G303" s="746"/>
      <c r="H303" s="746"/>
      <c r="I303" s="746"/>
      <c r="J303" s="746"/>
      <c r="K303" s="746"/>
      <c r="L303" s="746"/>
      <c r="M303" s="746"/>
      <c r="N303" s="746"/>
      <c r="O303" s="746"/>
      <c r="P303" s="746"/>
      <c r="Q303" s="746"/>
      <c r="R303" s="746"/>
      <c r="S303" s="746"/>
    </row>
    <row r="304" spans="1:19">
      <c r="A304" s="831"/>
      <c r="B304" s="746"/>
      <c r="C304" s="746"/>
      <c r="D304" s="746"/>
      <c r="E304" s="746"/>
      <c r="F304" s="746"/>
      <c r="G304" s="746"/>
      <c r="H304" s="746"/>
      <c r="I304" s="746"/>
      <c r="J304" s="746"/>
      <c r="K304" s="746"/>
      <c r="L304" s="746"/>
      <c r="M304" s="746"/>
      <c r="N304" s="746"/>
      <c r="O304" s="746"/>
      <c r="P304" s="746"/>
      <c r="Q304" s="746"/>
      <c r="R304" s="746"/>
      <c r="S304" s="746"/>
    </row>
    <row r="305" spans="1:19">
      <c r="A305" s="831"/>
      <c r="B305" s="746"/>
      <c r="C305" s="746"/>
      <c r="D305" s="746"/>
      <c r="E305" s="746"/>
      <c r="F305" s="746"/>
      <c r="G305" s="746"/>
      <c r="H305" s="746"/>
      <c r="I305" s="746"/>
      <c r="J305" s="746"/>
      <c r="K305" s="746"/>
      <c r="L305" s="746"/>
      <c r="M305" s="746"/>
      <c r="N305" s="746"/>
      <c r="O305" s="746"/>
      <c r="P305" s="746"/>
      <c r="Q305" s="746"/>
      <c r="R305" s="746"/>
      <c r="S305" s="746"/>
    </row>
    <row r="306" spans="1:19">
      <c r="A306" s="831"/>
      <c r="B306" s="746"/>
      <c r="C306" s="746"/>
      <c r="D306" s="746"/>
      <c r="E306" s="746"/>
      <c r="F306" s="746"/>
      <c r="G306" s="746"/>
      <c r="H306" s="746"/>
      <c r="I306" s="746"/>
      <c r="J306" s="746"/>
      <c r="K306" s="746"/>
      <c r="L306" s="746"/>
      <c r="M306" s="746"/>
      <c r="N306" s="746"/>
      <c r="O306" s="746"/>
      <c r="P306" s="746"/>
      <c r="Q306" s="746"/>
      <c r="R306" s="746"/>
      <c r="S306" s="746"/>
    </row>
    <row r="307" spans="1:19">
      <c r="A307" s="831"/>
      <c r="B307" s="746"/>
      <c r="C307" s="746"/>
      <c r="D307" s="746"/>
      <c r="E307" s="746"/>
      <c r="F307" s="746"/>
      <c r="G307" s="746"/>
      <c r="H307" s="746"/>
      <c r="I307" s="746"/>
      <c r="J307" s="746"/>
      <c r="K307" s="746"/>
      <c r="L307" s="746"/>
      <c r="M307" s="746"/>
      <c r="N307" s="746"/>
      <c r="O307" s="746"/>
      <c r="P307" s="746"/>
      <c r="Q307" s="746"/>
      <c r="R307" s="746"/>
      <c r="S307" s="746"/>
    </row>
    <row r="308" spans="1:19">
      <c r="A308" s="831"/>
      <c r="B308" s="746"/>
      <c r="C308" s="746"/>
      <c r="D308" s="746"/>
      <c r="E308" s="746"/>
      <c r="F308" s="746"/>
      <c r="G308" s="746"/>
      <c r="H308" s="746"/>
      <c r="I308" s="746"/>
      <c r="J308" s="746"/>
      <c r="K308" s="746"/>
      <c r="L308" s="746"/>
      <c r="M308" s="746"/>
      <c r="N308" s="746"/>
      <c r="O308" s="746"/>
      <c r="P308" s="746"/>
      <c r="Q308" s="746"/>
      <c r="R308" s="746"/>
      <c r="S308" s="746"/>
    </row>
    <row r="309" spans="1:19">
      <c r="A309" s="831"/>
      <c r="B309" s="746"/>
      <c r="C309" s="746"/>
      <c r="D309" s="746"/>
      <c r="E309" s="746"/>
      <c r="F309" s="746"/>
      <c r="G309" s="746"/>
      <c r="H309" s="746"/>
      <c r="I309" s="746"/>
      <c r="J309" s="746"/>
      <c r="K309" s="746"/>
      <c r="L309" s="746"/>
      <c r="M309" s="746"/>
      <c r="N309" s="746"/>
      <c r="O309" s="746"/>
      <c r="P309" s="746"/>
      <c r="Q309" s="746"/>
      <c r="R309" s="746"/>
      <c r="S309" s="746"/>
    </row>
    <row r="310" spans="1:19">
      <c r="A310" s="831"/>
      <c r="B310" s="746"/>
      <c r="C310" s="746"/>
      <c r="D310" s="746"/>
      <c r="E310" s="746"/>
      <c r="F310" s="746"/>
      <c r="G310" s="746"/>
      <c r="H310" s="746"/>
      <c r="I310" s="746"/>
      <c r="J310" s="746"/>
      <c r="K310" s="746"/>
      <c r="L310" s="746"/>
      <c r="M310" s="746"/>
      <c r="N310" s="746"/>
      <c r="O310" s="746"/>
      <c r="P310" s="746"/>
      <c r="Q310" s="746"/>
      <c r="R310" s="746"/>
      <c r="S310" s="746"/>
    </row>
    <row r="311" spans="1:19">
      <c r="A311" s="831"/>
      <c r="B311" s="746"/>
      <c r="C311" s="746"/>
      <c r="D311" s="746"/>
      <c r="E311" s="746"/>
      <c r="F311" s="746"/>
      <c r="G311" s="746"/>
      <c r="H311" s="746"/>
      <c r="I311" s="746"/>
      <c r="J311" s="746"/>
      <c r="K311" s="746"/>
      <c r="L311" s="746"/>
      <c r="M311" s="746"/>
      <c r="N311" s="746"/>
      <c r="O311" s="746"/>
      <c r="P311" s="746"/>
      <c r="Q311" s="746"/>
      <c r="R311" s="746"/>
      <c r="S311" s="746"/>
    </row>
    <row r="312" spans="1:19">
      <c r="A312" s="855" t="s">
        <v>850</v>
      </c>
      <c r="B312" s="746"/>
      <c r="C312" s="746"/>
      <c r="D312" s="746"/>
      <c r="E312" s="746"/>
      <c r="F312" s="746"/>
      <c r="G312" s="746"/>
      <c r="H312" s="746"/>
      <c r="I312" s="746"/>
      <c r="J312" s="746"/>
      <c r="K312" s="746"/>
      <c r="L312" s="746"/>
      <c r="M312" s="746"/>
      <c r="N312" s="746"/>
      <c r="O312" s="746"/>
      <c r="P312" s="746"/>
      <c r="Q312" s="746"/>
      <c r="R312" s="746"/>
      <c r="S312" s="746"/>
    </row>
    <row r="313" spans="1:19">
      <c r="A313" s="855" t="s">
        <v>868</v>
      </c>
      <c r="B313" s="746"/>
      <c r="C313" s="746"/>
      <c r="D313" s="746"/>
      <c r="E313" s="746"/>
      <c r="F313" s="746"/>
      <c r="G313" s="746"/>
      <c r="H313" s="746"/>
      <c r="I313" s="746"/>
      <c r="J313" s="746"/>
      <c r="K313" s="746"/>
      <c r="L313" s="746"/>
      <c r="M313" s="746"/>
      <c r="N313" s="746"/>
      <c r="O313" s="746"/>
      <c r="P313" s="746"/>
      <c r="Q313" s="746"/>
      <c r="R313" s="746"/>
      <c r="S313" s="746"/>
    </row>
    <row r="314" spans="1:19">
      <c r="A314" s="855" t="s">
        <v>845</v>
      </c>
      <c r="B314" s="746"/>
      <c r="C314" s="746"/>
      <c r="D314" s="746"/>
      <c r="E314" s="746"/>
      <c r="F314" s="746"/>
      <c r="G314" s="746"/>
      <c r="H314" s="746"/>
      <c r="I314" s="746"/>
      <c r="J314" s="746"/>
      <c r="K314" s="746"/>
      <c r="L314" s="746"/>
      <c r="M314" s="746"/>
      <c r="N314" s="746"/>
      <c r="O314" s="746"/>
      <c r="P314" s="746"/>
      <c r="Q314" s="746"/>
      <c r="R314" s="746"/>
      <c r="S314" s="746"/>
    </row>
    <row r="315" spans="1:19">
      <c r="A315" s="855" t="s">
        <v>872</v>
      </c>
      <c r="B315" s="746"/>
      <c r="C315" s="746"/>
      <c r="D315" s="746"/>
      <c r="E315" s="746"/>
      <c r="F315" s="746"/>
      <c r="G315" s="746"/>
      <c r="H315" s="746"/>
      <c r="I315" s="746"/>
      <c r="J315" s="746"/>
      <c r="K315" s="746"/>
      <c r="L315" s="746"/>
      <c r="M315" s="746"/>
      <c r="N315" s="746"/>
      <c r="O315" s="746"/>
      <c r="P315" s="746"/>
      <c r="Q315" s="746"/>
      <c r="R315" s="746"/>
      <c r="S315" s="746"/>
    </row>
    <row r="316" spans="1:19">
      <c r="A316" s="855" t="s">
        <v>856</v>
      </c>
      <c r="B316" s="746"/>
      <c r="C316" s="746"/>
      <c r="D316" s="746"/>
      <c r="E316" s="746"/>
      <c r="F316" s="746"/>
      <c r="G316" s="746"/>
      <c r="H316" s="746"/>
      <c r="I316" s="746"/>
      <c r="J316" s="746"/>
      <c r="K316" s="746"/>
      <c r="L316" s="746"/>
      <c r="M316" s="746"/>
      <c r="N316" s="746"/>
      <c r="O316" s="746"/>
      <c r="P316" s="746"/>
      <c r="Q316" s="746"/>
      <c r="R316" s="746"/>
      <c r="S316" s="746"/>
    </row>
    <row r="317" spans="1:19">
      <c r="A317" s="855" t="s">
        <v>51</v>
      </c>
      <c r="B317" s="746"/>
      <c r="C317" s="746"/>
      <c r="D317" s="746"/>
      <c r="E317" s="746"/>
      <c r="F317" s="746"/>
      <c r="G317" s="746"/>
      <c r="H317" s="746"/>
      <c r="I317" s="746"/>
      <c r="J317" s="746"/>
      <c r="K317" s="746"/>
      <c r="L317" s="746"/>
      <c r="M317" s="746"/>
      <c r="N317" s="746"/>
      <c r="O317" s="746"/>
      <c r="P317" s="746"/>
      <c r="Q317" s="746"/>
      <c r="R317" s="746"/>
      <c r="S317" s="746"/>
    </row>
    <row r="318" spans="1:19">
      <c r="A318" s="855" t="s">
        <v>841</v>
      </c>
      <c r="B318" s="746"/>
      <c r="C318" s="746"/>
      <c r="D318" s="746"/>
      <c r="E318" s="746"/>
      <c r="F318" s="746"/>
      <c r="G318" s="746"/>
      <c r="H318" s="746"/>
      <c r="I318" s="746"/>
      <c r="J318" s="746"/>
      <c r="K318" s="746"/>
      <c r="L318" s="746"/>
      <c r="M318" s="746"/>
      <c r="N318" s="746"/>
      <c r="O318" s="746"/>
      <c r="P318" s="746"/>
      <c r="Q318" s="746"/>
      <c r="R318" s="746"/>
      <c r="S318" s="746"/>
    </row>
    <row r="319" spans="1:19">
      <c r="A319" s="855" t="s">
        <v>843</v>
      </c>
      <c r="B319" s="746"/>
      <c r="C319" s="746"/>
      <c r="D319" s="746"/>
      <c r="E319" s="746"/>
      <c r="F319" s="746"/>
      <c r="G319" s="746"/>
      <c r="H319" s="746"/>
      <c r="I319" s="746"/>
      <c r="J319" s="746"/>
      <c r="K319" s="746"/>
      <c r="L319" s="746"/>
      <c r="M319" s="746"/>
      <c r="N319" s="746"/>
      <c r="O319" s="746"/>
      <c r="P319" s="746"/>
      <c r="Q319" s="746"/>
      <c r="R319" s="746"/>
      <c r="S319" s="746"/>
    </row>
    <row r="320" spans="1:19">
      <c r="A320" s="855" t="s">
        <v>942</v>
      </c>
      <c r="B320" s="746"/>
      <c r="C320" s="746"/>
      <c r="D320" s="746"/>
      <c r="E320" s="746"/>
      <c r="F320" s="746"/>
      <c r="G320" s="746"/>
      <c r="H320" s="746"/>
      <c r="I320" s="746"/>
      <c r="J320" s="746"/>
      <c r="K320" s="746"/>
      <c r="L320" s="746"/>
      <c r="M320" s="746"/>
      <c r="N320" s="746"/>
      <c r="O320" s="746"/>
      <c r="P320" s="746"/>
      <c r="Q320" s="746"/>
      <c r="R320" s="746"/>
      <c r="S320" s="746"/>
    </row>
    <row r="321" spans="1:19">
      <c r="A321" s="855" t="s">
        <v>881</v>
      </c>
      <c r="B321" s="746"/>
      <c r="C321" s="746"/>
      <c r="D321" s="746"/>
      <c r="E321" s="746"/>
      <c r="F321" s="746"/>
      <c r="G321" s="746"/>
      <c r="H321" s="746"/>
      <c r="I321" s="746"/>
      <c r="J321" s="746"/>
      <c r="K321" s="746"/>
      <c r="L321" s="746"/>
      <c r="M321" s="746"/>
      <c r="N321" s="746"/>
      <c r="O321" s="746"/>
      <c r="P321" s="746"/>
      <c r="Q321" s="746"/>
      <c r="R321" s="746"/>
      <c r="S321" s="746"/>
    </row>
    <row r="322" spans="1:19">
      <c r="A322" s="831"/>
      <c r="B322" s="746"/>
      <c r="C322" s="746"/>
      <c r="D322" s="746"/>
      <c r="E322" s="746"/>
      <c r="F322" s="746"/>
      <c r="G322" s="746"/>
      <c r="H322" s="746"/>
      <c r="I322" s="746"/>
      <c r="J322" s="746"/>
      <c r="K322" s="746"/>
      <c r="L322" s="746"/>
      <c r="M322" s="746"/>
      <c r="N322" s="746"/>
      <c r="O322" s="746"/>
      <c r="P322" s="746"/>
      <c r="Q322" s="746"/>
      <c r="R322" s="746"/>
      <c r="S322" s="746"/>
    </row>
    <row r="323" spans="1:19">
      <c r="A323" s="831"/>
      <c r="B323" s="746"/>
      <c r="C323" s="746"/>
      <c r="D323" s="746"/>
      <c r="E323" s="746"/>
      <c r="F323" s="746"/>
      <c r="G323" s="746"/>
      <c r="H323" s="746"/>
      <c r="I323" s="746"/>
      <c r="J323" s="746"/>
      <c r="K323" s="746"/>
      <c r="L323" s="746"/>
      <c r="M323" s="746"/>
      <c r="N323" s="746"/>
      <c r="O323" s="746"/>
      <c r="P323" s="746"/>
      <c r="Q323" s="746"/>
      <c r="R323" s="746"/>
      <c r="S323" s="746"/>
    </row>
    <row r="324" spans="1:19">
      <c r="A324" s="831"/>
      <c r="B324" s="746"/>
      <c r="C324" s="746"/>
      <c r="D324" s="746"/>
      <c r="E324" s="746"/>
      <c r="F324" s="746"/>
      <c r="G324" s="746"/>
      <c r="H324" s="746"/>
      <c r="I324" s="746"/>
      <c r="J324" s="746"/>
      <c r="K324" s="746"/>
      <c r="L324" s="746"/>
      <c r="M324" s="746"/>
      <c r="N324" s="746"/>
      <c r="O324" s="746"/>
      <c r="P324" s="746"/>
      <c r="Q324" s="746"/>
      <c r="R324" s="746"/>
      <c r="S324" s="746"/>
    </row>
    <row r="325" spans="1:19">
      <c r="A325" s="627"/>
    </row>
    <row r="326" spans="1:19">
      <c r="A326" s="627"/>
    </row>
    <row r="327" spans="1:19" outlineLevel="1">
      <c r="A327" s="628" t="s">
        <v>850</v>
      </c>
    </row>
    <row r="328" spans="1:19" outlineLevel="1">
      <c r="A328" s="628" t="s">
        <v>868</v>
      </c>
    </row>
    <row r="329" spans="1:19" outlineLevel="1">
      <c r="A329" s="628" t="s">
        <v>845</v>
      </c>
    </row>
    <row r="330" spans="1:19" outlineLevel="1">
      <c r="A330" s="628" t="s">
        <v>872</v>
      </c>
    </row>
    <row r="331" spans="1:19" outlineLevel="1">
      <c r="A331" s="628" t="s">
        <v>856</v>
      </c>
    </row>
    <row r="332" spans="1:19" outlineLevel="1">
      <c r="A332" s="628" t="s">
        <v>51</v>
      </c>
    </row>
    <row r="333" spans="1:19" outlineLevel="1">
      <c r="A333" s="628" t="s">
        <v>841</v>
      </c>
    </row>
    <row r="334" spans="1:19" outlineLevel="1">
      <c r="A334" s="628" t="s">
        <v>843</v>
      </c>
    </row>
    <row r="335" spans="1:19" outlineLevel="1">
      <c r="A335" s="628" t="s">
        <v>942</v>
      </c>
    </row>
    <row r="336" spans="1:19" outlineLevel="1">
      <c r="A336" s="628" t="s">
        <v>881</v>
      </c>
    </row>
    <row r="337" spans="1:1">
      <c r="A337" s="627"/>
    </row>
    <row r="338" spans="1:1">
      <c r="A338" s="627"/>
    </row>
    <row r="339" spans="1:1">
      <c r="A339" s="627"/>
    </row>
  </sheetData>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59999389629810485"/>
  </sheetPr>
  <dimension ref="A1:V134"/>
  <sheetViews>
    <sheetView showGridLines="0" topLeftCell="B58" zoomScale="85" zoomScaleNormal="85" workbookViewId="0">
      <selection activeCell="D57" sqref="D57"/>
    </sheetView>
  </sheetViews>
  <sheetFormatPr defaultColWidth="0" defaultRowHeight="9.9499999999999993" outlineLevelRow="1"/>
  <cols>
    <col min="1" max="1" width="6.6640625" bestFit="1" customWidth="1"/>
    <col min="2" max="2" width="43.5" bestFit="1" customWidth="1"/>
    <col min="3" max="3" width="15.83203125" bestFit="1" customWidth="1"/>
    <col min="4" max="4" width="18.33203125" customWidth="1"/>
    <col min="5" max="13" width="18" bestFit="1" customWidth="1"/>
    <col min="14" max="14" width="46.83203125" bestFit="1" customWidth="1"/>
    <col min="15" max="21" width="9.1640625" customWidth="1"/>
    <col min="22" max="22" width="0" hidden="1" customWidth="1"/>
    <col min="23" max="16384" width="9.1640625" hidden="1"/>
  </cols>
  <sheetData>
    <row r="1" spans="1:21" ht="27">
      <c r="A1" s="746"/>
      <c r="B1" s="801" t="s">
        <v>943</v>
      </c>
      <c r="C1" s="746"/>
      <c r="D1" s="746"/>
      <c r="E1" s="746"/>
      <c r="F1" s="746"/>
      <c r="G1" s="746"/>
      <c r="H1" s="746"/>
      <c r="I1" s="746"/>
      <c r="J1" s="746"/>
      <c r="K1" s="746"/>
      <c r="L1" s="746"/>
      <c r="M1" s="746"/>
      <c r="N1" s="746"/>
      <c r="O1" s="746"/>
      <c r="P1" s="746"/>
      <c r="Q1" s="746"/>
      <c r="R1" s="746"/>
      <c r="S1" s="746"/>
      <c r="T1" s="746"/>
      <c r="U1" s="746"/>
    </row>
    <row r="2" spans="1:21" ht="11.25">
      <c r="A2" s="746"/>
      <c r="B2" s="746"/>
      <c r="C2" s="746"/>
      <c r="D2" s="746"/>
      <c r="E2" s="746"/>
      <c r="F2" s="746"/>
      <c r="G2" s="746"/>
      <c r="H2" s="746"/>
      <c r="I2" s="746"/>
      <c r="J2" s="746"/>
      <c r="K2" s="746"/>
      <c r="L2" s="746"/>
      <c r="M2" s="746"/>
      <c r="N2" s="746"/>
      <c r="O2" s="746"/>
      <c r="P2" s="746"/>
      <c r="Q2" s="746"/>
      <c r="R2" s="746"/>
      <c r="S2" s="746"/>
      <c r="T2" s="746"/>
      <c r="U2" s="746"/>
    </row>
    <row r="3" spans="1:21" ht="11.25">
      <c r="A3" s="746"/>
      <c r="B3" s="746"/>
      <c r="C3" s="746"/>
      <c r="D3" s="746"/>
      <c r="E3" s="746"/>
      <c r="F3" s="746"/>
      <c r="G3" s="746"/>
      <c r="H3" s="746"/>
      <c r="I3" s="746"/>
      <c r="J3" s="746"/>
      <c r="K3" s="746"/>
      <c r="L3" s="746"/>
      <c r="M3" s="746"/>
      <c r="N3" s="746"/>
      <c r="O3" s="746"/>
      <c r="P3" s="746"/>
      <c r="Q3" s="746"/>
      <c r="R3" s="746"/>
      <c r="S3" s="746"/>
      <c r="T3" s="746"/>
      <c r="U3" s="746"/>
    </row>
    <row r="4" spans="1:21" ht="11.25">
      <c r="A4" s="746"/>
      <c r="B4" s="746"/>
      <c r="C4" s="746"/>
      <c r="D4" s="746"/>
      <c r="E4" s="746"/>
      <c r="F4" s="746"/>
      <c r="G4" s="746"/>
      <c r="H4" s="746"/>
      <c r="I4" s="746"/>
      <c r="J4" s="746"/>
      <c r="K4" s="746"/>
      <c r="L4" s="746"/>
      <c r="M4" s="746"/>
      <c r="N4" s="746"/>
      <c r="O4" s="746"/>
      <c r="P4" s="746"/>
      <c r="Q4" s="746"/>
      <c r="R4" s="746"/>
      <c r="S4" s="746"/>
      <c r="T4" s="746"/>
      <c r="U4" s="746"/>
    </row>
    <row r="5" spans="1:21" ht="11.25">
      <c r="A5" s="746"/>
      <c r="B5" s="746"/>
      <c r="C5" s="746"/>
      <c r="D5" s="746"/>
      <c r="E5" s="746"/>
      <c r="F5" s="746"/>
      <c r="G5" s="746"/>
      <c r="H5" s="746"/>
      <c r="I5" s="746"/>
      <c r="J5" s="746"/>
      <c r="K5" s="746"/>
      <c r="L5" s="746"/>
      <c r="M5" s="746"/>
      <c r="N5" s="746"/>
      <c r="O5" s="746"/>
      <c r="P5" s="746"/>
      <c r="Q5" s="746"/>
      <c r="R5" s="746"/>
      <c r="S5" s="746"/>
      <c r="T5" s="746"/>
      <c r="U5" s="746"/>
    </row>
    <row r="6" spans="1:21" ht="11.25">
      <c r="A6" s="746"/>
      <c r="B6" s="746"/>
      <c r="C6" s="746"/>
      <c r="D6" s="746"/>
      <c r="E6" s="746"/>
      <c r="F6" s="746"/>
      <c r="G6" s="746"/>
      <c r="H6" s="746"/>
      <c r="I6" s="746"/>
      <c r="J6" s="746"/>
      <c r="K6" s="746"/>
      <c r="L6" s="746"/>
      <c r="M6" s="746"/>
      <c r="N6" s="746"/>
      <c r="O6" s="746"/>
      <c r="P6" s="746"/>
      <c r="Q6" s="746"/>
      <c r="R6" s="746"/>
      <c r="S6" s="746"/>
      <c r="T6" s="746"/>
      <c r="U6" s="746"/>
    </row>
    <row r="7" spans="1:21" ht="11.25">
      <c r="A7" s="746"/>
      <c r="B7" s="746"/>
      <c r="C7" s="746"/>
      <c r="D7" s="746"/>
      <c r="E7" s="746"/>
      <c r="F7" s="746"/>
      <c r="G7" s="746"/>
      <c r="H7" s="746"/>
      <c r="I7" s="746"/>
      <c r="J7" s="746"/>
      <c r="K7" s="746"/>
      <c r="L7" s="746"/>
      <c r="M7" s="746"/>
      <c r="N7" s="746"/>
      <c r="O7" s="746"/>
      <c r="P7" s="746"/>
      <c r="Q7" s="746"/>
      <c r="R7" s="746"/>
      <c r="S7" s="746"/>
      <c r="T7" s="746"/>
      <c r="U7" s="746"/>
    </row>
    <row r="8" spans="1:21" ht="11.25">
      <c r="A8" s="746"/>
      <c r="B8" s="746"/>
      <c r="C8" s="746"/>
      <c r="D8" s="746"/>
      <c r="E8" s="746"/>
      <c r="F8" s="746"/>
      <c r="G8" s="746"/>
      <c r="H8" s="746"/>
      <c r="I8" s="746"/>
      <c r="J8" s="746"/>
      <c r="K8" s="746"/>
      <c r="L8" s="746"/>
      <c r="M8" s="746"/>
      <c r="N8" s="746"/>
      <c r="O8" s="746"/>
      <c r="P8" s="746"/>
      <c r="Q8" s="746"/>
      <c r="R8" s="746"/>
      <c r="S8" s="746"/>
      <c r="T8" s="746"/>
      <c r="U8" s="746"/>
    </row>
    <row r="9" spans="1:21" ht="11.25">
      <c r="A9" s="746"/>
      <c r="B9" s="746"/>
      <c r="C9" s="746"/>
      <c r="D9" s="746"/>
      <c r="E9" s="746"/>
      <c r="F9" s="746"/>
      <c r="G9" s="746"/>
      <c r="H9" s="746"/>
      <c r="I9" s="746"/>
      <c r="J9" s="746"/>
      <c r="K9" s="746"/>
      <c r="L9" s="746"/>
      <c r="M9" s="746"/>
      <c r="N9" s="746"/>
      <c r="O9" s="746"/>
      <c r="P9" s="746"/>
      <c r="Q9" s="746"/>
      <c r="R9" s="746"/>
      <c r="S9" s="746"/>
      <c r="T9" s="746"/>
      <c r="U9" s="746"/>
    </row>
    <row r="10" spans="1:21" ht="11.25">
      <c r="A10" s="746"/>
      <c r="B10" s="746"/>
      <c r="C10" s="746"/>
      <c r="D10" s="746"/>
      <c r="E10" s="746"/>
      <c r="F10" s="746"/>
      <c r="G10" s="746"/>
      <c r="H10" s="746"/>
      <c r="I10" s="746"/>
      <c r="J10" s="746"/>
      <c r="K10" s="746"/>
      <c r="L10" s="746"/>
      <c r="M10" s="746"/>
      <c r="N10" s="746"/>
      <c r="O10" s="746"/>
      <c r="P10" s="746"/>
      <c r="Q10" s="746"/>
      <c r="R10" s="746"/>
      <c r="S10" s="746"/>
      <c r="T10" s="746"/>
      <c r="U10" s="746"/>
    </row>
    <row r="11" spans="1:21" ht="11.25">
      <c r="A11" s="746"/>
      <c r="B11" s="746" t="s">
        <v>784</v>
      </c>
      <c r="C11" s="804" t="s">
        <v>944</v>
      </c>
      <c r="D11" s="746"/>
      <c r="E11" s="746"/>
      <c r="F11" s="746"/>
      <c r="G11" s="746"/>
      <c r="H11" s="746"/>
      <c r="I11" s="746"/>
      <c r="J11" s="746"/>
      <c r="K11" s="746"/>
      <c r="L11" s="746"/>
      <c r="M11" s="746"/>
      <c r="N11" s="746"/>
      <c r="O11" s="746"/>
      <c r="P11" s="746"/>
      <c r="Q11" s="746"/>
      <c r="R11" s="746"/>
      <c r="S11" s="746"/>
      <c r="T11" s="746"/>
      <c r="U11" s="746"/>
    </row>
    <row r="12" spans="1:21" ht="11.25">
      <c r="A12" s="746"/>
      <c r="B12" s="746" t="s">
        <v>945</v>
      </c>
      <c r="C12" s="746"/>
      <c r="D12" s="804">
        <v>12</v>
      </c>
      <c r="E12" s="746"/>
      <c r="F12" s="746"/>
      <c r="G12" s="746"/>
      <c r="H12" s="746"/>
      <c r="I12" s="746"/>
      <c r="J12" s="746"/>
      <c r="K12" s="746"/>
      <c r="L12" s="746"/>
      <c r="M12" s="746"/>
      <c r="N12" s="746"/>
      <c r="O12" s="746"/>
      <c r="P12" s="746"/>
      <c r="Q12" s="746"/>
      <c r="R12" s="746"/>
      <c r="S12" s="746"/>
      <c r="T12" s="746"/>
      <c r="U12" s="746"/>
    </row>
    <row r="13" spans="1:21" ht="11.25">
      <c r="A13" s="746"/>
      <c r="B13" s="746" t="s">
        <v>946</v>
      </c>
      <c r="C13" s="746"/>
      <c r="D13" s="808" t="s">
        <v>801</v>
      </c>
      <c r="E13" s="746"/>
      <c r="F13" s="746"/>
      <c r="G13" s="746"/>
      <c r="H13" s="746"/>
      <c r="I13" s="746"/>
      <c r="J13" s="746"/>
      <c r="K13" s="746"/>
      <c r="L13" s="746"/>
      <c r="M13" s="746"/>
      <c r="N13" s="746"/>
      <c r="O13" s="746"/>
      <c r="P13" s="746"/>
      <c r="Q13" s="746"/>
      <c r="R13" s="746"/>
      <c r="S13" s="746"/>
      <c r="T13" s="746"/>
      <c r="U13" s="746"/>
    </row>
    <row r="14" spans="1:21" ht="11.25">
      <c r="A14" s="746"/>
      <c r="B14" s="746"/>
      <c r="C14" s="746"/>
      <c r="D14" s="746"/>
      <c r="E14" s="746"/>
      <c r="F14" s="746"/>
      <c r="G14" s="746"/>
      <c r="H14" s="746"/>
      <c r="I14" s="746"/>
      <c r="J14" s="746"/>
      <c r="K14" s="746"/>
      <c r="L14" s="746"/>
      <c r="M14" s="746"/>
      <c r="N14" s="746"/>
      <c r="O14" s="746"/>
      <c r="P14" s="746"/>
      <c r="Q14" s="746"/>
      <c r="R14" s="746"/>
      <c r="S14" s="746"/>
      <c r="T14" s="746"/>
      <c r="U14" s="746"/>
    </row>
    <row r="15" spans="1:21" ht="11.25">
      <c r="A15" s="746"/>
      <c r="B15" s="810" t="s">
        <v>947</v>
      </c>
      <c r="C15" s="810" t="s">
        <v>283</v>
      </c>
      <c r="D15" s="810" t="s">
        <v>283</v>
      </c>
      <c r="E15" s="810" t="s">
        <v>283</v>
      </c>
      <c r="F15" s="810" t="s">
        <v>283</v>
      </c>
      <c r="G15" s="810" t="s">
        <v>283</v>
      </c>
      <c r="H15" s="810" t="s">
        <v>283</v>
      </c>
      <c r="I15" s="810" t="s">
        <v>283</v>
      </c>
      <c r="J15" s="810" t="s">
        <v>283</v>
      </c>
      <c r="K15" s="810" t="s">
        <v>283</v>
      </c>
      <c r="L15" s="810" t="s">
        <v>283</v>
      </c>
      <c r="M15" s="810" t="s">
        <v>283</v>
      </c>
      <c r="N15" s="746"/>
      <c r="O15" s="746"/>
      <c r="P15" s="746"/>
      <c r="Q15" s="746"/>
      <c r="R15" s="746"/>
      <c r="S15" s="746"/>
      <c r="T15" s="746"/>
      <c r="U15" s="746"/>
    </row>
    <row r="16" spans="1:21" ht="11.25">
      <c r="A16" s="746"/>
      <c r="B16" s="811" t="s">
        <v>804</v>
      </c>
      <c r="C16" s="811" t="s">
        <v>283</v>
      </c>
      <c r="D16" s="811" t="s">
        <v>948</v>
      </c>
      <c r="E16" s="811" t="s">
        <v>949</v>
      </c>
      <c r="F16" s="811" t="s">
        <v>950</v>
      </c>
      <c r="G16" s="811" t="s">
        <v>951</v>
      </c>
      <c r="H16" s="811" t="s">
        <v>952</v>
      </c>
      <c r="I16" s="811" t="s">
        <v>953</v>
      </c>
      <c r="J16" s="811" t="s">
        <v>954</v>
      </c>
      <c r="K16" s="811" t="s">
        <v>955</v>
      </c>
      <c r="L16" s="811" t="s">
        <v>956</v>
      </c>
      <c r="M16" s="811" t="s">
        <v>957</v>
      </c>
      <c r="N16" s="746"/>
      <c r="O16" s="746"/>
      <c r="P16" s="746"/>
      <c r="Q16" s="746"/>
      <c r="R16" s="746"/>
      <c r="S16" s="746"/>
      <c r="T16" s="746"/>
      <c r="U16" s="746"/>
    </row>
    <row r="17" spans="1:21" ht="11.25">
      <c r="A17" s="746"/>
      <c r="B17" s="813" t="s">
        <v>25</v>
      </c>
      <c r="C17" s="813"/>
      <c r="D17" s="866">
        <f>SUM(D18:D21)</f>
        <v>4077700</v>
      </c>
      <c r="E17" s="866">
        <f t="shared" ref="E17:M17" si="0">SUM(E18:E21)</f>
        <v>4852463.0000000009</v>
      </c>
      <c r="F17" s="866">
        <f t="shared" si="0"/>
        <v>5677381.7100000009</v>
      </c>
      <c r="G17" s="866">
        <f t="shared" si="0"/>
        <v>6528988.966500001</v>
      </c>
      <c r="H17" s="866">
        <f t="shared" si="0"/>
        <v>7377757.532145001</v>
      </c>
      <c r="I17" s="866">
        <f t="shared" si="0"/>
        <v>8115533.2853595009</v>
      </c>
      <c r="J17" s="866">
        <f t="shared" si="0"/>
        <v>8845931.281041855</v>
      </c>
      <c r="K17" s="866">
        <f t="shared" si="0"/>
        <v>9642065.0963356234</v>
      </c>
      <c r="L17" s="866">
        <f t="shared" si="0"/>
        <v>10413430.304042475</v>
      </c>
      <c r="M17" s="866">
        <f t="shared" si="0"/>
        <v>11142370.425325451</v>
      </c>
      <c r="N17" s="746"/>
      <c r="O17" s="746"/>
      <c r="P17" s="746"/>
      <c r="Q17" s="746"/>
      <c r="R17" s="746"/>
      <c r="S17" s="746"/>
      <c r="T17" s="746"/>
      <c r="U17" s="746"/>
    </row>
    <row r="18" spans="1:21" ht="12.75">
      <c r="A18" s="746"/>
      <c r="B18" s="803" t="s">
        <v>958</v>
      </c>
      <c r="C18" s="803"/>
      <c r="D18" s="874">
        <f>(Historicals!H16*(1+0.21))*0.53</f>
        <v>2161181</v>
      </c>
      <c r="E18" s="874">
        <f>(D17*(1+0.19))*0.52</f>
        <v>2523280.7600000002</v>
      </c>
      <c r="F18" s="874">
        <f>(E17*(1+0.17))*0.51</f>
        <v>2895464.6721000005</v>
      </c>
      <c r="G18" s="874">
        <f>(F17*(1+0.15))*0.5</f>
        <v>3264494.48325</v>
      </c>
      <c r="H18" s="874">
        <f>(G17*(1+0.13))*0.49</f>
        <v>3615101.1907510501</v>
      </c>
      <c r="I18" s="874">
        <f>(H17*(1+0.1))*0.48</f>
        <v>3895455.9769725609</v>
      </c>
      <c r="J18" s="874">
        <f>(I17*(1+0.09))*0.47</f>
        <v>4157587.7020896724</v>
      </c>
      <c r="K18" s="874">
        <f>(J17*(1+0.09))*0.465</f>
        <v>4483560.2697960651</v>
      </c>
      <c r="L18" s="874">
        <f>(K17*(1+0.08))*0.46</f>
        <v>4790177.9398595383</v>
      </c>
      <c r="M18" s="874">
        <f>(L17*(1+0.07))*0.455</f>
        <v>5069778.5435230797</v>
      </c>
      <c r="N18" s="746"/>
      <c r="O18" s="746"/>
      <c r="P18" s="803"/>
      <c r="Q18" s="746"/>
      <c r="R18" s="746"/>
      <c r="S18" s="746"/>
      <c r="T18" s="746"/>
      <c r="U18" s="746"/>
    </row>
    <row r="19" spans="1:21" ht="12.75">
      <c r="A19" s="746"/>
      <c r="B19" s="803" t="s">
        <v>959</v>
      </c>
      <c r="C19" s="803"/>
      <c r="D19" s="874">
        <f>(Historicals!H16*(1+0.21))*0.35</f>
        <v>1427195</v>
      </c>
      <c r="E19" s="874">
        <f>(D17*(1+0.19))*0.345</f>
        <v>1674099.7349999999</v>
      </c>
      <c r="F19" s="874">
        <f>(E17*(1+0.17))*0.34</f>
        <v>1930309.7814000004</v>
      </c>
      <c r="G19" s="874">
        <f>(F17*(1+0.15))*0.335</f>
        <v>2187211.3037775001</v>
      </c>
      <c r="H19" s="874">
        <f>(G17*(1+0.13))*0.33</f>
        <v>2434659.9856078504</v>
      </c>
      <c r="I19" s="874">
        <f>(H17*(1+0.1))*0.325</f>
        <v>2637548.3177418383</v>
      </c>
      <c r="J19" s="874">
        <f>(I17*(1+0.09))*0.32</f>
        <v>2830698.0099333944</v>
      </c>
      <c r="K19" s="874">
        <f>(J17*(1+0.09))*0.315</f>
        <v>3037250.5053457213</v>
      </c>
      <c r="L19" s="874">
        <f>(K17*(1+0.08))*0.31</f>
        <v>3228163.3942531669</v>
      </c>
      <c r="M19" s="874">
        <f>(L17*(1+0.07))*0.305</f>
        <v>3398422.9797242619</v>
      </c>
      <c r="N19" s="746"/>
      <c r="O19" s="746"/>
      <c r="P19" s="746"/>
      <c r="Q19" s="746"/>
      <c r="R19" s="746"/>
      <c r="S19" s="746"/>
      <c r="T19" s="746"/>
      <c r="U19" s="746"/>
    </row>
    <row r="20" spans="1:21" ht="12.75">
      <c r="A20" s="746"/>
      <c r="B20" s="803" t="s">
        <v>960</v>
      </c>
      <c r="C20" s="803"/>
      <c r="D20" s="874">
        <f>(Historicals!H16*(1+0.21))*0.115</f>
        <v>468935.5</v>
      </c>
      <c r="E20" s="874">
        <f>(D17*(1+0.19))*0.13</f>
        <v>630820.19000000006</v>
      </c>
      <c r="F20" s="874">
        <f>(E17*(1+0.17))*0.145</f>
        <v>823220.34795000008</v>
      </c>
      <c r="G20" s="874">
        <f>(F17*(1+0.15))*0.16</f>
        <v>1044638.23464</v>
      </c>
      <c r="H20" s="874">
        <f>(G17*(1+0.13))*0.175</f>
        <v>1291107.5681253748</v>
      </c>
      <c r="I20" s="874">
        <f>(H17*(1+0.1))*0.19</f>
        <v>1541951.3242183053</v>
      </c>
      <c r="J20" s="874">
        <f>(I17*(1+0.09))*0.205</f>
        <v>1813415.9126135805</v>
      </c>
      <c r="K20" s="874">
        <f>(J17*(1+0.09))*0.215</f>
        <v>2073043.995712159</v>
      </c>
      <c r="L20" s="874">
        <f>(K17*(1+0.08))*0.225</f>
        <v>2343021.8184095565</v>
      </c>
      <c r="M20" s="874">
        <f>(L17*(1+0.07))*0.235</f>
        <v>2618457.0499514807</v>
      </c>
      <c r="N20" s="746"/>
      <c r="O20" s="746"/>
      <c r="P20" s="746"/>
      <c r="Q20" s="746"/>
      <c r="R20" s="746"/>
      <c r="S20" s="746"/>
      <c r="T20" s="746"/>
      <c r="U20" s="746"/>
    </row>
    <row r="21" spans="1:21" ht="12.75">
      <c r="A21" s="746"/>
      <c r="B21" s="803" t="s">
        <v>961</v>
      </c>
      <c r="C21" s="803"/>
      <c r="D21" s="874">
        <f>(Historicals!H16*(1+0.21))*0.005</f>
        <v>20388.5</v>
      </c>
      <c r="E21" s="874">
        <f>(D17*(1+0.19))*0.005</f>
        <v>24262.314999999999</v>
      </c>
      <c r="F21" s="874">
        <f>(E17*(1+0.17))*0.005</f>
        <v>28386.908550000004</v>
      </c>
      <c r="G21" s="874">
        <f>(F17*(1+0.15))*0.005</f>
        <v>32644.944832500001</v>
      </c>
      <c r="H21" s="874">
        <f>(G17*(1+0.13))*0.005</f>
        <v>36888.787660725</v>
      </c>
      <c r="I21" s="874">
        <f>(H17*(1+0.1))*0.005</f>
        <v>40577.666426797507</v>
      </c>
      <c r="J21" s="874">
        <f>(I17*(1+0.09))*0.005</f>
        <v>44229.656405209287</v>
      </c>
      <c r="K21" s="874">
        <f>(J17*(1+0.09))*0.005</f>
        <v>48210.325481678119</v>
      </c>
      <c r="L21" s="874">
        <f>(K17*(1+0.08))*0.005</f>
        <v>52067.15152021237</v>
      </c>
      <c r="M21" s="874">
        <f>(L17*(1+0.07))*0.005</f>
        <v>55711.852126627251</v>
      </c>
      <c r="N21" s="746"/>
      <c r="O21" s="746"/>
      <c r="P21" s="746"/>
      <c r="Q21" s="746"/>
      <c r="R21" s="746"/>
      <c r="S21" s="746"/>
      <c r="T21" s="746"/>
      <c r="U21" s="746"/>
    </row>
    <row r="22" spans="1:21" ht="11.25">
      <c r="A22" s="746"/>
      <c r="B22" s="813"/>
      <c r="C22" s="813"/>
      <c r="D22" s="875"/>
      <c r="E22" s="875"/>
      <c r="F22" s="875"/>
      <c r="G22" s="875"/>
      <c r="H22" s="875"/>
      <c r="I22" s="875"/>
      <c r="J22" s="875"/>
      <c r="K22" s="875"/>
      <c r="L22" s="875"/>
      <c r="M22" s="875"/>
      <c r="N22" s="746"/>
      <c r="O22" s="746"/>
      <c r="P22" s="746"/>
      <c r="Q22" s="746"/>
      <c r="R22" s="746"/>
      <c r="S22" s="746"/>
      <c r="T22" s="746"/>
      <c r="U22" s="746"/>
    </row>
    <row r="23" spans="1:21" ht="12.75">
      <c r="A23" s="746"/>
      <c r="B23" s="813" t="s">
        <v>813</v>
      </c>
      <c r="C23" s="813"/>
      <c r="D23" s="876">
        <f>-D17*0.565</f>
        <v>-2303900.5</v>
      </c>
      <c r="E23" s="876">
        <f>-E17*0.56</f>
        <v>-2717379.2800000007</v>
      </c>
      <c r="F23" s="876">
        <f>-F17*0.555</f>
        <v>-3150946.8490500008</v>
      </c>
      <c r="G23" s="876">
        <f>-G17*0.55</f>
        <v>-3590943.9315750008</v>
      </c>
      <c r="H23" s="876">
        <f>-H17*0.545</f>
        <v>-4020877.855019026</v>
      </c>
      <c r="I23" s="876">
        <f>-I17*0.545</f>
        <v>-4422965.6405209284</v>
      </c>
      <c r="J23" s="876">
        <f>-J17*0.54</f>
        <v>-4776802.8917626021</v>
      </c>
      <c r="K23" s="876">
        <f>-K17*0.54</f>
        <v>-5206715.1520212367</v>
      </c>
      <c r="L23" s="876">
        <f>-L17*0.535</f>
        <v>-5571185.2126627248</v>
      </c>
      <c r="M23" s="876">
        <f>-M17*0.535</f>
        <v>-5961168.1775491172</v>
      </c>
      <c r="N23" s="746"/>
      <c r="O23" s="746"/>
      <c r="P23" s="746"/>
      <c r="Q23" s="746"/>
      <c r="R23" s="746"/>
      <c r="S23" s="746"/>
      <c r="T23" s="746"/>
      <c r="U23" s="746"/>
    </row>
    <row r="24" spans="1:21" ht="11.25">
      <c r="A24" s="746"/>
      <c r="B24" s="816" t="s">
        <v>27</v>
      </c>
      <c r="C24" s="816"/>
      <c r="D24" s="868">
        <f>SUM(D17,D23)</f>
        <v>1773799.5</v>
      </c>
      <c r="E24" s="868">
        <f t="shared" ref="E24:M24" si="1">SUM(E17,E23)</f>
        <v>2135083.7200000002</v>
      </c>
      <c r="F24" s="868">
        <f t="shared" si="1"/>
        <v>2526434.8609500001</v>
      </c>
      <c r="G24" s="868">
        <f t="shared" si="1"/>
        <v>2938045.0349250003</v>
      </c>
      <c r="H24" s="868">
        <f t="shared" si="1"/>
        <v>3356879.677125975</v>
      </c>
      <c r="I24" s="868">
        <f t="shared" si="1"/>
        <v>3692567.6448385725</v>
      </c>
      <c r="J24" s="868">
        <f t="shared" si="1"/>
        <v>4069128.3892792528</v>
      </c>
      <c r="K24" s="868">
        <f t="shared" si="1"/>
        <v>4435349.9443143867</v>
      </c>
      <c r="L24" s="868">
        <f t="shared" si="1"/>
        <v>4842245.0913797505</v>
      </c>
      <c r="M24" s="868">
        <f t="shared" si="1"/>
        <v>5181202.2477763342</v>
      </c>
      <c r="N24" s="746"/>
      <c r="O24" s="746"/>
      <c r="P24" s="856"/>
      <c r="Q24" s="746"/>
      <c r="R24" s="746"/>
      <c r="S24" s="746"/>
      <c r="T24" s="746"/>
      <c r="U24" s="746"/>
    </row>
    <row r="25" spans="1:21" ht="11.25">
      <c r="A25" s="746"/>
      <c r="B25" s="813"/>
      <c r="C25" s="813"/>
      <c r="D25" s="813"/>
      <c r="E25" s="813"/>
      <c r="F25" s="813"/>
      <c r="G25" s="813"/>
      <c r="H25" s="813"/>
      <c r="I25" s="813"/>
      <c r="J25" s="813"/>
      <c r="K25" s="813"/>
      <c r="L25" s="813"/>
      <c r="M25" s="813"/>
      <c r="N25" s="746"/>
      <c r="O25" s="746"/>
      <c r="P25" s="856"/>
      <c r="Q25" s="746"/>
      <c r="R25" s="746"/>
      <c r="S25" s="746"/>
      <c r="T25" s="746"/>
      <c r="U25" s="746"/>
    </row>
    <row r="26" spans="1:21" ht="12.75">
      <c r="A26" s="746" t="s">
        <v>962</v>
      </c>
      <c r="B26" s="813" t="s">
        <v>814</v>
      </c>
      <c r="C26" s="813" t="s">
        <v>815</v>
      </c>
      <c r="D26" s="873">
        <f>-D17*0.108</f>
        <v>-440391.6</v>
      </c>
      <c r="E26" s="873">
        <f>-E17*0.105</f>
        <v>-509508.61500000011</v>
      </c>
      <c r="F26" s="873">
        <f>-F17*0.102</f>
        <v>-579092.93442000006</v>
      </c>
      <c r="G26" s="873">
        <f>-G17*0.1</f>
        <v>-652898.89665000013</v>
      </c>
      <c r="H26" s="873">
        <f>-H17*0.098</f>
        <v>-723020.23815021012</v>
      </c>
      <c r="I26" s="873">
        <f>-I17*0.097</f>
        <v>-787206.72867987165</v>
      </c>
      <c r="J26" s="873">
        <f>-J17*0.095</f>
        <v>-840363.47169897624</v>
      </c>
      <c r="K26" s="873">
        <f>-K17*0.093</f>
        <v>-896712.05395921296</v>
      </c>
      <c r="L26" s="873">
        <f>-L17*0.091</f>
        <v>-947622.15766786528</v>
      </c>
      <c r="M26" s="873">
        <f>-M17*0.09</f>
        <v>-1002813.3382792906</v>
      </c>
      <c r="N26" s="746"/>
      <c r="O26" s="856"/>
      <c r="P26" s="856"/>
      <c r="Q26" s="856"/>
      <c r="R26" s="746"/>
      <c r="S26" s="746"/>
      <c r="T26" s="746"/>
      <c r="U26" s="746"/>
    </row>
    <row r="27" spans="1:21" ht="12.75">
      <c r="A27" s="746" t="s">
        <v>963</v>
      </c>
      <c r="B27" s="813" t="s">
        <v>817</v>
      </c>
      <c r="C27" s="813" t="s">
        <v>818</v>
      </c>
      <c r="D27" s="873">
        <f>-D17*0.078</f>
        <v>-318060.59999999998</v>
      </c>
      <c r="E27" s="873">
        <f>-E17*0.073</f>
        <v>-354229.79900000006</v>
      </c>
      <c r="F27" s="873">
        <f>-F17*0.068</f>
        <v>-386061.9562800001</v>
      </c>
      <c r="G27" s="873">
        <f>-G17*0.065</f>
        <v>-424384.2828225001</v>
      </c>
      <c r="H27" s="873">
        <f>-H17*0.062</f>
        <v>-457420.96699299006</v>
      </c>
      <c r="I27" s="873">
        <f>-I17*0.06</f>
        <v>-486931.99712157005</v>
      </c>
      <c r="J27" s="873">
        <f>-J17*0.058</f>
        <v>-513064.01430042763</v>
      </c>
      <c r="K27" s="873">
        <f>-K17*0.056</f>
        <v>-539955.64539479488</v>
      </c>
      <c r="L27" s="873">
        <f>-L17*0.054</f>
        <v>-562325.23641829367</v>
      </c>
      <c r="M27" s="873">
        <f>-M17*0.052</f>
        <v>-579403.26211692346</v>
      </c>
      <c r="N27" s="746"/>
      <c r="O27" s="856"/>
      <c r="P27" s="856"/>
      <c r="Q27" s="856"/>
      <c r="R27" s="746"/>
      <c r="S27" s="746"/>
      <c r="T27" s="746"/>
      <c r="U27" s="746"/>
    </row>
    <row r="28" spans="1:21" ht="12.75">
      <c r="A28" s="746" t="s">
        <v>963</v>
      </c>
      <c r="B28" s="813" t="s">
        <v>820</v>
      </c>
      <c r="C28" s="813" t="s">
        <v>818</v>
      </c>
      <c r="D28" s="873">
        <f>-D17*0.05</f>
        <v>-203885</v>
      </c>
      <c r="E28" s="873">
        <f>-E17*0.047</f>
        <v>-228065.76100000006</v>
      </c>
      <c r="F28" s="873">
        <f>-F17*0.045</f>
        <v>-255482.17695000002</v>
      </c>
      <c r="G28" s="873">
        <f>-G17*0.043</f>
        <v>-280746.52555950003</v>
      </c>
      <c r="H28" s="873">
        <f>-H17*0.041</f>
        <v>-302488.05881794507</v>
      </c>
      <c r="I28" s="873">
        <f>-I17*0.04</f>
        <v>-324621.33141438005</v>
      </c>
      <c r="J28" s="873">
        <f>-J17*0.039</f>
        <v>-344991.31996063236</v>
      </c>
      <c r="K28" s="873">
        <f>-K17*0.038</f>
        <v>-366398.47366075369</v>
      </c>
      <c r="L28" s="873">
        <f>-L17*0.037</f>
        <v>-385296.92124957155</v>
      </c>
      <c r="M28" s="873">
        <f>-M17*0.036</f>
        <v>-401125.33531171625</v>
      </c>
      <c r="N28" s="746"/>
      <c r="O28" s="856"/>
      <c r="P28" s="856"/>
      <c r="Q28" s="856"/>
      <c r="R28" s="746"/>
      <c r="S28" s="746"/>
      <c r="T28" s="746"/>
      <c r="U28" s="746"/>
    </row>
    <row r="29" spans="1:21" ht="12.75">
      <c r="A29" s="746" t="s">
        <v>963</v>
      </c>
      <c r="B29" s="813" t="s">
        <v>30</v>
      </c>
      <c r="C29" s="813" t="s">
        <v>818</v>
      </c>
      <c r="D29" s="873">
        <f>-D17*0.125</f>
        <v>-509712.5</v>
      </c>
      <c r="E29" s="873">
        <f>-E17*0.12</f>
        <v>-582295.56000000006</v>
      </c>
      <c r="F29" s="873">
        <f>-F17*0.115</f>
        <v>-652898.89665000013</v>
      </c>
      <c r="G29" s="873">
        <f>-G17*0.11</f>
        <v>-718188.78631500015</v>
      </c>
      <c r="H29" s="873">
        <f>-H17*0.105</f>
        <v>-774664.5408752251</v>
      </c>
      <c r="I29" s="873">
        <f>-I17*0.102</f>
        <v>-827784.39510666905</v>
      </c>
      <c r="J29" s="873">
        <f>-J17*0.1</f>
        <v>-884593.12810418557</v>
      </c>
      <c r="K29" s="873">
        <f>-K17*0.098</f>
        <v>-944922.37944089109</v>
      </c>
      <c r="L29" s="873">
        <f>-L17*0.095</f>
        <v>-989275.87888403516</v>
      </c>
      <c r="M29" s="873">
        <f>-M17*0.09</f>
        <v>-1002813.3382792906</v>
      </c>
      <c r="N29" s="746"/>
      <c r="O29" s="856"/>
      <c r="P29" s="856"/>
      <c r="Q29" s="856"/>
      <c r="R29" s="746"/>
      <c r="S29" s="746"/>
      <c r="T29" s="746"/>
      <c r="U29" s="746"/>
    </row>
    <row r="30" spans="1:21" ht="12.75">
      <c r="A30" s="746" t="s">
        <v>963</v>
      </c>
      <c r="B30" s="813" t="s">
        <v>964</v>
      </c>
      <c r="C30" s="813" t="s">
        <v>818</v>
      </c>
      <c r="D30" s="873">
        <f t="shared" ref="D30:M30" si="2">D17*0.005</f>
        <v>20388.5</v>
      </c>
      <c r="E30" s="873">
        <f t="shared" si="2"/>
        <v>24262.315000000006</v>
      </c>
      <c r="F30" s="873">
        <f t="shared" si="2"/>
        <v>28386.908550000004</v>
      </c>
      <c r="G30" s="873">
        <f t="shared" si="2"/>
        <v>32644.944832500005</v>
      </c>
      <c r="H30" s="873">
        <f t="shared" si="2"/>
        <v>36888.787660725007</v>
      </c>
      <c r="I30" s="873">
        <f t="shared" si="2"/>
        <v>40577.666426797507</v>
      </c>
      <c r="J30" s="873">
        <f t="shared" si="2"/>
        <v>44229.656405209273</v>
      </c>
      <c r="K30" s="873">
        <f t="shared" si="2"/>
        <v>48210.325481678119</v>
      </c>
      <c r="L30" s="873">
        <f t="shared" si="2"/>
        <v>52067.151520212377</v>
      </c>
      <c r="M30" s="873">
        <f t="shared" si="2"/>
        <v>55711.852126627258</v>
      </c>
      <c r="N30" s="856"/>
      <c r="O30" s="856"/>
      <c r="P30" s="856"/>
      <c r="Q30" s="746"/>
      <c r="R30" s="746"/>
      <c r="S30" s="746"/>
      <c r="T30" s="746"/>
      <c r="U30" s="746"/>
    </row>
    <row r="31" spans="1:21" ht="11.25">
      <c r="A31" s="746"/>
      <c r="B31" s="816" t="s">
        <v>823</v>
      </c>
      <c r="C31" s="816"/>
      <c r="D31" s="868">
        <f>SUM(D24:D30)</f>
        <v>322138.29999999993</v>
      </c>
      <c r="E31" s="868">
        <f t="shared" ref="E31:M31" si="3">SUM(E24:E30)</f>
        <v>485246.29999999976</v>
      </c>
      <c r="F31" s="868">
        <f t="shared" si="3"/>
        <v>681285.80519999994</v>
      </c>
      <c r="G31" s="868">
        <f t="shared" si="3"/>
        <v>894471.48841049999</v>
      </c>
      <c r="H31" s="868">
        <f t="shared" si="3"/>
        <v>1136174.6599503297</v>
      </c>
      <c r="I31" s="868">
        <f t="shared" si="3"/>
        <v>1306600.8589428789</v>
      </c>
      <c r="J31" s="868">
        <f t="shared" si="3"/>
        <v>1530346.1116202406</v>
      </c>
      <c r="K31" s="868">
        <f t="shared" si="3"/>
        <v>1735571.7173404123</v>
      </c>
      <c r="L31" s="868">
        <f t="shared" si="3"/>
        <v>2009792.0486801972</v>
      </c>
      <c r="M31" s="868">
        <f t="shared" si="3"/>
        <v>2250758.8259157403</v>
      </c>
      <c r="N31" s="746"/>
      <c r="O31" s="746"/>
      <c r="P31" s="746"/>
      <c r="Q31" s="746"/>
      <c r="R31" s="746"/>
      <c r="S31" s="746"/>
      <c r="T31" s="746"/>
      <c r="U31" s="746"/>
    </row>
    <row r="32" spans="1:21" ht="11.25">
      <c r="A32" s="746"/>
      <c r="B32" s="813"/>
      <c r="C32" s="813"/>
      <c r="D32" s="813"/>
      <c r="E32" s="813"/>
      <c r="F32" s="813"/>
      <c r="G32" s="813"/>
      <c r="H32" s="813"/>
      <c r="I32" s="813"/>
      <c r="J32" s="813"/>
      <c r="K32" s="813"/>
      <c r="L32" s="813"/>
      <c r="M32" s="813"/>
      <c r="N32" s="746"/>
      <c r="O32" s="746"/>
      <c r="P32" s="746"/>
      <c r="Q32" s="746"/>
      <c r="R32" s="746"/>
      <c r="S32" s="746"/>
      <c r="T32" s="746"/>
      <c r="U32" s="746"/>
    </row>
    <row r="33" spans="1:21" ht="12.75">
      <c r="A33" s="746"/>
      <c r="B33" s="813" t="s">
        <v>824</v>
      </c>
      <c r="C33" s="813"/>
      <c r="D33" s="873">
        <f t="shared" ref="D33:M33" si="4">D17*0.04</f>
        <v>163108</v>
      </c>
      <c r="E33" s="873">
        <f t="shared" si="4"/>
        <v>194098.52000000005</v>
      </c>
      <c r="F33" s="873">
        <f t="shared" si="4"/>
        <v>227095.26840000003</v>
      </c>
      <c r="G33" s="873">
        <f t="shared" si="4"/>
        <v>261159.55866000004</v>
      </c>
      <c r="H33" s="873">
        <f t="shared" si="4"/>
        <v>295110.30128580006</v>
      </c>
      <c r="I33" s="873">
        <f t="shared" si="4"/>
        <v>324621.33141438005</v>
      </c>
      <c r="J33" s="873">
        <f t="shared" si="4"/>
        <v>353837.25124167418</v>
      </c>
      <c r="K33" s="873">
        <f t="shared" si="4"/>
        <v>385682.60385342495</v>
      </c>
      <c r="L33" s="873">
        <f t="shared" si="4"/>
        <v>416537.21216169902</v>
      </c>
      <c r="M33" s="873">
        <f t="shared" si="4"/>
        <v>445694.81701301807</v>
      </c>
      <c r="N33" s="746"/>
      <c r="O33" s="746"/>
      <c r="P33" s="746"/>
      <c r="Q33" s="746"/>
      <c r="R33" s="746"/>
      <c r="S33" s="746"/>
      <c r="T33" s="746"/>
      <c r="U33" s="746"/>
    </row>
    <row r="34" spans="1:21" ht="12.75">
      <c r="A34" s="746"/>
      <c r="B34" s="813" t="s">
        <v>826</v>
      </c>
      <c r="C34" s="813"/>
      <c r="D34" s="873">
        <f t="shared" ref="D34:M34" si="5">D17*0.01</f>
        <v>40777</v>
      </c>
      <c r="E34" s="873">
        <f t="shared" si="5"/>
        <v>48524.630000000012</v>
      </c>
      <c r="F34" s="873">
        <f t="shared" si="5"/>
        <v>56773.817100000007</v>
      </c>
      <c r="G34" s="873">
        <f t="shared" si="5"/>
        <v>65289.88966500001</v>
      </c>
      <c r="H34" s="873">
        <f t="shared" si="5"/>
        <v>73777.575321450015</v>
      </c>
      <c r="I34" s="873">
        <f t="shared" si="5"/>
        <v>81155.332853595013</v>
      </c>
      <c r="J34" s="873">
        <f t="shared" si="5"/>
        <v>88459.312810418545</v>
      </c>
      <c r="K34" s="873">
        <f t="shared" si="5"/>
        <v>96420.650963356238</v>
      </c>
      <c r="L34" s="873">
        <f t="shared" si="5"/>
        <v>104134.30304042475</v>
      </c>
      <c r="M34" s="873">
        <f t="shared" si="5"/>
        <v>111423.70425325452</v>
      </c>
      <c r="N34" s="746"/>
      <c r="O34" s="746"/>
      <c r="P34" s="746"/>
      <c r="Q34" s="746"/>
      <c r="R34" s="746"/>
      <c r="S34" s="746"/>
      <c r="T34" s="746"/>
      <c r="U34" s="746"/>
    </row>
    <row r="35" spans="1:21" ht="11.25">
      <c r="A35" s="746"/>
      <c r="B35" s="818" t="s">
        <v>827</v>
      </c>
      <c r="C35" s="818" t="s">
        <v>283</v>
      </c>
      <c r="D35" s="887">
        <f>SUM(D31:D34)</f>
        <v>526023.29999999993</v>
      </c>
      <c r="E35" s="887">
        <f t="shared" ref="E35:M35" si="6">SUM(E31:E34)</f>
        <v>727869.44999999984</v>
      </c>
      <c r="F35" s="887">
        <f t="shared" si="6"/>
        <v>965154.89069999999</v>
      </c>
      <c r="G35" s="887">
        <f t="shared" si="6"/>
        <v>1220920.9367354999</v>
      </c>
      <c r="H35" s="887">
        <f t="shared" si="6"/>
        <v>1505062.5365575799</v>
      </c>
      <c r="I35" s="887">
        <f t="shared" si="6"/>
        <v>1712377.523210854</v>
      </c>
      <c r="J35" s="887">
        <f t="shared" si="6"/>
        <v>1972642.6756723332</v>
      </c>
      <c r="K35" s="887">
        <f t="shared" si="6"/>
        <v>2217674.9721571933</v>
      </c>
      <c r="L35" s="887">
        <f t="shared" si="6"/>
        <v>2530463.5638823211</v>
      </c>
      <c r="M35" s="887">
        <f t="shared" si="6"/>
        <v>2807877.3471820131</v>
      </c>
      <c r="N35" s="746"/>
      <c r="O35" s="746"/>
      <c r="P35" s="746"/>
      <c r="Q35" s="746"/>
      <c r="R35" s="746"/>
      <c r="S35" s="746"/>
      <c r="T35" s="746"/>
      <c r="U35" s="746"/>
    </row>
    <row r="36" spans="1:21" ht="11.25">
      <c r="A36" s="746"/>
      <c r="B36" s="821" t="s">
        <v>965</v>
      </c>
      <c r="C36" s="830"/>
      <c r="D36" s="830"/>
      <c r="E36" s="830"/>
      <c r="F36" s="830"/>
      <c r="G36" s="830"/>
      <c r="H36" s="830"/>
      <c r="I36" s="830"/>
      <c r="J36" s="830"/>
      <c r="K36" s="830"/>
      <c r="L36" s="830"/>
      <c r="M36" s="830"/>
      <c r="N36" s="746"/>
      <c r="O36" s="746"/>
      <c r="P36" s="746"/>
      <c r="Q36" s="746"/>
      <c r="R36" s="746"/>
      <c r="S36" s="746"/>
      <c r="T36" s="746"/>
      <c r="U36" s="746"/>
    </row>
    <row r="37" spans="1:21" ht="11.25">
      <c r="A37" s="746"/>
      <c r="B37" s="746"/>
      <c r="C37" s="746"/>
      <c r="D37" s="746"/>
      <c r="E37" s="746"/>
      <c r="F37" s="746"/>
      <c r="G37" s="746"/>
      <c r="H37" s="746"/>
      <c r="I37" s="746"/>
      <c r="J37" s="746"/>
      <c r="K37" s="746"/>
      <c r="L37" s="746"/>
      <c r="M37" s="746"/>
      <c r="N37" s="746"/>
      <c r="O37" s="746"/>
      <c r="P37" s="746"/>
      <c r="Q37" s="746"/>
      <c r="R37" s="746"/>
      <c r="S37" s="746"/>
      <c r="T37" s="746"/>
      <c r="U37" s="746"/>
    </row>
    <row r="38" spans="1:21" ht="11.25" hidden="1" outlineLevel="1">
      <c r="A38" s="746"/>
      <c r="B38" s="746"/>
      <c r="C38" s="746"/>
      <c r="D38" s="746"/>
      <c r="E38" s="746"/>
      <c r="F38" s="746"/>
      <c r="G38" s="746"/>
      <c r="H38" s="746"/>
      <c r="I38" s="746"/>
      <c r="J38" s="746"/>
      <c r="K38" s="746"/>
      <c r="L38" s="746"/>
      <c r="M38" s="746"/>
      <c r="N38" s="746"/>
      <c r="O38" s="746"/>
      <c r="P38" s="746"/>
      <c r="Q38" s="746"/>
      <c r="R38" s="746"/>
      <c r="S38" s="746"/>
      <c r="T38" s="746"/>
      <c r="U38" s="746"/>
    </row>
    <row r="39" spans="1:21" ht="11.25" collapsed="1">
      <c r="A39" s="746"/>
      <c r="B39" s="810" t="s">
        <v>966</v>
      </c>
      <c r="C39" s="810" t="s">
        <v>283</v>
      </c>
      <c r="D39" s="810" t="s">
        <v>283</v>
      </c>
      <c r="E39" s="810" t="s">
        <v>283</v>
      </c>
      <c r="F39" s="810" t="s">
        <v>283</v>
      </c>
      <c r="G39" s="810" t="s">
        <v>283</v>
      </c>
      <c r="H39" s="810" t="s">
        <v>283</v>
      </c>
      <c r="I39" s="810" t="s">
        <v>283</v>
      </c>
      <c r="J39" s="810" t="s">
        <v>283</v>
      </c>
      <c r="K39" s="810" t="s">
        <v>283</v>
      </c>
      <c r="L39" s="810" t="s">
        <v>283</v>
      </c>
      <c r="M39" s="810" t="s">
        <v>283</v>
      </c>
      <c r="N39" s="746"/>
      <c r="O39" s="746"/>
      <c r="P39" s="746"/>
      <c r="Q39" s="746"/>
      <c r="R39" s="746"/>
      <c r="S39" s="746"/>
      <c r="T39" s="746"/>
      <c r="U39" s="746"/>
    </row>
    <row r="40" spans="1:21" ht="11.25">
      <c r="A40" s="746"/>
      <c r="B40" s="811" t="s">
        <v>283</v>
      </c>
      <c r="C40" s="811" t="s">
        <v>283</v>
      </c>
      <c r="D40" s="811" t="s">
        <v>948</v>
      </c>
      <c r="E40" s="811" t="s">
        <v>949</v>
      </c>
      <c r="F40" s="811" t="s">
        <v>950</v>
      </c>
      <c r="G40" s="811" t="s">
        <v>951</v>
      </c>
      <c r="H40" s="811" t="s">
        <v>952</v>
      </c>
      <c r="I40" s="811" t="s">
        <v>953</v>
      </c>
      <c r="J40" s="811" t="s">
        <v>954</v>
      </c>
      <c r="K40" s="811" t="s">
        <v>955</v>
      </c>
      <c r="L40" s="811" t="s">
        <v>956</v>
      </c>
      <c r="M40" s="811" t="s">
        <v>957</v>
      </c>
      <c r="N40" s="746"/>
      <c r="O40" s="746"/>
      <c r="P40" s="746"/>
      <c r="Q40" s="746"/>
      <c r="R40" s="746"/>
      <c r="S40" s="746"/>
      <c r="T40" s="746"/>
      <c r="U40" s="746"/>
    </row>
    <row r="41" spans="1:21" ht="11.25">
      <c r="A41" s="746"/>
      <c r="B41" s="822" t="s">
        <v>831</v>
      </c>
      <c r="C41" s="823"/>
      <c r="D41" s="823"/>
      <c r="E41" s="823"/>
      <c r="F41" s="823"/>
      <c r="G41" s="823"/>
      <c r="H41" s="823"/>
      <c r="I41" s="823"/>
      <c r="J41" s="823"/>
      <c r="K41" s="823"/>
      <c r="L41" s="823"/>
      <c r="M41" s="823"/>
      <c r="N41" s="746"/>
      <c r="O41" s="746"/>
      <c r="P41" s="746"/>
      <c r="Q41" s="746"/>
      <c r="R41" s="746"/>
      <c r="S41" s="746"/>
      <c r="T41" s="746"/>
      <c r="U41" s="746"/>
    </row>
    <row r="42" spans="1:21" ht="11.25">
      <c r="A42" s="746"/>
      <c r="B42" s="813" t="s">
        <v>25</v>
      </c>
      <c r="C42" s="813"/>
      <c r="D42" s="857">
        <v>0.21</v>
      </c>
      <c r="E42" s="857">
        <v>0.19</v>
      </c>
      <c r="F42" s="857">
        <v>0.17</v>
      </c>
      <c r="G42" s="857">
        <v>0.15</v>
      </c>
      <c r="H42" s="857">
        <v>0.13</v>
      </c>
      <c r="I42" s="857">
        <v>0.1</v>
      </c>
      <c r="J42" s="857">
        <v>0.09</v>
      </c>
      <c r="K42" s="857">
        <v>0.09</v>
      </c>
      <c r="L42" s="857">
        <v>0.08</v>
      </c>
      <c r="M42" s="857">
        <v>7.0000000000000007E-2</v>
      </c>
      <c r="N42" s="746"/>
      <c r="O42" s="856"/>
      <c r="P42" s="746"/>
      <c r="Q42" s="746"/>
      <c r="R42" s="746"/>
      <c r="S42" s="746"/>
      <c r="T42" s="746"/>
      <c r="U42" s="746"/>
    </row>
    <row r="43" spans="1:21" ht="11.25">
      <c r="A43" s="746"/>
      <c r="B43" s="813" t="s">
        <v>813</v>
      </c>
      <c r="C43" s="813"/>
      <c r="D43" s="764">
        <v>0.2</v>
      </c>
      <c r="E43" s="857">
        <v>0.18</v>
      </c>
      <c r="F43" s="857">
        <v>0.16</v>
      </c>
      <c r="G43" s="857">
        <v>0.14000000000000001</v>
      </c>
      <c r="H43" s="857">
        <v>0.12</v>
      </c>
      <c r="I43" s="857">
        <v>0.1</v>
      </c>
      <c r="J43" s="857">
        <v>0.08</v>
      </c>
      <c r="K43" s="857">
        <v>0.09</v>
      </c>
      <c r="L43" s="857">
        <v>7.0000000000000007E-2</v>
      </c>
      <c r="M43" s="857">
        <v>7.0000000000000007E-2</v>
      </c>
      <c r="N43" s="746"/>
      <c r="O43" s="856"/>
      <c r="P43" s="746"/>
      <c r="Q43" s="746"/>
      <c r="R43" s="746"/>
      <c r="S43" s="746"/>
      <c r="T43" s="746"/>
      <c r="U43" s="746"/>
    </row>
    <row r="44" spans="1:21" ht="11.25">
      <c r="A44" s="746"/>
      <c r="B44" s="813" t="s">
        <v>817</v>
      </c>
      <c r="C44" s="813"/>
      <c r="D44" s="857">
        <v>-0.02</v>
      </c>
      <c r="E44" s="857">
        <v>0.11</v>
      </c>
      <c r="F44" s="857">
        <v>0.09</v>
      </c>
      <c r="G44" s="857">
        <v>0.1</v>
      </c>
      <c r="H44" s="857">
        <v>0.08</v>
      </c>
      <c r="I44" s="857">
        <v>0.06</v>
      </c>
      <c r="J44" s="857">
        <v>0.05</v>
      </c>
      <c r="K44" s="857">
        <v>0.05</v>
      </c>
      <c r="L44" s="857">
        <v>0.04</v>
      </c>
      <c r="M44" s="857">
        <v>0.03</v>
      </c>
      <c r="N44" s="746"/>
      <c r="O44" s="856"/>
      <c r="P44" s="746"/>
      <c r="Q44" s="746"/>
      <c r="R44" s="746"/>
      <c r="S44" s="746"/>
      <c r="T44" s="746"/>
      <c r="U44" s="746"/>
    </row>
    <row r="45" spans="1:21" ht="11.25">
      <c r="A45" s="746"/>
      <c r="B45" s="813" t="s">
        <v>820</v>
      </c>
      <c r="C45" s="813"/>
      <c r="D45" s="857">
        <v>0.52</v>
      </c>
      <c r="E45" s="857">
        <v>0.12</v>
      </c>
      <c r="F45" s="857">
        <v>0.12</v>
      </c>
      <c r="G45" s="857">
        <v>0.1</v>
      </c>
      <c r="H45" s="857">
        <v>0.08</v>
      </c>
      <c r="I45" s="857">
        <v>7.0000000000000007E-2</v>
      </c>
      <c r="J45" s="857">
        <v>0.06</v>
      </c>
      <c r="K45" s="857">
        <v>0.06</v>
      </c>
      <c r="L45" s="857">
        <v>0.05</v>
      </c>
      <c r="M45" s="857">
        <v>0.04</v>
      </c>
      <c r="N45" s="746"/>
      <c r="O45" s="856"/>
      <c r="P45" s="746"/>
      <c r="Q45" s="746"/>
      <c r="R45" s="746"/>
      <c r="S45" s="746"/>
      <c r="T45" s="746"/>
      <c r="U45" s="746"/>
    </row>
    <row r="46" spans="1:21" ht="11.25">
      <c r="A46" s="746"/>
      <c r="B46" s="813" t="s">
        <v>30</v>
      </c>
      <c r="C46" s="813"/>
      <c r="D46" s="857">
        <v>0.19</v>
      </c>
      <c r="E46" s="857">
        <v>0.14000000000000001</v>
      </c>
      <c r="F46" s="857">
        <v>0.12</v>
      </c>
      <c r="G46" s="857">
        <v>0.1</v>
      </c>
      <c r="H46" s="857">
        <v>0.08</v>
      </c>
      <c r="I46" s="857">
        <v>7.0000000000000007E-2</v>
      </c>
      <c r="J46" s="857">
        <v>7.0000000000000007E-2</v>
      </c>
      <c r="K46" s="857">
        <v>7.0000000000000007E-2</v>
      </c>
      <c r="L46" s="857">
        <v>0.05</v>
      </c>
      <c r="M46" s="857">
        <v>0.01</v>
      </c>
      <c r="N46" s="746"/>
      <c r="O46" s="856"/>
      <c r="P46" s="746"/>
      <c r="Q46" s="746"/>
      <c r="R46" s="746"/>
      <c r="S46" s="746"/>
      <c r="T46" s="746"/>
      <c r="U46" s="746"/>
    </row>
    <row r="47" spans="1:21" ht="11.25">
      <c r="A47" s="746"/>
      <c r="B47" s="813" t="s">
        <v>964</v>
      </c>
      <c r="C47" s="813"/>
      <c r="D47" s="857">
        <v>0.02</v>
      </c>
      <c r="E47" s="857">
        <v>0.19</v>
      </c>
      <c r="F47" s="857">
        <v>0.17</v>
      </c>
      <c r="G47" s="857">
        <v>0.15</v>
      </c>
      <c r="H47" s="857">
        <v>0.13</v>
      </c>
      <c r="I47" s="857">
        <v>0.1</v>
      </c>
      <c r="J47" s="857">
        <v>0.09</v>
      </c>
      <c r="K47" s="857">
        <v>0.09</v>
      </c>
      <c r="L47" s="857">
        <v>0.08</v>
      </c>
      <c r="M47" s="857">
        <v>7.0000000000000007E-2</v>
      </c>
      <c r="N47" s="746"/>
      <c r="O47" s="856"/>
      <c r="P47" s="746"/>
      <c r="Q47" s="746"/>
      <c r="R47" s="746"/>
      <c r="S47" s="746"/>
      <c r="T47" s="746"/>
      <c r="U47" s="746"/>
    </row>
    <row r="48" spans="1:21" ht="11.25">
      <c r="A48" s="746"/>
      <c r="B48" s="813"/>
      <c r="C48" s="813"/>
      <c r="D48" s="857"/>
      <c r="E48" s="857"/>
      <c r="F48" s="857"/>
      <c r="G48" s="857"/>
      <c r="H48" s="857"/>
      <c r="I48" s="857"/>
      <c r="J48" s="857"/>
      <c r="K48" s="857"/>
      <c r="L48" s="857"/>
      <c r="M48" s="857"/>
      <c r="N48" s="746"/>
      <c r="O48" s="858"/>
      <c r="P48" s="746"/>
      <c r="Q48" s="746"/>
      <c r="R48" s="746"/>
      <c r="S48" s="746"/>
      <c r="T48" s="746"/>
      <c r="U48" s="746"/>
    </row>
    <row r="49" spans="1:21" ht="11.25">
      <c r="A49" s="746"/>
      <c r="B49" s="822" t="s">
        <v>833</v>
      </c>
      <c r="C49" s="813"/>
      <c r="D49" s="857"/>
      <c r="E49" s="857"/>
      <c r="F49" s="857"/>
      <c r="G49" s="857"/>
      <c r="H49" s="857"/>
      <c r="I49" s="857"/>
      <c r="J49" s="857"/>
      <c r="K49" s="857"/>
      <c r="L49" s="857"/>
      <c r="M49" s="857"/>
      <c r="N49" s="746"/>
      <c r="O49" s="858"/>
      <c r="P49" s="746"/>
      <c r="Q49" s="746"/>
      <c r="R49" s="746"/>
      <c r="S49" s="746"/>
      <c r="T49" s="746"/>
      <c r="U49" s="746"/>
    </row>
    <row r="50" spans="1:21" ht="11.25">
      <c r="A50" s="746"/>
      <c r="B50" s="813" t="s">
        <v>814</v>
      </c>
      <c r="C50" s="813"/>
      <c r="D50" s="857">
        <v>0.11</v>
      </c>
      <c r="E50" s="857">
        <v>0.11</v>
      </c>
      <c r="F50" s="857">
        <v>0.1</v>
      </c>
      <c r="G50" s="857">
        <v>0.1</v>
      </c>
      <c r="H50" s="857">
        <v>0.1</v>
      </c>
      <c r="I50" s="857">
        <v>0.1</v>
      </c>
      <c r="J50" s="857">
        <v>0.1</v>
      </c>
      <c r="K50" s="857">
        <v>0.09</v>
      </c>
      <c r="L50" s="857">
        <v>0.09</v>
      </c>
      <c r="M50" s="857">
        <v>0.09</v>
      </c>
      <c r="N50" s="746"/>
      <c r="O50" s="856"/>
      <c r="P50" s="746"/>
      <c r="Q50" s="746"/>
      <c r="R50" s="746"/>
      <c r="S50" s="746"/>
      <c r="T50" s="746"/>
      <c r="U50" s="746"/>
    </row>
    <row r="51" spans="1:21" ht="11.25">
      <c r="A51" s="746"/>
      <c r="B51" s="813" t="s">
        <v>835</v>
      </c>
      <c r="C51" s="813"/>
      <c r="D51" s="857">
        <v>0.44</v>
      </c>
      <c r="E51" s="857">
        <v>0.44</v>
      </c>
      <c r="F51" s="857">
        <v>0.45</v>
      </c>
      <c r="G51" s="857">
        <v>0.45</v>
      </c>
      <c r="H51" s="857">
        <v>0.46</v>
      </c>
      <c r="I51" s="857">
        <v>0.46</v>
      </c>
      <c r="J51" s="857">
        <v>0.46</v>
      </c>
      <c r="K51" s="857">
        <v>0.46</v>
      </c>
      <c r="L51" s="857">
        <v>0.47</v>
      </c>
      <c r="M51" s="857">
        <v>0.47</v>
      </c>
      <c r="N51" s="746"/>
      <c r="O51" s="856"/>
      <c r="P51" s="746"/>
      <c r="Q51" s="746"/>
      <c r="R51" s="746"/>
      <c r="S51" s="746"/>
      <c r="T51" s="746"/>
      <c r="U51" s="746"/>
    </row>
    <row r="52" spans="1:21" ht="11.25">
      <c r="A52" s="746"/>
      <c r="B52" s="813" t="s">
        <v>108</v>
      </c>
      <c r="C52" s="813"/>
      <c r="D52" s="857">
        <v>0.08</v>
      </c>
      <c r="E52" s="857">
        <v>0.1</v>
      </c>
      <c r="F52" s="857">
        <v>0.12</v>
      </c>
      <c r="G52" s="857">
        <v>0.14000000000000001</v>
      </c>
      <c r="H52" s="857">
        <v>0.15</v>
      </c>
      <c r="I52" s="857">
        <v>0.16</v>
      </c>
      <c r="J52" s="857">
        <v>0.17</v>
      </c>
      <c r="K52" s="857">
        <v>0.18</v>
      </c>
      <c r="L52" s="857">
        <v>0.19</v>
      </c>
      <c r="M52" s="857">
        <v>0.2</v>
      </c>
      <c r="N52" s="746"/>
      <c r="O52" s="746"/>
      <c r="P52" s="746"/>
      <c r="Q52" s="746"/>
      <c r="R52" s="746"/>
      <c r="S52" s="746"/>
      <c r="T52" s="746"/>
      <c r="U52" s="746"/>
    </row>
    <row r="53" spans="1:21" ht="11.25">
      <c r="A53" s="746"/>
      <c r="B53" s="828" t="s">
        <v>110</v>
      </c>
      <c r="C53" s="828" t="s">
        <v>283</v>
      </c>
      <c r="D53" s="859">
        <v>0.13</v>
      </c>
      <c r="E53" s="859">
        <v>0.15</v>
      </c>
      <c r="F53" s="859">
        <v>0.17</v>
      </c>
      <c r="G53" s="859">
        <v>0.19</v>
      </c>
      <c r="H53" s="859">
        <v>0.2</v>
      </c>
      <c r="I53" s="859">
        <v>0.21</v>
      </c>
      <c r="J53" s="859">
        <v>0.22</v>
      </c>
      <c r="K53" s="859">
        <v>0.23</v>
      </c>
      <c r="L53" s="859">
        <v>0.24</v>
      </c>
      <c r="M53" s="859">
        <v>0.25</v>
      </c>
      <c r="N53" s="746"/>
      <c r="O53" s="746"/>
      <c r="P53" s="746"/>
      <c r="Q53" s="746"/>
      <c r="R53" s="746"/>
      <c r="S53" s="746"/>
      <c r="T53" s="746"/>
      <c r="U53" s="746"/>
    </row>
    <row r="54" spans="1:21" ht="11.25">
      <c r="A54" s="746"/>
      <c r="B54" s="821" t="s">
        <v>836</v>
      </c>
      <c r="C54" s="830"/>
      <c r="D54" s="830"/>
      <c r="E54" s="830"/>
      <c r="F54" s="830"/>
      <c r="G54" s="830"/>
      <c r="H54" s="830"/>
      <c r="I54" s="830"/>
      <c r="J54" s="830"/>
      <c r="K54" s="830"/>
      <c r="L54" s="830"/>
      <c r="M54" s="830"/>
      <c r="N54" s="746"/>
      <c r="O54" s="746"/>
      <c r="P54" s="746"/>
      <c r="Q54" s="746"/>
      <c r="R54" s="746"/>
      <c r="S54" s="746"/>
      <c r="T54" s="746"/>
      <c r="U54" s="746"/>
    </row>
    <row r="55" spans="1:21" ht="11.25">
      <c r="A55" s="746"/>
      <c r="B55" s="746"/>
      <c r="C55" s="746"/>
      <c r="D55" s="746"/>
      <c r="E55" s="746"/>
      <c r="F55" s="746"/>
      <c r="G55" s="746"/>
      <c r="H55" s="746"/>
      <c r="I55" s="746"/>
      <c r="J55" s="746"/>
      <c r="K55" s="746"/>
      <c r="L55" s="746"/>
      <c r="M55" s="746"/>
      <c r="N55" s="746"/>
      <c r="O55" s="746"/>
      <c r="P55" s="746"/>
      <c r="Q55" s="746"/>
      <c r="R55" s="746"/>
      <c r="S55" s="746"/>
      <c r="T55" s="746"/>
      <c r="U55" s="746"/>
    </row>
    <row r="56" spans="1:21" ht="11.25">
      <c r="A56" s="746"/>
      <c r="B56" s="836" t="s">
        <v>967</v>
      </c>
      <c r="C56" s="901">
        <v>1</v>
      </c>
      <c r="D56" s="869">
        <f>IF($C$56=$A$66,D66,IF($C$56=$A$77,D77,D86))</f>
        <v>-122331</v>
      </c>
      <c r="E56" s="869">
        <f t="shared" ref="E56:M56" si="7">IF($C$56=$A$66,E66,IF($C$56=$A$77,E77,E86))</f>
        <v>-145573.89000000004</v>
      </c>
      <c r="F56" s="869">
        <f t="shared" si="7"/>
        <v>-170321.45130000002</v>
      </c>
      <c r="G56" s="869">
        <f t="shared" si="7"/>
        <v>-195869.66899500001</v>
      </c>
      <c r="H56" s="869">
        <f t="shared" si="7"/>
        <v>-221332.72596435004</v>
      </c>
      <c r="I56" s="869">
        <f t="shared" si="7"/>
        <v>-243465.99856078502</v>
      </c>
      <c r="J56" s="869">
        <f t="shared" si="7"/>
        <v>-265377.93843125564</v>
      </c>
      <c r="K56" s="869">
        <f t="shared" si="7"/>
        <v>-289261.9528900687</v>
      </c>
      <c r="L56" s="869">
        <f t="shared" si="7"/>
        <v>-312402.90912127425</v>
      </c>
      <c r="M56" s="869">
        <f t="shared" si="7"/>
        <v>-334271.11275976355</v>
      </c>
      <c r="N56" s="746"/>
      <c r="O56" s="746"/>
      <c r="P56" s="746"/>
      <c r="Q56" s="746"/>
      <c r="R56" s="746"/>
      <c r="S56" s="746"/>
      <c r="T56" s="746"/>
      <c r="U56" s="746"/>
    </row>
    <row r="57" spans="1:21" ht="11.25">
      <c r="A57" s="746"/>
      <c r="B57" s="836" t="s">
        <v>968</v>
      </c>
      <c r="C57" s="902">
        <v>1</v>
      </c>
      <c r="D57" s="869">
        <f>IF($C$57=$A$100,D100,IF($C$57=$A$119,D119,D131))</f>
        <v>-353700.44520547963</v>
      </c>
      <c r="E57" s="869">
        <f t="shared" ref="E57:M57" si="8">IF($C$57=$A$100,E100,IF($C$57=$A$119,E119,E131))</f>
        <v>-330919.87831506901</v>
      </c>
      <c r="F57" s="869">
        <f t="shared" si="8"/>
        <v>-348596.95359424688</v>
      </c>
      <c r="G57" s="869">
        <f t="shared" si="8"/>
        <v>-349683.93854229432</v>
      </c>
      <c r="H57" s="869">
        <f t="shared" si="8"/>
        <v>-316727.51543926587</v>
      </c>
      <c r="I57" s="869">
        <f t="shared" si="8"/>
        <v>-239069.66359300027</v>
      </c>
      <c r="J57" s="869">
        <f t="shared" si="8"/>
        <v>-251544.84518882632</v>
      </c>
      <c r="K57" s="869">
        <f t="shared" si="8"/>
        <v>-341975.22092522029</v>
      </c>
      <c r="L57" s="869">
        <f t="shared" si="8"/>
        <v>-288659.65402925666</v>
      </c>
      <c r="M57" s="869">
        <f t="shared" si="8"/>
        <v>-282533.48211629782</v>
      </c>
      <c r="N57" s="746"/>
      <c r="O57" s="746"/>
      <c r="P57" s="746"/>
      <c r="Q57" s="746"/>
      <c r="R57" s="746"/>
      <c r="S57" s="746"/>
      <c r="T57" s="746"/>
      <c r="U57" s="746"/>
    </row>
    <row r="58" spans="1:21" ht="11.25">
      <c r="A58" s="746"/>
      <c r="B58" s="746"/>
      <c r="C58" s="746"/>
      <c r="D58" s="746"/>
      <c r="E58" s="746"/>
      <c r="F58" s="746"/>
      <c r="G58" s="746"/>
      <c r="H58" s="746"/>
      <c r="I58" s="746"/>
      <c r="J58" s="746"/>
      <c r="K58" s="746"/>
      <c r="L58" s="746"/>
      <c r="M58" s="746"/>
      <c r="N58" s="746"/>
      <c r="O58" s="746"/>
      <c r="P58" s="746"/>
      <c r="Q58" s="746"/>
      <c r="R58" s="746"/>
      <c r="S58" s="746"/>
      <c r="T58" s="746"/>
      <c r="U58" s="746"/>
    </row>
    <row r="59" spans="1:21" ht="11.25">
      <c r="A59" s="746"/>
      <c r="B59" s="746"/>
      <c r="C59" s="746"/>
      <c r="D59" s="746"/>
      <c r="E59" s="746"/>
      <c r="F59" s="746"/>
      <c r="G59" s="746"/>
      <c r="H59" s="746"/>
      <c r="I59" s="746"/>
      <c r="J59" s="746"/>
      <c r="K59" s="746"/>
      <c r="L59" s="746"/>
      <c r="M59" s="746"/>
      <c r="N59" s="746"/>
      <c r="O59" s="746"/>
      <c r="P59" s="746"/>
      <c r="Q59" s="746"/>
      <c r="R59" s="746"/>
      <c r="S59" s="746"/>
      <c r="T59" s="746"/>
      <c r="U59" s="746"/>
    </row>
    <row r="60" spans="1:21" ht="11.25">
      <c r="A60" s="746"/>
      <c r="B60" s="746"/>
      <c r="C60" s="746"/>
      <c r="D60" s="746"/>
      <c r="E60" s="746"/>
      <c r="F60" s="746"/>
      <c r="G60" s="746"/>
      <c r="H60" s="746"/>
      <c r="I60" s="746"/>
      <c r="J60" s="746"/>
      <c r="K60" s="746"/>
      <c r="L60" s="746"/>
      <c r="M60" s="746"/>
      <c r="N60" s="746"/>
      <c r="O60" s="746"/>
      <c r="P60" s="746"/>
      <c r="Q60" s="746"/>
      <c r="R60" s="746"/>
      <c r="S60" s="746"/>
      <c r="T60" s="746"/>
      <c r="U60" s="746"/>
    </row>
    <row r="61" spans="1:21" ht="11.25">
      <c r="A61" s="746" t="s">
        <v>969</v>
      </c>
      <c r="B61" s="933" t="s">
        <v>970</v>
      </c>
      <c r="C61" s="933"/>
      <c r="D61" s="746"/>
      <c r="E61" s="746"/>
      <c r="F61" s="746"/>
      <c r="G61" s="746"/>
      <c r="H61" s="746"/>
      <c r="I61" s="746"/>
      <c r="J61" s="746"/>
      <c r="K61" s="746"/>
      <c r="L61" s="746"/>
      <c r="M61" s="746"/>
      <c r="N61" s="746"/>
      <c r="O61" s="746"/>
      <c r="P61" s="746"/>
      <c r="Q61" s="746"/>
      <c r="R61" s="746"/>
      <c r="S61" s="746"/>
      <c r="T61" s="746"/>
      <c r="U61" s="746"/>
    </row>
    <row r="62" spans="1:21" ht="11.25">
      <c r="A62" s="746"/>
      <c r="B62" s="934" t="s">
        <v>971</v>
      </c>
      <c r="C62" s="934"/>
      <c r="D62" s="810" t="s">
        <v>283</v>
      </c>
      <c r="E62" s="810" t="s">
        <v>283</v>
      </c>
      <c r="F62" s="810" t="s">
        <v>283</v>
      </c>
      <c r="G62" s="810" t="s">
        <v>283</v>
      </c>
      <c r="H62" s="810" t="s">
        <v>283</v>
      </c>
      <c r="I62" s="810" t="s">
        <v>283</v>
      </c>
      <c r="J62" s="810" t="s">
        <v>283</v>
      </c>
      <c r="K62" s="810" t="s">
        <v>283</v>
      </c>
      <c r="L62" s="810" t="s">
        <v>283</v>
      </c>
      <c r="M62" s="810" t="s">
        <v>283</v>
      </c>
      <c r="N62" s="746"/>
      <c r="O62" s="809"/>
      <c r="P62" s="746"/>
      <c r="Q62" s="746"/>
      <c r="R62" s="746"/>
      <c r="S62" s="746"/>
      <c r="T62" s="746"/>
      <c r="U62" s="746"/>
    </row>
    <row r="63" spans="1:21" ht="11.25" outlineLevel="1">
      <c r="A63" s="746"/>
      <c r="B63" s="811" t="s">
        <v>804</v>
      </c>
      <c r="C63" s="811" t="s">
        <v>283</v>
      </c>
      <c r="D63" s="811" t="s">
        <v>948</v>
      </c>
      <c r="E63" s="811" t="s">
        <v>949</v>
      </c>
      <c r="F63" s="811" t="s">
        <v>950</v>
      </c>
      <c r="G63" s="811" t="s">
        <v>951</v>
      </c>
      <c r="H63" s="811" t="s">
        <v>952</v>
      </c>
      <c r="I63" s="811" t="s">
        <v>953</v>
      </c>
      <c r="J63" s="811" t="s">
        <v>954</v>
      </c>
      <c r="K63" s="811" t="s">
        <v>955</v>
      </c>
      <c r="L63" s="811" t="s">
        <v>956</v>
      </c>
      <c r="M63" s="811" t="s">
        <v>957</v>
      </c>
      <c r="N63" s="809"/>
      <c r="O63" s="809"/>
      <c r="P63" s="746"/>
      <c r="Q63" s="746"/>
      <c r="R63" s="746"/>
      <c r="S63" s="746"/>
      <c r="T63" s="746"/>
      <c r="U63" s="746"/>
    </row>
    <row r="64" spans="1:21" ht="12.75" outlineLevel="1">
      <c r="A64" s="746"/>
      <c r="B64" s="746" t="s">
        <v>972</v>
      </c>
      <c r="C64" s="746"/>
      <c r="D64" s="877">
        <f>-D17*0.02</f>
        <v>-81554</v>
      </c>
      <c r="E64" s="877">
        <f t="shared" ref="E64:M64" si="9">-E17*0.02</f>
        <v>-97049.260000000024</v>
      </c>
      <c r="F64" s="877">
        <f t="shared" si="9"/>
        <v>-113547.63420000001</v>
      </c>
      <c r="G64" s="877">
        <f t="shared" si="9"/>
        <v>-130579.77933000002</v>
      </c>
      <c r="H64" s="877">
        <f t="shared" si="9"/>
        <v>-147555.15064290003</v>
      </c>
      <c r="I64" s="877">
        <f t="shared" si="9"/>
        <v>-162310.66570719003</v>
      </c>
      <c r="J64" s="877">
        <f t="shared" si="9"/>
        <v>-176918.62562083709</v>
      </c>
      <c r="K64" s="877">
        <f t="shared" si="9"/>
        <v>-192841.30192671248</v>
      </c>
      <c r="L64" s="877">
        <f>-L17*0.02</f>
        <v>-208268.60608084951</v>
      </c>
      <c r="M64" s="877">
        <f t="shared" si="9"/>
        <v>-222847.40850650903</v>
      </c>
      <c r="N64" s="746"/>
      <c r="O64" s="746"/>
      <c r="P64" s="746"/>
      <c r="Q64" s="746"/>
      <c r="R64" s="746"/>
      <c r="S64" s="746"/>
      <c r="T64" s="746"/>
      <c r="U64" s="746"/>
    </row>
    <row r="65" spans="1:21" ht="12.75" outlineLevel="1">
      <c r="A65" s="746"/>
      <c r="B65" s="746" t="s">
        <v>973</v>
      </c>
      <c r="C65" s="746"/>
      <c r="D65" s="877">
        <f>-D17*0.01</f>
        <v>-40777</v>
      </c>
      <c r="E65" s="877">
        <f t="shared" ref="E65:M65" si="10">-E17*0.01</f>
        <v>-48524.630000000012</v>
      </c>
      <c r="F65" s="877">
        <f t="shared" si="10"/>
        <v>-56773.817100000007</v>
      </c>
      <c r="G65" s="877">
        <f t="shared" si="10"/>
        <v>-65289.88966500001</v>
      </c>
      <c r="H65" s="877">
        <f t="shared" si="10"/>
        <v>-73777.575321450015</v>
      </c>
      <c r="I65" s="877">
        <f t="shared" si="10"/>
        <v>-81155.332853595013</v>
      </c>
      <c r="J65" s="877">
        <f t="shared" si="10"/>
        <v>-88459.312810418545</v>
      </c>
      <c r="K65" s="877">
        <f t="shared" si="10"/>
        <v>-96420.650963356238</v>
      </c>
      <c r="L65" s="877">
        <f t="shared" si="10"/>
        <v>-104134.30304042475</v>
      </c>
      <c r="M65" s="877">
        <f t="shared" si="10"/>
        <v>-111423.70425325452</v>
      </c>
      <c r="N65" s="746"/>
      <c r="O65" s="746"/>
      <c r="P65" s="746"/>
      <c r="Q65" s="746"/>
      <c r="R65" s="746"/>
      <c r="S65" s="746"/>
      <c r="T65" s="746"/>
      <c r="U65" s="746"/>
    </row>
    <row r="66" spans="1:21" ht="11.25" outlineLevel="1">
      <c r="A66" s="746">
        <v>1</v>
      </c>
      <c r="B66" s="818" t="s">
        <v>974</v>
      </c>
      <c r="C66" s="818" t="s">
        <v>283</v>
      </c>
      <c r="D66" s="887">
        <f>IFERROR(SUM(D64:D65),"")</f>
        <v>-122331</v>
      </c>
      <c r="E66" s="887">
        <f t="shared" ref="E66:M66" si="11">IFERROR(SUM(E64:E65),"")</f>
        <v>-145573.89000000004</v>
      </c>
      <c r="F66" s="887">
        <f t="shared" si="11"/>
        <v>-170321.45130000002</v>
      </c>
      <c r="G66" s="887">
        <f t="shared" si="11"/>
        <v>-195869.66899500001</v>
      </c>
      <c r="H66" s="887">
        <f t="shared" si="11"/>
        <v>-221332.72596435004</v>
      </c>
      <c r="I66" s="887">
        <f t="shared" si="11"/>
        <v>-243465.99856078502</v>
      </c>
      <c r="J66" s="887">
        <f t="shared" si="11"/>
        <v>-265377.93843125564</v>
      </c>
      <c r="K66" s="887">
        <f t="shared" si="11"/>
        <v>-289261.9528900687</v>
      </c>
      <c r="L66" s="887">
        <f t="shared" si="11"/>
        <v>-312402.90912127425</v>
      </c>
      <c r="M66" s="887">
        <f t="shared" si="11"/>
        <v>-334271.11275976355</v>
      </c>
      <c r="N66" s="746"/>
      <c r="O66" s="746"/>
      <c r="P66" s="746"/>
      <c r="Q66" s="746"/>
      <c r="R66" s="746"/>
      <c r="S66" s="746"/>
      <c r="T66" s="746"/>
      <c r="U66" s="746"/>
    </row>
    <row r="67" spans="1:21" ht="11.25" outlineLevel="1">
      <c r="A67" s="746"/>
      <c r="B67" s="821" t="s">
        <v>975</v>
      </c>
      <c r="C67" s="746"/>
      <c r="D67" s="746"/>
      <c r="E67" s="746"/>
      <c r="F67" s="746"/>
      <c r="G67" s="746"/>
      <c r="H67" s="746"/>
      <c r="I67" s="746"/>
      <c r="J67" s="746"/>
      <c r="K67" s="746"/>
      <c r="L67" s="746"/>
      <c r="M67" s="746"/>
      <c r="N67" s="746"/>
      <c r="O67" s="746"/>
      <c r="P67" s="746"/>
      <c r="Q67" s="746"/>
      <c r="R67" s="746"/>
      <c r="S67" s="746"/>
      <c r="T67" s="746"/>
      <c r="U67" s="746"/>
    </row>
    <row r="68" spans="1:21" ht="11.25" outlineLevel="1">
      <c r="A68" s="746"/>
      <c r="B68" s="746"/>
      <c r="C68" s="746"/>
      <c r="D68" s="746"/>
      <c r="E68" s="746"/>
      <c r="F68" s="746"/>
      <c r="G68" s="746"/>
      <c r="H68" s="746"/>
      <c r="I68" s="746"/>
      <c r="J68" s="746"/>
      <c r="K68" s="746"/>
      <c r="L68" s="746"/>
      <c r="M68" s="746"/>
      <c r="N68" s="746"/>
      <c r="O68" s="746"/>
      <c r="P68" s="746"/>
      <c r="Q68" s="746"/>
      <c r="R68" s="746"/>
      <c r="S68" s="746"/>
      <c r="T68" s="746"/>
      <c r="U68" s="746"/>
    </row>
    <row r="69" spans="1:21" ht="11.25" outlineLevel="1">
      <c r="A69" s="746"/>
      <c r="B69" s="746" t="s">
        <v>976</v>
      </c>
      <c r="C69" s="746"/>
      <c r="D69" s="869">
        <f>(Historicals!H61-Forecast!D66-Forecast!D33)</f>
        <v>790223</v>
      </c>
      <c r="E69" s="869">
        <f>(Historicals!I61-Forecast!E66-Forecast!E33)</f>
        <v>-48524.439090827276</v>
      </c>
      <c r="F69" s="869">
        <f>(Historicals!J61-Forecast!F66-Forecast!F33)</f>
        <v>-56773.817100000015</v>
      </c>
      <c r="G69" s="869">
        <f>(Historicals!K61-Forecast!G66-Forecast!G33)</f>
        <v>-65289.889665000024</v>
      </c>
      <c r="H69" s="869">
        <f>(Historicals!L61-Forecast!H66-Forecast!H33)</f>
        <v>-73777.575321450015</v>
      </c>
      <c r="I69" s="869">
        <f>(Historicals!M61-Forecast!I66-Forecast!I33)</f>
        <v>-81155.332853595028</v>
      </c>
      <c r="J69" s="869">
        <f>(Historicals!N61-Forecast!J66-Forecast!J33)</f>
        <v>-88459.312810418545</v>
      </c>
      <c r="K69" s="869">
        <f>(Historicals!O61-Forecast!K66-Forecast!K33)</f>
        <v>-96420.650963356253</v>
      </c>
      <c r="L69" s="869">
        <f>(Historicals!P61-Forecast!L66-Forecast!L33)</f>
        <v>-104134.30304042477</v>
      </c>
      <c r="M69" s="869">
        <f>(Historicals!Q61-Forecast!M66-Forecast!M33)</f>
        <v>-111423.70425325452</v>
      </c>
      <c r="N69" s="746"/>
      <c r="O69" s="746"/>
      <c r="P69" s="746"/>
      <c r="Q69" s="746"/>
      <c r="R69" s="746"/>
      <c r="S69" s="746"/>
      <c r="T69" s="746"/>
      <c r="U69" s="746"/>
    </row>
    <row r="70" spans="1:21" ht="11.25" outlineLevel="1">
      <c r="A70" s="746"/>
      <c r="B70" s="813" t="s">
        <v>896</v>
      </c>
      <c r="C70" s="823"/>
      <c r="D70" s="848">
        <f>IFERROR(D66/D$17,"")</f>
        <v>-0.03</v>
      </c>
      <c r="E70" s="848">
        <f t="shared" ref="E70:M70" si="12">IFERROR(E66/E$17,"")</f>
        <v>-3.0000000000000002E-2</v>
      </c>
      <c r="F70" s="848">
        <f t="shared" si="12"/>
        <v>-0.03</v>
      </c>
      <c r="G70" s="848">
        <f t="shared" si="12"/>
        <v>-0.03</v>
      </c>
      <c r="H70" s="848">
        <f t="shared" si="12"/>
        <v>-3.0000000000000002E-2</v>
      </c>
      <c r="I70" s="848">
        <f t="shared" si="12"/>
        <v>-0.03</v>
      </c>
      <c r="J70" s="848">
        <f t="shared" si="12"/>
        <v>-0.03</v>
      </c>
      <c r="K70" s="848">
        <f t="shared" si="12"/>
        <v>-0.03</v>
      </c>
      <c r="L70" s="848">
        <f t="shared" si="12"/>
        <v>-0.03</v>
      </c>
      <c r="M70" s="848">
        <f t="shared" si="12"/>
        <v>-3.0000000000000002E-2</v>
      </c>
      <c r="N70" s="746"/>
      <c r="O70" s="746"/>
      <c r="P70" s="746"/>
      <c r="Q70" s="746"/>
      <c r="R70" s="746"/>
      <c r="S70" s="746"/>
      <c r="T70" s="746"/>
      <c r="U70" s="746"/>
    </row>
    <row r="71" spans="1:21" ht="11.25" outlineLevel="1">
      <c r="A71" s="746"/>
      <c r="B71" s="828" t="s">
        <v>977</v>
      </c>
      <c r="C71" s="850" t="s">
        <v>283</v>
      </c>
      <c r="D71" s="828">
        <f>IFERROR(D17/D69,"")</f>
        <v>5.1601889593190782</v>
      </c>
      <c r="E71" s="828">
        <f t="shared" ref="E71:M71" si="13">IFERROR(E17/E69,"")</f>
        <v>-100.00039342891192</v>
      </c>
      <c r="F71" s="828">
        <f t="shared" si="13"/>
        <v>-99.999999999999986</v>
      </c>
      <c r="G71" s="828">
        <f t="shared" si="13"/>
        <v>-99.999999999999972</v>
      </c>
      <c r="H71" s="828">
        <f t="shared" si="13"/>
        <v>-100</v>
      </c>
      <c r="I71" s="828">
        <f t="shared" si="13"/>
        <v>-99.999999999999972</v>
      </c>
      <c r="J71" s="828">
        <f t="shared" si="13"/>
        <v>-100</v>
      </c>
      <c r="K71" s="828">
        <f t="shared" si="13"/>
        <v>-99.999999999999986</v>
      </c>
      <c r="L71" s="828">
        <f t="shared" si="13"/>
        <v>-99.999999999999986</v>
      </c>
      <c r="M71" s="828">
        <f t="shared" si="13"/>
        <v>-100</v>
      </c>
      <c r="N71" s="746"/>
      <c r="O71" s="746"/>
      <c r="P71" s="746"/>
      <c r="Q71" s="746"/>
      <c r="R71" s="746"/>
      <c r="S71" s="746"/>
      <c r="T71" s="746"/>
      <c r="U71" s="746"/>
    </row>
    <row r="72" spans="1:21" ht="11.25" outlineLevel="1">
      <c r="A72" s="746"/>
      <c r="B72" s="746"/>
      <c r="C72" s="746"/>
      <c r="D72" s="746"/>
      <c r="E72" s="746"/>
      <c r="F72" s="746"/>
      <c r="G72" s="746"/>
      <c r="H72" s="746"/>
      <c r="I72" s="746"/>
      <c r="J72" s="746"/>
      <c r="K72" s="746"/>
      <c r="L72" s="746"/>
      <c r="M72" s="746"/>
      <c r="N72" s="746"/>
      <c r="O72" s="746"/>
      <c r="P72" s="746"/>
      <c r="Q72" s="746"/>
      <c r="R72" s="746"/>
      <c r="S72" s="746"/>
      <c r="T72" s="746"/>
      <c r="U72" s="746"/>
    </row>
    <row r="73" spans="1:21" ht="11.25">
      <c r="A73" s="746" t="s">
        <v>969</v>
      </c>
      <c r="B73" s="933" t="s">
        <v>978</v>
      </c>
      <c r="C73" s="933"/>
      <c r="D73" s="746"/>
      <c r="E73" s="746"/>
      <c r="F73" s="746"/>
      <c r="G73" s="746"/>
      <c r="H73" s="746"/>
      <c r="I73" s="746"/>
      <c r="J73" s="746"/>
      <c r="K73" s="746"/>
      <c r="L73" s="746"/>
      <c r="M73" s="746"/>
      <c r="N73" s="746"/>
      <c r="O73" s="746"/>
      <c r="P73" s="746"/>
      <c r="Q73" s="746"/>
      <c r="R73" s="746"/>
      <c r="S73" s="746"/>
      <c r="T73" s="746"/>
      <c r="U73" s="746"/>
    </row>
    <row r="74" spans="1:21" ht="11.25">
      <c r="A74" s="746"/>
      <c r="B74" s="934" t="s">
        <v>971</v>
      </c>
      <c r="C74" s="934"/>
      <c r="D74" s="810" t="s">
        <v>283</v>
      </c>
      <c r="E74" s="810" t="s">
        <v>283</v>
      </c>
      <c r="F74" s="810" t="s">
        <v>283</v>
      </c>
      <c r="G74" s="810" t="s">
        <v>283</v>
      </c>
      <c r="H74" s="810" t="s">
        <v>283</v>
      </c>
      <c r="I74" s="810" t="s">
        <v>283</v>
      </c>
      <c r="J74" s="810" t="s">
        <v>283</v>
      </c>
      <c r="K74" s="810" t="s">
        <v>283</v>
      </c>
      <c r="L74" s="810" t="s">
        <v>283</v>
      </c>
      <c r="M74" s="810" t="s">
        <v>283</v>
      </c>
      <c r="N74" s="809"/>
      <c r="O74" s="809"/>
      <c r="P74" s="746"/>
      <c r="Q74" s="746"/>
      <c r="R74" s="746"/>
      <c r="S74" s="746"/>
      <c r="T74" s="746"/>
      <c r="U74" s="746"/>
    </row>
    <row r="75" spans="1:21" ht="11.25" outlineLevel="1">
      <c r="A75" s="746"/>
      <c r="B75" s="811" t="s">
        <v>804</v>
      </c>
      <c r="C75" s="811" t="s">
        <v>283</v>
      </c>
      <c r="D75" s="811" t="s">
        <v>948</v>
      </c>
      <c r="E75" s="811" t="s">
        <v>949</v>
      </c>
      <c r="F75" s="811" t="s">
        <v>950</v>
      </c>
      <c r="G75" s="811" t="s">
        <v>951</v>
      </c>
      <c r="H75" s="811" t="s">
        <v>952</v>
      </c>
      <c r="I75" s="811" t="s">
        <v>953</v>
      </c>
      <c r="J75" s="811" t="s">
        <v>954</v>
      </c>
      <c r="K75" s="811" t="s">
        <v>955</v>
      </c>
      <c r="L75" s="811" t="s">
        <v>956</v>
      </c>
      <c r="M75" s="811" t="s">
        <v>957</v>
      </c>
      <c r="N75" s="746"/>
      <c r="O75" s="746"/>
      <c r="P75" s="746"/>
      <c r="Q75" s="746"/>
      <c r="R75" s="746"/>
      <c r="S75" s="746"/>
      <c r="T75" s="746"/>
      <c r="U75" s="746"/>
    </row>
    <row r="76" spans="1:21" ht="11.25" outlineLevel="1">
      <c r="A76" s="746"/>
      <c r="B76" s="816" t="s">
        <v>976</v>
      </c>
      <c r="C76" s="904">
        <f>Historicals!I180</f>
        <v>4.5319191562101393</v>
      </c>
      <c r="D76" s="868">
        <f>IFERROR(D17/$C$76,"")</f>
        <v>899773.33210198209</v>
      </c>
      <c r="E76" s="868">
        <f>IFERROR(E17/$C$76,"")</f>
        <v>1070730.2652013588</v>
      </c>
      <c r="F76" s="868">
        <f t="shared" ref="E76:M76" si="14">IFERROR(F17/$C$76,"")</f>
        <v>1252754.4102855898</v>
      </c>
      <c r="G76" s="868">
        <f t="shared" si="14"/>
        <v>1440667.5718284282</v>
      </c>
      <c r="H76" s="868">
        <f t="shared" si="14"/>
        <v>1627954.3561661239</v>
      </c>
      <c r="I76" s="868">
        <f t="shared" si="14"/>
        <v>1790749.7917827363</v>
      </c>
      <c r="J76" s="868">
        <f t="shared" si="14"/>
        <v>1951917.2730431824</v>
      </c>
      <c r="K76" s="868">
        <f t="shared" si="14"/>
        <v>2127589.8276170692</v>
      </c>
      <c r="L76" s="868">
        <f t="shared" si="14"/>
        <v>2297797.013826435</v>
      </c>
      <c r="M76" s="868">
        <f t="shared" si="14"/>
        <v>2458642.8047942859</v>
      </c>
      <c r="N76" s="746"/>
      <c r="O76" s="746"/>
      <c r="P76" s="746"/>
      <c r="Q76" s="746"/>
      <c r="R76" s="746"/>
      <c r="S76" s="746"/>
      <c r="T76" s="746"/>
      <c r="U76" s="746"/>
    </row>
    <row r="77" spans="1:21" ht="11.25" outlineLevel="1">
      <c r="A77" s="746">
        <v>2</v>
      </c>
      <c r="B77" s="862" t="s">
        <v>979</v>
      </c>
      <c r="C77" s="862" t="s">
        <v>283</v>
      </c>
      <c r="D77" s="905">
        <f>IFERROR(-(D69+D33-Historicals!D61),"")</f>
        <v>-512331</v>
      </c>
      <c r="E77" s="905">
        <f>IFERROR(-(E69+E33-Historicals!E61),"")</f>
        <v>346425.91909082723</v>
      </c>
      <c r="F77" s="905">
        <f>IFERROR(-(F69+F33-Historicals!F61),"")</f>
        <v>341678.54869999998</v>
      </c>
      <c r="G77" s="905">
        <f>IFERROR(-(G69+G33-Historicals!G61),"")</f>
        <v>371130.33100499999</v>
      </c>
      <c r="H77" s="905">
        <f>IFERROR(-(H69+H33-Historicals!H61),"")</f>
        <v>609667.27403564996</v>
      </c>
      <c r="I77" s="905">
        <f>IFERROR(-(I69+I33-Historicals!I61),"")</f>
        <v>-243465.8076516123</v>
      </c>
      <c r="J77" s="905">
        <f>IFERROR(-(J69+J33-Historicals!J61),"")</f>
        <v>-265377.93843125564</v>
      </c>
      <c r="K77" s="905">
        <f>IFERROR(-(K69+K33-Historicals!K61),"")</f>
        <v>-289261.9528900687</v>
      </c>
      <c r="L77" s="905">
        <f>IFERROR(-(L69+L33-Historicals!L61),"")</f>
        <v>-312402.90912127425</v>
      </c>
      <c r="M77" s="905">
        <f>IFERROR(-(M69+M33-Historicals!M61),"")</f>
        <v>-334271.11275976355</v>
      </c>
      <c r="N77" s="746"/>
      <c r="O77" s="746"/>
      <c r="P77" s="746"/>
      <c r="Q77" s="746"/>
      <c r="R77" s="746"/>
      <c r="S77" s="746"/>
      <c r="T77" s="746"/>
      <c r="U77" s="746"/>
    </row>
    <row r="78" spans="1:21" ht="11.25" outlineLevel="1">
      <c r="A78" s="746"/>
      <c r="B78" s="821" t="s">
        <v>980</v>
      </c>
      <c r="C78" s="746"/>
      <c r="D78" s="746"/>
      <c r="E78" s="746"/>
      <c r="F78" s="746"/>
      <c r="G78" s="746"/>
      <c r="H78" s="746"/>
      <c r="I78" s="746"/>
      <c r="J78" s="746"/>
      <c r="K78" s="746"/>
      <c r="L78" s="746"/>
      <c r="M78" s="746"/>
      <c r="N78" s="746"/>
      <c r="O78" s="746"/>
      <c r="P78" s="746"/>
      <c r="Q78" s="746"/>
      <c r="R78" s="746"/>
      <c r="S78" s="746"/>
      <c r="T78" s="746"/>
      <c r="U78" s="746"/>
    </row>
    <row r="79" spans="1:21" ht="11.25" outlineLevel="1">
      <c r="A79" s="746"/>
      <c r="B79" s="821"/>
      <c r="C79" s="746"/>
      <c r="D79" s="746"/>
      <c r="E79" s="746"/>
      <c r="F79" s="746"/>
      <c r="G79" s="746"/>
      <c r="H79" s="746"/>
      <c r="I79" s="746"/>
      <c r="J79" s="746"/>
      <c r="K79" s="746"/>
      <c r="L79" s="746"/>
      <c r="M79" s="746"/>
      <c r="N79" s="746"/>
      <c r="O79" s="746"/>
      <c r="P79" s="746"/>
      <c r="Q79" s="746"/>
      <c r="R79" s="746"/>
      <c r="S79" s="746"/>
      <c r="T79" s="746"/>
      <c r="U79" s="746"/>
    </row>
    <row r="80" spans="1:21" ht="11.25" outlineLevel="1">
      <c r="A80" s="746"/>
      <c r="B80" s="823" t="s">
        <v>896</v>
      </c>
      <c r="C80" s="823"/>
      <c r="D80" s="848">
        <f>IFERROR(D77/D$17,"")</f>
        <v>-0.12564215121269343</v>
      </c>
      <c r="E80" s="848">
        <f t="shared" ref="E80:M80" si="15">IFERROR(E77/E$17,"")</f>
        <v>7.1391769311961201E-2</v>
      </c>
      <c r="F80" s="848">
        <f t="shared" si="15"/>
        <v>6.0182416147601239E-2</v>
      </c>
      <c r="G80" s="848">
        <f t="shared" si="15"/>
        <v>5.6843461201918993E-2</v>
      </c>
      <c r="H80" s="848">
        <f t="shared" si="15"/>
        <v>8.2635851256878584E-2</v>
      </c>
      <c r="I80" s="848">
        <f t="shared" si="15"/>
        <v>-2.9999976476077911E-2</v>
      </c>
      <c r="J80" s="848">
        <f t="shared" si="15"/>
        <v>-0.03</v>
      </c>
      <c r="K80" s="848">
        <f t="shared" si="15"/>
        <v>-0.03</v>
      </c>
      <c r="L80" s="848">
        <f t="shared" si="15"/>
        <v>-0.03</v>
      </c>
      <c r="M80" s="848">
        <f t="shared" si="15"/>
        <v>-3.0000000000000002E-2</v>
      </c>
      <c r="N80" s="746"/>
      <c r="O80" s="746"/>
      <c r="P80" s="746"/>
      <c r="Q80" s="746"/>
      <c r="R80" s="746"/>
      <c r="S80" s="746"/>
      <c r="T80" s="746"/>
      <c r="U80" s="746"/>
    </row>
    <row r="81" spans="1:21" ht="11.25" outlineLevel="1">
      <c r="A81" s="746"/>
      <c r="B81" s="850" t="s">
        <v>283</v>
      </c>
      <c r="C81" s="850" t="s">
        <v>283</v>
      </c>
      <c r="D81" s="850" t="s">
        <v>283</v>
      </c>
      <c r="E81" s="850" t="s">
        <v>283</v>
      </c>
      <c r="F81" s="850" t="s">
        <v>283</v>
      </c>
      <c r="G81" s="850" t="s">
        <v>283</v>
      </c>
      <c r="H81" s="850" t="s">
        <v>283</v>
      </c>
      <c r="I81" s="850" t="s">
        <v>283</v>
      </c>
      <c r="J81" s="850" t="s">
        <v>283</v>
      </c>
      <c r="K81" s="850" t="s">
        <v>283</v>
      </c>
      <c r="L81" s="850" t="s">
        <v>283</v>
      </c>
      <c r="M81" s="850" t="s">
        <v>283</v>
      </c>
      <c r="N81" s="746"/>
      <c r="O81" s="746"/>
      <c r="P81" s="746"/>
      <c r="Q81" s="746"/>
      <c r="R81" s="746"/>
      <c r="S81" s="746"/>
      <c r="T81" s="746"/>
      <c r="U81" s="746"/>
    </row>
    <row r="82" spans="1:21" ht="4.1500000000000004" customHeight="1" outlineLevel="1">
      <c r="A82" s="746"/>
      <c r="B82" s="746"/>
      <c r="C82" s="746"/>
      <c r="D82" s="746"/>
      <c r="E82" s="746"/>
      <c r="F82" s="746"/>
      <c r="G82" s="746"/>
      <c r="H82" s="746"/>
      <c r="I82" s="746"/>
      <c r="J82" s="746"/>
      <c r="K82" s="746"/>
      <c r="L82" s="746"/>
      <c r="M82" s="746"/>
      <c r="N82" s="746"/>
      <c r="O82" s="746"/>
      <c r="P82" s="746"/>
      <c r="Q82" s="746"/>
      <c r="R82" s="746"/>
      <c r="S82" s="746"/>
      <c r="T82" s="746"/>
      <c r="U82" s="746"/>
    </row>
    <row r="83" spans="1:21" ht="11.25">
      <c r="A83" s="746" t="s">
        <v>969</v>
      </c>
      <c r="B83" s="860" t="s">
        <v>981</v>
      </c>
      <c r="C83" s="861" t="s">
        <v>283</v>
      </c>
      <c r="D83" s="746"/>
      <c r="E83" s="746"/>
      <c r="F83" s="746"/>
      <c r="G83" s="746"/>
      <c r="H83" s="746"/>
      <c r="I83" s="746"/>
      <c r="J83" s="746"/>
      <c r="K83" s="746"/>
      <c r="L83" s="746"/>
      <c r="M83" s="746"/>
      <c r="N83" s="746"/>
      <c r="O83" s="746"/>
      <c r="P83" s="746"/>
      <c r="Q83" s="746"/>
      <c r="R83" s="746"/>
      <c r="S83" s="746"/>
      <c r="T83" s="746"/>
      <c r="U83" s="746"/>
    </row>
    <row r="84" spans="1:21" ht="11.25">
      <c r="A84" s="746"/>
      <c r="B84" s="934" t="s">
        <v>971</v>
      </c>
      <c r="C84" s="934"/>
      <c r="D84" s="810" t="s">
        <v>283</v>
      </c>
      <c r="E84" s="810" t="s">
        <v>283</v>
      </c>
      <c r="F84" s="810" t="s">
        <v>283</v>
      </c>
      <c r="G84" s="810" t="s">
        <v>283</v>
      </c>
      <c r="H84" s="810" t="s">
        <v>283</v>
      </c>
      <c r="I84" s="810" t="s">
        <v>283</v>
      </c>
      <c r="J84" s="810" t="s">
        <v>283</v>
      </c>
      <c r="K84" s="810" t="s">
        <v>283</v>
      </c>
      <c r="L84" s="810" t="s">
        <v>283</v>
      </c>
      <c r="M84" s="810" t="s">
        <v>283</v>
      </c>
      <c r="N84" s="809"/>
      <c r="O84" s="809"/>
      <c r="P84" s="746"/>
      <c r="Q84" s="746"/>
      <c r="R84" s="746"/>
      <c r="S84" s="746"/>
      <c r="T84" s="746"/>
      <c r="U84" s="746"/>
    </row>
    <row r="85" spans="1:21" ht="11.25" outlineLevel="1">
      <c r="A85" s="746"/>
      <c r="B85" s="811" t="s">
        <v>804</v>
      </c>
      <c r="C85" s="811" t="s">
        <v>283</v>
      </c>
      <c r="D85" s="811" t="s">
        <v>948</v>
      </c>
      <c r="E85" s="811" t="s">
        <v>949</v>
      </c>
      <c r="F85" s="811" t="s">
        <v>950</v>
      </c>
      <c r="G85" s="811" t="s">
        <v>951</v>
      </c>
      <c r="H85" s="811" t="s">
        <v>952</v>
      </c>
      <c r="I85" s="811" t="s">
        <v>953</v>
      </c>
      <c r="J85" s="811" t="s">
        <v>954</v>
      </c>
      <c r="K85" s="811" t="s">
        <v>955</v>
      </c>
      <c r="L85" s="811" t="s">
        <v>956</v>
      </c>
      <c r="M85" s="811" t="s">
        <v>957</v>
      </c>
      <c r="N85" s="746"/>
      <c r="O85" s="746"/>
      <c r="P85" s="746"/>
      <c r="Q85" s="746"/>
      <c r="R85" s="746"/>
      <c r="S85" s="746"/>
      <c r="T85" s="746"/>
      <c r="U85" s="746"/>
    </row>
    <row r="86" spans="1:21" ht="11.25" outlineLevel="1">
      <c r="A86" s="746">
        <v>3</v>
      </c>
      <c r="B86" s="863" t="s">
        <v>895</v>
      </c>
      <c r="C86" s="864">
        <f>Historicals!I123</f>
        <v>-9.1940111245940037E-2</v>
      </c>
      <c r="D86" s="906">
        <f>IFERROR(D17*$C$86,"")</f>
        <v>-374904.19162756967</v>
      </c>
      <c r="E86" s="906">
        <f t="shared" ref="E86:M86" si="16">IFERROR(E17*$C$86,"")</f>
        <v>-446135.98803680803</v>
      </c>
      <c r="F86" s="906">
        <f t="shared" si="16"/>
        <v>-521979.10600306536</v>
      </c>
      <c r="G86" s="906">
        <f t="shared" si="16"/>
        <v>-600275.97190352518</v>
      </c>
      <c r="H86" s="906">
        <f t="shared" si="16"/>
        <v>-678311.8482509834</v>
      </c>
      <c r="I86" s="906">
        <f t="shared" si="16"/>
        <v>-746143.03307608177</v>
      </c>
      <c r="J86" s="906">
        <f t="shared" si="16"/>
        <v>-813295.906052929</v>
      </c>
      <c r="K86" s="906">
        <f t="shared" si="16"/>
        <v>-886492.5375976928</v>
      </c>
      <c r="L86" s="906">
        <f t="shared" si="16"/>
        <v>-957411.9406055084</v>
      </c>
      <c r="M86" s="906">
        <f t="shared" si="16"/>
        <v>-1024430.7764478942</v>
      </c>
      <c r="N86" s="746"/>
      <c r="O86" s="746"/>
      <c r="P86" s="746"/>
      <c r="Q86" s="746"/>
      <c r="R86" s="746"/>
      <c r="S86" s="746"/>
      <c r="T86" s="746"/>
      <c r="U86" s="746"/>
    </row>
    <row r="87" spans="1:21" ht="11.25" outlineLevel="1">
      <c r="A87" s="746"/>
      <c r="B87" s="821" t="s">
        <v>980</v>
      </c>
      <c r="C87" s="746"/>
      <c r="D87" s="746"/>
      <c r="E87" s="746"/>
      <c r="F87" s="746"/>
      <c r="G87" s="746"/>
      <c r="H87" s="746"/>
      <c r="I87" s="746"/>
      <c r="J87" s="746"/>
      <c r="K87" s="746"/>
      <c r="L87" s="746"/>
      <c r="M87" s="746"/>
      <c r="N87" s="746"/>
      <c r="O87" s="746"/>
      <c r="P87" s="746"/>
      <c r="Q87" s="746"/>
      <c r="R87" s="746"/>
      <c r="S87" s="746"/>
      <c r="T87" s="746"/>
      <c r="U87" s="746"/>
    </row>
    <row r="88" spans="1:21" ht="11.25" outlineLevel="1">
      <c r="A88" s="746"/>
      <c r="B88" s="746"/>
      <c r="C88" s="746"/>
      <c r="D88" s="746"/>
      <c r="E88" s="746"/>
      <c r="F88" s="746"/>
      <c r="G88" s="746"/>
      <c r="H88" s="746"/>
      <c r="I88" s="746"/>
      <c r="J88" s="746"/>
      <c r="K88" s="746"/>
      <c r="L88" s="746"/>
      <c r="M88" s="746"/>
      <c r="N88" s="746"/>
      <c r="O88" s="746"/>
      <c r="P88" s="746"/>
      <c r="Q88" s="746"/>
      <c r="R88" s="746"/>
      <c r="S88" s="746"/>
      <c r="T88" s="746"/>
      <c r="U88" s="746"/>
    </row>
    <row r="89" spans="1:21" ht="11.25">
      <c r="A89" s="746"/>
      <c r="B89" s="746"/>
      <c r="C89" s="746"/>
      <c r="D89" s="746"/>
      <c r="E89" s="746"/>
      <c r="F89" s="746"/>
      <c r="G89" s="746"/>
      <c r="H89" s="746"/>
      <c r="I89" s="746"/>
      <c r="J89" s="746"/>
      <c r="K89" s="746"/>
      <c r="L89" s="746"/>
      <c r="M89" s="746"/>
      <c r="N89" s="746"/>
      <c r="O89" s="746"/>
      <c r="P89" s="746"/>
      <c r="Q89" s="746"/>
      <c r="R89" s="746"/>
      <c r="S89" s="746"/>
      <c r="T89" s="746"/>
      <c r="U89" s="746"/>
    </row>
    <row r="90" spans="1:21" ht="11.25">
      <c r="A90" s="746"/>
      <c r="B90" s="746"/>
      <c r="C90" s="746"/>
      <c r="D90" s="746"/>
      <c r="E90" s="746"/>
      <c r="F90" s="746"/>
      <c r="G90" s="746"/>
      <c r="H90" s="746"/>
      <c r="I90" s="746"/>
      <c r="J90" s="746"/>
      <c r="K90" s="746"/>
      <c r="L90" s="746"/>
      <c r="M90" s="746"/>
      <c r="N90" s="746"/>
      <c r="O90" s="746"/>
      <c r="P90" s="746"/>
      <c r="Q90" s="746"/>
      <c r="R90" s="746"/>
      <c r="S90" s="746"/>
      <c r="T90" s="746"/>
      <c r="U90" s="746"/>
    </row>
    <row r="91" spans="1:21" ht="11.25">
      <c r="A91" s="746" t="s">
        <v>969</v>
      </c>
      <c r="B91" s="933" t="s">
        <v>982</v>
      </c>
      <c r="C91" s="933"/>
      <c r="D91" s="746"/>
      <c r="E91" s="746"/>
      <c r="F91" s="746"/>
      <c r="G91" s="746"/>
      <c r="H91" s="746"/>
      <c r="I91" s="746"/>
      <c r="J91" s="746"/>
      <c r="K91" s="746"/>
      <c r="L91" s="746"/>
      <c r="M91" s="746"/>
      <c r="N91" s="746"/>
      <c r="O91" s="746"/>
      <c r="P91" s="746"/>
      <c r="Q91" s="746"/>
      <c r="R91" s="746"/>
      <c r="S91" s="746"/>
      <c r="T91" s="746"/>
      <c r="U91" s="746"/>
    </row>
    <row r="92" spans="1:21" ht="11.25">
      <c r="A92" s="746"/>
      <c r="B92" s="934" t="s">
        <v>983</v>
      </c>
      <c r="C92" s="934"/>
      <c r="D92" s="810" t="s">
        <v>283</v>
      </c>
      <c r="E92" s="810" t="s">
        <v>283</v>
      </c>
      <c r="F92" s="810" t="s">
        <v>283</v>
      </c>
      <c r="G92" s="810" t="s">
        <v>283</v>
      </c>
      <c r="H92" s="810" t="s">
        <v>283</v>
      </c>
      <c r="I92" s="810" t="s">
        <v>283</v>
      </c>
      <c r="J92" s="810" t="s">
        <v>283</v>
      </c>
      <c r="K92" s="810" t="s">
        <v>283</v>
      </c>
      <c r="L92" s="810" t="s">
        <v>283</v>
      </c>
      <c r="M92" s="810" t="s">
        <v>283</v>
      </c>
      <c r="N92" s="935" t="s">
        <v>984</v>
      </c>
      <c r="O92" s="935"/>
      <c r="P92" s="935"/>
      <c r="Q92" s="746"/>
      <c r="R92" s="746"/>
      <c r="S92" s="746"/>
      <c r="T92" s="746"/>
      <c r="U92" s="746"/>
    </row>
    <row r="93" spans="1:21" ht="11.25" outlineLevel="1">
      <c r="A93" s="746"/>
      <c r="B93" s="811" t="s">
        <v>804</v>
      </c>
      <c r="C93" s="811" t="s">
        <v>283</v>
      </c>
      <c r="D93" s="811" t="s">
        <v>948</v>
      </c>
      <c r="E93" s="811" t="s">
        <v>949</v>
      </c>
      <c r="F93" s="811" t="s">
        <v>950</v>
      </c>
      <c r="G93" s="811" t="s">
        <v>951</v>
      </c>
      <c r="H93" s="811" t="s">
        <v>952</v>
      </c>
      <c r="I93" s="811" t="s">
        <v>953</v>
      </c>
      <c r="J93" s="811" t="s">
        <v>954</v>
      </c>
      <c r="K93" s="811" t="s">
        <v>955</v>
      </c>
      <c r="L93" s="811" t="s">
        <v>956</v>
      </c>
      <c r="M93" s="811" t="s">
        <v>957</v>
      </c>
      <c r="N93" s="746"/>
      <c r="O93" s="746"/>
      <c r="P93" s="746"/>
      <c r="Q93" s="746"/>
      <c r="R93" s="746"/>
      <c r="S93" s="746"/>
      <c r="T93" s="746"/>
      <c r="U93" s="746"/>
    </row>
    <row r="94" spans="1:21" ht="11.25" outlineLevel="1">
      <c r="A94" s="746"/>
      <c r="B94" s="746" t="s">
        <v>915</v>
      </c>
      <c r="C94" s="746"/>
      <c r="D94" s="909">
        <f>D17*110/365</f>
        <v>1228895.8904109588</v>
      </c>
      <c r="E94" s="909">
        <f>E17*108/365</f>
        <v>1435797.2712328769</v>
      </c>
      <c r="F94" s="909">
        <f>F17*105/365</f>
        <v>1633219.3960273974</v>
      </c>
      <c r="G94" s="909">
        <f>G17*102/365</f>
        <v>1824539.3824191783</v>
      </c>
      <c r="H94" s="909">
        <f>H17*100/365</f>
        <v>2021303.4334643837</v>
      </c>
      <c r="I94" s="909">
        <f>I17*98/365</f>
        <v>2178965.1012746058</v>
      </c>
      <c r="J94" s="909">
        <f>J17*96/365</f>
        <v>2326601.104054844</v>
      </c>
      <c r="K94" s="909">
        <f>K17*93/365</f>
        <v>2456745.3533129124</v>
      </c>
      <c r="L94" s="909">
        <f>L17*91/365</f>
        <v>2596225.0895010009</v>
      </c>
      <c r="M94" s="909">
        <f>M17*90/365</f>
        <v>2747433.8035049061</v>
      </c>
      <c r="N94" s="908" t="s">
        <v>985</v>
      </c>
      <c r="O94" s="746"/>
      <c r="P94" s="746"/>
      <c r="Q94" s="746"/>
      <c r="R94" s="746"/>
      <c r="S94" s="746"/>
      <c r="T94" s="746"/>
      <c r="U94" s="746"/>
    </row>
    <row r="95" spans="1:21" ht="11.25" outlineLevel="1">
      <c r="A95" s="746"/>
      <c r="B95" s="746" t="s">
        <v>43</v>
      </c>
      <c r="C95" s="746"/>
      <c r="D95" s="910">
        <f>-D23*17/365</f>
        <v>107304.95479452054</v>
      </c>
      <c r="E95" s="911">
        <f>-E23*16/365</f>
        <v>119117.99583561647</v>
      </c>
      <c r="F95" s="911">
        <f>-F23*15/365</f>
        <v>129490.9663993151</v>
      </c>
      <c r="G95" s="911">
        <f>-G23*15/365</f>
        <v>147573.03828390414</v>
      </c>
      <c r="H95" s="911">
        <f>-H23*14/365</f>
        <v>154225.4519733325</v>
      </c>
      <c r="I95" s="911">
        <f>-I23*14/365</f>
        <v>169647.99717066574</v>
      </c>
      <c r="J95" s="911">
        <f>-J23*13/365</f>
        <v>170132.70573401049</v>
      </c>
      <c r="K95" s="911">
        <f>-K23*13/365</f>
        <v>185444.64925007144</v>
      </c>
      <c r="L95" s="911">
        <f>-L23*13/365</f>
        <v>198425.77469757647</v>
      </c>
      <c r="M95" s="911">
        <f>-M23*12/365</f>
        <v>195983.61131668332</v>
      </c>
      <c r="N95" s="908" t="s">
        <v>986</v>
      </c>
      <c r="O95" s="746"/>
      <c r="P95" s="746"/>
      <c r="Q95" s="746"/>
      <c r="R95" s="746"/>
      <c r="S95" s="746"/>
      <c r="T95" s="746"/>
      <c r="U95" s="746"/>
    </row>
    <row r="96" spans="1:21" ht="11.25" outlineLevel="1">
      <c r="A96" s="746"/>
      <c r="B96" s="746" t="s">
        <v>916</v>
      </c>
      <c r="C96" s="746"/>
      <c r="D96" s="910">
        <f>D23*112/365</f>
        <v>-706950.29041095893</v>
      </c>
      <c r="E96" s="911">
        <f>E23*113/365</f>
        <v>-841270.84558904136</v>
      </c>
      <c r="F96" s="911">
        <f>F23*113/365</f>
        <v>-975498.61354150705</v>
      </c>
      <c r="G96" s="911">
        <f>G23*114/365</f>
        <v>-1121555.0909576714</v>
      </c>
      <c r="H96" s="911">
        <f>H23*114/365</f>
        <v>-1255835.823211422</v>
      </c>
      <c r="I96" s="911">
        <f>I23*115/365</f>
        <v>-1393537.1196161828</v>
      </c>
      <c r="J96" s="911">
        <f>J23*115/365</f>
        <v>-1505020.0891854772</v>
      </c>
      <c r="K96" s="911">
        <f>K23*115/365</f>
        <v>-1640471.8972121705</v>
      </c>
      <c r="L96" s="911">
        <f>L23*115/365</f>
        <v>-1755304.9300170229</v>
      </c>
      <c r="M96" s="911">
        <f>M23*116/365</f>
        <v>-1894508.2427279388</v>
      </c>
      <c r="N96" s="908"/>
      <c r="O96" s="746"/>
      <c r="P96" s="746"/>
      <c r="Q96" s="746"/>
      <c r="R96" s="746"/>
      <c r="S96" s="746"/>
      <c r="T96" s="746"/>
      <c r="U96" s="746"/>
    </row>
    <row r="97" spans="1:21" ht="11.25" outlineLevel="1">
      <c r="A97" s="746"/>
      <c r="B97" s="746" t="s">
        <v>860</v>
      </c>
      <c r="C97" s="746"/>
      <c r="D97" s="910">
        <f>D17*0.07</f>
        <v>285439</v>
      </c>
      <c r="E97" s="911">
        <f>E17*0.065</f>
        <v>315410.09500000009</v>
      </c>
      <c r="F97" s="911">
        <f>F17*0.06</f>
        <v>340642.90260000003</v>
      </c>
      <c r="G97" s="911">
        <f>G17*0.055</f>
        <v>359094.39315750008</v>
      </c>
      <c r="H97" s="911">
        <f>H17*0.05</f>
        <v>368887.87660725007</v>
      </c>
      <c r="I97" s="911">
        <f>I17*0.048</f>
        <v>389545.59769725607</v>
      </c>
      <c r="J97" s="911">
        <f>J17*0.046</f>
        <v>406912.83892792533</v>
      </c>
      <c r="K97" s="911">
        <f>K17*0.044</f>
        <v>424250.86423876742</v>
      </c>
      <c r="L97" s="911">
        <f>L17*0.042</f>
        <v>437364.07276978396</v>
      </c>
      <c r="M97" s="911">
        <f>M17*0.04</f>
        <v>445694.81701301807</v>
      </c>
      <c r="N97" s="746" t="s">
        <v>987</v>
      </c>
      <c r="O97" s="746"/>
      <c r="P97" s="746"/>
      <c r="Q97" s="746"/>
      <c r="R97" s="746"/>
      <c r="S97" s="746"/>
      <c r="T97" s="746"/>
      <c r="U97" s="746"/>
    </row>
    <row r="98" spans="1:21" ht="11.25" outlineLevel="1">
      <c r="A98" s="746"/>
      <c r="B98" s="746" t="s">
        <v>917</v>
      </c>
      <c r="C98" s="746"/>
      <c r="D98" s="910">
        <f>D17*(-0.7)</f>
        <v>-2854390</v>
      </c>
      <c r="E98" s="911">
        <f>E17*(-0.68)</f>
        <v>-3299674.8400000008</v>
      </c>
      <c r="F98" s="911">
        <f>F17*(-0.66)</f>
        <v>-3747071.9286000007</v>
      </c>
      <c r="G98" s="911">
        <f>G17*(-0.64)</f>
        <v>-4178552.9385600006</v>
      </c>
      <c r="H98" s="911">
        <f>H17*(-0.62)</f>
        <v>-4574209.6699299002</v>
      </c>
      <c r="I98" s="911">
        <f>I17*(-0.6)</f>
        <v>-4869319.9712157007</v>
      </c>
      <c r="J98" s="911">
        <f>J17*(-0.585)</f>
        <v>-5174869.7994094845</v>
      </c>
      <c r="K98" s="911">
        <f>K17*(-0.575)</f>
        <v>-5544187.4303929834</v>
      </c>
      <c r="L98" s="911">
        <f>L17*(-0.565)</f>
        <v>-5883588.1217839979</v>
      </c>
      <c r="M98" s="911">
        <f>M17*(-0.555)</f>
        <v>-6184015.5860556262</v>
      </c>
      <c r="N98" s="908" t="s">
        <v>988</v>
      </c>
      <c r="O98" s="746"/>
      <c r="P98" s="746"/>
      <c r="Q98" s="746"/>
      <c r="R98" s="746"/>
      <c r="S98" s="746"/>
      <c r="T98" s="746"/>
      <c r="U98" s="746"/>
    </row>
    <row r="99" spans="1:21" ht="11.25" outlineLevel="1">
      <c r="A99" s="746"/>
      <c r="B99" s="865" t="s">
        <v>901</v>
      </c>
      <c r="C99" s="865" t="s">
        <v>283</v>
      </c>
      <c r="D99" s="907">
        <f>SUM(D94:D98)</f>
        <v>-1939700.4452054796</v>
      </c>
      <c r="E99" s="907">
        <f t="shared" ref="E99:M99" si="17">SUM(E94:E98)</f>
        <v>-2270620.3235205486</v>
      </c>
      <c r="F99" s="907">
        <f t="shared" si="17"/>
        <v>-2619217.2771147955</v>
      </c>
      <c r="G99" s="907">
        <f t="shared" si="17"/>
        <v>-2968901.2156570898</v>
      </c>
      <c r="H99" s="907">
        <f t="shared" si="17"/>
        <v>-3285628.7310963557</v>
      </c>
      <c r="I99" s="907">
        <f t="shared" si="17"/>
        <v>-3524698.394689356</v>
      </c>
      <c r="J99" s="907">
        <f t="shared" si="17"/>
        <v>-3776243.2398781823</v>
      </c>
      <c r="K99" s="907">
        <f t="shared" si="17"/>
        <v>-4118218.4608034026</v>
      </c>
      <c r="L99" s="907">
        <f t="shared" si="17"/>
        <v>-4406878.1148326593</v>
      </c>
      <c r="M99" s="907">
        <f t="shared" si="17"/>
        <v>-4689411.5969489571</v>
      </c>
      <c r="N99" s="746"/>
      <c r="O99" s="746"/>
      <c r="P99" s="746"/>
      <c r="Q99" s="746"/>
      <c r="R99" s="746"/>
      <c r="S99" s="746"/>
      <c r="T99" s="746"/>
      <c r="U99" s="746"/>
    </row>
    <row r="100" spans="1:21" ht="11.25" outlineLevel="1">
      <c r="A100" s="746">
        <v>1</v>
      </c>
      <c r="B100" s="863" t="s">
        <v>904</v>
      </c>
      <c r="C100" s="863" t="s">
        <v>283</v>
      </c>
      <c r="D100" s="906">
        <f>D99-Historicals!H162</f>
        <v>-353700.44520547963</v>
      </c>
      <c r="E100" s="906">
        <f t="shared" ref="E100:M100" si="18">E99-D99</f>
        <v>-330919.87831506901</v>
      </c>
      <c r="F100" s="906">
        <f t="shared" si="18"/>
        <v>-348596.95359424688</v>
      </c>
      <c r="G100" s="906">
        <f t="shared" si="18"/>
        <v>-349683.93854229432</v>
      </c>
      <c r="H100" s="906">
        <f t="shared" si="18"/>
        <v>-316727.51543926587</v>
      </c>
      <c r="I100" s="906">
        <f t="shared" si="18"/>
        <v>-239069.66359300027</v>
      </c>
      <c r="J100" s="906">
        <f t="shared" si="18"/>
        <v>-251544.84518882632</v>
      </c>
      <c r="K100" s="906">
        <f t="shared" si="18"/>
        <v>-341975.22092522029</v>
      </c>
      <c r="L100" s="906">
        <f t="shared" si="18"/>
        <v>-288659.65402925666</v>
      </c>
      <c r="M100" s="906">
        <f t="shared" si="18"/>
        <v>-282533.48211629782</v>
      </c>
      <c r="N100" s="746"/>
      <c r="O100" s="746"/>
      <c r="P100" s="746"/>
      <c r="Q100" s="746"/>
      <c r="R100" s="746"/>
      <c r="S100" s="746"/>
      <c r="T100" s="746"/>
      <c r="U100" s="746"/>
    </row>
    <row r="101" spans="1:21" ht="11.25" outlineLevel="1">
      <c r="A101" s="746"/>
      <c r="B101" s="821" t="s">
        <v>980</v>
      </c>
      <c r="C101" s="746"/>
      <c r="D101" s="746"/>
      <c r="E101" s="746"/>
      <c r="F101" s="746"/>
      <c r="G101" s="746"/>
      <c r="H101" s="746"/>
      <c r="I101" s="746"/>
      <c r="J101" s="746"/>
      <c r="K101" s="746"/>
      <c r="L101" s="746"/>
      <c r="M101" s="746"/>
      <c r="N101" s="746"/>
      <c r="O101" s="746"/>
      <c r="P101" s="746"/>
      <c r="Q101" s="746"/>
      <c r="R101" s="746"/>
      <c r="S101" s="746"/>
      <c r="T101" s="746"/>
      <c r="U101" s="746"/>
    </row>
    <row r="102" spans="1:21" ht="11.25" outlineLevel="1">
      <c r="A102" s="746"/>
      <c r="B102" s="746"/>
      <c r="C102" s="746"/>
      <c r="D102" s="746"/>
      <c r="E102" s="746"/>
      <c r="F102" s="746"/>
      <c r="G102" s="746"/>
      <c r="H102" s="746"/>
      <c r="I102" s="746"/>
      <c r="J102" s="746"/>
      <c r="K102" s="746"/>
      <c r="L102" s="746"/>
      <c r="M102" s="746"/>
      <c r="N102" s="746"/>
      <c r="O102" s="746"/>
      <c r="P102" s="746"/>
      <c r="Q102" s="746"/>
      <c r="R102" s="746"/>
      <c r="S102" s="746"/>
      <c r="T102" s="746"/>
      <c r="U102" s="746"/>
    </row>
    <row r="103" spans="1:21" ht="11.25" outlineLevel="1">
      <c r="A103" s="746"/>
      <c r="B103" s="816" t="s">
        <v>929</v>
      </c>
      <c r="C103" s="746"/>
      <c r="D103" s="746"/>
      <c r="E103" s="746"/>
      <c r="F103" s="746"/>
      <c r="G103" s="746"/>
      <c r="H103" s="746"/>
      <c r="I103" s="746"/>
      <c r="J103" s="746"/>
      <c r="K103" s="746"/>
      <c r="L103" s="746"/>
      <c r="M103" s="746"/>
      <c r="N103" s="746"/>
      <c r="O103" s="746"/>
      <c r="P103" s="746"/>
      <c r="Q103" s="746"/>
      <c r="R103" s="746"/>
      <c r="S103" s="746"/>
      <c r="T103" s="746"/>
      <c r="U103" s="746"/>
    </row>
    <row r="104" spans="1:21" ht="11.25" outlineLevel="1">
      <c r="A104" s="746"/>
      <c r="B104" s="813" t="s">
        <v>930</v>
      </c>
      <c r="C104" s="746"/>
      <c r="D104" s="746">
        <f t="shared" ref="D104:M104" si="19">IFERROR(D94/D17*365,"")</f>
        <v>110</v>
      </c>
      <c r="E104" s="746">
        <f t="shared" si="19"/>
        <v>108</v>
      </c>
      <c r="F104" s="746">
        <f t="shared" si="19"/>
        <v>105</v>
      </c>
      <c r="G104" s="746">
        <f t="shared" si="19"/>
        <v>101.99999999999999</v>
      </c>
      <c r="H104" s="746">
        <f t="shared" si="19"/>
        <v>100</v>
      </c>
      <c r="I104" s="746">
        <f t="shared" si="19"/>
        <v>98</v>
      </c>
      <c r="J104" s="746">
        <f t="shared" si="19"/>
        <v>95.999999999999986</v>
      </c>
      <c r="K104" s="746">
        <f t="shared" si="19"/>
        <v>93</v>
      </c>
      <c r="L104" s="746">
        <f t="shared" si="19"/>
        <v>91.000000000000014</v>
      </c>
      <c r="M104" s="746">
        <f t="shared" si="19"/>
        <v>90</v>
      </c>
      <c r="N104" s="746"/>
      <c r="O104" s="746"/>
      <c r="P104" s="746"/>
      <c r="Q104" s="746"/>
      <c r="R104" s="746"/>
      <c r="S104" s="746"/>
      <c r="T104" s="746"/>
      <c r="U104" s="746"/>
    </row>
    <row r="105" spans="1:21" ht="11.25" outlineLevel="1">
      <c r="A105" s="746"/>
      <c r="B105" s="813" t="s">
        <v>931</v>
      </c>
      <c r="C105" s="746"/>
      <c r="D105" s="912">
        <f t="shared" ref="D105:M105" si="20">IFERROR(D96/D23*365,"")</f>
        <v>112</v>
      </c>
      <c r="E105" s="912">
        <f t="shared" si="20"/>
        <v>113</v>
      </c>
      <c r="F105" s="912">
        <f t="shared" si="20"/>
        <v>113</v>
      </c>
      <c r="G105" s="912">
        <f t="shared" si="20"/>
        <v>114</v>
      </c>
      <c r="H105" s="912">
        <f t="shared" si="20"/>
        <v>114.00000000000001</v>
      </c>
      <c r="I105" s="912">
        <f t="shared" si="20"/>
        <v>115</v>
      </c>
      <c r="J105" s="912">
        <f t="shared" si="20"/>
        <v>115</v>
      </c>
      <c r="K105" s="912">
        <f t="shared" si="20"/>
        <v>115.00000000000001</v>
      </c>
      <c r="L105" s="912">
        <f t="shared" si="20"/>
        <v>115</v>
      </c>
      <c r="M105" s="912">
        <f t="shared" si="20"/>
        <v>116.00000000000001</v>
      </c>
      <c r="N105" s="746"/>
      <c r="O105" s="746"/>
      <c r="P105" s="746"/>
      <c r="Q105" s="746"/>
      <c r="R105" s="746"/>
      <c r="S105" s="746"/>
      <c r="T105" s="746"/>
      <c r="U105" s="746"/>
    </row>
    <row r="106" spans="1:21" ht="11.25" outlineLevel="1">
      <c r="A106" s="746"/>
      <c r="B106" s="813" t="s">
        <v>932</v>
      </c>
      <c r="C106" s="746"/>
      <c r="D106" s="912">
        <f t="shared" ref="D106:M106" si="21">IFERROR(-D95/D23*365,"")</f>
        <v>17</v>
      </c>
      <c r="E106" s="912">
        <f t="shared" si="21"/>
        <v>16</v>
      </c>
      <c r="F106" s="912">
        <f t="shared" si="21"/>
        <v>15.000000000000002</v>
      </c>
      <c r="G106" s="912">
        <f t="shared" si="21"/>
        <v>15</v>
      </c>
      <c r="H106" s="912">
        <f t="shared" si="21"/>
        <v>14</v>
      </c>
      <c r="I106" s="912">
        <f t="shared" si="21"/>
        <v>13.999999999999998</v>
      </c>
      <c r="J106" s="912">
        <f t="shared" si="21"/>
        <v>13</v>
      </c>
      <c r="K106" s="912">
        <f t="shared" si="21"/>
        <v>13</v>
      </c>
      <c r="L106" s="912">
        <f t="shared" si="21"/>
        <v>12.999999999999996</v>
      </c>
      <c r="M106" s="912">
        <f t="shared" si="21"/>
        <v>12.000000000000002</v>
      </c>
      <c r="N106" s="746"/>
      <c r="O106" s="746"/>
      <c r="P106" s="746"/>
      <c r="Q106" s="746"/>
      <c r="R106" s="746"/>
      <c r="S106" s="746"/>
      <c r="T106" s="746"/>
      <c r="U106" s="746"/>
    </row>
    <row r="107" spans="1:21" ht="11.25" outlineLevel="1">
      <c r="A107" s="746"/>
      <c r="B107" s="823" t="s">
        <v>933</v>
      </c>
      <c r="C107" s="746"/>
      <c r="D107" s="912">
        <f t="shared" ref="D107:M107" si="22">IFERROR(D104+D105-D106,"")</f>
        <v>205</v>
      </c>
      <c r="E107" s="912">
        <f t="shared" si="22"/>
        <v>205</v>
      </c>
      <c r="F107" s="912">
        <f t="shared" si="22"/>
        <v>203</v>
      </c>
      <c r="G107" s="912">
        <f t="shared" si="22"/>
        <v>201</v>
      </c>
      <c r="H107" s="912">
        <f t="shared" si="22"/>
        <v>200</v>
      </c>
      <c r="I107" s="912">
        <f t="shared" si="22"/>
        <v>199</v>
      </c>
      <c r="J107" s="912">
        <f t="shared" si="22"/>
        <v>198</v>
      </c>
      <c r="K107" s="912">
        <f t="shared" si="22"/>
        <v>195</v>
      </c>
      <c r="L107" s="912">
        <f t="shared" si="22"/>
        <v>193</v>
      </c>
      <c r="M107" s="912">
        <f t="shared" si="22"/>
        <v>194</v>
      </c>
      <c r="N107" s="746"/>
      <c r="O107" s="746"/>
      <c r="P107" s="746"/>
      <c r="Q107" s="746"/>
      <c r="R107" s="746"/>
      <c r="S107" s="746"/>
      <c r="T107" s="746"/>
      <c r="U107" s="746"/>
    </row>
    <row r="108" spans="1:21" ht="11.25" outlineLevel="1">
      <c r="A108" s="746"/>
      <c r="B108" s="746"/>
      <c r="C108" s="746"/>
      <c r="D108" s="746"/>
      <c r="E108" s="746"/>
      <c r="F108" s="746"/>
      <c r="G108" s="746"/>
      <c r="H108" s="746"/>
      <c r="I108" s="746"/>
      <c r="J108" s="746"/>
      <c r="K108" s="746"/>
      <c r="L108" s="746"/>
      <c r="M108" s="746"/>
      <c r="N108" s="746"/>
      <c r="O108" s="746"/>
      <c r="P108" s="746"/>
      <c r="Q108" s="746"/>
      <c r="R108" s="746"/>
      <c r="S108" s="746"/>
      <c r="T108" s="746"/>
      <c r="U108" s="746"/>
    </row>
    <row r="109" spans="1:21" ht="11.25" outlineLevel="1">
      <c r="A109" s="746"/>
      <c r="B109" s="816" t="s">
        <v>934</v>
      </c>
      <c r="C109" s="746"/>
      <c r="D109" s="746"/>
      <c r="E109" s="746"/>
      <c r="F109" s="746"/>
      <c r="G109" s="746"/>
      <c r="H109" s="746"/>
      <c r="I109" s="746"/>
      <c r="J109" s="746"/>
      <c r="K109" s="746"/>
      <c r="L109" s="746"/>
      <c r="M109" s="746"/>
      <c r="N109" s="746"/>
      <c r="O109" s="746"/>
      <c r="P109" s="746"/>
      <c r="Q109" s="746"/>
      <c r="R109" s="746"/>
      <c r="S109" s="746"/>
      <c r="T109" s="746"/>
      <c r="U109" s="746"/>
    </row>
    <row r="110" spans="1:21" ht="11.25" outlineLevel="1">
      <c r="A110" s="746"/>
      <c r="B110" s="746" t="s">
        <v>860</v>
      </c>
      <c r="C110" s="746"/>
      <c r="D110" s="913">
        <f t="shared" ref="D110:M110" si="23">IFERROR(D97/D17,"")</f>
        <v>7.0000000000000007E-2</v>
      </c>
      <c r="E110" s="913">
        <f t="shared" si="23"/>
        <v>6.5000000000000002E-2</v>
      </c>
      <c r="F110" s="913">
        <f t="shared" si="23"/>
        <v>0.06</v>
      </c>
      <c r="G110" s="913">
        <f t="shared" si="23"/>
        <v>5.5E-2</v>
      </c>
      <c r="H110" s="913">
        <f t="shared" si="23"/>
        <v>0.05</v>
      </c>
      <c r="I110" s="913">
        <f t="shared" si="23"/>
        <v>4.8000000000000001E-2</v>
      </c>
      <c r="J110" s="913">
        <f t="shared" si="23"/>
        <v>4.5999999999999999E-2</v>
      </c>
      <c r="K110" s="913">
        <f t="shared" si="23"/>
        <v>4.3999999999999997E-2</v>
      </c>
      <c r="L110" s="913">
        <f t="shared" si="23"/>
        <v>4.2000000000000003E-2</v>
      </c>
      <c r="M110" s="913">
        <f t="shared" si="23"/>
        <v>0.04</v>
      </c>
      <c r="N110" s="746"/>
      <c r="O110" s="746"/>
      <c r="P110" s="746"/>
      <c r="Q110" s="746"/>
      <c r="R110" s="746"/>
      <c r="S110" s="746"/>
      <c r="T110" s="746"/>
      <c r="U110" s="746"/>
    </row>
    <row r="111" spans="1:21" ht="11.25" outlineLevel="1">
      <c r="A111" s="746"/>
      <c r="B111" s="746" t="s">
        <v>917</v>
      </c>
      <c r="C111" s="746"/>
      <c r="D111" s="913">
        <f t="shared" ref="D111:M111" si="24">IFERROR(D98/D17,"")</f>
        <v>-0.7</v>
      </c>
      <c r="E111" s="913">
        <f t="shared" si="24"/>
        <v>-0.68</v>
      </c>
      <c r="F111" s="913">
        <f t="shared" si="24"/>
        <v>-0.66</v>
      </c>
      <c r="G111" s="913">
        <f t="shared" si="24"/>
        <v>-0.64</v>
      </c>
      <c r="H111" s="913">
        <f t="shared" si="24"/>
        <v>-0.62</v>
      </c>
      <c r="I111" s="913">
        <f t="shared" si="24"/>
        <v>-0.6</v>
      </c>
      <c r="J111" s="913">
        <f t="shared" si="24"/>
        <v>-0.58499999999999996</v>
      </c>
      <c r="K111" s="913">
        <f t="shared" si="24"/>
        <v>-0.57499999999999996</v>
      </c>
      <c r="L111" s="913">
        <f t="shared" si="24"/>
        <v>-0.56499999999999995</v>
      </c>
      <c r="M111" s="913">
        <f t="shared" si="24"/>
        <v>-0.55500000000000005</v>
      </c>
      <c r="N111" s="746"/>
      <c r="O111" s="746"/>
      <c r="P111" s="746"/>
      <c r="Q111" s="746"/>
      <c r="R111" s="746"/>
      <c r="S111" s="746"/>
      <c r="T111" s="746"/>
      <c r="U111" s="746"/>
    </row>
    <row r="112" spans="1:21" ht="11.25" outlineLevel="1">
      <c r="A112" s="746"/>
      <c r="B112" s="828" t="s">
        <v>283</v>
      </c>
      <c r="C112" s="828" t="s">
        <v>283</v>
      </c>
      <c r="D112" s="828" t="s">
        <v>283</v>
      </c>
      <c r="E112" s="828" t="s">
        <v>283</v>
      </c>
      <c r="F112" s="828" t="s">
        <v>283</v>
      </c>
      <c r="G112" s="828" t="s">
        <v>283</v>
      </c>
      <c r="H112" s="828" t="s">
        <v>283</v>
      </c>
      <c r="I112" s="828" t="s">
        <v>283</v>
      </c>
      <c r="J112" s="828" t="s">
        <v>283</v>
      </c>
      <c r="K112" s="828" t="s">
        <v>283</v>
      </c>
      <c r="L112" s="828" t="s">
        <v>283</v>
      </c>
      <c r="M112" s="828" t="s">
        <v>283</v>
      </c>
      <c r="N112" s="746"/>
      <c r="O112" s="746"/>
      <c r="P112" s="746"/>
      <c r="Q112" s="746"/>
      <c r="R112" s="746"/>
      <c r="S112" s="746"/>
      <c r="T112" s="746"/>
      <c r="U112" s="746"/>
    </row>
    <row r="113" spans="1:21" ht="4.9000000000000004" customHeight="1" outlineLevel="1">
      <c r="A113" s="746"/>
      <c r="B113" s="821" t="s">
        <v>836</v>
      </c>
      <c r="C113" s="830"/>
      <c r="D113" s="830"/>
      <c r="E113" s="830"/>
      <c r="F113" s="830"/>
      <c r="G113" s="830"/>
      <c r="H113" s="830"/>
      <c r="I113" s="830"/>
      <c r="J113" s="830"/>
      <c r="K113" s="830"/>
      <c r="L113" s="830"/>
      <c r="M113" s="830"/>
      <c r="N113" s="746"/>
      <c r="O113" s="746"/>
      <c r="P113" s="746"/>
      <c r="Q113" s="746"/>
      <c r="R113" s="746"/>
      <c r="S113" s="746"/>
      <c r="T113" s="746"/>
      <c r="U113" s="746"/>
    </row>
    <row r="114" spans="1:21" ht="11.25" outlineLevel="1">
      <c r="A114" s="746"/>
      <c r="B114" s="746"/>
      <c r="C114" s="746"/>
      <c r="D114" s="746"/>
      <c r="E114" s="746"/>
      <c r="F114" s="746"/>
      <c r="G114" s="746"/>
      <c r="H114" s="746"/>
      <c r="I114" s="746"/>
      <c r="J114" s="746"/>
      <c r="K114" s="746"/>
      <c r="L114" s="746"/>
      <c r="M114" s="746"/>
      <c r="N114" s="746"/>
      <c r="O114" s="746"/>
      <c r="P114" s="746"/>
      <c r="Q114" s="746"/>
      <c r="R114" s="746"/>
      <c r="S114" s="746"/>
      <c r="T114" s="746"/>
      <c r="U114" s="746"/>
    </row>
    <row r="115" spans="1:21" ht="11.25">
      <c r="A115" s="746" t="s">
        <v>969</v>
      </c>
      <c r="B115" s="860" t="s">
        <v>989</v>
      </c>
      <c r="C115" s="746"/>
      <c r="D115" s="746"/>
      <c r="E115" s="746"/>
      <c r="F115" s="746"/>
      <c r="G115" s="746"/>
      <c r="H115" s="746"/>
      <c r="I115" s="746"/>
      <c r="J115" s="746"/>
      <c r="K115" s="746"/>
      <c r="L115" s="746"/>
      <c r="M115" s="746"/>
      <c r="N115" s="746"/>
      <c r="O115" s="746"/>
      <c r="P115" s="746"/>
      <c r="Q115" s="746"/>
      <c r="R115" s="746"/>
      <c r="S115" s="746"/>
      <c r="T115" s="746"/>
      <c r="U115" s="746"/>
    </row>
    <row r="116" spans="1:21" ht="11.25">
      <c r="A116" s="746"/>
      <c r="B116" s="934" t="s">
        <v>983</v>
      </c>
      <c r="C116" s="934"/>
      <c r="D116" s="810" t="s">
        <v>283</v>
      </c>
      <c r="E116" s="810" t="s">
        <v>283</v>
      </c>
      <c r="F116" s="810" t="s">
        <v>283</v>
      </c>
      <c r="G116" s="810" t="s">
        <v>283</v>
      </c>
      <c r="H116" s="810" t="s">
        <v>283</v>
      </c>
      <c r="I116" s="810" t="s">
        <v>283</v>
      </c>
      <c r="J116" s="810" t="s">
        <v>283</v>
      </c>
      <c r="K116" s="810" t="s">
        <v>283</v>
      </c>
      <c r="L116" s="810" t="s">
        <v>283</v>
      </c>
      <c r="M116" s="810" t="s">
        <v>283</v>
      </c>
      <c r="N116" s="936" t="s">
        <v>990</v>
      </c>
      <c r="O116" s="936"/>
      <c r="P116" s="936"/>
      <c r="Q116" s="936"/>
      <c r="R116" s="746"/>
      <c r="S116" s="746"/>
      <c r="T116" s="746"/>
      <c r="U116" s="746"/>
    </row>
    <row r="117" spans="1:21" ht="11.25" outlineLevel="1">
      <c r="A117" s="746"/>
      <c r="B117" s="811" t="s">
        <v>804</v>
      </c>
      <c r="C117" s="811" t="s">
        <v>283</v>
      </c>
      <c r="D117" s="811" t="s">
        <v>948</v>
      </c>
      <c r="E117" s="811" t="s">
        <v>949</v>
      </c>
      <c r="F117" s="811" t="s">
        <v>950</v>
      </c>
      <c r="G117" s="811" t="s">
        <v>951</v>
      </c>
      <c r="H117" s="811" t="s">
        <v>952</v>
      </c>
      <c r="I117" s="811" t="s">
        <v>953</v>
      </c>
      <c r="J117" s="811" t="s">
        <v>954</v>
      </c>
      <c r="K117" s="811" t="s">
        <v>955</v>
      </c>
      <c r="L117" s="811" t="s">
        <v>956</v>
      </c>
      <c r="M117" s="811" t="s">
        <v>957</v>
      </c>
      <c r="N117" s="746"/>
      <c r="O117" s="746"/>
      <c r="P117" s="746"/>
      <c r="Q117" s="746"/>
      <c r="R117" s="746"/>
      <c r="S117" s="746"/>
      <c r="T117" s="746"/>
      <c r="U117" s="746"/>
    </row>
    <row r="118" spans="1:21" ht="11.25" outlineLevel="1">
      <c r="A118" s="746"/>
      <c r="B118" s="746" t="s">
        <v>901</v>
      </c>
      <c r="C118" s="914">
        <f>Historicals!H134</f>
        <v>-0.40061223472190499</v>
      </c>
      <c r="D118" s="869">
        <f>D17*Historicals!$H$134</f>
        <v>-1633576.5095255119</v>
      </c>
      <c r="E118" s="869">
        <f>E17*Historicals!$H$134</f>
        <v>-1943956.0463353596</v>
      </c>
      <c r="F118" s="869">
        <f>F17*Historicals!$H$134</f>
        <v>-2274428.5742123709</v>
      </c>
      <c r="G118" s="869">
        <f>G17*Historicals!$H$134</f>
        <v>-2615592.8603442265</v>
      </c>
      <c r="H118" s="869">
        <f>H17*Historicals!$H$134</f>
        <v>-2955619.9321889756</v>
      </c>
      <c r="I118" s="869">
        <f>I17*Historicals!$H$134</f>
        <v>-3251181.925407873</v>
      </c>
      <c r="J118" s="869">
        <f>J17*Historicals!$H$134</f>
        <v>-3543788.2986945813</v>
      </c>
      <c r="K118" s="869">
        <f>K17*Historicals!$H$134</f>
        <v>-3862729.2455770941</v>
      </c>
      <c r="L118" s="869">
        <f>L17*Historicals!$H$134</f>
        <v>-4171747.5852232627</v>
      </c>
      <c r="M118" s="869">
        <f>M17*Historicals!$H$134</f>
        <v>-4463769.916188892</v>
      </c>
      <c r="N118" s="746"/>
      <c r="O118" s="746"/>
      <c r="P118" s="746"/>
      <c r="Q118" s="746"/>
      <c r="R118" s="746"/>
      <c r="S118" s="746"/>
      <c r="T118" s="746"/>
      <c r="U118" s="746"/>
    </row>
    <row r="119" spans="1:21" ht="11.25" outlineLevel="1">
      <c r="A119" s="746">
        <v>2</v>
      </c>
      <c r="B119" s="818" t="s">
        <v>904</v>
      </c>
      <c r="C119" s="818" t="s">
        <v>283</v>
      </c>
      <c r="D119" s="887">
        <f>D118-Historicals!H162</f>
        <v>-47576.509525511879</v>
      </c>
      <c r="E119" s="887">
        <f t="shared" ref="E119:M119" si="25">E118-D118</f>
        <v>-310379.53680984769</v>
      </c>
      <c r="F119" s="887">
        <f t="shared" si="25"/>
        <v>-330472.52787701134</v>
      </c>
      <c r="G119" s="887">
        <f t="shared" si="25"/>
        <v>-341164.28613185557</v>
      </c>
      <c r="H119" s="887">
        <f t="shared" si="25"/>
        <v>-340027.07184474915</v>
      </c>
      <c r="I119" s="887">
        <f t="shared" si="25"/>
        <v>-295561.99321889738</v>
      </c>
      <c r="J119" s="887">
        <f t="shared" si="25"/>
        <v>-292606.37328670826</v>
      </c>
      <c r="K119" s="887">
        <f t="shared" si="25"/>
        <v>-318940.94688251289</v>
      </c>
      <c r="L119" s="887">
        <f t="shared" si="25"/>
        <v>-309018.33964616852</v>
      </c>
      <c r="M119" s="887">
        <f t="shared" si="25"/>
        <v>-292022.33096562931</v>
      </c>
      <c r="N119" s="746"/>
      <c r="O119" s="746"/>
      <c r="P119" s="746"/>
      <c r="Q119" s="746"/>
      <c r="R119" s="746"/>
      <c r="S119" s="746"/>
      <c r="T119" s="746"/>
      <c r="U119" s="746"/>
    </row>
    <row r="120" spans="1:21" ht="11.25" outlineLevel="1">
      <c r="A120" s="746"/>
      <c r="B120" s="821" t="s">
        <v>980</v>
      </c>
      <c r="C120" s="746"/>
      <c r="D120" s="746"/>
      <c r="E120" s="746"/>
      <c r="F120" s="746"/>
      <c r="G120" s="746"/>
      <c r="H120" s="746"/>
      <c r="I120" s="746"/>
      <c r="J120" s="746"/>
      <c r="K120" s="746"/>
      <c r="L120" s="746"/>
      <c r="M120" s="746"/>
      <c r="N120" s="746"/>
      <c r="O120" s="746"/>
      <c r="P120" s="746"/>
      <c r="Q120" s="746"/>
      <c r="R120" s="746"/>
      <c r="S120" s="746"/>
      <c r="T120" s="746"/>
      <c r="U120" s="746"/>
    </row>
    <row r="121" spans="1:21" ht="11.25" outlineLevel="1">
      <c r="A121" s="746"/>
      <c r="B121" s="746"/>
      <c r="C121" s="746"/>
      <c r="D121" s="746"/>
      <c r="E121" s="746"/>
      <c r="F121" s="746"/>
      <c r="G121" s="746"/>
      <c r="H121" s="746"/>
      <c r="I121" s="746"/>
      <c r="J121" s="746"/>
      <c r="K121" s="746"/>
      <c r="L121" s="746"/>
      <c r="M121" s="746"/>
      <c r="N121" s="746"/>
      <c r="O121" s="746"/>
      <c r="P121" s="746"/>
      <c r="Q121" s="746"/>
      <c r="R121" s="746"/>
      <c r="S121" s="746"/>
      <c r="T121" s="746"/>
      <c r="U121" s="746"/>
    </row>
    <row r="122" spans="1:21" ht="11.25">
      <c r="A122" s="746" t="s">
        <v>969</v>
      </c>
      <c r="B122" s="860" t="s">
        <v>991</v>
      </c>
      <c r="C122" s="746"/>
      <c r="D122" s="746"/>
      <c r="E122" s="746"/>
      <c r="F122" s="746"/>
      <c r="G122" s="746"/>
      <c r="H122" s="746"/>
      <c r="I122" s="746"/>
      <c r="J122" s="746"/>
      <c r="K122" s="746"/>
      <c r="L122" s="746"/>
      <c r="M122" s="746"/>
      <c r="N122" s="746"/>
      <c r="O122" s="746"/>
      <c r="P122" s="746"/>
      <c r="Q122" s="746"/>
      <c r="R122" s="746"/>
      <c r="S122" s="746"/>
      <c r="T122" s="746"/>
      <c r="U122" s="746"/>
    </row>
    <row r="123" spans="1:21" ht="11.25">
      <c r="A123" s="746"/>
      <c r="B123" s="934" t="s">
        <v>983</v>
      </c>
      <c r="C123" s="934"/>
      <c r="D123" s="810" t="s">
        <v>283</v>
      </c>
      <c r="E123" s="810" t="s">
        <v>283</v>
      </c>
      <c r="F123" s="810" t="s">
        <v>283</v>
      </c>
      <c r="G123" s="810" t="s">
        <v>283</v>
      </c>
      <c r="H123" s="810" t="s">
        <v>283</v>
      </c>
      <c r="I123" s="810" t="s">
        <v>283</v>
      </c>
      <c r="J123" s="810" t="s">
        <v>283</v>
      </c>
      <c r="K123" s="810" t="s">
        <v>283</v>
      </c>
      <c r="L123" s="810" t="s">
        <v>283</v>
      </c>
      <c r="M123" s="810" t="s">
        <v>283</v>
      </c>
      <c r="N123" s="746"/>
      <c r="O123" s="746"/>
      <c r="P123" s="746"/>
      <c r="Q123" s="746"/>
      <c r="R123" s="746"/>
      <c r="S123" s="746"/>
      <c r="T123" s="746"/>
      <c r="U123" s="746"/>
    </row>
    <row r="124" spans="1:21" ht="11.25" outlineLevel="1">
      <c r="A124" s="746"/>
      <c r="B124" s="811" t="s">
        <v>804</v>
      </c>
      <c r="C124" s="811" t="s">
        <v>283</v>
      </c>
      <c r="D124" s="811" t="s">
        <v>948</v>
      </c>
      <c r="E124" s="811" t="s">
        <v>949</v>
      </c>
      <c r="F124" s="811" t="s">
        <v>950</v>
      </c>
      <c r="G124" s="811" t="s">
        <v>951</v>
      </c>
      <c r="H124" s="811" t="s">
        <v>952</v>
      </c>
      <c r="I124" s="811" t="s">
        <v>953</v>
      </c>
      <c r="J124" s="811" t="s">
        <v>954</v>
      </c>
      <c r="K124" s="811" t="s">
        <v>955</v>
      </c>
      <c r="L124" s="811" t="s">
        <v>956</v>
      </c>
      <c r="M124" s="811" t="s">
        <v>957</v>
      </c>
      <c r="N124" s="937" t="s">
        <v>992</v>
      </c>
      <c r="O124" s="937"/>
      <c r="P124" s="937"/>
      <c r="Q124" s="937"/>
      <c r="R124" s="937"/>
      <c r="S124" s="937"/>
      <c r="T124" s="746"/>
      <c r="U124" s="746"/>
    </row>
    <row r="125" spans="1:21" ht="11.25" outlineLevel="1">
      <c r="A125" s="746"/>
      <c r="B125" s="746" t="s">
        <v>915</v>
      </c>
      <c r="C125" s="915">
        <f>Historicals!I183</f>
        <v>91.235900169386539</v>
      </c>
      <c r="D125" s="869">
        <f>D17*$C$125/365</f>
        <v>1019267.4797827603</v>
      </c>
      <c r="E125" s="869">
        <f t="shared" ref="E125:M125" si="26">E17*$C$125/365</f>
        <v>1212928.300941485</v>
      </c>
      <c r="F125" s="869">
        <f t="shared" si="26"/>
        <v>1419126.1121015374</v>
      </c>
      <c r="G125" s="869">
        <f t="shared" si="26"/>
        <v>1631995.0289167678</v>
      </c>
      <c r="H125" s="869">
        <f t="shared" si="26"/>
        <v>1844154.3826759476</v>
      </c>
      <c r="I125" s="869">
        <f t="shared" si="26"/>
        <v>2028569.8209435423</v>
      </c>
      <c r="J125" s="869">
        <f t="shared" si="26"/>
        <v>2211141.1048284611</v>
      </c>
      <c r="K125" s="869">
        <f t="shared" si="26"/>
        <v>2410143.8042630227</v>
      </c>
      <c r="L125" s="869">
        <f t="shared" si="26"/>
        <v>2602955.3086040649</v>
      </c>
      <c r="M125" s="869">
        <f t="shared" si="26"/>
        <v>2785162.1802063505</v>
      </c>
      <c r="N125" s="746" t="s">
        <v>993</v>
      </c>
      <c r="O125" s="746"/>
      <c r="P125" s="746"/>
      <c r="Q125" s="746"/>
      <c r="R125" s="746"/>
      <c r="S125" s="746"/>
      <c r="T125" s="746"/>
      <c r="U125" s="746"/>
    </row>
    <row r="126" spans="1:21" ht="11.25" outlineLevel="1">
      <c r="A126" s="746"/>
      <c r="B126" s="746" t="s">
        <v>43</v>
      </c>
      <c r="C126" s="916">
        <f>Historicals!I185</f>
        <v>13.930278313338983</v>
      </c>
      <c r="D126" s="869">
        <f>-D23*$C$126/365</f>
        <v>87928.699099289966</v>
      </c>
      <c r="E126" s="869">
        <f t="shared" ref="E126:M126" si="27">-E23*$C$126/365</f>
        <v>103709.17713233072</v>
      </c>
      <c r="F126" s="869">
        <f t="shared" si="27"/>
        <v>120256.34673371239</v>
      </c>
      <c r="G126" s="869">
        <f t="shared" si="27"/>
        <v>137048.89965598754</v>
      </c>
      <c r="H126" s="869">
        <f t="shared" si="27"/>
        <v>153457.3906420726</v>
      </c>
      <c r="I126" s="869">
        <f t="shared" si="27"/>
        <v>168803.12970627987</v>
      </c>
      <c r="J126" s="869">
        <f t="shared" si="27"/>
        <v>182307.38008278224</v>
      </c>
      <c r="K126" s="869">
        <f t="shared" si="27"/>
        <v>198715.04429023265</v>
      </c>
      <c r="L126" s="869">
        <f t="shared" si="27"/>
        <v>212625.097390549</v>
      </c>
      <c r="M126" s="869">
        <f t="shared" si="27"/>
        <v>227508.85420788752</v>
      </c>
      <c r="N126" s="746" t="s">
        <v>993</v>
      </c>
      <c r="O126" s="746"/>
      <c r="P126" s="746"/>
      <c r="Q126" s="746"/>
      <c r="R126" s="746"/>
      <c r="S126" s="746"/>
      <c r="T126" s="746"/>
      <c r="U126" s="746"/>
    </row>
    <row r="127" spans="1:21" ht="11.25" outlineLevel="1">
      <c r="A127" s="746"/>
      <c r="B127" s="746" t="s">
        <v>916</v>
      </c>
      <c r="C127" s="916">
        <f>Historicals!I184</f>
        <v>92.156524353891484</v>
      </c>
      <c r="D127" s="869">
        <f>D23*$C$127/365</f>
        <v>-581697.15763614455</v>
      </c>
      <c r="E127" s="869">
        <f t="shared" ref="E127:M127" si="28">E23*$C$127/365</f>
        <v>-686093.78026323335</v>
      </c>
      <c r="F127" s="869">
        <f t="shared" si="28"/>
        <v>-795562.49323916179</v>
      </c>
      <c r="G127" s="869">
        <f t="shared" si="28"/>
        <v>-906654.55310589157</v>
      </c>
      <c r="H127" s="869">
        <f t="shared" si="28"/>
        <v>-1015205.8300550242</v>
      </c>
      <c r="I127" s="869">
        <f t="shared" si="28"/>
        <v>-1116726.4130605266</v>
      </c>
      <c r="J127" s="869">
        <f t="shared" si="28"/>
        <v>-1206064.5261053685</v>
      </c>
      <c r="K127" s="869">
        <f t="shared" si="28"/>
        <v>-1314610.3334548518</v>
      </c>
      <c r="L127" s="869">
        <f t="shared" si="28"/>
        <v>-1406633.0567966918</v>
      </c>
      <c r="M127" s="869">
        <f t="shared" si="28"/>
        <v>-1505097.3707724607</v>
      </c>
      <c r="N127" s="746" t="s">
        <v>993</v>
      </c>
      <c r="O127" s="746"/>
      <c r="P127" s="746"/>
      <c r="Q127" s="746"/>
      <c r="R127" s="746"/>
      <c r="S127" s="746"/>
      <c r="T127" s="746"/>
      <c r="U127" s="746"/>
    </row>
    <row r="128" spans="1:21" ht="11.25" outlineLevel="1">
      <c r="A128" s="746"/>
      <c r="B128" s="746" t="s">
        <v>860</v>
      </c>
      <c r="C128" s="916">
        <f>Historicals!I189</f>
        <v>9.2106800676495418E-2</v>
      </c>
      <c r="D128" s="869">
        <f>D17*$C$128</f>
        <v>375583.90111854539</v>
      </c>
      <c r="E128" s="869">
        <f t="shared" ref="E128:M128" si="29">E17*$C$128</f>
        <v>446944.84233106906</v>
      </c>
      <c r="F128" s="869">
        <f t="shared" si="29"/>
        <v>522925.46552735078</v>
      </c>
      <c r="G128" s="869">
        <f t="shared" si="29"/>
        <v>601364.28535645339</v>
      </c>
      <c r="H128" s="869">
        <f t="shared" si="29"/>
        <v>679541.64245279238</v>
      </c>
      <c r="I128" s="869">
        <f t="shared" si="29"/>
        <v>747495.80669807154</v>
      </c>
      <c r="J128" s="869">
        <f t="shared" si="29"/>
        <v>814770.42930089787</v>
      </c>
      <c r="K128" s="869">
        <f t="shared" si="29"/>
        <v>888099.76793797885</v>
      </c>
      <c r="L128" s="869">
        <f t="shared" si="29"/>
        <v>959147.74937301734</v>
      </c>
      <c r="M128" s="869">
        <f t="shared" si="29"/>
        <v>1026288.0918291288</v>
      </c>
      <c r="N128" s="746" t="s">
        <v>993</v>
      </c>
      <c r="O128" s="746"/>
      <c r="P128" s="746"/>
      <c r="Q128" s="746"/>
      <c r="R128" s="746"/>
      <c r="S128" s="746"/>
      <c r="T128" s="746"/>
      <c r="U128" s="746"/>
    </row>
    <row r="129" spans="1:21" ht="11.25" outlineLevel="1">
      <c r="A129" s="746"/>
      <c r="B129" s="746" t="s">
        <v>917</v>
      </c>
      <c r="C129" s="903">
        <f>AVERAGE(Historicals!F161/Historicals!F16,Historicals!G161/Historicals!G16,Historicals!H161/Historicals!H16)</f>
        <v>-0.61596157472865143</v>
      </c>
      <c r="D129" s="869">
        <f>D17*$C$129</f>
        <v>-2511706.5132710221</v>
      </c>
      <c r="E129" s="869">
        <f t="shared" ref="E129:M129" si="30">E17*$C$129</f>
        <v>-2988930.7507925169</v>
      </c>
      <c r="F129" s="869">
        <f t="shared" si="30"/>
        <v>-3497048.9784272444</v>
      </c>
      <c r="G129" s="869">
        <f t="shared" si="30"/>
        <v>-4021606.3251913311</v>
      </c>
      <c r="H129" s="869">
        <f t="shared" si="30"/>
        <v>-4544415.1474662041</v>
      </c>
      <c r="I129" s="869">
        <f t="shared" si="30"/>
        <v>-4998856.6622128244</v>
      </c>
      <c r="J129" s="869">
        <f t="shared" si="30"/>
        <v>-5448753.7618119782</v>
      </c>
      <c r="K129" s="869">
        <f t="shared" si="30"/>
        <v>-5939141.6003750572</v>
      </c>
      <c r="L129" s="869">
        <f t="shared" si="30"/>
        <v>-6414272.9284050623</v>
      </c>
      <c r="M129" s="869">
        <f t="shared" si="30"/>
        <v>-6863272.0333934184</v>
      </c>
      <c r="N129" s="746" t="s">
        <v>993</v>
      </c>
      <c r="O129" s="746"/>
      <c r="P129" s="746"/>
      <c r="Q129" s="746"/>
      <c r="R129" s="746"/>
      <c r="S129" s="746"/>
      <c r="T129" s="746"/>
      <c r="U129" s="746"/>
    </row>
    <row r="130" spans="1:21" ht="11.25" outlineLevel="1">
      <c r="A130" s="746"/>
      <c r="B130" s="865" t="s">
        <v>901</v>
      </c>
      <c r="C130" s="865" t="s">
        <v>283</v>
      </c>
      <c r="D130" s="907">
        <f>SUM(D125:D129)</f>
        <v>-1610623.5909065709</v>
      </c>
      <c r="E130" s="907">
        <f t="shared" ref="E130:M130" si="31">SUM(E125:E129)</f>
        <v>-1911442.2106508655</v>
      </c>
      <c r="F130" s="907">
        <f t="shared" si="31"/>
        <v>-2230303.5473038056</v>
      </c>
      <c r="G130" s="907">
        <f t="shared" si="31"/>
        <v>-2557852.6643680139</v>
      </c>
      <c r="H130" s="907">
        <f t="shared" si="31"/>
        <v>-2882467.5617504157</v>
      </c>
      <c r="I130" s="907">
        <f t="shared" si="31"/>
        <v>-3170714.3179254574</v>
      </c>
      <c r="J130" s="907">
        <f t="shared" si="31"/>
        <v>-3446599.3737052055</v>
      </c>
      <c r="K130" s="907">
        <f t="shared" si="31"/>
        <v>-3756793.3173386748</v>
      </c>
      <c r="L130" s="907">
        <f t="shared" si="31"/>
        <v>-4046177.8298341231</v>
      </c>
      <c r="M130" s="907">
        <f t="shared" si="31"/>
        <v>-4329410.277922513</v>
      </c>
      <c r="N130" s="746"/>
      <c r="O130" s="746"/>
      <c r="P130" s="746"/>
      <c r="Q130" s="746"/>
      <c r="R130" s="746"/>
      <c r="S130" s="746"/>
      <c r="T130" s="746"/>
      <c r="U130" s="746"/>
    </row>
    <row r="131" spans="1:21" ht="11.25" outlineLevel="1">
      <c r="A131" s="746">
        <v>3</v>
      </c>
      <c r="B131" s="863" t="s">
        <v>904</v>
      </c>
      <c r="C131" s="863" t="s">
        <v>283</v>
      </c>
      <c r="D131" s="906">
        <f>D130-Historicals!H162</f>
        <v>-24623.590906570898</v>
      </c>
      <c r="E131" s="906">
        <f>E130-D130</f>
        <v>-300818.61974429456</v>
      </c>
      <c r="F131" s="906">
        <f t="shared" ref="F131:M131" si="32">F130-E130</f>
        <v>-318861.33665294014</v>
      </c>
      <c r="G131" s="906">
        <f t="shared" si="32"/>
        <v>-327549.11706420826</v>
      </c>
      <c r="H131" s="906">
        <f t="shared" si="32"/>
        <v>-324614.89738240186</v>
      </c>
      <c r="I131" s="906">
        <f t="shared" si="32"/>
        <v>-288246.75617504166</v>
      </c>
      <c r="J131" s="906">
        <f t="shared" si="32"/>
        <v>-275885.05577974813</v>
      </c>
      <c r="K131" s="906">
        <f t="shared" si="32"/>
        <v>-310193.94363346929</v>
      </c>
      <c r="L131" s="906">
        <f t="shared" si="32"/>
        <v>-289384.51249544835</v>
      </c>
      <c r="M131" s="906">
        <f t="shared" si="32"/>
        <v>-283232.44808838982</v>
      </c>
      <c r="N131" s="746"/>
      <c r="O131" s="746"/>
      <c r="P131" s="746"/>
      <c r="Q131" s="746"/>
      <c r="R131" s="746"/>
      <c r="S131" s="746"/>
      <c r="T131" s="746"/>
      <c r="U131" s="746"/>
    </row>
    <row r="132" spans="1:21" ht="11.25" outlineLevel="1">
      <c r="A132" s="746"/>
      <c r="B132" s="821" t="s">
        <v>980</v>
      </c>
      <c r="C132" s="746"/>
      <c r="D132" s="746"/>
      <c r="E132" s="746"/>
      <c r="F132" s="746"/>
      <c r="G132" s="746"/>
      <c r="H132" s="746"/>
      <c r="I132" s="746"/>
      <c r="J132" s="746"/>
      <c r="K132" s="746"/>
      <c r="L132" s="746"/>
      <c r="M132" s="746"/>
      <c r="N132" s="746"/>
      <c r="O132" s="746"/>
      <c r="P132" s="746"/>
      <c r="Q132" s="746"/>
      <c r="R132" s="746"/>
      <c r="S132" s="746"/>
      <c r="T132" s="746"/>
      <c r="U132" s="746"/>
    </row>
    <row r="133" spans="1:21" ht="11.25" outlineLevel="1">
      <c r="B133" s="661" t="s">
        <v>980</v>
      </c>
    </row>
    <row r="134" spans="1:21" ht="11.25"/>
  </sheetData>
  <mergeCells count="12">
    <mergeCell ref="N124:S124"/>
    <mergeCell ref="B61:C61"/>
    <mergeCell ref="B62:C62"/>
    <mergeCell ref="B73:C73"/>
    <mergeCell ref="B74:C74"/>
    <mergeCell ref="B84:C84"/>
    <mergeCell ref="B91:C91"/>
    <mergeCell ref="B92:C92"/>
    <mergeCell ref="N92:P92"/>
    <mergeCell ref="B116:C116"/>
    <mergeCell ref="N116:Q116"/>
    <mergeCell ref="B123:C123"/>
  </mergeCells>
  <hyperlinks>
    <hyperlink ref="N94" r:id="rId1" xr:uid="{6E0732EB-C81E-4EF8-8835-C58D21E2CDA4}"/>
    <hyperlink ref="N95" r:id="rId2" display="Grab Holdings Limited. (2026, February 12). Grab reports fourth quarter and 2025 results with first full year net profit(Form 6-K, Exhibit 99.1). U.S. Securities and Exchange Commission. https://www.sec.gov/Archives/edgar/data/0001855612/000185561226000011/a2025q4-earningspressrelea.htm" xr:uid="{B53F51C8-3A5E-4739-93C2-6D70C0A73FBE}"/>
    <hyperlink ref="N98" r:id="rId3" display="Grab Holdings Limited. (2026, May 5). Report of foreign private issuer (Form 6-K, Exhibit 99.1: First quarter 2026 earnings release). U.S. Securities and Exchange Commission. https://www.sec.gov/Archives/edgar/data/0001855612/000185561226000077/a42026q1-earningspressrele.htm" xr:uid="{8F098F62-D89E-4AE8-BD31-342BE086D37F}"/>
  </hyperlinks>
  <pageMargins left="0.7" right="0.7" top="0.75" bottom="0.75" header="0.3" footer="0.3"/>
  <pageSetup orientation="portrait" r:id="rId4"/>
  <drawing r:id="rId5"/>
  <legacy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E01B-ED3F-4ADB-BC77-C2F7C7AA572C}">
  <dimension ref="A1"/>
  <sheetViews>
    <sheetView workbookViewId="0"/>
  </sheetViews>
  <sheetFormatPr defaultRowHeight="9.949999999999999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7CC6-2F90-416C-8E82-C3DC62F95616}">
  <sheetPr>
    <tabColor rgb="FF0A1F8F"/>
  </sheetPr>
  <dimension ref="B1:S57"/>
  <sheetViews>
    <sheetView showGridLines="0" zoomScale="70" zoomScaleNormal="70" workbookViewId="0">
      <selection activeCell="C32" sqref="C32"/>
    </sheetView>
  </sheetViews>
  <sheetFormatPr defaultRowHeight="9.9499999999999993"/>
  <cols>
    <col min="1" max="1" width="1.5" customWidth="1"/>
    <col min="2" max="2" width="40" customWidth="1"/>
    <col min="3" max="5" width="12.1640625" bestFit="1" customWidth="1"/>
    <col min="6" max="6" width="12.5" bestFit="1" customWidth="1"/>
    <col min="7" max="7" width="12.1640625" bestFit="1" customWidth="1"/>
    <col min="8" max="8" width="17.6640625" customWidth="1"/>
    <col min="9" max="13" width="9" bestFit="1" customWidth="1"/>
    <col min="14" max="14" width="11.6640625" bestFit="1" customWidth="1"/>
    <col min="15" max="15" width="9" bestFit="1" customWidth="1"/>
    <col min="16" max="16" width="8.6640625" bestFit="1" customWidth="1"/>
    <col min="17" max="18" width="9" bestFit="1" customWidth="1"/>
    <col min="19" max="19" width="28.1640625" customWidth="1"/>
  </cols>
  <sheetData>
    <row r="1" spans="2:19" ht="12">
      <c r="B1" s="636" t="str">
        <f>"("&amp;curr&amp;" "&amp;Input!D8&amp;")"</f>
        <v>(USD k)</v>
      </c>
      <c r="C1" s="402" t="str">
        <f>Historicals!D15</f>
        <v>FY21</v>
      </c>
      <c r="D1" s="402" t="str">
        <f>Historicals!E15</f>
        <v>FY22</v>
      </c>
      <c r="E1" s="402" t="str">
        <f>Historicals!F15</f>
        <v>FY23</v>
      </c>
      <c r="F1" s="402" t="str">
        <f>Historicals!G15</f>
        <v>FY24</v>
      </c>
      <c r="G1" s="402" t="str">
        <f>Historicals!H15</f>
        <v>FY25</v>
      </c>
      <c r="H1" s="634" t="s">
        <v>834</v>
      </c>
      <c r="I1" s="402" t="str">
        <f>Forecast!D16</f>
        <v>FY26F</v>
      </c>
      <c r="J1" s="402" t="str">
        <f>Forecast!E16</f>
        <v>FY27F</v>
      </c>
      <c r="K1" s="402" t="str">
        <f>Forecast!F16</f>
        <v>FY28F</v>
      </c>
      <c r="L1" s="402" t="str">
        <f>Forecast!G16</f>
        <v>FY29F</v>
      </c>
      <c r="M1" s="402" t="str">
        <f>Forecast!H16</f>
        <v>FY30F</v>
      </c>
      <c r="N1" s="402" t="str">
        <f>Forecast!I16</f>
        <v>FY31F</v>
      </c>
      <c r="O1" s="402" t="str">
        <f>Forecast!J16</f>
        <v>FY32F</v>
      </c>
      <c r="P1" s="402" t="str">
        <f>Forecast!K16</f>
        <v>FY33F</v>
      </c>
      <c r="Q1" s="402" t="str">
        <f>Forecast!L16</f>
        <v>FY34F</v>
      </c>
      <c r="R1" s="402" t="str">
        <f>Forecast!M16</f>
        <v>FY35F</v>
      </c>
      <c r="S1" s="634" t="s">
        <v>994</v>
      </c>
    </row>
    <row r="2" spans="2:19">
      <c r="B2" t="str">
        <f>"Historical " &amp; B43</f>
        <v>Historical Revenue</v>
      </c>
      <c r="C2" s="403">
        <f>Historicals!D16</f>
        <v>675000</v>
      </c>
      <c r="D2" s="403">
        <f>Historicals!E16</f>
        <v>1433000</v>
      </c>
      <c r="E2" s="403">
        <f>Historicals!F16</f>
        <v>2359000</v>
      </c>
      <c r="F2" s="403">
        <f>Historicals!G16</f>
        <v>2797000</v>
      </c>
      <c r="G2" s="403">
        <f>Historicals!H16</f>
        <v>3370000</v>
      </c>
      <c r="H2" s="662"/>
      <c r="I2" s="85"/>
      <c r="J2" s="85"/>
      <c r="K2" s="85"/>
      <c r="L2" s="85"/>
      <c r="M2" s="85"/>
      <c r="N2" s="85"/>
      <c r="O2" s="85"/>
      <c r="P2" s="85"/>
      <c r="Q2" s="85"/>
      <c r="R2" s="85"/>
      <c r="S2" s="662"/>
    </row>
    <row r="3" spans="2:19" ht="10.5">
      <c r="B3" t="str">
        <f>"Forecast " &amp; B43</f>
        <v>Forecast Revenue</v>
      </c>
      <c r="C3" s="403"/>
      <c r="D3" s="403"/>
      <c r="E3" s="403"/>
      <c r="F3" s="403"/>
      <c r="G3" s="403"/>
      <c r="H3" s="662"/>
      <c r="I3" s="404">
        <f>Forecast!D17</f>
        <v>4077700</v>
      </c>
      <c r="J3" s="404">
        <f>Forecast!E17</f>
        <v>4852463.0000000009</v>
      </c>
      <c r="K3" s="404">
        <f>Forecast!F17</f>
        <v>5677381.7100000009</v>
      </c>
      <c r="L3" s="404">
        <f>Forecast!G17</f>
        <v>6528988.966500001</v>
      </c>
      <c r="M3" s="404">
        <f>Forecast!H17</f>
        <v>7377757.532145001</v>
      </c>
      <c r="N3" s="404">
        <f>Forecast!I17</f>
        <v>8115533.2853595009</v>
      </c>
      <c r="O3" s="404">
        <f>Forecast!J17</f>
        <v>8845931.281041855</v>
      </c>
      <c r="P3" s="404">
        <f>Forecast!K17</f>
        <v>9642065.0963356234</v>
      </c>
      <c r="Q3" s="404">
        <f>Forecast!L17</f>
        <v>10413430.304042475</v>
      </c>
      <c r="R3" s="404">
        <f>Forecast!M17</f>
        <v>11142370.425325451</v>
      </c>
      <c r="S3" s="684">
        <f>(M3/G2)^(1/5)-1</f>
        <v>0.16965799969717055</v>
      </c>
    </row>
    <row r="4" spans="2:19" ht="12">
      <c r="B4" s="666" t="str">
        <f>B43 &amp; " YoY Growth %"</f>
        <v>Revenue YoY Growth %</v>
      </c>
      <c r="C4" s="667">
        <f>Historicals!D48</f>
        <v>0.35699999999999998</v>
      </c>
      <c r="D4" s="667">
        <f>Historicals!E48</f>
        <v>0.19400000000000001</v>
      </c>
      <c r="E4" s="667">
        <f>Historicals!F48</f>
        <v>0.124</v>
      </c>
      <c r="F4" s="667">
        <f>Historicals!G48</f>
        <v>0.11600000000000001</v>
      </c>
      <c r="G4" s="667">
        <f>Historicals!H48</f>
        <v>0.109</v>
      </c>
      <c r="H4" s="668">
        <f>Historicals!I48</f>
        <v>0.11600000000000001</v>
      </c>
      <c r="I4" s="667">
        <f>Forecast!E44</f>
        <v>0.11</v>
      </c>
      <c r="J4" s="667">
        <f>Forecast!E43</f>
        <v>0.18</v>
      </c>
      <c r="K4" s="667">
        <f>Forecast!F43</f>
        <v>0.16</v>
      </c>
      <c r="L4" s="667">
        <f>Forecast!G43</f>
        <v>0.14000000000000001</v>
      </c>
      <c r="M4" s="667">
        <f>Forecast!H43</f>
        <v>0.12</v>
      </c>
      <c r="N4" s="667">
        <f>Forecast!I43</f>
        <v>0.1</v>
      </c>
      <c r="O4" s="667">
        <f>Forecast!J43</f>
        <v>0.08</v>
      </c>
      <c r="P4" s="667">
        <f>Forecast!K43</f>
        <v>0.09</v>
      </c>
      <c r="Q4" s="667">
        <f>Forecast!L43</f>
        <v>7.0000000000000007E-2</v>
      </c>
      <c r="R4" s="667">
        <f>Forecast!M43</f>
        <v>7.0000000000000007E-2</v>
      </c>
      <c r="S4" s="685"/>
    </row>
    <row r="5" spans="2:19" ht="10.5">
      <c r="B5" t="str">
        <f>"Historical " &amp; B44</f>
        <v>Historical Gross Profit</v>
      </c>
      <c r="C5" s="403">
        <f>Historicals!D20</f>
        <v>-395000</v>
      </c>
      <c r="D5" s="403">
        <f>Historicals!E20</f>
        <v>77000</v>
      </c>
      <c r="E5" s="403">
        <f>Historicals!F20</f>
        <v>860000</v>
      </c>
      <c r="F5" s="403">
        <f>Historicals!G20</f>
        <v>1174000</v>
      </c>
      <c r="G5" s="403">
        <f>Historicals!H20</f>
        <v>1456000</v>
      </c>
      <c r="H5" s="662"/>
      <c r="I5" s="85"/>
      <c r="J5" s="85"/>
      <c r="K5" s="85"/>
      <c r="L5" s="85"/>
      <c r="M5" s="85"/>
      <c r="N5" s="85"/>
      <c r="O5" s="85"/>
      <c r="P5" s="85"/>
      <c r="Q5" s="85"/>
      <c r="R5" s="85"/>
      <c r="S5" s="686"/>
    </row>
    <row r="6" spans="2:19" ht="10.5">
      <c r="B6" t="str">
        <f>"Forecast " &amp; B44</f>
        <v>Forecast Gross Profit</v>
      </c>
      <c r="C6" s="403"/>
      <c r="D6" s="403"/>
      <c r="E6" s="403"/>
      <c r="F6" s="403"/>
      <c r="G6" s="403"/>
      <c r="H6" s="662"/>
      <c r="I6" s="404">
        <f>Forecast!D24</f>
        <v>1773799.5</v>
      </c>
      <c r="J6" s="404">
        <f>Forecast!E24</f>
        <v>2135083.7200000002</v>
      </c>
      <c r="K6" s="404">
        <f>Forecast!F24</f>
        <v>2526434.8609500001</v>
      </c>
      <c r="L6" s="404">
        <f>Forecast!G24</f>
        <v>2938045.0349250003</v>
      </c>
      <c r="M6" s="404">
        <f>Forecast!H24</f>
        <v>3356879.677125975</v>
      </c>
      <c r="N6" s="404">
        <f>Forecast!I24</f>
        <v>3692567.6448385725</v>
      </c>
      <c r="O6" s="404">
        <f>Forecast!J24</f>
        <v>4069128.3892792528</v>
      </c>
      <c r="P6" s="404">
        <f>Forecast!K24</f>
        <v>4435349.9443143867</v>
      </c>
      <c r="Q6" s="404">
        <f>Forecast!L24</f>
        <v>4842245.0913797505</v>
      </c>
      <c r="R6" s="404">
        <f>Forecast!M24</f>
        <v>5181202.2477763342</v>
      </c>
      <c r="S6" s="684">
        <f>(M6/G5)^(1/5)-1</f>
        <v>0.18182964595543849</v>
      </c>
    </row>
    <row r="7" spans="2:19" ht="12">
      <c r="B7" s="666" t="str">
        <f>B44 &amp; " Margin"</f>
        <v>Gross Profit Margin</v>
      </c>
      <c r="C7" s="667" t="str">
        <f>Historicals!D58</f>
        <v> </v>
      </c>
      <c r="D7" s="667" t="str">
        <f>Historicals!E58</f>
        <v> </v>
      </c>
      <c r="E7" s="667" t="str">
        <f>Historicals!F58</f>
        <v> </v>
      </c>
      <c r="F7" s="667" t="str">
        <f>Historicals!G58</f>
        <v> </v>
      </c>
      <c r="G7" s="667" t="str">
        <f>Historicals!H58</f>
        <v> </v>
      </c>
      <c r="H7" s="668" t="str">
        <f>Historicals!I58</f>
        <v> </v>
      </c>
      <c r="I7" s="667">
        <f>Forecast!D52</f>
        <v>0.08</v>
      </c>
      <c r="J7" s="667">
        <f>Forecast!E52</f>
        <v>0.1</v>
      </c>
      <c r="K7" s="667">
        <f>Forecast!F52</f>
        <v>0.12</v>
      </c>
      <c r="L7" s="667">
        <f>Forecast!G52</f>
        <v>0.14000000000000001</v>
      </c>
      <c r="M7" s="667">
        <f>Forecast!H52</f>
        <v>0.15</v>
      </c>
      <c r="N7" s="667">
        <f>Forecast!I52</f>
        <v>0.16</v>
      </c>
      <c r="O7" s="667">
        <f>Forecast!J52</f>
        <v>0.17</v>
      </c>
      <c r="P7" s="667">
        <f>Forecast!K52</f>
        <v>0.18</v>
      </c>
      <c r="Q7" s="667">
        <f>Forecast!L52</f>
        <v>0.19</v>
      </c>
      <c r="R7" s="667">
        <f>Forecast!M52</f>
        <v>0.2</v>
      </c>
      <c r="S7" s="685"/>
    </row>
    <row r="8" spans="2:19" ht="10.5">
      <c r="B8" t="str">
        <f>"Historical " &amp; B45</f>
        <v>Historical Selling &amp; marketing</v>
      </c>
      <c r="C8" s="85">
        <f>Historicals!D22</f>
        <v>-241000</v>
      </c>
      <c r="D8" s="85">
        <f>Historicals!E22</f>
        <v>-278000</v>
      </c>
      <c r="E8" s="85">
        <f>Historicals!F22</f>
        <v>-293000</v>
      </c>
      <c r="F8" s="85">
        <f>Historicals!G22</f>
        <v>-324000</v>
      </c>
      <c r="G8" s="85">
        <f>Historicals!H22</f>
        <v>-367000</v>
      </c>
      <c r="H8" s="663"/>
      <c r="I8" s="85"/>
      <c r="J8" s="85"/>
      <c r="K8" s="85"/>
      <c r="L8" s="85"/>
      <c r="M8" s="85"/>
      <c r="N8" s="85"/>
      <c r="O8" s="85"/>
      <c r="P8" s="85"/>
      <c r="Q8" s="85"/>
      <c r="R8" s="85"/>
      <c r="S8" s="687"/>
    </row>
    <row r="9" spans="2:19" ht="10.5">
      <c r="B9" t="str">
        <f>"Forecast " &amp; B45</f>
        <v>Forecast Selling &amp; marketing</v>
      </c>
      <c r="C9" s="85"/>
      <c r="D9" s="85"/>
      <c r="E9" s="85"/>
      <c r="F9" s="85"/>
      <c r="G9" s="85"/>
      <c r="H9" s="663"/>
      <c r="I9" s="85">
        <f>Forecast!D26</f>
        <v>-440391.6</v>
      </c>
      <c r="J9" s="85">
        <f>Forecast!E26</f>
        <v>-509508.61500000011</v>
      </c>
      <c r="K9" s="85">
        <f>Forecast!F26</f>
        <v>-579092.93442000006</v>
      </c>
      <c r="L9" s="85">
        <f>Forecast!G26</f>
        <v>-652898.89665000013</v>
      </c>
      <c r="M9" s="85">
        <f>Forecast!H26</f>
        <v>-723020.23815021012</v>
      </c>
      <c r="N9" s="85">
        <f>Forecast!I26</f>
        <v>-787206.72867987165</v>
      </c>
      <c r="O9" s="85">
        <f>Forecast!J26</f>
        <v>-840363.47169897624</v>
      </c>
      <c r="P9" s="85">
        <f>Forecast!K26</f>
        <v>-896712.05395921296</v>
      </c>
      <c r="Q9" s="85">
        <f>Forecast!L26</f>
        <v>-947622.15766786528</v>
      </c>
      <c r="R9" s="85">
        <f>Forecast!M26</f>
        <v>-1002813.3382792906</v>
      </c>
      <c r="S9" s="684">
        <f>(M9/G8)^(1/5)-1</f>
        <v>0.1452409747092076</v>
      </c>
    </row>
    <row r="10" spans="2:19" ht="12">
      <c r="B10" s="666" t="str">
        <f>B45 &amp; "as a % of revenue"</f>
        <v>Selling &amp; marketingas a % of revenue</v>
      </c>
      <c r="C10" s="667">
        <f>Historicals!D57</f>
        <v>0</v>
      </c>
      <c r="D10" s="667">
        <f>Historicals!E57</f>
        <v>0</v>
      </c>
      <c r="E10" s="667">
        <f>Historicals!F57</f>
        <v>0</v>
      </c>
      <c r="F10" s="667">
        <f>Historicals!G57</f>
        <v>0</v>
      </c>
      <c r="G10" s="667">
        <f>Historicals!H57</f>
        <v>0</v>
      </c>
      <c r="H10" s="668">
        <f>Historicals!I57</f>
        <v>0</v>
      </c>
      <c r="I10" s="667">
        <f>Forecast!D51</f>
        <v>0.44</v>
      </c>
      <c r="J10" s="667">
        <f>Forecast!E51</f>
        <v>0.44</v>
      </c>
      <c r="K10" s="667">
        <f>Forecast!F51</f>
        <v>0.45</v>
      </c>
      <c r="L10" s="667">
        <f>Forecast!G51</f>
        <v>0.45</v>
      </c>
      <c r="M10" s="667">
        <f>Forecast!H51</f>
        <v>0.46</v>
      </c>
      <c r="N10" s="667">
        <f>Forecast!I51</f>
        <v>0.46</v>
      </c>
      <c r="O10" s="667">
        <f>Forecast!J51</f>
        <v>0.46</v>
      </c>
      <c r="P10" s="667">
        <f>Forecast!K51</f>
        <v>0.46</v>
      </c>
      <c r="Q10" s="667">
        <f>Forecast!L51</f>
        <v>0.47</v>
      </c>
      <c r="R10" s="667">
        <f>Forecast!M51</f>
        <v>0.47</v>
      </c>
      <c r="S10" s="685"/>
    </row>
    <row r="11" spans="2:19" ht="10.5">
      <c r="B11" t="str">
        <f>"Historical " &amp; B46</f>
        <v>Historical Salary &amp; wages</v>
      </c>
      <c r="C11" s="85">
        <f>Historicals!D23</f>
        <v>-380800</v>
      </c>
      <c r="D11" s="85">
        <f>Historicals!E23</f>
        <v>-228200</v>
      </c>
      <c r="E11" s="85">
        <f>Historicals!F23</f>
        <v>-385000</v>
      </c>
      <c r="F11" s="85">
        <f>Historicals!G23</f>
        <v>-358400</v>
      </c>
      <c r="G11" s="85">
        <f>Historicals!H23</f>
        <v>-321300</v>
      </c>
      <c r="H11" s="663"/>
      <c r="I11" s="85"/>
      <c r="J11" s="85"/>
      <c r="K11" s="85"/>
      <c r="L11" s="85"/>
      <c r="M11" s="85"/>
      <c r="N11" s="85"/>
      <c r="O11" s="85"/>
      <c r="P11" s="85"/>
      <c r="Q11" s="85"/>
      <c r="R11" s="85"/>
      <c r="S11" s="687"/>
    </row>
    <row r="12" spans="2:19" ht="10.5">
      <c r="B12" t="str">
        <f>"Forecast " &amp; B46</f>
        <v>Forecast Salary &amp; wages</v>
      </c>
      <c r="C12" s="85"/>
      <c r="D12" s="85"/>
      <c r="E12" s="85"/>
      <c r="F12" s="85"/>
      <c r="G12" s="85"/>
      <c r="H12" s="663"/>
      <c r="I12" s="85">
        <f>Forecast!D27</f>
        <v>-318060.59999999998</v>
      </c>
      <c r="J12" s="85">
        <f>Forecast!E27</f>
        <v>-354229.79900000006</v>
      </c>
      <c r="K12" s="85">
        <f>Forecast!F27</f>
        <v>-386061.9562800001</v>
      </c>
      <c r="L12" s="85">
        <f>Forecast!G27</f>
        <v>-424384.2828225001</v>
      </c>
      <c r="M12" s="85">
        <f>Forecast!H27</f>
        <v>-457420.96699299006</v>
      </c>
      <c r="N12" s="85">
        <f>Forecast!I27</f>
        <v>-486931.99712157005</v>
      </c>
      <c r="O12" s="85">
        <f>Forecast!J27</f>
        <v>-513064.01430042763</v>
      </c>
      <c r="P12" s="85">
        <f>Forecast!K27</f>
        <v>-539955.64539479488</v>
      </c>
      <c r="Q12" s="85">
        <f>Forecast!L27</f>
        <v>-562325.23641829367</v>
      </c>
      <c r="R12" s="85">
        <f>Forecast!M27</f>
        <v>-579403.26211692346</v>
      </c>
      <c r="S12" s="684">
        <f>(M12/G11)^(1/5)-1</f>
        <v>7.3200999381916487E-2</v>
      </c>
    </row>
    <row r="13" spans="2:19" ht="12">
      <c r="B13" s="666" t="str">
        <f>B46 &amp; " YoY Growth %"</f>
        <v>Salary &amp; wages YoY Growth %</v>
      </c>
      <c r="C13" s="667">
        <f>Historicals!D50</f>
        <v>-0.67300000000000004</v>
      </c>
      <c r="D13" s="667">
        <f>Historicals!E50</f>
        <v>-0.90400000000000003</v>
      </c>
      <c r="E13" s="667">
        <f>Historicals!F50</f>
        <v>-0.16400000000000001</v>
      </c>
      <c r="F13" s="667">
        <f>Historicals!G50</f>
        <v>-0.02</v>
      </c>
      <c r="G13" s="667">
        <f>Historicals!H50</f>
        <v>6.6000000000000003E-2</v>
      </c>
      <c r="H13" s="668">
        <f>Historicals!I50</f>
        <v>-3.9E-2</v>
      </c>
      <c r="I13" s="667">
        <f>Forecast!D45</f>
        <v>0.52</v>
      </c>
      <c r="J13" s="667">
        <f>Forecast!E45</f>
        <v>0.12</v>
      </c>
      <c r="K13" s="667">
        <f>Forecast!F45</f>
        <v>0.12</v>
      </c>
      <c r="L13" s="667">
        <f>Forecast!G45</f>
        <v>0.1</v>
      </c>
      <c r="M13" s="667">
        <f>Forecast!H45</f>
        <v>0.08</v>
      </c>
      <c r="N13" s="667">
        <f>Forecast!I45</f>
        <v>7.0000000000000007E-2</v>
      </c>
      <c r="O13" s="667">
        <f>Forecast!J45</f>
        <v>0.06</v>
      </c>
      <c r="P13" s="667">
        <f>Forecast!K45</f>
        <v>0.06</v>
      </c>
      <c r="Q13" s="667">
        <f>Forecast!L45</f>
        <v>0.05</v>
      </c>
      <c r="R13" s="667">
        <f>Forecast!M45</f>
        <v>0.04</v>
      </c>
      <c r="S13" s="685"/>
    </row>
    <row r="14" spans="2:19" ht="10.5">
      <c r="B14" t="str">
        <f>"Historical " &amp; B47</f>
        <v>Historical General &amp; Admin</v>
      </c>
      <c r="C14" s="85">
        <f>Historicals!D24</f>
        <v>-163200</v>
      </c>
      <c r="D14" s="85">
        <f>Historicals!E24</f>
        <v>-193800</v>
      </c>
      <c r="E14" s="85">
        <f>Historicals!F24</f>
        <v>-165000</v>
      </c>
      <c r="F14" s="85">
        <f>Historicals!G24</f>
        <v>-153600</v>
      </c>
      <c r="G14" s="85">
        <f>Historicals!H24</f>
        <v>-137700</v>
      </c>
      <c r="H14" s="663"/>
      <c r="I14" s="85"/>
      <c r="J14" s="85"/>
      <c r="K14" s="85"/>
      <c r="L14" s="85"/>
      <c r="M14" s="85"/>
      <c r="N14" s="85"/>
      <c r="O14" s="85"/>
      <c r="P14" s="85"/>
      <c r="Q14" s="85"/>
      <c r="R14" s="85"/>
      <c r="S14" s="687"/>
    </row>
    <row r="15" spans="2:19" ht="10.5">
      <c r="B15" t="str">
        <f>"Forecast " &amp; B47</f>
        <v>Forecast General &amp; Admin</v>
      </c>
      <c r="C15" s="85"/>
      <c r="D15" s="85"/>
      <c r="E15" s="85"/>
      <c r="F15" s="85"/>
      <c r="G15" s="85"/>
      <c r="H15" s="663"/>
      <c r="I15" s="85">
        <f>Forecast!D28</f>
        <v>-203885</v>
      </c>
      <c r="J15" s="85">
        <f>Forecast!E28</f>
        <v>-228065.76100000006</v>
      </c>
      <c r="K15" s="85">
        <f>Forecast!F28</f>
        <v>-255482.17695000002</v>
      </c>
      <c r="L15" s="85">
        <f>Forecast!G28</f>
        <v>-280746.52555950003</v>
      </c>
      <c r="M15" s="85">
        <f>Forecast!H28</f>
        <v>-302488.05881794507</v>
      </c>
      <c r="N15" s="85">
        <f>Forecast!I28</f>
        <v>-324621.33141438005</v>
      </c>
      <c r="O15" s="85">
        <f>Forecast!J28</f>
        <v>-344991.31996063236</v>
      </c>
      <c r="P15" s="85">
        <f>Forecast!K28</f>
        <v>-366398.47366075369</v>
      </c>
      <c r="Q15" s="85">
        <f>Forecast!L28</f>
        <v>-385296.92124957155</v>
      </c>
      <c r="R15" s="85">
        <f>Forecast!M28</f>
        <v>-401125.33531171625</v>
      </c>
      <c r="S15" s="684">
        <f>(M15/G14)^(1/5)-1</f>
        <v>0.17045537114450093</v>
      </c>
    </row>
    <row r="16" spans="2:19" ht="12">
      <c r="B16" s="666" t="str">
        <f>B47 &amp; " YoY Growth %"</f>
        <v>General &amp; Admin YoY Growth %</v>
      </c>
      <c r="C16" s="667">
        <f>Historicals!D51</f>
        <v>-0.58399999999999996</v>
      </c>
      <c r="D16" s="667">
        <f>Historicals!E51</f>
        <v>-0.83399999999999996</v>
      </c>
      <c r="E16" s="667">
        <f>Historicals!F51</f>
        <v>-0.107</v>
      </c>
      <c r="F16" s="667">
        <f>Historicals!G51</f>
        <v>3.3000000000000002E-2</v>
      </c>
      <c r="G16" s="667">
        <f>Historicals!H51</f>
        <v>0.11700000000000001</v>
      </c>
      <c r="H16" s="668">
        <f>Historicals!I51</f>
        <v>1.4E-2</v>
      </c>
      <c r="I16" s="667">
        <f>Forecast!D46</f>
        <v>0.19</v>
      </c>
      <c r="J16" s="667">
        <f>Forecast!E46</f>
        <v>0.14000000000000001</v>
      </c>
      <c r="K16" s="667">
        <f>Forecast!F46</f>
        <v>0.12</v>
      </c>
      <c r="L16" s="667">
        <f>Forecast!G46</f>
        <v>0.1</v>
      </c>
      <c r="M16" s="667">
        <f>Forecast!H46</f>
        <v>0.08</v>
      </c>
      <c r="N16" s="667">
        <f>Forecast!I46</f>
        <v>7.0000000000000007E-2</v>
      </c>
      <c r="O16" s="667">
        <f>Forecast!J46</f>
        <v>7.0000000000000007E-2</v>
      </c>
      <c r="P16" s="667">
        <f>Forecast!K46</f>
        <v>7.0000000000000007E-2</v>
      </c>
      <c r="Q16" s="667">
        <f>Forecast!L46</f>
        <v>0.05</v>
      </c>
      <c r="R16" s="667">
        <f>Forecast!M46</f>
        <v>0.01</v>
      </c>
      <c r="S16" s="685"/>
    </row>
    <row r="17" spans="2:19" ht="10.5">
      <c r="B17" t="str">
        <f>"Historical " &amp; B48</f>
        <v>Historical Other Op Inc/(Exp)</v>
      </c>
      <c r="C17" s="85">
        <f>Historicals!D26</f>
        <v>12000</v>
      </c>
      <c r="D17" s="85">
        <f>Historicals!E26</f>
        <v>17000</v>
      </c>
      <c r="E17" s="85">
        <f>Historicals!F26</f>
        <v>17000</v>
      </c>
      <c r="F17" s="85">
        <f>Historicals!G26</f>
        <v>17000</v>
      </c>
      <c r="G17" s="85">
        <f>Historicals!H26</f>
        <v>20000</v>
      </c>
      <c r="H17" s="663"/>
      <c r="I17" s="85"/>
      <c r="J17" s="85"/>
      <c r="K17" s="85"/>
      <c r="L17" s="85"/>
      <c r="M17" s="85"/>
      <c r="N17" s="85"/>
      <c r="O17" s="85"/>
      <c r="P17" s="85"/>
      <c r="Q17" s="85"/>
      <c r="R17" s="85"/>
      <c r="S17" s="687"/>
    </row>
    <row r="18" spans="2:19" ht="10.5">
      <c r="B18" t="str">
        <f>"Forecast " &amp; B48</f>
        <v>Forecast Other Op Inc/(Exp)</v>
      </c>
      <c r="C18" s="85"/>
      <c r="D18" s="85"/>
      <c r="E18" s="85"/>
      <c r="F18" s="85"/>
      <c r="G18" s="85"/>
      <c r="H18" s="663"/>
      <c r="I18" s="85">
        <f>Forecast!D29</f>
        <v>-509712.5</v>
      </c>
      <c r="J18" s="85">
        <f>Forecast!E29</f>
        <v>-582295.56000000006</v>
      </c>
      <c r="K18" s="85">
        <f>Forecast!F29</f>
        <v>-652898.89665000013</v>
      </c>
      <c r="L18" s="85">
        <f>Forecast!G29</f>
        <v>-718188.78631500015</v>
      </c>
      <c r="M18" s="85">
        <f>Forecast!H29</f>
        <v>-774664.5408752251</v>
      </c>
      <c r="N18" s="85">
        <f>Forecast!I29</f>
        <v>-827784.39510666905</v>
      </c>
      <c r="O18" s="85">
        <f>Forecast!J29</f>
        <v>-884593.12810418557</v>
      </c>
      <c r="P18" s="85">
        <f>Forecast!K29</f>
        <v>-944922.37944089109</v>
      </c>
      <c r="Q18" s="85">
        <f>Forecast!L29</f>
        <v>-989275.87888403516</v>
      </c>
      <c r="R18" s="85">
        <f>Forecast!M29</f>
        <v>-1002813.3382792906</v>
      </c>
      <c r="S18" s="684">
        <f>(M18/G17)^(1/5)-1</f>
        <v>-3.0778621700930091</v>
      </c>
    </row>
    <row r="19" spans="2:19" ht="12">
      <c r="B19" s="666" t="str">
        <f>B48 &amp; " YoY Growth %"</f>
        <v>Other Op Inc/(Exp) YoY Growth %</v>
      </c>
      <c r="C19" s="667" t="str">
        <f>Historicals!D52</f>
        <v> </v>
      </c>
      <c r="D19" s="667" t="str">
        <f>Historicals!E52</f>
        <v> </v>
      </c>
      <c r="E19" s="667" t="str">
        <f>Historicals!F52</f>
        <v> </v>
      </c>
      <c r="F19" s="667" t="str">
        <f>Historicals!G52</f>
        <v> </v>
      </c>
      <c r="G19" s="667" t="str">
        <f>Historicals!H52</f>
        <v> </v>
      </c>
      <c r="H19" s="668" t="str">
        <f>Historicals!I52</f>
        <v> </v>
      </c>
      <c r="I19" s="667">
        <f>Forecast!D47</f>
        <v>0.02</v>
      </c>
      <c r="J19" s="667">
        <f>Forecast!E47</f>
        <v>0.19</v>
      </c>
      <c r="K19" s="667">
        <f>Forecast!F47</f>
        <v>0.17</v>
      </c>
      <c r="L19" s="667">
        <f>Forecast!G47</f>
        <v>0.15</v>
      </c>
      <c r="M19" s="667">
        <f>Forecast!H47</f>
        <v>0.13</v>
      </c>
      <c r="N19" s="667">
        <f>Forecast!I47</f>
        <v>0.1</v>
      </c>
      <c r="O19" s="667">
        <f>Forecast!J47</f>
        <v>0.09</v>
      </c>
      <c r="P19" s="667">
        <f>Forecast!K47</f>
        <v>0.09</v>
      </c>
      <c r="Q19" s="667">
        <f>Forecast!L47</f>
        <v>0.08</v>
      </c>
      <c r="R19" s="667">
        <f>Forecast!M47</f>
        <v>7.0000000000000007E-2</v>
      </c>
      <c r="S19" s="685"/>
    </row>
    <row r="20" spans="2:19" ht="10.5">
      <c r="B20" t="e">
        <f>"Historical " &amp; B49</f>
        <v>#REF!</v>
      </c>
      <c r="C20" s="85" t="e">
        <f>Historicals!#REF!</f>
        <v>#REF!</v>
      </c>
      <c r="D20" s="85" t="e">
        <f>Historicals!#REF!</f>
        <v>#REF!</v>
      </c>
      <c r="E20" s="85" t="e">
        <f>Historicals!#REF!</f>
        <v>#REF!</v>
      </c>
      <c r="F20" s="85" t="e">
        <f>Historicals!#REF!</f>
        <v>#REF!</v>
      </c>
      <c r="G20" s="85" t="e">
        <f>Historicals!#REF!</f>
        <v>#REF!</v>
      </c>
      <c r="H20" s="663"/>
      <c r="I20" s="85"/>
      <c r="J20" s="85"/>
      <c r="K20" s="85"/>
      <c r="L20" s="85"/>
      <c r="M20" s="85"/>
      <c r="N20" s="85"/>
      <c r="O20" s="85"/>
      <c r="P20" s="85"/>
      <c r="Q20" s="85"/>
      <c r="R20" s="85"/>
      <c r="S20" s="687"/>
    </row>
    <row r="21" spans="2:19" ht="10.5">
      <c r="B21" t="e">
        <f>"Forecast " &amp; B49</f>
        <v>#REF!</v>
      </c>
      <c r="C21" s="85"/>
      <c r="D21" s="85"/>
      <c r="E21" s="85"/>
      <c r="F21" s="85"/>
      <c r="G21" s="85"/>
      <c r="H21" s="663"/>
      <c r="I21" s="85">
        <f>Forecast!D30</f>
        <v>20388.5</v>
      </c>
      <c r="J21" s="85">
        <f>Forecast!E30</f>
        <v>24262.315000000006</v>
      </c>
      <c r="K21" s="85">
        <f>Forecast!F30</f>
        <v>28386.908550000004</v>
      </c>
      <c r="L21" s="85">
        <f>Forecast!G30</f>
        <v>32644.944832500005</v>
      </c>
      <c r="M21" s="85">
        <f>Forecast!H30</f>
        <v>36888.787660725007</v>
      </c>
      <c r="N21" s="85">
        <f>Forecast!I30</f>
        <v>40577.666426797507</v>
      </c>
      <c r="O21" s="85">
        <f>Forecast!J30</f>
        <v>44229.656405209273</v>
      </c>
      <c r="P21" s="85">
        <f>Forecast!K30</f>
        <v>48210.325481678119</v>
      </c>
      <c r="Q21" s="85">
        <f>Forecast!L30</f>
        <v>52067.151520212377</v>
      </c>
      <c r="R21" s="85">
        <f>Forecast!M30</f>
        <v>55711.852126627258</v>
      </c>
      <c r="S21" s="684" t="e">
        <f>(M21/G20)^(1/5)-1</f>
        <v>#REF!</v>
      </c>
    </row>
    <row r="22" spans="2:19" ht="12">
      <c r="B22" s="666" t="e">
        <f>B49 &amp; " YoY Growth %"</f>
        <v>#REF!</v>
      </c>
      <c r="C22" s="667">
        <f>Historicals!D53</f>
        <v>0</v>
      </c>
      <c r="D22" s="667">
        <f>Historicals!E53</f>
        <v>0</v>
      </c>
      <c r="E22" s="667">
        <f>Historicals!F53</f>
        <v>0</v>
      </c>
      <c r="F22" s="667">
        <f>Historicals!G53</f>
        <v>0</v>
      </c>
      <c r="G22" s="667">
        <f>Historicals!H53</f>
        <v>0</v>
      </c>
      <c r="H22" s="668">
        <f>Historicals!I53</f>
        <v>0</v>
      </c>
      <c r="I22" s="667">
        <f>Forecast!D48</f>
        <v>0</v>
      </c>
      <c r="J22" s="667">
        <f>Forecast!E48</f>
        <v>0</v>
      </c>
      <c r="K22" s="667">
        <f>Forecast!F48</f>
        <v>0</v>
      </c>
      <c r="L22" s="667">
        <f>Forecast!G48</f>
        <v>0</v>
      </c>
      <c r="M22" s="667">
        <f>Forecast!H48</f>
        <v>0</v>
      </c>
      <c r="N22" s="667">
        <f>Forecast!I48</f>
        <v>0</v>
      </c>
      <c r="O22" s="667">
        <f>Forecast!J48</f>
        <v>0</v>
      </c>
      <c r="P22" s="667">
        <f>Forecast!K48</f>
        <v>0</v>
      </c>
      <c r="Q22" s="667">
        <f>Forecast!L48</f>
        <v>0</v>
      </c>
      <c r="R22" s="667">
        <f>Forecast!M48</f>
        <v>0</v>
      </c>
      <c r="S22" s="685"/>
    </row>
    <row r="23" spans="2:19" ht="10.5">
      <c r="B23" t="str">
        <f>"Historical " &amp; B50</f>
        <v>Historical EBITDA</v>
      </c>
      <c r="C23" s="85">
        <f>Historicals!D31</f>
        <v>-1166000</v>
      </c>
      <c r="D23" s="85">
        <f>Historicals!E31</f>
        <v>-629000</v>
      </c>
      <c r="E23" s="85">
        <f>Historicals!F31</f>
        <v>135000</v>
      </c>
      <c r="F23" s="85">
        <f>Historicals!G31</f>
        <v>503000</v>
      </c>
      <c r="G23" s="85">
        <f>Historicals!H31</f>
        <v>876000</v>
      </c>
      <c r="H23" s="663"/>
      <c r="I23" s="85"/>
      <c r="J23" s="85"/>
      <c r="K23" s="85"/>
      <c r="L23" s="85"/>
      <c r="M23" s="85"/>
      <c r="N23" s="85"/>
      <c r="O23" s="85"/>
      <c r="P23" s="85"/>
      <c r="Q23" s="85"/>
      <c r="R23" s="85"/>
      <c r="S23" s="687"/>
    </row>
    <row r="24" spans="2:19" ht="10.5">
      <c r="B24" t="str">
        <f>"Forecast " &amp; B50</f>
        <v>Forecast EBITDA</v>
      </c>
      <c r="C24" s="85"/>
      <c r="D24" s="85"/>
      <c r="E24" s="85"/>
      <c r="F24" s="85"/>
      <c r="G24" s="85"/>
      <c r="H24" s="663"/>
      <c r="I24" s="85">
        <f>Forecast!D35</f>
        <v>526023.29999999993</v>
      </c>
      <c r="J24" s="85">
        <f>Forecast!E35</f>
        <v>727869.44999999984</v>
      </c>
      <c r="K24" s="85">
        <f>Forecast!F35</f>
        <v>965154.89069999999</v>
      </c>
      <c r="L24" s="85">
        <f>Forecast!G35</f>
        <v>1220920.9367354999</v>
      </c>
      <c r="M24" s="85">
        <f>Forecast!H35</f>
        <v>1505062.5365575799</v>
      </c>
      <c r="N24" s="85">
        <f>Forecast!I35</f>
        <v>1712377.523210854</v>
      </c>
      <c r="O24" s="85">
        <f>Forecast!J35</f>
        <v>1972642.6756723332</v>
      </c>
      <c r="P24" s="85">
        <f>Forecast!K35</f>
        <v>2217674.9721571933</v>
      </c>
      <c r="Q24" s="85">
        <f>Forecast!L35</f>
        <v>2530463.5638823211</v>
      </c>
      <c r="R24" s="85">
        <f>Forecast!M35</f>
        <v>2807877.3471820131</v>
      </c>
      <c r="S24" s="684">
        <f>(M24/G23)^(1/5)-1</f>
        <v>0.11432041696192075</v>
      </c>
    </row>
    <row r="25" spans="2:19" ht="12">
      <c r="B25" s="666" t="str">
        <f>B50 &amp; " Margin"</f>
        <v>EBITDA Margin</v>
      </c>
      <c r="C25" s="667">
        <f>Historicals!D60</f>
        <v>0</v>
      </c>
      <c r="D25" s="667">
        <f>Historicals!E60</f>
        <v>0</v>
      </c>
      <c r="E25" s="667">
        <f>Historicals!F60</f>
        <v>0</v>
      </c>
      <c r="F25" s="667">
        <f>Historicals!G60</f>
        <v>0</v>
      </c>
      <c r="G25" s="667">
        <f>Historicals!H60</f>
        <v>0</v>
      </c>
      <c r="H25" s="668" t="str">
        <f>Historicals!I59</f>
        <v>3-YR CAGR</v>
      </c>
      <c r="I25" s="667">
        <f>Forecast!D54</f>
        <v>0</v>
      </c>
      <c r="J25" s="667">
        <f>Forecast!E54</f>
        <v>0</v>
      </c>
      <c r="K25" s="667">
        <f>Forecast!F54</f>
        <v>0</v>
      </c>
      <c r="L25" s="667">
        <f>Forecast!G54</f>
        <v>0</v>
      </c>
      <c r="M25" s="667">
        <f>Forecast!H54</f>
        <v>0</v>
      </c>
      <c r="N25" s="667">
        <f>Forecast!I54</f>
        <v>0</v>
      </c>
      <c r="O25" s="667">
        <f>Forecast!J54</f>
        <v>0</v>
      </c>
      <c r="P25" s="667">
        <f>Forecast!K54</f>
        <v>0</v>
      </c>
      <c r="Q25" s="667">
        <f>Forecast!L54</f>
        <v>0</v>
      </c>
      <c r="R25" s="667">
        <f>Forecast!M54</f>
        <v>0</v>
      </c>
      <c r="S25" s="685"/>
    </row>
    <row r="26" spans="2:19" ht="10.5">
      <c r="B26" t="str">
        <f>"Historical " &amp; B51</f>
        <v>Historical Net Working Capital</v>
      </c>
      <c r="C26" s="85">
        <f>Historicals!D129</f>
        <v>449000</v>
      </c>
      <c r="D26" s="85">
        <f>Historicals!E129</f>
        <v>622000</v>
      </c>
      <c r="E26" s="85">
        <f>Historicals!F129</f>
        <v>781000</v>
      </c>
      <c r="F26" s="85">
        <f>Historicals!G129</f>
        <v>1004000</v>
      </c>
      <c r="G26" s="85">
        <f>Historicals!H129</f>
        <v>1361000</v>
      </c>
      <c r="H26" s="663"/>
      <c r="I26" s="85"/>
      <c r="J26" s="85"/>
      <c r="K26" s="85"/>
      <c r="L26" s="85"/>
      <c r="M26" s="85"/>
      <c r="N26" s="85"/>
      <c r="O26" s="85"/>
      <c r="P26" s="85"/>
      <c r="Q26" s="85"/>
      <c r="R26" s="85"/>
      <c r="S26" s="687"/>
    </row>
    <row r="27" spans="2:19" ht="10.5">
      <c r="B27" t="str">
        <f>"Forecast " &amp; B51</f>
        <v>Forecast Net Working Capital</v>
      </c>
      <c r="C27" s="85"/>
      <c r="D27" s="85"/>
      <c r="E27" s="85"/>
      <c r="F27" s="85"/>
      <c r="G27" s="85"/>
      <c r="H27" s="663"/>
      <c r="I27" s="85">
        <f>Forecast!D57</f>
        <v>-353700.44520547963</v>
      </c>
      <c r="J27" s="85">
        <f>Forecast!E57</f>
        <v>-330919.87831506901</v>
      </c>
      <c r="K27" s="85">
        <f>Forecast!F57</f>
        <v>-348596.95359424688</v>
      </c>
      <c r="L27" s="85">
        <f>Forecast!G57</f>
        <v>-349683.93854229432</v>
      </c>
      <c r="M27" s="85">
        <f>Forecast!H57</f>
        <v>-316727.51543926587</v>
      </c>
      <c r="N27" s="85">
        <f>Forecast!I57</f>
        <v>-239069.66359300027</v>
      </c>
      <c r="O27" s="85">
        <f>Forecast!J57</f>
        <v>-251544.84518882632</v>
      </c>
      <c r="P27" s="85">
        <f>Forecast!K57</f>
        <v>-341975.22092522029</v>
      </c>
      <c r="Q27" s="85">
        <f>Forecast!L57</f>
        <v>-288659.65402925666</v>
      </c>
      <c r="R27" s="85">
        <f>Forecast!M57</f>
        <v>-282533.48211629782</v>
      </c>
      <c r="S27" s="684">
        <f>(M27/G26)^(1/5)-1</f>
        <v>-1.7470772883313617</v>
      </c>
    </row>
    <row r="28" spans="2:19" ht="12">
      <c r="B28" s="675" t="str">
        <f>B51 &amp; " / Sales %"</f>
        <v>Net Working Capital / Sales %</v>
      </c>
      <c r="C28" s="676">
        <f>Historicals!D133</f>
        <v>-0.64148148148148143</v>
      </c>
      <c r="D28" s="676">
        <f>Historicals!E133</f>
        <v>-0.24982554082344732</v>
      </c>
      <c r="E28" s="676">
        <f>Historicals!F133</f>
        <v>-0.24247562526494276</v>
      </c>
      <c r="F28" s="676">
        <f>Historicals!G133</f>
        <v>-0.48873793350017875</v>
      </c>
      <c r="G28" s="676">
        <f>Historicals!H133</f>
        <v>-0.47062314540059347</v>
      </c>
      <c r="H28" s="677" t="e">
        <f>Historicals!#REF!</f>
        <v>#REF!</v>
      </c>
      <c r="I28" s="676">
        <f>IFERROR(I27/I3,"")</f>
        <v>-8.6740183241896071E-2</v>
      </c>
      <c r="J28" s="676">
        <f t="shared" ref="J28:R28" si="0">IFERROR(J27/J3,"")</f>
        <v>-6.8196270288937585E-2</v>
      </c>
      <c r="K28" s="676">
        <f t="shared" si="0"/>
        <v>-6.1401006907856263E-2</v>
      </c>
      <c r="L28" s="676">
        <f t="shared" si="0"/>
        <v>-5.355866587254314E-2</v>
      </c>
      <c r="M28" s="676">
        <f t="shared" si="0"/>
        <v>-4.2930052127530524E-2</v>
      </c>
      <c r="N28" s="676">
        <f t="shared" si="0"/>
        <v>-2.9458281444582849E-2</v>
      </c>
      <c r="O28" s="676">
        <f t="shared" si="0"/>
        <v>-2.8436219680784126E-2</v>
      </c>
      <c r="P28" s="676">
        <f t="shared" si="0"/>
        <v>-3.5467010179716041E-2</v>
      </c>
      <c r="Q28" s="676">
        <f t="shared" si="0"/>
        <v>-2.7719939117199402E-2</v>
      </c>
      <c r="R28" s="676">
        <f t="shared" si="0"/>
        <v>-2.5356676481884728E-2</v>
      </c>
      <c r="S28" s="688"/>
    </row>
    <row r="29" spans="2:19" ht="12">
      <c r="B29" s="669" t="s">
        <v>995</v>
      </c>
      <c r="C29" s="670">
        <f>Historicals!D190</f>
        <v>-0.93481481481481477</v>
      </c>
      <c r="D29" s="670">
        <f>Historicals!E190</f>
        <v>-1.0118518518518518</v>
      </c>
      <c r="E29" s="670">
        <f>Historicals!F190</f>
        <v>-1.5185185185185186</v>
      </c>
      <c r="F29" s="670">
        <f>Historicals!G190</f>
        <v>-2.951111111111111</v>
      </c>
      <c r="G29" s="670">
        <f>Historicals!H190</f>
        <v>-3.5007407407407407</v>
      </c>
      <c r="H29" s="671">
        <f>Historicals!I190</f>
        <v>-2.6567901234567901</v>
      </c>
      <c r="I29" s="670">
        <f>Forecast!D72</f>
        <v>0</v>
      </c>
      <c r="J29" s="670">
        <f>Forecast!E72</f>
        <v>0</v>
      </c>
      <c r="K29" s="670">
        <f>Forecast!F72</f>
        <v>0</v>
      </c>
      <c r="L29" s="670">
        <f>Forecast!G72</f>
        <v>0</v>
      </c>
      <c r="M29" s="670">
        <f>Forecast!H72</f>
        <v>0</v>
      </c>
      <c r="N29" s="670">
        <f>Forecast!I72</f>
        <v>0</v>
      </c>
      <c r="O29" s="670">
        <f>Forecast!J72</f>
        <v>0</v>
      </c>
      <c r="P29" s="670">
        <f>Forecast!K72</f>
        <v>0</v>
      </c>
      <c r="Q29" s="670">
        <f>Forecast!L72</f>
        <v>0</v>
      </c>
      <c r="R29" s="670">
        <f>Forecast!M72</f>
        <v>0</v>
      </c>
      <c r="S29" s="689"/>
    </row>
    <row r="30" spans="2:19" ht="10.5">
      <c r="B30" t="str">
        <f>"Historical " &amp; B52</f>
        <v>Historical 0</v>
      </c>
      <c r="C30" s="85">
        <f>Historicals!D141</f>
        <v>4838000</v>
      </c>
      <c r="D30" s="85">
        <f>Historicals!E141</f>
        <v>1952000</v>
      </c>
      <c r="E30" s="85">
        <f>Historicals!F141</f>
        <v>3138000</v>
      </c>
      <c r="F30" s="85">
        <f>Historicals!G141</f>
        <v>2964000</v>
      </c>
      <c r="G30" s="85">
        <f>Historicals!H141</f>
        <v>3433000</v>
      </c>
      <c r="H30" s="664"/>
      <c r="I30" s="85"/>
      <c r="J30" s="85"/>
      <c r="K30" s="85"/>
      <c r="L30" s="85"/>
      <c r="M30" s="85"/>
      <c r="N30" s="85"/>
      <c r="O30" s="85"/>
      <c r="P30" s="85"/>
      <c r="Q30" s="85"/>
      <c r="R30" s="85"/>
      <c r="S30" s="690"/>
    </row>
    <row r="31" spans="2:19" ht="10.5">
      <c r="B31" t="str">
        <f>"Forecast " &amp; B52</f>
        <v>Forecast 0</v>
      </c>
      <c r="C31" s="85"/>
      <c r="D31" s="85"/>
      <c r="E31" s="85"/>
      <c r="F31" s="85"/>
      <c r="G31" s="85"/>
      <c r="H31" s="664"/>
      <c r="I31" s="629">
        <f>Forecast!D100</f>
        <v>-353700.44520547963</v>
      </c>
      <c r="J31" s="629">
        <f>Forecast!E100</f>
        <v>-330919.87831506901</v>
      </c>
      <c r="K31" s="629">
        <f>Forecast!F100</f>
        <v>-348596.95359424688</v>
      </c>
      <c r="L31" s="629">
        <f>Forecast!G100</f>
        <v>-349683.93854229432</v>
      </c>
      <c r="M31" s="629">
        <f>Forecast!H100</f>
        <v>-316727.51543926587</v>
      </c>
      <c r="N31" s="629">
        <f>Forecast!I100</f>
        <v>-239069.66359300027</v>
      </c>
      <c r="O31" s="629">
        <f>Forecast!J100</f>
        <v>-251544.84518882632</v>
      </c>
      <c r="P31" s="629">
        <f>Forecast!K100</f>
        <v>-341975.22092522029</v>
      </c>
      <c r="Q31" s="629">
        <f>Forecast!L100</f>
        <v>-288659.65402925666</v>
      </c>
      <c r="R31" s="629">
        <f>Forecast!M100</f>
        <v>-282533.48211629782</v>
      </c>
      <c r="S31" s="684">
        <f>(M31/G30)^(1/5)-1</f>
        <v>-1.6208724625885753</v>
      </c>
    </row>
    <row r="32" spans="2:19" ht="12">
      <c r="B32" s="675">
        <f>Historicals!B198</f>
        <v>0</v>
      </c>
      <c r="C32" s="678">
        <f>Historicals!D198</f>
        <v>0</v>
      </c>
      <c r="D32" s="678">
        <f>Historicals!E198</f>
        <v>0</v>
      </c>
      <c r="E32" s="678">
        <f>Historicals!F198</f>
        <v>0</v>
      </c>
      <c r="F32" s="678">
        <f>Historicals!G198</f>
        <v>0</v>
      </c>
      <c r="G32" s="678">
        <f>Historicals!H198</f>
        <v>0</v>
      </c>
      <c r="H32" s="682">
        <f>Historicals!I198</f>
        <v>0</v>
      </c>
      <c r="I32" s="678">
        <f>Forecast!D105</f>
        <v>112</v>
      </c>
      <c r="J32" s="678">
        <f>Forecast!E105</f>
        <v>113</v>
      </c>
      <c r="K32" s="678">
        <f>Forecast!F105</f>
        <v>113</v>
      </c>
      <c r="L32" s="678">
        <f>Forecast!G105</f>
        <v>114</v>
      </c>
      <c r="M32" s="678">
        <f>Forecast!H105</f>
        <v>114.00000000000001</v>
      </c>
      <c r="N32" s="678">
        <f>Forecast!I105</f>
        <v>115</v>
      </c>
      <c r="O32" s="678">
        <f>Forecast!J105</f>
        <v>115</v>
      </c>
      <c r="P32" s="678">
        <f>Forecast!K105</f>
        <v>115.00000000000001</v>
      </c>
      <c r="Q32" s="678">
        <f>Forecast!L105</f>
        <v>115</v>
      </c>
      <c r="R32" s="678">
        <f>Forecast!M105</f>
        <v>116.00000000000001</v>
      </c>
      <c r="S32" s="691"/>
    </row>
    <row r="33" spans="2:19" ht="12">
      <c r="B33" s="672">
        <f>Historicals!B199</f>
        <v>0</v>
      </c>
      <c r="C33" s="679">
        <f>Historicals!D199</f>
        <v>0</v>
      </c>
      <c r="D33" s="679">
        <f>Historicals!E199</f>
        <v>0</v>
      </c>
      <c r="E33" s="679">
        <f>Historicals!F199</f>
        <v>0</v>
      </c>
      <c r="F33" s="679">
        <f>Historicals!G199</f>
        <v>0</v>
      </c>
      <c r="G33" s="679">
        <f>Historicals!H199</f>
        <v>0</v>
      </c>
      <c r="H33" s="683">
        <f>Historicals!I199</f>
        <v>0</v>
      </c>
      <c r="I33" s="679">
        <f>Forecast!D106</f>
        <v>17</v>
      </c>
      <c r="J33" s="679">
        <f>Forecast!E106</f>
        <v>16</v>
      </c>
      <c r="K33" s="679">
        <f>Forecast!F106</f>
        <v>15.000000000000002</v>
      </c>
      <c r="L33" s="679">
        <f>Forecast!G106</f>
        <v>15</v>
      </c>
      <c r="M33" s="679">
        <f>Forecast!H106</f>
        <v>14</v>
      </c>
      <c r="N33" s="679">
        <f>Forecast!I106</f>
        <v>13.999999999999998</v>
      </c>
      <c r="O33" s="679">
        <f>Forecast!J106</f>
        <v>13</v>
      </c>
      <c r="P33" s="679">
        <f>Forecast!K106</f>
        <v>13</v>
      </c>
      <c r="Q33" s="679">
        <f>Forecast!L106</f>
        <v>12.999999999999996</v>
      </c>
      <c r="R33" s="679">
        <f>Forecast!M106</f>
        <v>12.000000000000002</v>
      </c>
      <c r="S33" s="692"/>
    </row>
    <row r="34" spans="2:19" ht="12">
      <c r="B34" s="672">
        <f>Historicals!B200</f>
        <v>0</v>
      </c>
      <c r="C34" s="679">
        <f>Historicals!D200</f>
        <v>0</v>
      </c>
      <c r="D34" s="679">
        <f>Historicals!E200</f>
        <v>0</v>
      </c>
      <c r="E34" s="679">
        <f>Historicals!F200</f>
        <v>0</v>
      </c>
      <c r="F34" s="679">
        <f>Historicals!G200</f>
        <v>0</v>
      </c>
      <c r="G34" s="679">
        <f>Historicals!H200</f>
        <v>0</v>
      </c>
      <c r="H34" s="683">
        <f>Historicals!I200</f>
        <v>0</v>
      </c>
      <c r="I34" s="679">
        <f>Forecast!D107</f>
        <v>205</v>
      </c>
      <c r="J34" s="679">
        <f>Forecast!E107</f>
        <v>205</v>
      </c>
      <c r="K34" s="679">
        <f>Forecast!F107</f>
        <v>203</v>
      </c>
      <c r="L34" s="679">
        <f>Forecast!G107</f>
        <v>201</v>
      </c>
      <c r="M34" s="679">
        <f>Forecast!H107</f>
        <v>200</v>
      </c>
      <c r="N34" s="679">
        <f>Forecast!I107</f>
        <v>199</v>
      </c>
      <c r="O34" s="679">
        <f>Forecast!J107</f>
        <v>198</v>
      </c>
      <c r="P34" s="679">
        <f>Forecast!K107</f>
        <v>195</v>
      </c>
      <c r="Q34" s="679">
        <f>Forecast!L107</f>
        <v>193</v>
      </c>
      <c r="R34" s="679">
        <f>Forecast!M107</f>
        <v>194</v>
      </c>
      <c r="S34" s="692"/>
    </row>
    <row r="35" spans="2:19" ht="12">
      <c r="B35" s="672">
        <f>Historicals!B201</f>
        <v>0</v>
      </c>
      <c r="C35" s="679">
        <f>Historicals!D201</f>
        <v>0</v>
      </c>
      <c r="D35" s="679">
        <f>Historicals!E201</f>
        <v>0</v>
      </c>
      <c r="E35" s="679">
        <f>Historicals!F201</f>
        <v>0</v>
      </c>
      <c r="F35" s="679">
        <f>Historicals!G201</f>
        <v>0</v>
      </c>
      <c r="G35" s="679">
        <f>Historicals!H201</f>
        <v>0</v>
      </c>
      <c r="H35" s="683">
        <f>Historicals!I201</f>
        <v>0</v>
      </c>
      <c r="I35" s="679">
        <f>IFERROR(I32+I34-I33,"")</f>
        <v>300</v>
      </c>
      <c r="J35" s="679">
        <f t="shared" ref="J35:R35" si="1">IFERROR(J32+J34-J33,"")</f>
        <v>302</v>
      </c>
      <c r="K35" s="679">
        <f t="shared" si="1"/>
        <v>301</v>
      </c>
      <c r="L35" s="679">
        <f t="shared" si="1"/>
        <v>300</v>
      </c>
      <c r="M35" s="679">
        <f t="shared" si="1"/>
        <v>300</v>
      </c>
      <c r="N35" s="679">
        <f t="shared" si="1"/>
        <v>300</v>
      </c>
      <c r="O35" s="679">
        <f t="shared" si="1"/>
        <v>300</v>
      </c>
      <c r="P35" s="679">
        <f t="shared" si="1"/>
        <v>297</v>
      </c>
      <c r="Q35" s="679">
        <f t="shared" si="1"/>
        <v>295</v>
      </c>
      <c r="R35" s="679">
        <f t="shared" si="1"/>
        <v>298</v>
      </c>
      <c r="S35" s="692"/>
    </row>
    <row r="36" spans="2:19" ht="12">
      <c r="B36" s="672" t="str">
        <f>Historicals!B204 &amp; " as a % of revenue"</f>
        <v xml:space="preserve"> as a % of revenue</v>
      </c>
      <c r="C36" s="673">
        <f>Historicals!D204</f>
        <v>0</v>
      </c>
      <c r="D36" s="673">
        <f>Historicals!E204</f>
        <v>0</v>
      </c>
      <c r="E36" s="673">
        <f>Historicals!F204</f>
        <v>0</v>
      </c>
      <c r="F36" s="673">
        <f>Historicals!G204</f>
        <v>0</v>
      </c>
      <c r="G36" s="673">
        <f>Historicals!H204</f>
        <v>0</v>
      </c>
      <c r="H36" s="674">
        <f>Historicals!I204</f>
        <v>0</v>
      </c>
      <c r="I36" s="673">
        <f>Forecast!D111</f>
        <v>-0.7</v>
      </c>
      <c r="J36" s="673">
        <f>Forecast!E111</f>
        <v>-0.68</v>
      </c>
      <c r="K36" s="673">
        <f>Forecast!F111</f>
        <v>-0.66</v>
      </c>
      <c r="L36" s="673">
        <f>Forecast!G111</f>
        <v>-0.64</v>
      </c>
      <c r="M36" s="673">
        <f>Forecast!H111</f>
        <v>-0.62</v>
      </c>
      <c r="N36" s="673">
        <f>Forecast!I111</f>
        <v>-0.6</v>
      </c>
      <c r="O36" s="673">
        <f>Forecast!J111</f>
        <v>-0.58499999999999996</v>
      </c>
      <c r="P36" s="673">
        <f>Forecast!K111</f>
        <v>-0.57499999999999996</v>
      </c>
      <c r="Q36" s="673">
        <f>Forecast!L111</f>
        <v>-0.56499999999999995</v>
      </c>
      <c r="R36" s="673">
        <f>Forecast!M111</f>
        <v>-0.55500000000000005</v>
      </c>
      <c r="S36" s="693"/>
    </row>
    <row r="37" spans="2:19" ht="12">
      <c r="B37" s="669" t="str">
        <f>Historicals!B205 &amp; " as a % of revenue"</f>
        <v xml:space="preserve"> as a % of revenue</v>
      </c>
      <c r="C37" s="680">
        <f>Historicals!D205</f>
        <v>0</v>
      </c>
      <c r="D37" s="680">
        <f>Historicals!E205</f>
        <v>0</v>
      </c>
      <c r="E37" s="680">
        <f>Historicals!F205</f>
        <v>0</v>
      </c>
      <c r="F37" s="680">
        <f>Historicals!G205</f>
        <v>0</v>
      </c>
      <c r="G37" s="680">
        <f>Historicals!H205</f>
        <v>0</v>
      </c>
      <c r="H37" s="681">
        <f>Historicals!I205</f>
        <v>0</v>
      </c>
      <c r="I37" s="680" t="str">
        <f>Forecast!D112</f>
        <v> </v>
      </c>
      <c r="J37" s="680" t="str">
        <f>Forecast!E112</f>
        <v> </v>
      </c>
      <c r="K37" s="680" t="str">
        <f>Forecast!F112</f>
        <v> </v>
      </c>
      <c r="L37" s="680" t="str">
        <f>Forecast!G112</f>
        <v> </v>
      </c>
      <c r="M37" s="680" t="str">
        <f>Forecast!H112</f>
        <v> </v>
      </c>
      <c r="N37" s="680" t="str">
        <f>Forecast!I112</f>
        <v> </v>
      </c>
      <c r="O37" s="680" t="str">
        <f>Forecast!J112</f>
        <v> </v>
      </c>
      <c r="P37" s="680" t="str">
        <f>Forecast!K112</f>
        <v> </v>
      </c>
      <c r="Q37" s="680" t="str">
        <f>Forecast!L112</f>
        <v> </v>
      </c>
      <c r="R37" s="680" t="str">
        <f>Forecast!M112</f>
        <v> </v>
      </c>
      <c r="S37" s="681"/>
    </row>
    <row r="43" spans="2:19">
      <c r="B43" s="665" t="str">
        <f>Historicals!B16</f>
        <v>Revenue</v>
      </c>
    </row>
    <row r="44" spans="2:19">
      <c r="B44" s="665" t="str">
        <f>Historicals!B20</f>
        <v>Gross Profit</v>
      </c>
    </row>
    <row r="45" spans="2:19">
      <c r="B45" s="665" t="str">
        <f>Historicals!B22</f>
        <v>Selling &amp; marketing</v>
      </c>
    </row>
    <row r="46" spans="2:19">
      <c r="B46" s="665" t="str">
        <f>Historicals!B23</f>
        <v>Salary &amp; wages</v>
      </c>
    </row>
    <row r="47" spans="2:19">
      <c r="B47" s="665" t="str">
        <f>Historicals!B24</f>
        <v>General &amp; Admin</v>
      </c>
    </row>
    <row r="48" spans="2:19">
      <c r="B48" s="665" t="str">
        <f>Historicals!B26</f>
        <v>Other Op Inc/(Exp)</v>
      </c>
    </row>
    <row r="49" spans="2:2">
      <c r="B49" s="665" t="e">
        <f>Historicals!#REF!</f>
        <v>#REF!</v>
      </c>
    </row>
    <row r="50" spans="2:2">
      <c r="B50" s="665" t="str">
        <f>Historicals!B31</f>
        <v>EBITDA</v>
      </c>
    </row>
    <row r="51" spans="2:2">
      <c r="B51" s="665" t="str">
        <f>Historicals!B127</f>
        <v>Net Working Capital</v>
      </c>
    </row>
    <row r="52" spans="2:2">
      <c r="B52" s="665">
        <f>Historicals!B137</f>
        <v>0</v>
      </c>
    </row>
    <row r="53" spans="2:2">
      <c r="B53" s="13"/>
    </row>
    <row r="54" spans="2:2">
      <c r="B54" s="13"/>
    </row>
    <row r="55" spans="2:2">
      <c r="B55" s="13"/>
    </row>
    <row r="56" spans="2:2">
      <c r="B56" s="13"/>
    </row>
    <row r="57" spans="2:2">
      <c r="B57" s="13"/>
    </row>
  </sheetData>
  <conditionalFormatting sqref="C1:H1">
    <cfRule type="cellIs" dxfId="140" priority="41" operator="equal">
      <formula>"FYTE"</formula>
    </cfRule>
  </conditionalFormatting>
  <conditionalFormatting sqref="I1:R1">
    <cfRule type="cellIs" dxfId="139" priority="39" operator="equal">
      <formula>0</formula>
    </cfRule>
    <cfRule type="cellIs" dxfId="138" priority="40" operator="equal">
      <formula>"FYTEF"</formula>
    </cfRule>
  </conditionalFormatting>
  <conditionalFormatting sqref="S1">
    <cfRule type="cellIs" dxfId="137" priority="1" operator="equal">
      <formula>"FYTE"</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B82"/>
  <sheetViews>
    <sheetView showGridLines="0" zoomScale="85" zoomScaleNormal="85" workbookViewId="0">
      <selection activeCell="D23" sqref="D23"/>
    </sheetView>
  </sheetViews>
  <sheetFormatPr defaultColWidth="9.1640625" defaultRowHeight="9.9499999999999993" outlineLevelRow="1"/>
  <cols>
    <col min="1" max="1" width="9.1640625" customWidth="1"/>
    <col min="2" max="2" width="17.5" customWidth="1"/>
    <col min="3" max="3" width="18.5" customWidth="1"/>
    <col min="4" max="4" width="80.6640625" customWidth="1"/>
    <col min="5" max="5" width="11.6640625" customWidth="1"/>
    <col min="6" max="6" width="14" customWidth="1"/>
    <col min="7" max="7" width="11.6640625" customWidth="1"/>
    <col min="8" max="8" width="11" customWidth="1"/>
    <col min="9" max="9" width="9.6640625" customWidth="1"/>
    <col min="10" max="10" width="10.33203125" customWidth="1"/>
    <col min="11" max="13" width="10.5" customWidth="1"/>
    <col min="14" max="15" width="11.5" customWidth="1"/>
    <col min="16" max="16" width="14.33203125" customWidth="1"/>
    <col min="17" max="18" width="19.5" customWidth="1"/>
    <col min="19" max="19" width="9.1640625" customWidth="1"/>
  </cols>
  <sheetData>
    <row r="1" spans="1:22" ht="27.6">
      <c r="B1" s="18" t="s">
        <v>996</v>
      </c>
      <c r="T1" s="45" t="s">
        <v>997</v>
      </c>
      <c r="U1" s="45" t="s">
        <v>998</v>
      </c>
      <c r="V1" s="45" t="s">
        <v>999</v>
      </c>
    </row>
    <row r="2" spans="1:22" ht="10.5">
      <c r="B2" s="19"/>
      <c r="T2" s="45" t="s">
        <v>1000</v>
      </c>
      <c r="U2" s="45" t="s">
        <v>1001</v>
      </c>
      <c r="V2" s="45" t="s">
        <v>999</v>
      </c>
    </row>
    <row r="3" spans="1:22" ht="18.95">
      <c r="B3" s="559" t="s">
        <v>1002</v>
      </c>
      <c r="G3" s="43"/>
      <c r="T3" s="45" t="s">
        <v>1003</v>
      </c>
      <c r="U3" s="45" t="s">
        <v>1004</v>
      </c>
      <c r="V3" s="45" t="s">
        <v>1005</v>
      </c>
    </row>
    <row r="4" spans="1:22" ht="10.5">
      <c r="C4" s="159">
        <f>C5</f>
        <v>46022</v>
      </c>
      <c r="E4" t="s">
        <v>1006</v>
      </c>
      <c r="F4" s="917" t="s">
        <v>1007</v>
      </c>
      <c r="G4" s="918"/>
      <c r="H4" s="919"/>
      <c r="I4" s="188" t="s">
        <v>1008</v>
      </c>
      <c r="T4" s="45" t="s">
        <v>1009</v>
      </c>
      <c r="U4" s="45" t="s">
        <v>1010</v>
      </c>
      <c r="V4" s="45" t="s">
        <v>999</v>
      </c>
    </row>
    <row r="5" spans="1:22" ht="10.5">
      <c r="B5" t="s">
        <v>788</v>
      </c>
      <c r="C5" s="39">
        <f>vd</f>
        <v>46022</v>
      </c>
      <c r="D5" s="31"/>
      <c r="E5" s="44" t="s">
        <v>1011</v>
      </c>
      <c r="F5" s="513" t="s">
        <v>1012</v>
      </c>
      <c r="G5" s="44"/>
      <c r="I5" s="561" t="str">
        <f>VLOOKUP($F$4,$T$1:$V$7,2,0)</f>
        <v>IQ_TEV_TOTAL_REV</v>
      </c>
      <c r="T5" s="45" t="s">
        <v>1013</v>
      </c>
      <c r="U5" s="45" t="s">
        <v>1014</v>
      </c>
      <c r="V5" s="45" t="s">
        <v>1005</v>
      </c>
    </row>
    <row r="6" spans="1:22" ht="10.5">
      <c r="B6" t="s">
        <v>781</v>
      </c>
      <c r="C6" s="40" t="str">
        <f>curr</f>
        <v>USD</v>
      </c>
      <c r="D6" s="31"/>
      <c r="E6" s="7" t="s">
        <v>1015</v>
      </c>
      <c r="F6" s="15" t="s">
        <v>1016</v>
      </c>
      <c r="G6" s="7"/>
      <c r="I6" s="561" t="str">
        <f>VLOOKUP($F$4,$T$1:$V$7,3,0)</f>
        <v>IQ_LTM</v>
      </c>
      <c r="T6" s="45" t="s">
        <v>1007</v>
      </c>
      <c r="U6" s="45" t="s">
        <v>1017</v>
      </c>
      <c r="V6" s="45" t="s">
        <v>999</v>
      </c>
    </row>
    <row r="7" spans="1:22" ht="10.5">
      <c r="B7" s="43" t="s">
        <v>1018</v>
      </c>
      <c r="C7" s="15" t="s">
        <v>1019</v>
      </c>
      <c r="D7" s="31"/>
      <c r="E7" s="7" t="s">
        <v>1020</v>
      </c>
      <c r="F7" s="514" t="s">
        <v>1021</v>
      </c>
      <c r="G7" s="7"/>
      <c r="T7" s="45" t="s">
        <v>1022</v>
      </c>
      <c r="U7" s="45" t="s">
        <v>1023</v>
      </c>
      <c r="V7" s="45" t="s">
        <v>1005</v>
      </c>
    </row>
    <row r="8" spans="1:22">
      <c r="C8" s="511">
        <f>IF($C$7="mln",1,IF($C$7="bln",0.001,0.000001))</f>
        <v>1</v>
      </c>
      <c r="D8" s="57"/>
    </row>
    <row r="9" spans="1:22" ht="10.5">
      <c r="B9" s="591" t="s">
        <v>1024</v>
      </c>
      <c r="C9" s="592"/>
      <c r="D9" s="592"/>
      <c r="E9" s="592"/>
      <c r="F9" s="592"/>
      <c r="G9" s="592"/>
      <c r="H9" s="593"/>
      <c r="I9" s="593"/>
      <c r="J9" s="593"/>
      <c r="K9" s="593"/>
    </row>
    <row r="10" spans="1:22" ht="21">
      <c r="B10" s="553" t="s">
        <v>1025</v>
      </c>
      <c r="C10" s="554"/>
      <c r="D10" s="554" t="s">
        <v>1026</v>
      </c>
      <c r="E10" s="555" t="str">
        <f>"Market Cap"&amp;CHAR(10)&amp;"("&amp;$C$6&amp;" '"&amp;LEFT(C7,1)&amp;")"</f>
        <v>Market Cap
(USD 'm)</v>
      </c>
      <c r="F10" s="555" t="s">
        <v>1027</v>
      </c>
      <c r="G10" s="555" t="s">
        <v>1028</v>
      </c>
      <c r="H10" s="555" t="str">
        <f>$F$4&amp;" multiple"</f>
        <v>EV/Revenue multiple</v>
      </c>
      <c r="I10" s="555" t="s">
        <v>1029</v>
      </c>
      <c r="J10" s="555" t="s">
        <v>1030</v>
      </c>
      <c r="K10" s="555" t="s">
        <v>1031</v>
      </c>
      <c r="L10" s="557" t="s">
        <v>1032</v>
      </c>
      <c r="M10" s="556" t="s">
        <v>1033</v>
      </c>
      <c r="N10" s="558" t="str">
        <f>"Total Debt"&amp;CHAR(10)&amp;"("&amp;$C$6&amp;" '"&amp;LEFT(C7,1)&amp;")"</f>
        <v>Total Debt
(USD 'm)</v>
      </c>
      <c r="O10" s="556" t="s">
        <v>1034</v>
      </c>
      <c r="P10" s="556" t="s">
        <v>184</v>
      </c>
      <c r="Q10" s="556" t="s">
        <v>1035</v>
      </c>
    </row>
    <row r="11" spans="1:22">
      <c r="B11" s="586"/>
      <c r="C11" s="587"/>
      <c r="D11" s="587"/>
      <c r="E11" s="588"/>
      <c r="F11" s="589"/>
      <c r="G11" s="589"/>
      <c r="H11" s="589"/>
      <c r="I11" s="410"/>
      <c r="J11" s="410"/>
      <c r="K11" s="410"/>
      <c r="L11" s="411"/>
      <c r="M11" s="411"/>
      <c r="N11" s="581"/>
      <c r="O11" s="582"/>
      <c r="P11" s="582"/>
      <c r="Q11" s="581"/>
    </row>
    <row r="12" spans="1:22" ht="20.100000000000001">
      <c r="B12" s="412" t="s">
        <v>775</v>
      </c>
      <c r="C12" s="413" t="s">
        <v>179</v>
      </c>
      <c r="D12" s="512" t="s">
        <v>1036</v>
      </c>
      <c r="E12" s="414" t="s">
        <v>1037</v>
      </c>
      <c r="F12" s="414" t="s">
        <v>108</v>
      </c>
      <c r="G12" s="414" t="s">
        <v>1038</v>
      </c>
      <c r="H12" s="416" t="s">
        <v>1039</v>
      </c>
      <c r="I12" s="415" t="s">
        <v>1040</v>
      </c>
      <c r="J12" s="416" t="s">
        <v>1041</v>
      </c>
      <c r="K12" s="590" t="s">
        <v>183</v>
      </c>
      <c r="L12" s="417" t="s">
        <v>1032</v>
      </c>
      <c r="M12" s="417" t="s">
        <v>1042</v>
      </c>
      <c r="N12" s="418" t="s">
        <v>906</v>
      </c>
      <c r="O12" s="413" t="s">
        <v>1034</v>
      </c>
      <c r="P12" s="413" t="s">
        <v>184</v>
      </c>
      <c r="Q12" s="405"/>
    </row>
    <row r="13" spans="1:22" ht="10.15" customHeight="1">
      <c r="A13" s="110">
        <v>1</v>
      </c>
      <c r="B13" s="576" t="s">
        <v>1043</v>
      </c>
      <c r="C13" s="585" t="s">
        <v>1044</v>
      </c>
      <c r="D13" s="576" t="s">
        <v>1045</v>
      </c>
      <c r="E13" s="573">
        <v>26231.541829999998</v>
      </c>
      <c r="F13" s="419">
        <v>2.3737999999999999E-2</v>
      </c>
      <c r="G13" s="419">
        <f>IF(Comps[[#This Row],[Ticker]]="","",'Comps Financials'!O9)</f>
        <v>0.61274104387880657</v>
      </c>
      <c r="H13" s="572">
        <v>4.7903099999999998</v>
      </c>
      <c r="I13" s="419">
        <f>IF(Comps[[#This Row],[Ticker]]="","",IFERROR(Comps[[#This Row],[Total debt]]/Comps[[#This Row],[Market Cap]],"NA"))</f>
        <v>7.8110711268091715E-2</v>
      </c>
      <c r="J13" s="575">
        <f>IFERROR(Comps[[#This Row],[Adj Beta]]/(1+((1-Comps[[#This Row],[Tax rate]])*Comps[[#This Row],[DE ratio]])),"NA")</f>
        <v>1.2104813863620898</v>
      </c>
      <c r="K13" s="577">
        <v>1.28078</v>
      </c>
      <c r="L13" s="419">
        <v>0.25650499999999998</v>
      </c>
      <c r="M13" s="419"/>
      <c r="N13" s="573">
        <v>2048.9643900000001</v>
      </c>
      <c r="O13" s="578" t="s">
        <v>1046</v>
      </c>
      <c r="P13" s="578" t="s">
        <v>188</v>
      </c>
      <c r="Q13" s="579">
        <v>46022</v>
      </c>
    </row>
    <row r="14" spans="1:22" ht="10.15" customHeight="1">
      <c r="A14" s="110">
        <v>2</v>
      </c>
      <c r="B14" s="576" t="s">
        <v>1047</v>
      </c>
      <c r="C14" s="585" t="s">
        <v>1048</v>
      </c>
      <c r="D14" s="576" t="s">
        <v>1049</v>
      </c>
      <c r="E14" s="573">
        <v>5215.9345800000001</v>
      </c>
      <c r="F14" s="419">
        <v>-2.0643999999999999E-2</v>
      </c>
      <c r="G14" s="419">
        <f>IF(Comps[[#This Row],[Ticker]]="","",'Comps Financials'!O10)</f>
        <v>0.46425966802624963</v>
      </c>
      <c r="H14" s="572">
        <v>2.89941</v>
      </c>
      <c r="I14" s="419">
        <f>IF(Comps[[#This Row],[Ticker]]="","",IFERROR(Comps[[#This Row],[Total debt]]/Comps[[#This Row],[Market Cap]],"NA"))</f>
        <v>0.1143019033033961</v>
      </c>
      <c r="J14" s="575" t="str">
        <f>IFERROR(Comps[[#This Row],[Adj Beta]]/(1+((1-Comps[[#This Row],[Tax rate]])*Comps[[#This Row],[DE ratio]])),"NA")</f>
        <v>NA</v>
      </c>
      <c r="K14" s="577">
        <v>0.97319</v>
      </c>
      <c r="L14" s="419" t="s">
        <v>1050</v>
      </c>
      <c r="M14" s="419"/>
      <c r="N14" s="573">
        <v>596.19124999999997</v>
      </c>
      <c r="O14" s="578" t="s">
        <v>1051</v>
      </c>
      <c r="P14" s="578" t="s">
        <v>192</v>
      </c>
      <c r="Q14" s="574"/>
    </row>
    <row r="15" spans="1:22" ht="10.15" customHeight="1">
      <c r="A15" s="110">
        <v>3</v>
      </c>
      <c r="B15" s="576" t="s">
        <v>193</v>
      </c>
      <c r="C15" s="585" t="s">
        <v>1052</v>
      </c>
      <c r="D15" s="576" t="s">
        <v>1053</v>
      </c>
      <c r="E15" s="573">
        <v>97141.212629999995</v>
      </c>
      <c r="F15" s="419">
        <v>8.6549000000000001E-2</v>
      </c>
      <c r="G15" s="419">
        <f>IF(Comps[[#This Row],[Ticker]]="","",'Comps Financials'!O11)</f>
        <v>0.19589412882933632</v>
      </c>
      <c r="H15" s="572">
        <v>3.3262200000000002</v>
      </c>
      <c r="I15" s="419">
        <f>IF(Comps[[#This Row],[Ticker]]="","",IFERROR(Comps[[#This Row],[Total debt]]/Comps[[#This Row],[Market Cap]],"NA"))</f>
        <v>4.469900645093481E-2</v>
      </c>
      <c r="J15" s="575">
        <f>IFERROR(Comps[[#This Row],[Adj Beta]]/(1+((1-Comps[[#This Row],[Tax rate]])*Comps[[#This Row],[DE ratio]])),"NA")</f>
        <v>1.7211312653799262</v>
      </c>
      <c r="K15" s="577">
        <v>1.7759199999999999</v>
      </c>
      <c r="L15" s="419">
        <v>0.28783700000000001</v>
      </c>
      <c r="M15" s="419"/>
      <c r="N15" s="573">
        <v>4342.1156899999996</v>
      </c>
      <c r="O15" s="578" t="s">
        <v>1054</v>
      </c>
      <c r="P15" s="578" t="s">
        <v>188</v>
      </c>
      <c r="Q15" s="580">
        <v>46022</v>
      </c>
    </row>
    <row r="16" spans="1:22" ht="10.15" customHeight="1">
      <c r="A16" s="110">
        <v>4</v>
      </c>
      <c r="B16" s="576" t="s">
        <v>1055</v>
      </c>
      <c r="C16" s="585" t="s">
        <v>197</v>
      </c>
      <c r="D16" s="576" t="s">
        <v>1056</v>
      </c>
      <c r="E16" s="573">
        <v>218375.51256999999</v>
      </c>
      <c r="F16" s="419">
        <v>0.106984</v>
      </c>
      <c r="G16" s="419">
        <f>IF(Comps[[#This Row],[Ticker]]="","",'Comps Financials'!O12)</f>
        <v>0.36628179471097311</v>
      </c>
      <c r="H16" s="572">
        <v>3.4129700000000001</v>
      </c>
      <c r="I16" s="419">
        <f>IF(Comps[[#This Row],[Ticker]]="","",IFERROR(Comps[[#This Row],[Total debt]]/Comps[[#This Row],[Market Cap]],"NA"))</f>
        <v>7.2458680342778331E-2</v>
      </c>
      <c r="J16" s="575" t="str">
        <f>IFERROR(Comps[[#This Row],[Adj Beta]]/(1+((1-Comps[[#This Row],[Tax rate]])*Comps[[#This Row],[DE ratio]])),"NA")</f>
        <v>NA</v>
      </c>
      <c r="K16" s="577">
        <v>1.34605</v>
      </c>
      <c r="L16" s="419" t="s">
        <v>1050</v>
      </c>
      <c r="M16" s="419"/>
      <c r="N16" s="573">
        <v>15823.20146</v>
      </c>
      <c r="O16" s="578" t="s">
        <v>1054</v>
      </c>
      <c r="P16" s="578" t="s">
        <v>199</v>
      </c>
      <c r="Q16" s="574">
        <v>46022</v>
      </c>
    </row>
    <row r="17" spans="1:17" ht="10.15" customHeight="1">
      <c r="A17" s="110">
        <v>5</v>
      </c>
      <c r="B17" s="576" t="s">
        <v>1057</v>
      </c>
      <c r="C17" s="585" t="s">
        <v>1058</v>
      </c>
      <c r="D17" s="576" t="s">
        <v>1059</v>
      </c>
      <c r="E17" s="573">
        <v>9949.6004200000007</v>
      </c>
      <c r="F17" s="419">
        <v>-2.6672999999999999E-2</v>
      </c>
      <c r="G17" s="419">
        <f>IF(Comps[[#This Row],[Ticker]]="","",'Comps Financials'!O13)</f>
        <v>0.22218117363548462</v>
      </c>
      <c r="H17" s="572">
        <v>1.1255999999999999</v>
      </c>
      <c r="I17" s="419">
        <f>IF(Comps[[#This Row],[Ticker]]="","",IFERROR(Comps[[#This Row],[Total debt]]/Comps[[#This Row],[Market Cap]],"NA"))</f>
        <v>0.17016472104715938</v>
      </c>
      <c r="J17" s="575" t="str">
        <f>IFERROR(Comps[[#This Row],[Adj Beta]]/(1+((1-Comps[[#This Row],[Tax rate]])*Comps[[#This Row],[DE ratio]])),"NA")</f>
        <v>NA</v>
      </c>
      <c r="K17" s="577">
        <v>1.6566000000000001</v>
      </c>
      <c r="L17" s="419" t="s">
        <v>1050</v>
      </c>
      <c r="M17" s="419"/>
      <c r="N17" s="573">
        <v>1693.07098</v>
      </c>
      <c r="O17" s="578" t="s">
        <v>1046</v>
      </c>
      <c r="P17" s="578" t="s">
        <v>199</v>
      </c>
      <c r="Q17" s="580">
        <v>46022</v>
      </c>
    </row>
    <row r="18" spans="1:17" ht="10.15" customHeight="1">
      <c r="A18" s="110">
        <v>6</v>
      </c>
      <c r="B18" s="576" t="s">
        <v>1060</v>
      </c>
      <c r="C18" s="585" t="s">
        <v>1061</v>
      </c>
      <c r="D18" s="576" t="s">
        <v>1062</v>
      </c>
      <c r="E18" s="573">
        <v>31622.724630000001</v>
      </c>
      <c r="F18" s="419">
        <v>-1.6008999999999999E-2</v>
      </c>
      <c r="G18" s="419">
        <f>IF(Comps[[#This Row],[Ticker]]="","",'Comps Financials'!O14)</f>
        <v>1.5793969166853383E-2</v>
      </c>
      <c r="H18" s="572">
        <v>0.62453999999999998</v>
      </c>
      <c r="I18" s="419">
        <f>IF(Comps[[#This Row],[Ticker]]="","",IFERROR(Comps[[#This Row],[Total debt]]/Comps[[#This Row],[Market Cap]],"NA"))</f>
        <v>8.0046402377314696E-2</v>
      </c>
      <c r="J18" s="575" t="str">
        <f>IFERROR(Comps[[#This Row],[Adj Beta]]/(1+((1-Comps[[#This Row],[Tax rate]])*Comps[[#This Row],[DE ratio]])),"NA")</f>
        <v>NA</v>
      </c>
      <c r="K18" s="577">
        <v>1.4484999999999999</v>
      </c>
      <c r="L18" s="419" t="s">
        <v>1050</v>
      </c>
      <c r="M18" s="419"/>
      <c r="N18" s="573">
        <v>2531.2853399999999</v>
      </c>
      <c r="O18" s="578" t="s">
        <v>1063</v>
      </c>
      <c r="P18" s="578" t="s">
        <v>206</v>
      </c>
      <c r="Q18" s="574">
        <v>46022</v>
      </c>
    </row>
    <row r="19" spans="1:17" ht="10.15" customHeight="1">
      <c r="A19" s="110">
        <v>7</v>
      </c>
      <c r="B19" s="576" t="s">
        <v>207</v>
      </c>
      <c r="C19" s="585" t="s">
        <v>208</v>
      </c>
      <c r="D19" s="576" t="s">
        <v>1064</v>
      </c>
      <c r="E19" s="573">
        <v>104268.16804999999</v>
      </c>
      <c r="F19" s="419">
        <v>-8.5064000000000001E-2</v>
      </c>
      <c r="G19" s="419">
        <f>IF(Comps[[#This Row],[Ticker]]="","",'Comps Financials'!O15)</f>
        <v>0.18414581328815327</v>
      </c>
      <c r="H19" s="572">
        <v>1.34459</v>
      </c>
      <c r="I19" s="419">
        <f>IF(Comps[[#This Row],[Ticker]]="","",IFERROR(Comps[[#This Row],[Total debt]]/Comps[[#This Row],[Market Cap]],"NA"))</f>
        <v>0.1527672014181897</v>
      </c>
      <c r="J19" s="575" t="str">
        <f>IFERROR(Comps[[#This Row],[Adj Beta]]/(1+((1-Comps[[#This Row],[Tax rate]])*Comps[[#This Row],[DE ratio]])),"NA")</f>
        <v>NA</v>
      </c>
      <c r="K19" s="577">
        <v>1.01346</v>
      </c>
      <c r="L19" s="419" t="s">
        <v>1050</v>
      </c>
      <c r="M19" s="419"/>
      <c r="N19" s="573">
        <v>15928.756230000001</v>
      </c>
      <c r="O19" s="578" t="s">
        <v>1065</v>
      </c>
      <c r="P19" s="578" t="s">
        <v>206</v>
      </c>
      <c r="Q19" s="580">
        <v>46022</v>
      </c>
    </row>
    <row r="20" spans="1:17" ht="10.15" customHeight="1">
      <c r="A20" s="110">
        <v>8</v>
      </c>
      <c r="B20" s="576" t="s">
        <v>1066</v>
      </c>
      <c r="C20" s="585" t="s">
        <v>211</v>
      </c>
      <c r="D20" s="576" t="s">
        <v>1067</v>
      </c>
      <c r="E20" s="573">
        <v>10232.01735</v>
      </c>
      <c r="F20" s="419">
        <v>6.6639999999999998E-3</v>
      </c>
      <c r="G20" s="419">
        <f>IF(Comps[[#This Row],[Ticker]]="","",'Comps Financials'!O16)</f>
        <v>0.2460980637762229</v>
      </c>
      <c r="H20" s="572">
        <v>0.65244999999999997</v>
      </c>
      <c r="I20" s="295">
        <f>IF(Comps[[#This Row],[Ticker]]="","",IFERROR(Comps[[#This Row],[Total debt]]/Comps[[#This Row],[Market Cap]],"NA"))</f>
        <v>0.68269921766698327</v>
      </c>
      <c r="J20" s="575" t="str">
        <f>IFERROR(Comps[[#This Row],[Adj Beta]]/(1+((1-Comps[[#This Row],[Tax rate]])*Comps[[#This Row],[DE ratio]])),"NA")</f>
        <v>NA</v>
      </c>
      <c r="K20" s="577">
        <v>1.8851800000000001</v>
      </c>
      <c r="L20" s="420" t="s">
        <v>1050</v>
      </c>
      <c r="M20" s="420"/>
      <c r="N20" s="573">
        <v>6985.3902399999997</v>
      </c>
      <c r="O20" s="578" t="s">
        <v>1068</v>
      </c>
      <c r="P20" s="578" t="s">
        <v>213</v>
      </c>
      <c r="Q20" s="574">
        <v>46022</v>
      </c>
    </row>
    <row r="21" spans="1:17" ht="10.15" customHeight="1">
      <c r="A21" s="110">
        <v>9</v>
      </c>
      <c r="B21" s="576" t="s">
        <v>1069</v>
      </c>
      <c r="C21" s="585" t="s">
        <v>1070</v>
      </c>
      <c r="D21" s="576" t="s">
        <v>1071</v>
      </c>
      <c r="E21" s="573">
        <v>125552.18322000001</v>
      </c>
      <c r="F21" s="419">
        <v>6.1310000000000003E-2</v>
      </c>
      <c r="G21" s="419">
        <f>IF(Comps[[#This Row],[Ticker]]="","",'Comps Financials'!O17)</f>
        <v>0.30461772934889697</v>
      </c>
      <c r="H21" s="572">
        <v>7.5813600000000001</v>
      </c>
      <c r="I21" s="295">
        <f>IF(Comps[[#This Row],[Ticker]]="","",IFERROR(Comps[[#This Row],[Total debt]]/Comps[[#This Row],[Market Cap]],"NA"))</f>
        <v>3.3704684311104093E-2</v>
      </c>
      <c r="J21" s="575">
        <f>IFERROR(Comps[[#This Row],[Adj Beta]]/(1+((1-Comps[[#This Row],[Tax rate]])*Comps[[#This Row],[DE ratio]])),"NA")</f>
        <v>1.6669255888364944</v>
      </c>
      <c r="K21" s="577">
        <v>1.7226900000000001</v>
      </c>
      <c r="L21" s="420">
        <v>7.4539999999999997E-3</v>
      </c>
      <c r="M21" s="420"/>
      <c r="N21" s="573">
        <v>4231.6967000000004</v>
      </c>
      <c r="O21" s="578" t="s">
        <v>1046</v>
      </c>
      <c r="P21" s="578" t="s">
        <v>199</v>
      </c>
      <c r="Q21" s="580">
        <v>46022</v>
      </c>
    </row>
    <row r="22" spans="1:17" ht="10.15" customHeight="1">
      <c r="A22" s="110">
        <v>10</v>
      </c>
      <c r="B22" s="576" t="s">
        <v>1072</v>
      </c>
      <c r="C22" s="585" t="s">
        <v>218</v>
      </c>
      <c r="D22" s="576" t="s">
        <v>1073</v>
      </c>
      <c r="E22" s="573">
        <v>7665.4665500000001</v>
      </c>
      <c r="F22" s="419">
        <v>0.14419599999999999</v>
      </c>
      <c r="G22" s="419" t="str">
        <f>IF(Comps[[#This Row],[Ticker]]="","",'Comps Financials'!O18)</f>
        <v>NA</v>
      </c>
      <c r="H22" s="572">
        <v>1.4474199999999999</v>
      </c>
      <c r="I22" s="295">
        <f>IF(Comps[[#This Row],[Ticker]]="","",IFERROR(Comps[[#This Row],[Total debt]]/Comps[[#This Row],[Market Cap]],"NA"))</f>
        <v>2.5638365090771938E-2</v>
      </c>
      <c r="J22" s="575">
        <f>IFERROR(Comps[[#This Row],[Adj Beta]]/(1+((1-Comps[[#This Row],[Tax rate]])*Comps[[#This Row],[DE ratio]])),"NA")</f>
        <v>0.45970552293006273</v>
      </c>
      <c r="K22" s="577">
        <v>0.47008</v>
      </c>
      <c r="L22" s="420">
        <v>0.11977</v>
      </c>
      <c r="M22" s="420"/>
      <c r="N22" s="573">
        <v>196.53003000000001</v>
      </c>
      <c r="O22" s="578" t="s">
        <v>1074</v>
      </c>
      <c r="P22" s="578" t="s">
        <v>220</v>
      </c>
      <c r="Q22" s="574">
        <v>46022</v>
      </c>
    </row>
    <row r="23" spans="1:17">
      <c r="B23" s="595" t="s">
        <v>1075</v>
      </c>
      <c r="D23" s="426" t="s">
        <v>291</v>
      </c>
      <c r="E23" s="518">
        <f>MAX(Comps[Market Cap])</f>
        <v>218375.51256999999</v>
      </c>
      <c r="F23" s="519">
        <f>MAX(Comps[EBIT margin])</f>
        <v>0.14419599999999999</v>
      </c>
      <c r="G23" s="519">
        <f>MAX(Comps[CAGR])</f>
        <v>0.61274104387880657</v>
      </c>
      <c r="H23" s="408">
        <f>MAX(Comps[Selected Multiple])</f>
        <v>7.5813600000000001</v>
      </c>
      <c r="I23" s="519">
        <f>MAX(Comps[DE ratio])</f>
        <v>0.68269921766698327</v>
      </c>
      <c r="J23" s="520">
        <f>MAX(Comps[Unlv.beta])</f>
        <v>1.7211312653799262</v>
      </c>
      <c r="K23" s="157">
        <f>MAX(Comps[Adj Beta])</f>
        <v>1.8851800000000001</v>
      </c>
    </row>
    <row r="24" spans="1:17" ht="10.5">
      <c r="B24" s="13"/>
      <c r="C24" s="13"/>
      <c r="D24" s="421" t="s">
        <v>288</v>
      </c>
      <c r="E24" s="521">
        <f>IFERROR(MEDIAN(Comps[Market Cap]),"NA")</f>
        <v>28927.133229999999</v>
      </c>
      <c r="F24" s="522">
        <f>IFERROR(MEDIAN(Comps[EBIT margin]),"NA")</f>
        <v>1.5200999999999999E-2</v>
      </c>
      <c r="G24" s="522" t="str">
        <f>IF(MEDIAN(Comps[CAGR]),"NA")</f>
        <v>NA</v>
      </c>
      <c r="H24" s="408">
        <f>IFERROR(MEDIAN(Comps[Selected Multiple]),"NA")</f>
        <v>2.1734149999999999</v>
      </c>
      <c r="I24" s="522">
        <f>IFERROR(MEDIAN(Comps[DE ratio]),"NA")</f>
        <v>7.9078556822703205E-2</v>
      </c>
      <c r="J24" s="523">
        <f>IFERROR(MEDIAN(Comps[Unlv.beta]),"NA")</f>
        <v>1.4387034875992921</v>
      </c>
      <c r="K24" s="695">
        <f>MEDIAN(Comps[Adj Beta])</f>
        <v>1.397275</v>
      </c>
    </row>
    <row r="25" spans="1:17" ht="10.5">
      <c r="B25" s="422" t="s">
        <v>837</v>
      </c>
      <c r="C25" s="423"/>
      <c r="D25" s="424" t="s">
        <v>290</v>
      </c>
      <c r="E25" s="518">
        <f>MIN(Comps[Market Cap])</f>
        <v>5215.9345800000001</v>
      </c>
      <c r="F25" s="519">
        <f>MIN(Comps[EBIT margin])</f>
        <v>-8.5064000000000001E-2</v>
      </c>
      <c r="G25" s="519">
        <f>MIN(Comps[CAGR])</f>
        <v>1.5793969166853383E-2</v>
      </c>
      <c r="H25" s="408">
        <f>MIN(Comps[Selected Multiple])</f>
        <v>0.62453999999999998</v>
      </c>
      <c r="I25" s="519">
        <f>MIN(Comps[DE ratio])</f>
        <v>2.5638365090771938E-2</v>
      </c>
      <c r="J25" s="520">
        <f>MIN(Comps[Unlv.beta])</f>
        <v>0.45970552293006273</v>
      </c>
      <c r="K25" s="157">
        <f>MIN(Comps[Adj Beta])</f>
        <v>0.47008</v>
      </c>
    </row>
    <row r="26" spans="1:17" ht="10.5">
      <c r="B26" s="425" t="s">
        <v>1076</v>
      </c>
      <c r="C26" s="423"/>
      <c r="D26" s="423"/>
      <c r="E26" s="13"/>
      <c r="F26" s="13"/>
      <c r="G26" s="13"/>
      <c r="H26" s="13"/>
      <c r="I26" s="13"/>
      <c r="J26" s="13"/>
    </row>
    <row r="27" spans="1:17">
      <c r="B27" s="260"/>
    </row>
    <row r="29" spans="1:17" ht="10.5">
      <c r="C29" s="551"/>
      <c r="D29" s="552"/>
    </row>
    <row r="30" spans="1:17">
      <c r="B30" s="260"/>
    </row>
    <row r="32" spans="1:17" outlineLevel="1"/>
    <row r="33" spans="2:5" outlineLevel="1"/>
    <row r="34" spans="2:5" outlineLevel="1"/>
    <row r="35" spans="2:5" outlineLevel="1"/>
    <row r="36" spans="2:5" outlineLevel="1"/>
    <row r="37" spans="2:5" ht="18.95" outlineLevel="1">
      <c r="B37" s="17" t="s">
        <v>1077</v>
      </c>
    </row>
    <row r="38" spans="2:5" outlineLevel="1"/>
    <row r="39" spans="2:5" ht="10.5" outlineLevel="1">
      <c r="C39" s="591" t="s">
        <v>1077</v>
      </c>
      <c r="D39" s="591"/>
      <c r="E39" s="591"/>
    </row>
    <row r="40" spans="2:5" ht="10.5" outlineLevel="1">
      <c r="C40" s="427" t="s">
        <v>1078</v>
      </c>
      <c r="D40" s="427" t="s">
        <v>1079</v>
      </c>
      <c r="E40" s="428" t="s">
        <v>1080</v>
      </c>
    </row>
    <row r="41" spans="2:5" outlineLevel="1">
      <c r="C41" s="429" t="s">
        <v>1081</v>
      </c>
      <c r="D41" s="547" t="s">
        <v>1082</v>
      </c>
      <c r="E41" s="515">
        <v>4.7379999999999999E-2</v>
      </c>
    </row>
    <row r="42" spans="2:5" outlineLevel="1">
      <c r="C42" s="429" t="s">
        <v>1083</v>
      </c>
      <c r="D42" s="547" t="s">
        <v>1084</v>
      </c>
      <c r="E42" s="515">
        <v>3.5299999999999998E-2</v>
      </c>
    </row>
    <row r="43" spans="2:5" outlineLevel="1">
      <c r="C43" s="429" t="s">
        <v>1085</v>
      </c>
      <c r="D43" s="547" t="s">
        <v>1086</v>
      </c>
      <c r="E43" s="515">
        <v>2.7529999999999999E-2</v>
      </c>
    </row>
    <row r="44" spans="2:5" outlineLevel="1">
      <c r="C44" s="429" t="s">
        <v>213</v>
      </c>
      <c r="D44" s="547" t="s">
        <v>1087</v>
      </c>
      <c r="E44" s="515">
        <v>2.9610000000000001E-2</v>
      </c>
    </row>
    <row r="45" spans="2:5" outlineLevel="1">
      <c r="C45" s="429" t="s">
        <v>1088</v>
      </c>
      <c r="D45" s="547" t="s">
        <v>1089</v>
      </c>
      <c r="E45" s="515">
        <v>3.0980000000000001E-2</v>
      </c>
    </row>
    <row r="46" spans="2:5" outlineLevel="1">
      <c r="C46" s="429" t="s">
        <v>188</v>
      </c>
      <c r="D46" s="547" t="s">
        <v>1090</v>
      </c>
      <c r="E46" s="515">
        <v>2.2249600000000001E-2</v>
      </c>
    </row>
    <row r="47" spans="2:5" outlineLevel="1">
      <c r="C47" s="429" t="s">
        <v>1091</v>
      </c>
      <c r="D47" s="547" t="s">
        <v>1092</v>
      </c>
      <c r="E47" s="515">
        <v>2.7519999999999999E-2</v>
      </c>
    </row>
    <row r="48" spans="2:5" outlineLevel="1">
      <c r="C48" s="429" t="s">
        <v>1093</v>
      </c>
      <c r="D48" s="547" t="s">
        <v>1094</v>
      </c>
      <c r="E48" s="516">
        <v>3.1700000000000001E-3</v>
      </c>
    </row>
    <row r="49" spans="1:28" ht="10.5" outlineLevel="1" thickBot="1">
      <c r="C49" s="430" t="s">
        <v>199</v>
      </c>
      <c r="D49" s="548" t="s">
        <v>1095</v>
      </c>
      <c r="E49" s="517">
        <v>4.1799999999999997E-2</v>
      </c>
    </row>
    <row r="50" spans="1:28" outlineLevel="1"/>
    <row r="51" spans="1:28" ht="18.95">
      <c r="B51" s="17" t="s">
        <v>1096</v>
      </c>
    </row>
    <row r="52" spans="1:28" ht="10.5">
      <c r="A52" t="s">
        <v>1097</v>
      </c>
      <c r="B52" s="549" t="s">
        <v>1098</v>
      </c>
      <c r="C52" s="99" t="s">
        <v>1099</v>
      </c>
      <c r="D52" s="549" t="s">
        <v>1100</v>
      </c>
      <c r="E52" s="511" t="str">
        <f>VLOOKUP($D$52,$Y$53:$Z$55,2,0)</f>
        <v>_ANNUAL</v>
      </c>
      <c r="U52" s="19" t="s">
        <v>1101</v>
      </c>
      <c r="V52" s="19" t="s">
        <v>1102</v>
      </c>
      <c r="W52" s="19" t="s">
        <v>1103</v>
      </c>
      <c r="Y52" s="19" t="s">
        <v>1104</v>
      </c>
      <c r="Z52" s="19" t="s">
        <v>1105</v>
      </c>
      <c r="AB52" s="142" t="s">
        <v>1106</v>
      </c>
    </row>
    <row r="53" spans="1:28" ht="10.5">
      <c r="B53" s="511" t="str">
        <f>VLOOKUP($B$52,$V$53:$W$65,2)</f>
        <v>AllCorp</v>
      </c>
      <c r="C53" s="594" t="s">
        <v>1107</v>
      </c>
      <c r="D53" s="591"/>
      <c r="E53" s="591"/>
      <c r="F53" s="591"/>
      <c r="U53" s="68" t="s">
        <v>1108</v>
      </c>
      <c r="V53" t="s">
        <v>1098</v>
      </c>
      <c r="W53" t="s">
        <v>1109</v>
      </c>
      <c r="Y53" t="s">
        <v>1110</v>
      </c>
      <c r="Z53" t="s">
        <v>1111</v>
      </c>
      <c r="AB53" s="68">
        <v>1</v>
      </c>
    </row>
    <row r="54" spans="1:28" ht="10.5">
      <c r="A54" t="s">
        <v>1106</v>
      </c>
      <c r="B54" t="s">
        <v>1112</v>
      </c>
      <c r="C54" s="401" t="s">
        <v>1079</v>
      </c>
      <c r="D54" s="401" t="s">
        <v>1036</v>
      </c>
      <c r="E54" s="409" t="s">
        <v>1113</v>
      </c>
      <c r="F54" s="431" t="s">
        <v>1114</v>
      </c>
      <c r="U54" s="68" t="s">
        <v>1115</v>
      </c>
      <c r="V54" t="s">
        <v>1116</v>
      </c>
      <c r="W54" t="s">
        <v>1117</v>
      </c>
      <c r="Y54" t="s">
        <v>1118</v>
      </c>
      <c r="Z54" t="s">
        <v>1119</v>
      </c>
      <c r="AB54" s="68">
        <v>2</v>
      </c>
    </row>
    <row r="55" spans="1:28">
      <c r="A55" s="550">
        <v>10</v>
      </c>
      <c r="B55" s="549" t="s">
        <v>1108</v>
      </c>
      <c r="C55" s="507" t="s">
        <v>782</v>
      </c>
      <c r="D55" s="507" t="str">
        <f>IF(OR($C55="",$B55="",$A55=""),"",$C55&amp;" "&amp;$B55&amp;" "&amp;$A55&amp;"Y")</f>
        <v>USD AAA 10Y</v>
      </c>
      <c r="E55" s="516">
        <v>4.6730000000000001E-2</v>
      </c>
      <c r="F55" s="583">
        <f>IF(OR($C55="",$B55="",$A55=""),"",E55-$E$49)</f>
        <v>4.9300000000000038E-3</v>
      </c>
      <c r="U55" s="68" t="s">
        <v>1120</v>
      </c>
      <c r="V55" t="s">
        <v>1121</v>
      </c>
      <c r="W55" t="s">
        <v>1122</v>
      </c>
      <c r="Y55" t="s">
        <v>1100</v>
      </c>
      <c r="Z55" t="s">
        <v>1123</v>
      </c>
      <c r="AB55" s="68">
        <v>3</v>
      </c>
    </row>
    <row r="56" spans="1:28">
      <c r="A56" s="550">
        <v>10</v>
      </c>
      <c r="B56" s="549" t="s">
        <v>1115</v>
      </c>
      <c r="C56" s="507" t="s">
        <v>782</v>
      </c>
      <c r="D56" s="507" t="str">
        <f t="shared" ref="D56:D61" si="0">IF(OR($C56="",$B56="",$A56=""),"",$C56&amp;" "&amp;$B56&amp;" "&amp;$A56&amp;"Y")</f>
        <v>USD AA 10Y</v>
      </c>
      <c r="E56" s="516">
        <v>5.0130000000000001E-2</v>
      </c>
      <c r="F56" s="583">
        <f t="shared" ref="F56:F61" si="1">IF(OR($C56="",$B56="",$A56=""),"",E56-$E$49)</f>
        <v>8.3300000000000041E-3</v>
      </c>
      <c r="U56" s="68" t="s">
        <v>1124</v>
      </c>
      <c r="V56" t="s">
        <v>1125</v>
      </c>
      <c r="W56" t="s">
        <v>1125</v>
      </c>
      <c r="AB56" s="68">
        <v>4</v>
      </c>
    </row>
    <row r="57" spans="1:28">
      <c r="A57" s="550">
        <v>10</v>
      </c>
      <c r="B57" s="549" t="s">
        <v>1120</v>
      </c>
      <c r="C57" s="507" t="s">
        <v>782</v>
      </c>
      <c r="D57" s="507" t="str">
        <f t="shared" si="0"/>
        <v>USD A 10Y</v>
      </c>
      <c r="E57" s="516">
        <v>5.194E-2</v>
      </c>
      <c r="F57" s="583">
        <f t="shared" si="1"/>
        <v>1.0140000000000003E-2</v>
      </c>
      <c r="U57" s="68" t="s">
        <v>1126</v>
      </c>
      <c r="V57" t="s">
        <v>1127</v>
      </c>
      <c r="W57" t="s">
        <v>1127</v>
      </c>
      <c r="AB57" s="68">
        <v>5</v>
      </c>
    </row>
    <row r="58" spans="1:28">
      <c r="A58" s="550">
        <v>10</v>
      </c>
      <c r="B58" s="549" t="s">
        <v>1124</v>
      </c>
      <c r="C58" s="507" t="s">
        <v>782</v>
      </c>
      <c r="D58" s="507" t="str">
        <f t="shared" si="0"/>
        <v>USD BBB 10Y</v>
      </c>
      <c r="E58" s="516">
        <v>5.4449999999999998E-2</v>
      </c>
      <c r="F58" s="583">
        <f t="shared" si="1"/>
        <v>1.2650000000000002E-2</v>
      </c>
      <c r="U58" s="68" t="s">
        <v>1128</v>
      </c>
      <c r="V58" t="s">
        <v>1129</v>
      </c>
      <c r="W58" t="s">
        <v>1130</v>
      </c>
      <c r="AB58" s="68">
        <v>6</v>
      </c>
    </row>
    <row r="59" spans="1:28">
      <c r="A59" s="550">
        <v>10</v>
      </c>
      <c r="B59" s="549" t="s">
        <v>1126</v>
      </c>
      <c r="C59" s="507" t="s">
        <v>782</v>
      </c>
      <c r="D59" s="507" t="str">
        <f t="shared" si="0"/>
        <v>USD BB 10Y</v>
      </c>
      <c r="E59" s="516">
        <v>6.3810000000000006E-2</v>
      </c>
      <c r="F59" s="583">
        <f t="shared" si="1"/>
        <v>2.2010000000000009E-2</v>
      </c>
      <c r="U59" s="68" t="s">
        <v>1131</v>
      </c>
      <c r="V59" t="s">
        <v>1132</v>
      </c>
      <c r="W59" t="s">
        <v>1132</v>
      </c>
      <c r="AB59" s="68">
        <v>7</v>
      </c>
    </row>
    <row r="60" spans="1:28">
      <c r="A60" s="550">
        <v>10</v>
      </c>
      <c r="B60" s="549" t="s">
        <v>1128</v>
      </c>
      <c r="C60" s="507" t="s">
        <v>782</v>
      </c>
      <c r="D60" s="507" t="str">
        <f t="shared" si="0"/>
        <v>USD B 10Y</v>
      </c>
      <c r="E60" s="516">
        <v>7.6189999999999994E-2</v>
      </c>
      <c r="F60" s="583">
        <f t="shared" si="1"/>
        <v>3.4389999999999997E-2</v>
      </c>
      <c r="U60" s="68" t="s">
        <v>1133</v>
      </c>
      <c r="V60" t="s">
        <v>1134</v>
      </c>
      <c r="W60" t="s">
        <v>1135</v>
      </c>
      <c r="AB60" s="68">
        <v>8</v>
      </c>
    </row>
    <row r="61" spans="1:28" ht="10.5" thickBot="1">
      <c r="A61" s="550">
        <v>10</v>
      </c>
      <c r="B61" s="549" t="s">
        <v>1133</v>
      </c>
      <c r="C61" s="432" t="s">
        <v>782</v>
      </c>
      <c r="D61" s="432" t="str">
        <f t="shared" si="0"/>
        <v>USD IG 10Y</v>
      </c>
      <c r="E61" s="517">
        <v>5.3190000000000001E-2</v>
      </c>
      <c r="F61" s="407">
        <f t="shared" si="1"/>
        <v>1.1390000000000004E-2</v>
      </c>
      <c r="U61" s="68" t="s">
        <v>1136</v>
      </c>
      <c r="V61" t="s">
        <v>1137</v>
      </c>
      <c r="W61" t="s">
        <v>1137</v>
      </c>
      <c r="AB61" s="68">
        <v>9</v>
      </c>
    </row>
    <row r="62" spans="1:28">
      <c r="V62" t="s">
        <v>1138</v>
      </c>
      <c r="W62" t="s">
        <v>1139</v>
      </c>
      <c r="AB62" s="68">
        <v>10</v>
      </c>
    </row>
    <row r="63" spans="1:28">
      <c r="V63" t="s">
        <v>1140</v>
      </c>
      <c r="W63" t="s">
        <v>1141</v>
      </c>
      <c r="AB63" s="68">
        <v>11</v>
      </c>
    </row>
    <row r="64" spans="1:28">
      <c r="V64" t="s">
        <v>1142</v>
      </c>
      <c r="W64" t="s">
        <v>1143</v>
      </c>
      <c r="AB64" s="68">
        <v>12</v>
      </c>
    </row>
    <row r="65" spans="2:28">
      <c r="V65" t="s">
        <v>1144</v>
      </c>
      <c r="W65" t="s">
        <v>1144</v>
      </c>
      <c r="AB65" s="68">
        <v>13</v>
      </c>
    </row>
    <row r="66" spans="2:28" ht="18.95">
      <c r="B66" s="16"/>
      <c r="AB66" s="68">
        <v>14</v>
      </c>
    </row>
    <row r="67" spans="2:28">
      <c r="AB67" s="68">
        <v>15</v>
      </c>
    </row>
    <row r="68" spans="2:28" ht="10.5">
      <c r="C68" s="562"/>
      <c r="D68" s="563"/>
      <c r="E68" s="563"/>
      <c r="AB68" s="68">
        <v>16</v>
      </c>
    </row>
    <row r="69" spans="2:28" ht="10.5">
      <c r="C69" s="564"/>
      <c r="D69" s="565"/>
      <c r="E69" s="566"/>
      <c r="AB69" s="68">
        <v>17</v>
      </c>
    </row>
    <row r="70" spans="2:28">
      <c r="C70" s="567"/>
      <c r="D70" s="568"/>
      <c r="E70" s="560"/>
      <c r="AB70" s="68">
        <v>18</v>
      </c>
    </row>
    <row r="71" spans="2:28">
      <c r="C71" s="567"/>
      <c r="D71" s="568"/>
      <c r="E71" s="560"/>
      <c r="AB71" s="68">
        <v>19</v>
      </c>
    </row>
    <row r="72" spans="2:28">
      <c r="C72" s="567"/>
      <c r="D72" s="568"/>
      <c r="E72" s="560"/>
      <c r="AB72" s="68">
        <v>20</v>
      </c>
    </row>
    <row r="73" spans="2:28">
      <c r="C73" s="567"/>
      <c r="D73" s="568"/>
      <c r="E73" s="560"/>
      <c r="AB73" s="68">
        <v>21</v>
      </c>
    </row>
    <row r="74" spans="2:28">
      <c r="C74" s="567"/>
      <c r="D74" s="568"/>
      <c r="E74" s="560"/>
      <c r="AB74" s="68">
        <v>22</v>
      </c>
    </row>
    <row r="75" spans="2:28">
      <c r="C75" s="567"/>
      <c r="D75" s="568"/>
      <c r="E75" s="560"/>
      <c r="AB75" s="68">
        <v>23</v>
      </c>
    </row>
    <row r="76" spans="2:28">
      <c r="C76" s="567"/>
      <c r="D76" s="568"/>
      <c r="E76" s="560"/>
      <c r="AB76" s="68">
        <v>24</v>
      </c>
    </row>
    <row r="77" spans="2:28">
      <c r="AB77" s="68">
        <v>25</v>
      </c>
    </row>
    <row r="78" spans="2:28">
      <c r="AB78" s="68">
        <v>26</v>
      </c>
    </row>
    <row r="79" spans="2:28">
      <c r="AB79" s="68">
        <v>27</v>
      </c>
    </row>
    <row r="80" spans="2:28">
      <c r="AB80" s="68">
        <v>28</v>
      </c>
    </row>
    <row r="81" spans="28:28">
      <c r="AB81" s="68">
        <v>29</v>
      </c>
    </row>
    <row r="82" spans="28:28">
      <c r="AB82" s="68">
        <v>30</v>
      </c>
    </row>
  </sheetData>
  <mergeCells count="1">
    <mergeCell ref="F4:H4"/>
  </mergeCells>
  <conditionalFormatting sqref="A13:A22">
    <cfRule type="cellIs" dxfId="136" priority="12" operator="equal">
      <formula>"END"</formula>
    </cfRule>
  </conditionalFormatting>
  <conditionalFormatting sqref="E55:E61">
    <cfRule type="dataBar" priority="11">
      <dataBar>
        <cfvo type="min"/>
        <cfvo type="max"/>
        <color rgb="FF638EC6"/>
      </dataBar>
    </cfRule>
  </conditionalFormatting>
  <conditionalFormatting sqref="E70:E76">
    <cfRule type="dataBar" priority="3">
      <dataBar>
        <cfvo type="min"/>
        <cfvo type="max"/>
        <color rgb="FF638EC6"/>
      </dataBar>
    </cfRule>
  </conditionalFormatting>
  <conditionalFormatting sqref="F61">
    <cfRule type="dataBar" priority="10">
      <dataBar>
        <cfvo type="min"/>
        <cfvo type="max"/>
        <color rgb="FF638EC6"/>
      </dataBar>
    </cfRule>
  </conditionalFormatting>
  <conditionalFormatting sqref="Q14 Q16 Q18 Q20 Q22">
    <cfRule type="cellIs" dxfId="135" priority="1" operator="equal">
      <formula>"Pass"</formula>
    </cfRule>
    <cfRule type="cellIs" dxfId="134" priority="2" operator="equal">
      <formula>"Fail"</formula>
    </cfRule>
  </conditionalFormatting>
  <dataValidations count="20">
    <dataValidation allowBlank="1" showInputMessage="1" showErrorMessage="1" prompt="Only change the Ticker name, the rest of the table will auto-update." sqref="C10" xr:uid="{00000000-0002-0000-0600-000000000000}"/>
    <dataValidation allowBlank="1" showInputMessage="1" showErrorMessage="1" prompt="Check &amp; change display units accordingly" sqref="N10:N11 E10:H10" xr:uid="{00000000-0002-0000-0600-000001000000}"/>
    <dataValidation allowBlank="1" showInputMessage="1" showErrorMessage="1" prompt="E - Effective tax rate (last FY)_x000a_S - Statutory income tax rate_x000a_" sqref="E7:F7" xr:uid="{00000000-0002-0000-0600-000004000000}"/>
    <dataValidation allowBlank="1" showInputMessage="1" showErrorMessage="1" prompt="m for month_x000a_w for week_x000a_d for day" sqref="E6:F6" xr:uid="{00000000-0002-0000-0600-000006000000}"/>
    <dataValidation allowBlank="1" showInputMessage="1" showErrorMessage="1" prompt="Time interval to compute beta. Use 5Y or 2Y" sqref="F5" xr:uid="{00000000-0002-0000-0600-000007000000}"/>
    <dataValidation allowBlank="1" showInputMessage="1" showErrorMessage="1" prompt="This is the tax rate applied to the beta computation._x000a_Switch between Effective and Statutory tax rate at Cell F5" sqref="L10:L11 I10 M11" xr:uid="{00000000-0002-0000-0600-000008000000}"/>
    <dataValidation type="list" allowBlank="1" showInputMessage="1" showErrorMessage="1" sqref="F7" xr:uid="{00000000-0002-0000-0600-000009000000}">
      <formula1>"S,E"</formula1>
    </dataValidation>
    <dataValidation allowBlank="1" showInputMessage="1" showErrorMessage="1" prompt="Just enter some estimated numbers first" sqref="E11" xr:uid="{00000000-0002-0000-0600-00000A000000}"/>
    <dataValidation allowBlank="1" showInputMessage="1" showErrorMessage="1" prompt="Check &amp; change accordingly" sqref="G11" xr:uid="{00000000-0002-0000-0600-00000B000000}"/>
    <dataValidation allowBlank="1" showInputMessage="1" showErrorMessage="1" prompt="Link to market approach" sqref="H11" xr:uid="{00000000-0002-0000-0600-00000C000000}"/>
    <dataValidation type="list" allowBlank="1" showInputMessage="1" showErrorMessage="1" prompt="Units to display_x000a_TLN - Trillions_x000a_BLN - Billions_x000a_MLN - Millions" sqref="C7" xr:uid="{00000000-0002-0000-0600-00000D000000}">
      <formula1>"mln,bln,tln"</formula1>
    </dataValidation>
    <dataValidation allowBlank="1" showErrorMessage="1" prompt="This is the tax rate applied to the beta computation._x000a_Switch between Effective and Statutory tax rate at Cell F5" sqref="I11:K11" xr:uid="{ABB61B22-6416-4CA7-8794-445AA33EA62B}"/>
    <dataValidation type="list" allowBlank="1" showInputMessage="1" showErrorMessage="1" sqref="B55:B61" xr:uid="{13A4849D-235D-4074-A64A-A76F59BF71A7}">
      <formula1>$U$53:$U$61</formula1>
    </dataValidation>
    <dataValidation type="list" allowBlank="1" showInputMessage="1" showErrorMessage="1" sqref="B52" xr:uid="{96B1E42F-6048-456E-8433-40E6B5E16E84}">
      <formula1>$V$53:$V$65</formula1>
    </dataValidation>
    <dataValidation type="list" allowBlank="1" showInputMessage="1" showErrorMessage="1" sqref="D52" xr:uid="{FE3F3361-656F-4467-BB52-1B20FF00EB46}">
      <formula1>$Y$53:$Y$55</formula1>
    </dataValidation>
    <dataValidation type="list" allowBlank="1" showInputMessage="1" showErrorMessage="1" sqref="A55:A61" xr:uid="{4EE083C5-95E6-4783-8950-D083F7D6DFF6}">
      <formula1>$AB$53:$AB$82</formula1>
    </dataValidation>
    <dataValidation allowBlank="1" showErrorMessage="1" prompt="m for month_x000a_w for week_x000a_d for day" sqref="G6" xr:uid="{1C9318C6-0BB9-4271-A8D4-023DAF09238A}"/>
    <dataValidation type="list" allowBlank="1" showInputMessage="1" showErrorMessage="1" prompt="m for month_x000a_w for week_x000a_d for day" sqref="F6" xr:uid="{991EC775-037C-4A2B-B68C-0EC28FF19166}">
      <formula1>"D,W,M"</formula1>
    </dataValidation>
    <dataValidation allowBlank="1" showErrorMessage="1" prompt="E - Effective tax rate (last FY)_x000a_S - Statutory income tax rate_x000a_" sqref="G7" xr:uid="{C499388C-019E-4E5B-B33A-8FD4D87F40A7}"/>
    <dataValidation type="list" allowBlank="1" showInputMessage="1" showErrorMessage="1" sqref="F4:H4" xr:uid="{62CFBD68-D740-4554-86FD-8BD3A8B6F71A}">
      <formula1>$T$1:$T$7</formula1>
    </dataValidation>
  </dataValidations>
  <pageMargins left="0.7" right="0.7" top="0.75" bottom="0.75" header="0.3" footer="0.3"/>
  <pageSetup paperSize="9" orientation="portrait" r:id="rId1"/>
  <drawing r:id="rId2"/>
  <legacyDrawing r:id="rId3"/>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P245"/>
  <sheetViews>
    <sheetView showGridLines="0" zoomScaleNormal="100" workbookViewId="0">
      <selection activeCell="D9" sqref="D9"/>
    </sheetView>
  </sheetViews>
  <sheetFormatPr defaultColWidth="0" defaultRowHeight="9.9499999999999993" outlineLevelRow="1"/>
  <cols>
    <col min="1" max="1" width="9.1640625" customWidth="1"/>
    <col min="2" max="14" width="12.6640625" customWidth="1"/>
    <col min="15" max="15" width="18.33203125" customWidth="1"/>
    <col min="16" max="16" width="9.1640625" customWidth="1"/>
    <col min="17" max="16384" width="9.1640625" hidden="1"/>
  </cols>
  <sheetData>
    <row r="1" spans="1:15" ht="27.6">
      <c r="B1" s="18" t="s">
        <v>1145</v>
      </c>
    </row>
    <row r="2" spans="1:15">
      <c r="K2" s="43" t="s">
        <v>1018</v>
      </c>
      <c r="L2" s="15" t="s">
        <v>1019</v>
      </c>
    </row>
    <row r="3" spans="1:15">
      <c r="L3" s="511">
        <f>IF($L$2="mln",1,IF($L$2="bln",0.001,0.000001))</f>
        <v>1</v>
      </c>
    </row>
    <row r="6" spans="1:15">
      <c r="D6" s="30"/>
      <c r="E6" s="30"/>
      <c r="F6" s="30"/>
      <c r="G6" s="30"/>
      <c r="H6" s="30"/>
      <c r="I6" s="30"/>
      <c r="J6" s="30"/>
      <c r="K6" s="30"/>
      <c r="L6" s="30"/>
      <c r="M6" s="30"/>
      <c r="N6" s="30"/>
    </row>
    <row r="7" spans="1:15" ht="10.5">
      <c r="B7" s="596" t="s">
        <v>25</v>
      </c>
      <c r="C7" s="596"/>
      <c r="D7" s="596"/>
      <c r="E7" s="596"/>
      <c r="F7" s="596"/>
      <c r="G7" s="596"/>
      <c r="H7" s="596"/>
      <c r="I7" s="596"/>
      <c r="J7" s="596"/>
      <c r="K7" s="596"/>
      <c r="L7" s="596"/>
      <c r="M7" s="596"/>
      <c r="N7" s="596"/>
      <c r="O7" s="596"/>
    </row>
    <row r="8" spans="1:15" ht="10.5">
      <c r="B8" s="401" t="str">
        <f>"("&amp;curr&amp;" "&amp;LEFT($L$2,1)&amp;")"</f>
        <v>(USD m)</v>
      </c>
      <c r="C8" s="402" t="s">
        <v>179</v>
      </c>
      <c r="D8" s="634" t="str">
        <f>"FY"&amp;YEAR(C0!D16)</f>
        <v>FY2015</v>
      </c>
      <c r="E8" s="634" t="str">
        <f>"FY"&amp;YEAR(C0!E16)</f>
        <v>FY2016</v>
      </c>
      <c r="F8" s="634" t="str">
        <f>"FY"&amp;YEAR(C0!F16)</f>
        <v>FY2017</v>
      </c>
      <c r="G8" s="634" t="str">
        <f>"FY"&amp;YEAR(C0!G16)</f>
        <v>FY2018</v>
      </c>
      <c r="H8" s="634" t="str">
        <f>"FY"&amp;YEAR(C0!H16)</f>
        <v>FY2019</v>
      </c>
      <c r="I8" s="634" t="str">
        <f>"FY"&amp;YEAR(C0!I16)</f>
        <v>FY2020</v>
      </c>
      <c r="J8" s="634" t="str">
        <f>"FY"&amp;YEAR(C0!J16)</f>
        <v>FY2021</v>
      </c>
      <c r="K8" s="634" t="str">
        <f>"FY"&amp;YEAR(C0!K16)</f>
        <v>FY2022</v>
      </c>
      <c r="L8" s="634" t="str">
        <f>"FY"&amp;YEAR(C0!L16)</f>
        <v>FY2023</v>
      </c>
      <c r="M8" s="634" t="str">
        <f>"FY"&amp;YEAR(C0!M16)</f>
        <v>FY2024</v>
      </c>
      <c r="N8" s="634" t="str">
        <f>"FY"&amp;YEAR(C0!N16)</f>
        <v>FY2025</v>
      </c>
      <c r="O8" s="433" t="s">
        <v>1146</v>
      </c>
    </row>
    <row r="9" spans="1:15">
      <c r="A9" s="110"/>
      <c r="B9" s="406" t="str">
        <f>IF($C9="","",IFERROR('Comps'!B13,"DELETE"))</f>
        <v>Grab Holdings Limited</v>
      </c>
      <c r="C9" s="13" t="str">
        <f>IF('Comps'!C13="","",'Comps'!C13)</f>
        <v>NASDAQGS:GRAB</v>
      </c>
      <c r="D9" s="525">
        <v>0</v>
      </c>
      <c r="E9" s="525">
        <v>0</v>
      </c>
      <c r="F9" s="525">
        <v>0</v>
      </c>
      <c r="G9" s="525">
        <v>0</v>
      </c>
      <c r="H9" s="525">
        <v>-1136.5165500000001</v>
      </c>
      <c r="I9" s="525">
        <v>619.91012999999998</v>
      </c>
      <c r="J9" s="525">
        <v>910.02149999999995</v>
      </c>
      <c r="K9" s="525">
        <v>1921.4523799999999</v>
      </c>
      <c r="L9" s="525">
        <v>3113.73846</v>
      </c>
      <c r="M9" s="525">
        <v>3817.2057500000001</v>
      </c>
      <c r="N9" s="525">
        <v>0</v>
      </c>
      <c r="O9" s="524">
        <f>IF($C9="","",IFERROR((M9/J9)^(1/COUNT(K9:M9))-1,"NA"))</f>
        <v>0.61274104387880657</v>
      </c>
    </row>
    <row r="10" spans="1:15">
      <c r="A10" s="110"/>
      <c r="B10" s="406" t="str">
        <f>IF($C10="","",IFERROR('Comps'!B14,"DELETE"))</f>
        <v>Pt Goto Gojek Tokopedia Tbk</v>
      </c>
      <c r="C10" s="13" t="str">
        <f>IF('Comps'!C14="","",'Comps'!C14)</f>
        <v>IDX: GOTO</v>
      </c>
      <c r="D10" s="525">
        <v>0</v>
      </c>
      <c r="E10" s="525">
        <v>0</v>
      </c>
      <c r="F10" s="525">
        <v>0</v>
      </c>
      <c r="G10" s="525">
        <v>135.68852000000001</v>
      </c>
      <c r="H10" s="525">
        <v>223.92726999999999</v>
      </c>
      <c r="I10" s="525">
        <v>315.81533999999999</v>
      </c>
      <c r="J10" s="525">
        <v>429.21481</v>
      </c>
      <c r="K10" s="525">
        <v>979.95516999999995</v>
      </c>
      <c r="L10" s="525">
        <v>1266.1260400000001</v>
      </c>
      <c r="M10" s="525">
        <v>1347.5007000000001</v>
      </c>
      <c r="N10" s="525">
        <v>0</v>
      </c>
      <c r="O10" s="524">
        <f t="shared" ref="O10:O22" si="0">IF($C10="","",IFERROR((M10/J10)^(1/COUNT(K10:M10))-1,"NA"))</f>
        <v>0.46425966802624963</v>
      </c>
    </row>
    <row r="11" spans="1:15">
      <c r="A11" s="110"/>
      <c r="B11" s="406" t="str">
        <f>IF($C11="","",IFERROR('Comps'!B15,"DELETE"))</f>
        <v>Sea Limited</v>
      </c>
      <c r="C11" s="13" t="str">
        <f>IF('Comps'!C15="","",'Comps'!C15)</f>
        <v>NYSE: SE</v>
      </c>
      <c r="D11" s="525">
        <v>413.99229000000003</v>
      </c>
      <c r="E11" s="525">
        <v>499.58994000000001</v>
      </c>
      <c r="F11" s="525">
        <v>553.54422999999997</v>
      </c>
      <c r="G11" s="525">
        <v>1126.61986</v>
      </c>
      <c r="H11" s="525">
        <v>2925.86166</v>
      </c>
      <c r="I11" s="525">
        <v>5783.6214099999997</v>
      </c>
      <c r="J11" s="525">
        <v>13421.38805</v>
      </c>
      <c r="K11" s="525">
        <v>16693.311450000001</v>
      </c>
      <c r="L11" s="525">
        <v>17243.115389999999</v>
      </c>
      <c r="M11" s="525">
        <v>22954.912120000001</v>
      </c>
      <c r="N11" s="525">
        <v>0</v>
      </c>
      <c r="O11" s="524">
        <f t="shared" si="0"/>
        <v>0.19589412882933632</v>
      </c>
    </row>
    <row r="12" spans="1:15">
      <c r="A12" s="110"/>
      <c r="B12" s="406" t="str">
        <f>IF($C12="","",IFERROR('Comps'!B16,"DELETE"))</f>
        <v>Uber Technologies, Inc.</v>
      </c>
      <c r="C12" s="13" t="str">
        <f>IF('Comps'!C16="","",'Comps'!C16)</f>
        <v>NYSE:UBER</v>
      </c>
      <c r="D12" s="525">
        <v>0</v>
      </c>
      <c r="E12" s="525">
        <v>5557.1016</v>
      </c>
      <c r="F12" s="525">
        <v>10600.7214</v>
      </c>
      <c r="G12" s="525">
        <v>14213.39755</v>
      </c>
      <c r="H12" s="525">
        <v>17484.87</v>
      </c>
      <c r="I12" s="525">
        <v>14723.196029999999</v>
      </c>
      <c r="J12" s="525">
        <v>23532.481899999999</v>
      </c>
      <c r="K12" s="525">
        <v>42742.594219999999</v>
      </c>
      <c r="L12" s="525">
        <v>49208.683140000001</v>
      </c>
      <c r="M12" s="525">
        <v>60018.9755</v>
      </c>
      <c r="N12" s="525">
        <v>0</v>
      </c>
      <c r="O12" s="524">
        <f t="shared" si="0"/>
        <v>0.36628179471097311</v>
      </c>
    </row>
    <row r="13" spans="1:15">
      <c r="A13" s="110"/>
      <c r="B13" s="406" t="str">
        <f>IF($C13="","",IFERROR('Comps'!B17,"DELETE"))</f>
        <v>Lyft, Inc.</v>
      </c>
      <c r="C13" s="13" t="str">
        <f>IF('Comps'!C17="","",'Comps'!C17)</f>
        <v>NASDAQGS:LYFT</v>
      </c>
      <c r="D13" s="525">
        <v>0</v>
      </c>
      <c r="E13" s="525">
        <v>496.16172999999998</v>
      </c>
      <c r="F13" s="525">
        <v>1416.4779599999999</v>
      </c>
      <c r="G13" s="525">
        <v>2938.0658100000001</v>
      </c>
      <c r="H13" s="525">
        <v>4863.4300400000002</v>
      </c>
      <c r="I13" s="525">
        <v>3125.56441</v>
      </c>
      <c r="J13" s="525">
        <v>4325.3968999999997</v>
      </c>
      <c r="K13" s="525">
        <v>5491.0027200000004</v>
      </c>
      <c r="L13" s="525">
        <v>5812.4732700000004</v>
      </c>
      <c r="M13" s="525">
        <v>7896.4653399999997</v>
      </c>
      <c r="N13" s="525">
        <v>0</v>
      </c>
      <c r="O13" s="524">
        <f t="shared" si="0"/>
        <v>0.22218117363548462</v>
      </c>
    </row>
    <row r="14" spans="1:15">
      <c r="A14" s="110"/>
      <c r="B14" s="406" t="str">
        <f>IF($C14="","",IFERROR('Comps'!B18,"DELETE"))</f>
        <v>Didi Global Inc.</v>
      </c>
      <c r="C14" s="13" t="str">
        <f>IF('Comps'!C18="","",'Comps'!C18)</f>
        <v>OTCPK:DIDI.Y</v>
      </c>
      <c r="D14" s="525">
        <v>0</v>
      </c>
      <c r="E14" s="525">
        <v>0</v>
      </c>
      <c r="F14" s="525">
        <v>0</v>
      </c>
      <c r="G14" s="525">
        <v>26798.150509999999</v>
      </c>
      <c r="H14" s="525">
        <v>29899.293989999998</v>
      </c>
      <c r="I14" s="525">
        <v>28695.67654</v>
      </c>
      <c r="J14" s="525">
        <v>36890.501539999997</v>
      </c>
      <c r="K14" s="525">
        <v>27370.8079</v>
      </c>
      <c r="L14" s="525">
        <v>35810.679689999997</v>
      </c>
      <c r="M14" s="525">
        <v>38666.19616</v>
      </c>
      <c r="N14" s="525">
        <v>0</v>
      </c>
      <c r="O14" s="524">
        <f t="shared" si="0"/>
        <v>1.5793969166853383E-2</v>
      </c>
    </row>
    <row r="15" spans="1:15">
      <c r="A15" s="110"/>
      <c r="B15" s="406" t="str">
        <f>IF($C15="","",IFERROR('Comps'!B19,"DELETE"))</f>
        <v>Meituan</v>
      </c>
      <c r="C15" s="13" t="str">
        <f>IF('Comps'!C19="","",'Comps'!C19)</f>
        <v>SEHK:3690</v>
      </c>
      <c r="D15" s="525">
        <v>877.25657000000001</v>
      </c>
      <c r="E15" s="525">
        <v>2703.4893499999998</v>
      </c>
      <c r="F15" s="525">
        <v>6968.6719999999996</v>
      </c>
      <c r="G15" s="525">
        <v>12830.022510000001</v>
      </c>
      <c r="H15" s="525">
        <v>18687.28456</v>
      </c>
      <c r="I15" s="525">
        <v>23241.114430000001</v>
      </c>
      <c r="J15" s="525">
        <v>38015.424120000003</v>
      </c>
      <c r="K15" s="525">
        <v>42760.655319999998</v>
      </c>
      <c r="L15" s="525">
        <v>51514.861870000001</v>
      </c>
      <c r="M15" s="525">
        <v>63121.22105</v>
      </c>
      <c r="N15" s="525">
        <v>0</v>
      </c>
      <c r="O15" s="524">
        <f t="shared" si="0"/>
        <v>0.18414581328815327</v>
      </c>
    </row>
    <row r="16" spans="1:15">
      <c r="A16" s="110"/>
      <c r="B16" s="406" t="str">
        <f>IF($C16="","",IFERROR('Comps'!B20,"DELETE"))</f>
        <v>Delivery Hero Se</v>
      </c>
      <c r="C16" s="13" t="str">
        <f>IF('Comps'!C20="","",'Comps'!C20)</f>
        <v>XTRA:DHER</v>
      </c>
      <c r="D16" s="525">
        <v>255.74193</v>
      </c>
      <c r="E16" s="525">
        <v>442.29565000000002</v>
      </c>
      <c r="F16" s="525">
        <v>728.08280999999999</v>
      </c>
      <c r="G16" s="525">
        <v>1037.4387300000001</v>
      </c>
      <c r="H16" s="525">
        <v>1867.98297</v>
      </c>
      <c r="I16" s="525">
        <v>3996.6767799999998</v>
      </c>
      <c r="J16" s="525">
        <v>8978.0539200000003</v>
      </c>
      <c r="K16" s="525">
        <v>12291.28832</v>
      </c>
      <c r="L16" s="525">
        <v>14505.04199</v>
      </c>
      <c r="M16" s="525">
        <v>17371.562089999999</v>
      </c>
      <c r="N16" s="525">
        <v>0</v>
      </c>
      <c r="O16" s="524">
        <f t="shared" si="0"/>
        <v>0.2460980637762229</v>
      </c>
    </row>
    <row r="17" spans="1:15">
      <c r="A17" s="110"/>
      <c r="B17" s="406" t="str">
        <f>IF($C17="","",IFERROR('Comps'!B21,"DELETE"))</f>
        <v>Doordash, Inc.</v>
      </c>
      <c r="C17" s="13" t="str">
        <f>IF('Comps'!C21="","",'Comps'!C21)</f>
        <v>NASDAQGS:DASH</v>
      </c>
      <c r="D17" s="525">
        <v>0</v>
      </c>
      <c r="E17" s="525">
        <v>0</v>
      </c>
      <c r="F17" s="525">
        <v>0</v>
      </c>
      <c r="G17" s="525">
        <v>396.44385</v>
      </c>
      <c r="H17" s="525">
        <v>1190.3161500000001</v>
      </c>
      <c r="I17" s="525">
        <v>3814.6282200000001</v>
      </c>
      <c r="J17" s="525">
        <v>6589.9038399999999</v>
      </c>
      <c r="K17" s="525">
        <v>8826.8813800000007</v>
      </c>
      <c r="L17" s="525">
        <v>11397.6819</v>
      </c>
      <c r="M17" s="525">
        <v>14632.8495</v>
      </c>
      <c r="N17" s="525">
        <v>0</v>
      </c>
      <c r="O17" s="524">
        <f t="shared" si="0"/>
        <v>0.30461772934889697</v>
      </c>
    </row>
    <row r="18" spans="1:15">
      <c r="A18" s="110"/>
      <c r="B18" s="406" t="str">
        <f>IF($C18="","",IFERROR('Comps'!B22,"DELETE"))</f>
        <v>Talabat Holding Plc</v>
      </c>
      <c r="C18" s="13" t="str">
        <f>IF('Comps'!C22="","",'Comps'!C22)</f>
        <v>DFM:TALABAT</v>
      </c>
      <c r="D18" s="525">
        <v>0</v>
      </c>
      <c r="E18" s="525">
        <v>0</v>
      </c>
      <c r="F18" s="525">
        <v>0</v>
      </c>
      <c r="G18" s="525">
        <v>0</v>
      </c>
      <c r="H18" s="525">
        <v>0</v>
      </c>
      <c r="I18" s="525">
        <v>0</v>
      </c>
      <c r="J18" s="525">
        <v>0</v>
      </c>
      <c r="K18" s="525">
        <v>1851.9363000000001</v>
      </c>
      <c r="L18" s="525">
        <v>2214.5885400000002</v>
      </c>
      <c r="M18" s="525">
        <v>3280.5949099999998</v>
      </c>
      <c r="N18" s="525">
        <v>0</v>
      </c>
      <c r="O18" s="524" t="str">
        <f t="shared" si="0"/>
        <v>NA</v>
      </c>
    </row>
    <row r="19" spans="1:15">
      <c r="A19" s="110"/>
      <c r="B19" s="406" t="e">
        <f>IF($C19="","",IFERROR('Comps'!#REF!,"DELETE"))</f>
        <v>#REF!</v>
      </c>
      <c r="C19" s="13" t="e">
        <f>IF('Comps'!#REF!="","",'Comps'!#REF!)</f>
        <v>#REF!</v>
      </c>
      <c r="D19" s="525"/>
      <c r="E19" s="525"/>
      <c r="F19" s="525"/>
      <c r="G19" s="525"/>
      <c r="H19" s="525"/>
      <c r="I19" s="525"/>
      <c r="J19" s="525"/>
      <c r="K19" s="525"/>
      <c r="L19" s="525"/>
      <c r="M19" s="525"/>
      <c r="N19" s="525"/>
      <c r="O19" s="524" t="e">
        <f t="shared" si="0"/>
        <v>#REF!</v>
      </c>
    </row>
    <row r="20" spans="1:15">
      <c r="A20" s="110"/>
      <c r="B20" s="406" t="e">
        <f>IF($C20="","",IFERROR('Comps'!#REF!,"DELETE"))</f>
        <v>#REF!</v>
      </c>
      <c r="C20" s="13" t="e">
        <f>IF('Comps'!#REF!="","",'Comps'!#REF!)</f>
        <v>#REF!</v>
      </c>
      <c r="D20" s="525"/>
      <c r="E20" s="525"/>
      <c r="F20" s="525"/>
      <c r="G20" s="525"/>
      <c r="H20" s="525"/>
      <c r="I20" s="525"/>
      <c r="J20" s="525"/>
      <c r="K20" s="525"/>
      <c r="L20" s="525"/>
      <c r="M20" s="525"/>
      <c r="N20" s="525"/>
      <c r="O20" s="524" t="e">
        <f t="shared" si="0"/>
        <v>#REF!</v>
      </c>
    </row>
    <row r="21" spans="1:15">
      <c r="A21" s="110"/>
      <c r="B21" s="406" t="e">
        <f>IF($C21="","",IFERROR('Comps'!#REF!,"DELETE"))</f>
        <v>#REF!</v>
      </c>
      <c r="C21" s="13" t="e">
        <f>IF('Comps'!#REF!="","",'Comps'!#REF!)</f>
        <v>#REF!</v>
      </c>
      <c r="D21" s="525"/>
      <c r="E21" s="525"/>
      <c r="F21" s="525"/>
      <c r="G21" s="525"/>
      <c r="H21" s="525"/>
      <c r="I21" s="525"/>
      <c r="J21" s="525"/>
      <c r="K21" s="525"/>
      <c r="L21" s="525"/>
      <c r="M21" s="525"/>
      <c r="N21" s="525"/>
      <c r="O21" s="524" t="e">
        <f t="shared" si="0"/>
        <v>#REF!</v>
      </c>
    </row>
    <row r="22" spans="1:15">
      <c r="A22" s="110"/>
      <c r="B22" s="406" t="e">
        <f>IF($C22="","",IFERROR('Comps'!#REF!,"DELETE"))</f>
        <v>#REF!</v>
      </c>
      <c r="C22" s="13" t="e">
        <f>IF('Comps'!#REF!="","",'Comps'!#REF!)</f>
        <v>#REF!</v>
      </c>
      <c r="D22" s="525"/>
      <c r="E22" s="525"/>
      <c r="F22" s="525"/>
      <c r="G22" s="525"/>
      <c r="H22" s="525"/>
      <c r="I22" s="525"/>
      <c r="J22" s="525"/>
      <c r="K22" s="525"/>
      <c r="L22" s="525"/>
      <c r="M22" s="525"/>
      <c r="N22" s="525"/>
      <c r="O22" s="524" t="e">
        <f t="shared" si="0"/>
        <v>#REF!</v>
      </c>
    </row>
    <row r="23" spans="1:15">
      <c r="A23" s="110"/>
      <c r="B23" s="406" t="e">
        <f>IF($C23="","",IFERROR('Comps'!#REF!,"DELETE"))</f>
        <v>#REF!</v>
      </c>
      <c r="C23" s="13" t="e">
        <f>IF('Comps'!#REF!="","",'Comps'!#REF!)</f>
        <v>#REF!</v>
      </c>
      <c r="D23" s="525"/>
      <c r="E23" s="525"/>
      <c r="F23" s="525"/>
      <c r="G23" s="525"/>
      <c r="H23" s="525"/>
      <c r="I23" s="525"/>
      <c r="J23" s="525"/>
      <c r="K23" s="525"/>
      <c r="L23" s="525"/>
      <c r="M23" s="525"/>
      <c r="N23" s="525"/>
      <c r="O23" s="524" t="e">
        <f>IF($C23="","",IFERROR((M23/J23)^(1/COUNT(K23:M23))-1,"NA"))</f>
        <v>#REF!</v>
      </c>
    </row>
    <row r="24" spans="1:15" ht="4.3499999999999996" customHeight="1" thickBot="1">
      <c r="A24" s="110"/>
      <c r="B24" s="338"/>
      <c r="C24" s="339"/>
      <c r="D24" s="341"/>
      <c r="E24" s="341"/>
      <c r="F24" s="341"/>
      <c r="G24" s="341"/>
      <c r="H24" s="341"/>
      <c r="I24" s="341"/>
      <c r="J24" s="341"/>
      <c r="K24" s="341"/>
      <c r="L24" s="341"/>
      <c r="M24" s="341"/>
      <c r="N24" s="341"/>
      <c r="O24" s="342"/>
    </row>
    <row r="25" spans="1:15">
      <c r="B25" s="595" t="s">
        <v>1147</v>
      </c>
      <c r="D25" s="99"/>
      <c r="E25" s="99"/>
      <c r="F25" s="99"/>
      <c r="G25" s="99"/>
      <c r="H25" s="99"/>
      <c r="I25" s="99"/>
      <c r="J25" s="99"/>
      <c r="K25" s="99"/>
      <c r="L25" s="99"/>
      <c r="M25" s="99"/>
      <c r="N25" s="99"/>
      <c r="O25" s="98"/>
    </row>
    <row r="26" spans="1:15">
      <c r="D26" s="99"/>
      <c r="E26" s="99"/>
      <c r="F26" s="99"/>
      <c r="G26" s="99"/>
      <c r="H26" s="99"/>
      <c r="I26" s="99"/>
      <c r="J26" s="99"/>
      <c r="K26" s="99"/>
      <c r="L26" s="99"/>
      <c r="M26" s="99"/>
      <c r="N26" s="99"/>
    </row>
    <row r="27" spans="1:15" ht="10.5" hidden="1" outlineLevel="1">
      <c r="B27" s="596" t="s">
        <v>27</v>
      </c>
      <c r="C27" s="596"/>
      <c r="D27" s="597"/>
      <c r="E27" s="597"/>
      <c r="F27" s="597"/>
      <c r="G27" s="597"/>
      <c r="H27" s="597"/>
      <c r="I27" s="597"/>
      <c r="J27" s="597"/>
      <c r="K27" s="597"/>
      <c r="L27" s="597"/>
      <c r="M27" s="597"/>
      <c r="N27" s="597"/>
    </row>
    <row r="28" spans="1:15" ht="10.5" hidden="1" outlineLevel="1">
      <c r="B28" s="401" t="str">
        <f>"("&amp;curr&amp;" "&amp;LEFT($L$2,1)&amp;")"</f>
        <v>(USD m)</v>
      </c>
      <c r="C28" s="402" t="s">
        <v>179</v>
      </c>
      <c r="D28" s="634" t="str">
        <f>D$8</f>
        <v>FY2015</v>
      </c>
      <c r="E28" s="634" t="str">
        <f t="shared" ref="E28:N28" si="1">E$8</f>
        <v>FY2016</v>
      </c>
      <c r="F28" s="634" t="str">
        <f t="shared" si="1"/>
        <v>FY2017</v>
      </c>
      <c r="G28" s="634" t="str">
        <f t="shared" si="1"/>
        <v>FY2018</v>
      </c>
      <c r="H28" s="634" t="str">
        <f t="shared" si="1"/>
        <v>FY2019</v>
      </c>
      <c r="I28" s="634" t="str">
        <f t="shared" si="1"/>
        <v>FY2020</v>
      </c>
      <c r="J28" s="634" t="str">
        <f t="shared" si="1"/>
        <v>FY2021</v>
      </c>
      <c r="K28" s="634" t="str">
        <f t="shared" si="1"/>
        <v>FY2022</v>
      </c>
      <c r="L28" s="634" t="str">
        <f t="shared" si="1"/>
        <v>FY2023</v>
      </c>
      <c r="M28" s="634" t="str">
        <f t="shared" si="1"/>
        <v>FY2024</v>
      </c>
      <c r="N28" s="634" t="str">
        <f t="shared" si="1"/>
        <v>FY2025</v>
      </c>
      <c r="O28" s="13"/>
    </row>
    <row r="29" spans="1:15" hidden="1" outlineLevel="1">
      <c r="A29" s="110"/>
      <c r="B29" s="406" t="str">
        <f>IF($C29="","",IFERROR('Comps'!B13,"DELETE"))</f>
        <v>Grab Holdings Limited</v>
      </c>
      <c r="C29" s="13" t="str">
        <f>IF('Comps'!C13="","",'Comps'!C13)</f>
        <v>NASDAQGS:GRAB</v>
      </c>
      <c r="D29" s="525">
        <v>0</v>
      </c>
      <c r="E29" s="525">
        <v>0</v>
      </c>
      <c r="F29" s="525">
        <v>0</v>
      </c>
      <c r="G29" s="525">
        <v>0</v>
      </c>
      <c r="H29" s="525">
        <v>-2911.90335</v>
      </c>
      <c r="I29" s="525">
        <v>-652.95438000000001</v>
      </c>
      <c r="J29" s="525">
        <v>-532.53110000000004</v>
      </c>
      <c r="K29" s="525">
        <v>61.679560000000002</v>
      </c>
      <c r="L29" s="525">
        <v>1079.71092</v>
      </c>
      <c r="M29" s="525">
        <v>1525.7905000000001</v>
      </c>
      <c r="N29" s="525">
        <v>0</v>
      </c>
      <c r="O29" s="434"/>
    </row>
    <row r="30" spans="1:15" hidden="1" outlineLevel="1">
      <c r="A30" s="110"/>
      <c r="B30" s="406" t="str">
        <f>IF($C30="","",IFERROR('Comps'!B14,"DELETE"))</f>
        <v>Pt Goto Gojek Tokopedia Tbk</v>
      </c>
      <c r="C30" s="13" t="str">
        <f>IF('Comps'!C14="","",'Comps'!C14)</f>
        <v>IDX: GOTO</v>
      </c>
      <c r="D30" s="525">
        <v>0</v>
      </c>
      <c r="E30" s="525">
        <v>0</v>
      </c>
      <c r="F30" s="525">
        <v>0</v>
      </c>
      <c r="G30" s="525">
        <v>-15.7576</v>
      </c>
      <c r="H30" s="525">
        <v>-46.383400000000002</v>
      </c>
      <c r="I30" s="525">
        <v>84.401120000000006</v>
      </c>
      <c r="J30" s="525">
        <v>71.922300000000007</v>
      </c>
      <c r="K30" s="525">
        <v>506.78167999999999</v>
      </c>
      <c r="L30" s="525">
        <v>829.98184000000003</v>
      </c>
      <c r="M30" s="525">
        <v>719.00815</v>
      </c>
      <c r="N30" s="525">
        <v>0</v>
      </c>
      <c r="O30" s="434"/>
    </row>
    <row r="31" spans="1:15" hidden="1" outlineLevel="1">
      <c r="A31" s="110"/>
      <c r="B31" s="406" t="str">
        <f>IF($C31="","",IFERROR('Comps'!B15,"DELETE"))</f>
        <v>Sea Limited</v>
      </c>
      <c r="C31" s="13" t="str">
        <f>IF('Comps'!C15="","",'Comps'!C15)</f>
        <v>NYSE: SE</v>
      </c>
      <c r="D31" s="525">
        <v>152.80885000000001</v>
      </c>
      <c r="E31" s="525">
        <v>163.42070000000001</v>
      </c>
      <c r="F31" s="525">
        <v>116.68812</v>
      </c>
      <c r="G31" s="525">
        <v>20.105560000000001</v>
      </c>
      <c r="H31" s="525">
        <v>813.61135000000002</v>
      </c>
      <c r="I31" s="525">
        <v>1782.9421600000001</v>
      </c>
      <c r="J31" s="525">
        <v>5252.1520099999998</v>
      </c>
      <c r="K31" s="525">
        <v>6952.7305200000001</v>
      </c>
      <c r="L31" s="525">
        <v>7700.0640199999998</v>
      </c>
      <c r="M31" s="525">
        <v>9833.1438500000004</v>
      </c>
      <c r="N31" s="525">
        <v>0</v>
      </c>
      <c r="O31" s="434"/>
    </row>
    <row r="32" spans="1:15" hidden="1" outlineLevel="1">
      <c r="A32" s="110"/>
      <c r="B32" s="406" t="str">
        <f>IF($C32="","",IFERROR('Comps'!B16,"DELETE"))</f>
        <v>Uber Technologies, Inc.</v>
      </c>
      <c r="C32" s="13" t="str">
        <f>IF('Comps'!C16="","",'Comps'!C16)</f>
        <v>NYSE:UBER</v>
      </c>
      <c r="D32" s="525">
        <v>0</v>
      </c>
      <c r="E32" s="525">
        <v>1063.7260799999999</v>
      </c>
      <c r="F32" s="525">
        <v>3231.5360999999998</v>
      </c>
      <c r="G32" s="525">
        <v>5627.8678499999996</v>
      </c>
      <c r="H32" s="525">
        <v>6236.7186300000003</v>
      </c>
      <c r="I32" s="525">
        <v>5733.8382600000004</v>
      </c>
      <c r="J32" s="525">
        <v>8395.1168600000001</v>
      </c>
      <c r="K32" s="525">
        <v>13147.132299999999</v>
      </c>
      <c r="L32" s="525">
        <v>16017.4719</v>
      </c>
      <c r="M32" s="525">
        <v>19918.526249999999</v>
      </c>
      <c r="N32" s="525">
        <v>0</v>
      </c>
      <c r="O32" s="434"/>
    </row>
    <row r="33" spans="1:15" hidden="1" outlineLevel="1">
      <c r="A33" s="110"/>
      <c r="B33" s="406" t="str">
        <f>IF($C33="","",IFERROR('Comps'!B17,"DELETE"))</f>
        <v>Lyft, Inc.</v>
      </c>
      <c r="C33" s="13" t="str">
        <f>IF('Comps'!C17="","",'Comps'!C17)</f>
        <v>NASDAQGS:LYFT</v>
      </c>
      <c r="D33" s="525">
        <v>0</v>
      </c>
      <c r="E33" s="525">
        <v>-48.551290000000002</v>
      </c>
      <c r="F33" s="525">
        <v>289.78913999999997</v>
      </c>
      <c r="G33" s="525">
        <v>783.09784999999999</v>
      </c>
      <c r="H33" s="525">
        <v>1082.9523200000001</v>
      </c>
      <c r="I33" s="525">
        <v>704.52323999999999</v>
      </c>
      <c r="J33" s="525">
        <v>1488.0846799999999</v>
      </c>
      <c r="K33" s="525">
        <v>1657.32978</v>
      </c>
      <c r="L33" s="525">
        <v>1926.7269799999999</v>
      </c>
      <c r="M33" s="525">
        <v>2784.1091099999999</v>
      </c>
      <c r="N33" s="525">
        <v>0</v>
      </c>
      <c r="O33" s="434"/>
    </row>
    <row r="34" spans="1:15" hidden="1" outlineLevel="1">
      <c r="A34" s="110"/>
      <c r="B34" s="406" t="str">
        <f>IF($C34="","",IFERROR('Comps'!B18,"DELETE"))</f>
        <v>Didi Global Inc.</v>
      </c>
      <c r="C34" s="13" t="str">
        <f>IF('Comps'!C18="","",'Comps'!C18)</f>
        <v>OTCPK:DIDI.Y</v>
      </c>
      <c r="D34" s="525">
        <v>0</v>
      </c>
      <c r="E34" s="525">
        <v>0</v>
      </c>
      <c r="F34" s="525">
        <v>0</v>
      </c>
      <c r="G34" s="525">
        <v>748.87513999999999</v>
      </c>
      <c r="H34" s="525">
        <v>2133.21162</v>
      </c>
      <c r="I34" s="525">
        <v>2270.8407900000002</v>
      </c>
      <c r="J34" s="525">
        <v>2003.1389899999999</v>
      </c>
      <c r="K34" s="525">
        <v>3595.23522</v>
      </c>
      <c r="L34" s="525">
        <v>4104.0675899999997</v>
      </c>
      <c r="M34" s="525">
        <v>5590.8455100000001</v>
      </c>
      <c r="N34" s="525">
        <v>0</v>
      </c>
      <c r="O34" s="434"/>
    </row>
    <row r="35" spans="1:15" hidden="1" outlineLevel="1">
      <c r="A35" s="110"/>
      <c r="B35" s="406" t="str">
        <f>IF($C35="","",IFERROR('Comps'!B19,"DELETE"))</f>
        <v>Meituan</v>
      </c>
      <c r="C35" s="13" t="str">
        <f>IF('Comps'!C19="","",'Comps'!C19)</f>
        <v>SEHK:3690</v>
      </c>
      <c r="D35" s="525">
        <v>606.69820000000004</v>
      </c>
      <c r="E35" s="525">
        <v>1236.6779300000001</v>
      </c>
      <c r="F35" s="525">
        <v>2509.8369499999999</v>
      </c>
      <c r="G35" s="525">
        <v>2901.6826900000001</v>
      </c>
      <c r="H35" s="525">
        <v>6091.3403099999996</v>
      </c>
      <c r="I35" s="525">
        <v>6893.7377500000002</v>
      </c>
      <c r="J35" s="525">
        <v>9014.0682500000003</v>
      </c>
      <c r="K35" s="525">
        <v>12005.175939999999</v>
      </c>
      <c r="L35" s="525">
        <v>18091.709210000001</v>
      </c>
      <c r="M35" s="525">
        <v>24266.48835</v>
      </c>
      <c r="N35" s="525">
        <v>0</v>
      </c>
      <c r="O35" s="434"/>
    </row>
    <row r="36" spans="1:15" hidden="1" outlineLevel="1">
      <c r="A36" s="110"/>
      <c r="B36" s="406" t="str">
        <f>IF($C36="","",IFERROR('Comps'!B20,"DELETE"))</f>
        <v>Delivery Hero Se</v>
      </c>
      <c r="C36" s="13" t="str">
        <f>IF('Comps'!C20="","",'Comps'!C20)</f>
        <v>XTRA:DHER</v>
      </c>
      <c r="D36" s="525">
        <v>210.60302999999999</v>
      </c>
      <c r="E36" s="525">
        <v>324.51289000000003</v>
      </c>
      <c r="F36" s="525">
        <v>449.49525</v>
      </c>
      <c r="G36" s="525">
        <v>541.41480000000001</v>
      </c>
      <c r="H36" s="525">
        <v>469.71258999999998</v>
      </c>
      <c r="I36" s="525">
        <v>798.88264000000004</v>
      </c>
      <c r="J36" s="525">
        <v>1928.81888</v>
      </c>
      <c r="K36" s="525">
        <v>3198.1739299999999</v>
      </c>
      <c r="L36" s="525">
        <v>4337.1124600000003</v>
      </c>
      <c r="M36" s="525">
        <v>4703.9296999999997</v>
      </c>
      <c r="N36" s="525">
        <v>0</v>
      </c>
      <c r="O36" s="434"/>
    </row>
    <row r="37" spans="1:15" hidden="1" outlineLevel="1">
      <c r="A37" s="110"/>
      <c r="B37" s="406" t="str">
        <f>IF($C37="","",IFERROR('Comps'!B21,"DELETE"))</f>
        <v>Doordash, Inc.</v>
      </c>
      <c r="C37" s="13" t="str">
        <f>IF('Comps'!C21="","",'Comps'!C21)</f>
        <v>NASDAQGS:DASH</v>
      </c>
      <c r="D37" s="525">
        <v>0</v>
      </c>
      <c r="E37" s="525">
        <v>0</v>
      </c>
      <c r="F37" s="525">
        <v>0</v>
      </c>
      <c r="G37" s="525">
        <v>99.451549999999997</v>
      </c>
      <c r="H37" s="525">
        <v>525.89108999999996</v>
      </c>
      <c r="I37" s="525">
        <v>2067.2482799999998</v>
      </c>
      <c r="J37" s="525">
        <v>3529.5352400000002</v>
      </c>
      <c r="K37" s="525">
        <v>4135.2122399999998</v>
      </c>
      <c r="L37" s="525">
        <v>5496.2301600000001</v>
      </c>
      <c r="M37" s="525">
        <v>7231.8102500000005</v>
      </c>
      <c r="N37" s="525">
        <v>0</v>
      </c>
      <c r="O37" s="434"/>
    </row>
    <row r="38" spans="1:15" hidden="1" outlineLevel="1">
      <c r="A38" s="110"/>
      <c r="B38" s="406" t="str">
        <f>IF($C38="","",IFERROR('Comps'!B22,"DELETE"))</f>
        <v>Talabat Holding Plc</v>
      </c>
      <c r="C38" s="13" t="str">
        <f>IF('Comps'!C22="","",'Comps'!C22)</f>
        <v>DFM:TALABAT</v>
      </c>
      <c r="D38" s="525">
        <v>0</v>
      </c>
      <c r="E38" s="525">
        <v>0</v>
      </c>
      <c r="F38" s="525">
        <v>0</v>
      </c>
      <c r="G38" s="525">
        <v>0</v>
      </c>
      <c r="H38" s="525">
        <v>0</v>
      </c>
      <c r="I38" s="525">
        <v>0</v>
      </c>
      <c r="J38" s="525">
        <v>0</v>
      </c>
      <c r="K38" s="525">
        <v>673.43997000000002</v>
      </c>
      <c r="L38" s="525">
        <v>829.16184999999996</v>
      </c>
      <c r="M38" s="525">
        <v>1044.1476399999999</v>
      </c>
      <c r="N38" s="525">
        <v>0</v>
      </c>
      <c r="O38" s="434"/>
    </row>
    <row r="39" spans="1:15" hidden="1" outlineLevel="1">
      <c r="A39" s="110"/>
      <c r="B39" s="406" t="e">
        <f>IF($C39="","",IFERROR('Comps'!#REF!,"DELETE"))</f>
        <v>#REF!</v>
      </c>
      <c r="C39" s="13" t="e">
        <f>IF('Comps'!#REF!="","",'Comps'!#REF!)</f>
        <v>#REF!</v>
      </c>
      <c r="D39" s="525"/>
      <c r="E39" s="525"/>
      <c r="F39" s="525"/>
      <c r="G39" s="525"/>
      <c r="H39" s="525"/>
      <c r="I39" s="525"/>
      <c r="J39" s="525"/>
      <c r="K39" s="525"/>
      <c r="L39" s="525"/>
      <c r="M39" s="525"/>
      <c r="N39" s="525"/>
      <c r="O39" s="434"/>
    </row>
    <row r="40" spans="1:15" hidden="1" outlineLevel="1">
      <c r="A40" s="110"/>
      <c r="B40" s="406" t="e">
        <f>IF($C40="","",IFERROR('Comps'!#REF!,"DELETE"))</f>
        <v>#REF!</v>
      </c>
      <c r="C40" s="13" t="e">
        <f>IF('Comps'!#REF!="","",'Comps'!#REF!)</f>
        <v>#REF!</v>
      </c>
      <c r="D40" s="525"/>
      <c r="E40" s="525"/>
      <c r="F40" s="525"/>
      <c r="G40" s="525"/>
      <c r="H40" s="525"/>
      <c r="I40" s="525"/>
      <c r="J40" s="525"/>
      <c r="K40" s="525"/>
      <c r="L40" s="525"/>
      <c r="M40" s="525"/>
      <c r="N40" s="525"/>
      <c r="O40" s="434"/>
    </row>
    <row r="41" spans="1:15" hidden="1" outlineLevel="1">
      <c r="A41" s="110"/>
      <c r="B41" s="406" t="e">
        <f>IF($C41="","",IFERROR('Comps'!#REF!,"DELETE"))</f>
        <v>#REF!</v>
      </c>
      <c r="C41" s="13" t="e">
        <f>IF('Comps'!#REF!="","",'Comps'!#REF!)</f>
        <v>#REF!</v>
      </c>
      <c r="D41" s="525"/>
      <c r="E41" s="525"/>
      <c r="F41" s="525"/>
      <c r="G41" s="525"/>
      <c r="H41" s="525"/>
      <c r="I41" s="525"/>
      <c r="J41" s="525"/>
      <c r="K41" s="525"/>
      <c r="L41" s="525"/>
      <c r="M41" s="525"/>
      <c r="N41" s="525"/>
      <c r="O41" s="434"/>
    </row>
    <row r="42" spans="1:15" hidden="1" outlineLevel="1">
      <c r="A42" s="110"/>
      <c r="B42" s="406" t="e">
        <f>IF($C42="","",IFERROR('Comps'!#REF!,"DELETE"))</f>
        <v>#REF!</v>
      </c>
      <c r="C42" s="13" t="e">
        <f>IF('Comps'!#REF!="","",'Comps'!#REF!)</f>
        <v>#REF!</v>
      </c>
      <c r="D42" s="525"/>
      <c r="E42" s="525"/>
      <c r="F42" s="525"/>
      <c r="G42" s="525"/>
      <c r="H42" s="525"/>
      <c r="I42" s="525"/>
      <c r="J42" s="525"/>
      <c r="K42" s="525"/>
      <c r="L42" s="525"/>
      <c r="M42" s="525"/>
      <c r="N42" s="525"/>
      <c r="O42" s="434"/>
    </row>
    <row r="43" spans="1:15" hidden="1" outlineLevel="1">
      <c r="A43" s="110"/>
      <c r="B43" s="406" t="e">
        <f>IF($C43="","",IFERROR('Comps'!#REF!,"DELETE"))</f>
        <v>#REF!</v>
      </c>
      <c r="C43" s="13" t="e">
        <f>IF('Comps'!#REF!="","",'Comps'!#REF!)</f>
        <v>#REF!</v>
      </c>
      <c r="D43" s="525"/>
      <c r="E43" s="525"/>
      <c r="F43" s="525"/>
      <c r="G43" s="525"/>
      <c r="H43" s="525"/>
      <c r="I43" s="525"/>
      <c r="J43" s="525"/>
      <c r="K43" s="525"/>
      <c r="L43" s="525"/>
      <c r="M43" s="525"/>
      <c r="N43" s="525"/>
      <c r="O43" s="435"/>
    </row>
    <row r="44" spans="1:15" ht="4.3499999999999996" hidden="1" customHeight="1" outlineLevel="1" thickBot="1">
      <c r="A44" s="110"/>
      <c r="B44" s="338"/>
      <c r="C44" s="339"/>
      <c r="D44" s="341"/>
      <c r="E44" s="341"/>
      <c r="F44" s="341"/>
      <c r="G44" s="341"/>
      <c r="H44" s="341"/>
      <c r="I44" s="341"/>
      <c r="J44" s="341"/>
      <c r="K44" s="341"/>
      <c r="L44" s="341"/>
      <c r="M44" s="341"/>
      <c r="N44" s="341"/>
      <c r="O44" s="342"/>
    </row>
    <row r="45" spans="1:15" hidden="1" outlineLevel="1">
      <c r="B45" s="595" t="s">
        <v>1147</v>
      </c>
      <c r="D45" s="99"/>
      <c r="E45" s="99"/>
      <c r="F45" s="99"/>
      <c r="G45" s="99"/>
      <c r="H45" s="99"/>
      <c r="I45" s="99"/>
      <c r="J45" s="99"/>
      <c r="K45" s="99"/>
      <c r="L45" s="99"/>
      <c r="M45" s="99"/>
      <c r="N45" s="99"/>
      <c r="O45" s="98"/>
    </row>
    <row r="46" spans="1:15" hidden="1" outlineLevel="1">
      <c r="D46" s="99"/>
      <c r="E46" s="99"/>
      <c r="F46" s="99"/>
      <c r="G46" s="99"/>
      <c r="H46" s="99"/>
      <c r="I46" s="99"/>
      <c r="J46" s="99"/>
      <c r="K46" s="99"/>
      <c r="L46" s="99"/>
      <c r="M46" s="99"/>
      <c r="N46" s="99"/>
    </row>
    <row r="47" spans="1:15" ht="10.5" hidden="1" outlineLevel="1">
      <c r="B47" s="596" t="s">
        <v>827</v>
      </c>
      <c r="C47" s="596"/>
      <c r="D47" s="597"/>
      <c r="E47" s="597"/>
      <c r="F47" s="597"/>
      <c r="G47" s="597"/>
      <c r="H47" s="597"/>
      <c r="I47" s="597"/>
      <c r="J47" s="597"/>
      <c r="K47" s="597"/>
      <c r="L47" s="597"/>
      <c r="M47" s="597"/>
      <c r="N47" s="597"/>
    </row>
    <row r="48" spans="1:15" ht="10.5" hidden="1" outlineLevel="1">
      <c r="B48" s="401" t="str">
        <f>"("&amp;curr&amp;" "&amp;LEFT($L$2,1)&amp;")"</f>
        <v>(USD m)</v>
      </c>
      <c r="C48" s="402" t="s">
        <v>179</v>
      </c>
      <c r="D48" s="634" t="str">
        <f>D$8</f>
        <v>FY2015</v>
      </c>
      <c r="E48" s="634" t="str">
        <f t="shared" ref="E48:N48" si="2">E$8</f>
        <v>FY2016</v>
      </c>
      <c r="F48" s="634" t="str">
        <f t="shared" si="2"/>
        <v>FY2017</v>
      </c>
      <c r="G48" s="634" t="str">
        <f t="shared" si="2"/>
        <v>FY2018</v>
      </c>
      <c r="H48" s="634" t="str">
        <f t="shared" si="2"/>
        <v>FY2019</v>
      </c>
      <c r="I48" s="634" t="str">
        <f t="shared" si="2"/>
        <v>FY2020</v>
      </c>
      <c r="J48" s="634" t="str">
        <f t="shared" si="2"/>
        <v>FY2021</v>
      </c>
      <c r="K48" s="634" t="str">
        <f t="shared" si="2"/>
        <v>FY2022</v>
      </c>
      <c r="L48" s="634" t="str">
        <f t="shared" si="2"/>
        <v>FY2023</v>
      </c>
      <c r="M48" s="634" t="str">
        <f t="shared" si="2"/>
        <v>FY2024</v>
      </c>
      <c r="N48" s="634" t="str">
        <f t="shared" si="2"/>
        <v>FY2025</v>
      </c>
      <c r="O48" s="13"/>
    </row>
    <row r="49" spans="1:15" hidden="1" outlineLevel="1">
      <c r="A49" s="110"/>
      <c r="B49" s="406" t="str">
        <f>IF($C49="","",IFERROR('Comps'!B13,"DELETE"))</f>
        <v>Grab Holdings Limited</v>
      </c>
      <c r="C49" s="13" t="str">
        <f>IF('Comps'!C13="","",'Comps'!C13)</f>
        <v>NASDAQGS:GRAB</v>
      </c>
      <c r="D49" s="525">
        <v>0</v>
      </c>
      <c r="E49" s="525">
        <v>0</v>
      </c>
      <c r="F49" s="525">
        <v>0</v>
      </c>
      <c r="G49" s="525">
        <v>0</v>
      </c>
      <c r="H49" s="525">
        <v>-3139.2066599999998</v>
      </c>
      <c r="I49" s="525">
        <v>-1179.01884</v>
      </c>
      <c r="J49" s="525">
        <v>-1631.2978000000001</v>
      </c>
      <c r="K49" s="525">
        <v>-1625.1223199999999</v>
      </c>
      <c r="L49" s="525">
        <v>-430.30043999999998</v>
      </c>
      <c r="M49" s="525">
        <v>-12.28275</v>
      </c>
      <c r="N49" s="525">
        <v>0</v>
      </c>
      <c r="O49" s="434"/>
    </row>
    <row r="50" spans="1:15" hidden="1" outlineLevel="1">
      <c r="A50" s="110"/>
      <c r="B50" s="406" t="str">
        <f>IF($C50="","",IFERROR('Comps'!B14,"DELETE"))</f>
        <v>Pt Goto Gojek Tokopedia Tbk</v>
      </c>
      <c r="C50" s="13" t="str">
        <f>IF('Comps'!C14="","",'Comps'!C14)</f>
        <v>IDX: GOTO</v>
      </c>
      <c r="D50" s="525">
        <v>0</v>
      </c>
      <c r="E50" s="525">
        <v>0</v>
      </c>
      <c r="F50" s="525">
        <v>0</v>
      </c>
      <c r="G50" s="525">
        <v>-1111.7545500000001</v>
      </c>
      <c r="H50" s="525">
        <v>-2004.0954899999999</v>
      </c>
      <c r="I50" s="525">
        <v>-928.53197</v>
      </c>
      <c r="J50" s="525">
        <v>-2004.5797600000001</v>
      </c>
      <c r="K50" s="525">
        <v>-2506.41491</v>
      </c>
      <c r="L50" s="525">
        <v>-773.93444</v>
      </c>
      <c r="M50" s="525">
        <v>-168.57936000000001</v>
      </c>
      <c r="N50" s="525">
        <v>0</v>
      </c>
      <c r="O50" s="434"/>
    </row>
    <row r="51" spans="1:15" hidden="1" outlineLevel="1">
      <c r="A51" s="110"/>
      <c r="B51" s="406" t="str">
        <f>IF($C51="","",IFERROR('Comps'!B15,"DELETE"))</f>
        <v>Sea Limited</v>
      </c>
      <c r="C51" s="13" t="str">
        <f>IF('Comps'!C15="","",'Comps'!C15)</f>
        <v>NYSE: SE</v>
      </c>
      <c r="D51" s="525">
        <v>-73.876180000000005</v>
      </c>
      <c r="E51" s="525">
        <v>-231.63068999999999</v>
      </c>
      <c r="F51" s="525">
        <v>-615.45126000000005</v>
      </c>
      <c r="G51" s="525">
        <v>-1232.7550900000001</v>
      </c>
      <c r="H51" s="525">
        <v>-1035.1043</v>
      </c>
      <c r="I51" s="525">
        <v>-1483.77142</v>
      </c>
      <c r="J51" s="525">
        <v>-1758.06447</v>
      </c>
      <c r="K51" s="525">
        <v>-944.26176999999996</v>
      </c>
      <c r="L51" s="525">
        <v>1034.1703500000001</v>
      </c>
      <c r="M51" s="525">
        <v>1435.4781700000001</v>
      </c>
      <c r="N51" s="525">
        <v>0</v>
      </c>
      <c r="O51" s="434"/>
    </row>
    <row r="52" spans="1:15" hidden="1" outlineLevel="1">
      <c r="A52" s="110"/>
      <c r="B52" s="406" t="str">
        <f>IF($C52="","",IFERROR('Comps'!B16,"DELETE"))</f>
        <v>Uber Technologies, Inc.</v>
      </c>
      <c r="C52" s="13" t="str">
        <f>IF('Comps'!C16="","",'Comps'!C16)</f>
        <v>NYSE:UBER</v>
      </c>
      <c r="D52" s="525">
        <v>0</v>
      </c>
      <c r="E52" s="525">
        <v>-3923.9351999999999</v>
      </c>
      <c r="F52" s="525">
        <v>-4491.8084500000004</v>
      </c>
      <c r="G52" s="525">
        <v>-3299.6116999999999</v>
      </c>
      <c r="H52" s="525">
        <v>-10956.28854</v>
      </c>
      <c r="I52" s="525">
        <v>-5189.2690199999997</v>
      </c>
      <c r="J52" s="525">
        <v>-3952.8637600000002</v>
      </c>
      <c r="K52" s="525">
        <v>-1186.6611</v>
      </c>
      <c r="L52" s="525">
        <v>2551.4440199999999</v>
      </c>
      <c r="M52" s="525">
        <v>4825.7560000000003</v>
      </c>
      <c r="N52" s="525">
        <v>0</v>
      </c>
      <c r="O52" s="434"/>
    </row>
    <row r="53" spans="1:15" hidden="1" outlineLevel="1">
      <c r="A53" s="110"/>
      <c r="B53" s="406" t="str">
        <f>IF($C53="","",IFERROR('Comps'!B17,"DELETE"))</f>
        <v>Lyft, Inc.</v>
      </c>
      <c r="C53" s="13" t="str">
        <f>IF('Comps'!C17="","",'Comps'!C17)</f>
        <v>NASDAQGS:LYFT</v>
      </c>
      <c r="D53" s="525">
        <v>0</v>
      </c>
      <c r="E53" s="525">
        <v>-1000.2436</v>
      </c>
      <c r="F53" s="525">
        <v>-943.08064000000002</v>
      </c>
      <c r="G53" s="525">
        <v>-1302.8956800000001</v>
      </c>
      <c r="H53" s="525">
        <v>-3488.9726500000002</v>
      </c>
      <c r="I53" s="525">
        <v>-2115.9911900000002</v>
      </c>
      <c r="J53" s="525">
        <v>-1342.61202</v>
      </c>
      <c r="K53" s="525">
        <v>-1619.45048</v>
      </c>
      <c r="L53" s="525">
        <v>-359.47246000000001</v>
      </c>
      <c r="M53" s="525">
        <v>37.305439999999997</v>
      </c>
      <c r="N53" s="525">
        <v>0</v>
      </c>
      <c r="O53" s="434"/>
    </row>
    <row r="54" spans="1:15" hidden="1" outlineLevel="1">
      <c r="A54" s="110"/>
      <c r="B54" s="406" t="str">
        <f>IF($C54="","",IFERROR('Comps'!B18,"DELETE"))</f>
        <v>Didi Global Inc.</v>
      </c>
      <c r="C54" s="13" t="str">
        <f>IF('Comps'!C18="","",'Comps'!C18)</f>
        <v>OTCPK:DIDI.Y</v>
      </c>
      <c r="D54" s="525">
        <v>0</v>
      </c>
      <c r="E54" s="525">
        <v>0</v>
      </c>
      <c r="F54" s="525">
        <v>0</v>
      </c>
      <c r="G54" s="525">
        <v>-1913.0726199999999</v>
      </c>
      <c r="H54" s="525">
        <v>-772.98707000000002</v>
      </c>
      <c r="I54" s="525">
        <v>-1724.7134699999999</v>
      </c>
      <c r="J54" s="525">
        <v>-8405.6223800000007</v>
      </c>
      <c r="K54" s="525">
        <v>-2455.1397000000002</v>
      </c>
      <c r="L54" s="525">
        <v>255.93272999999999</v>
      </c>
      <c r="M54" s="525">
        <v>848.92514000000006</v>
      </c>
      <c r="N54" s="525">
        <v>0</v>
      </c>
      <c r="O54" s="434"/>
    </row>
    <row r="55" spans="1:15" hidden="1" outlineLevel="1">
      <c r="A55" s="110"/>
      <c r="B55" s="406" t="str">
        <f>IF($C55="","",IFERROR('Comps'!B19,"DELETE"))</f>
        <v>Meituan</v>
      </c>
      <c r="C55" s="13" t="str">
        <f>IF('Comps'!C19="","",'Comps'!C19)</f>
        <v>SEHK:3690</v>
      </c>
      <c r="D55" s="525">
        <v>-1809.1609599999999</v>
      </c>
      <c r="E55" s="525">
        <v>-1191.3862200000001</v>
      </c>
      <c r="F55" s="525">
        <v>-790.45902000000001</v>
      </c>
      <c r="G55" s="525">
        <v>-1437.67354</v>
      </c>
      <c r="H55" s="525">
        <v>630.01738999999998</v>
      </c>
      <c r="I55" s="525">
        <v>280.12369000000001</v>
      </c>
      <c r="J55" s="525">
        <v>-4125.3792299999996</v>
      </c>
      <c r="K55" s="525">
        <v>66.236410000000006</v>
      </c>
      <c r="L55" s="525">
        <v>2615.3806300000001</v>
      </c>
      <c r="M55" s="525">
        <v>7193.4673000000003</v>
      </c>
      <c r="N55" s="525">
        <v>0</v>
      </c>
      <c r="O55" s="434"/>
    </row>
    <row r="56" spans="1:15" hidden="1" outlineLevel="1">
      <c r="A56" s="110"/>
      <c r="B56" s="406" t="str">
        <f>IF($C56="","",IFERROR('Comps'!B20,"DELETE"))</f>
        <v>Delivery Hero Se</v>
      </c>
      <c r="C56" s="13" t="str">
        <f>IF('Comps'!C20="","",'Comps'!C20)</f>
        <v>XTRA:DHER</v>
      </c>
      <c r="D56" s="525">
        <v>-239.94862000000001</v>
      </c>
      <c r="E56" s="525">
        <v>-162.4853</v>
      </c>
      <c r="F56" s="525">
        <v>-301.53573</v>
      </c>
      <c r="G56" s="525">
        <v>-257.37090999999998</v>
      </c>
      <c r="H56" s="525">
        <v>-882.22046</v>
      </c>
      <c r="I56" s="525">
        <v>-1294.7687100000001</v>
      </c>
      <c r="J56" s="525">
        <v>-2204.9558299999999</v>
      </c>
      <c r="K56" s="525">
        <v>-1654.5441499999999</v>
      </c>
      <c r="L56" s="525">
        <v>-658.14626999999996</v>
      </c>
      <c r="M56" s="525">
        <v>-38.99689</v>
      </c>
      <c r="N56" s="525">
        <v>0</v>
      </c>
      <c r="O56" s="434"/>
    </row>
    <row r="57" spans="1:15" hidden="1" outlineLevel="1">
      <c r="A57" s="110"/>
      <c r="B57" s="406" t="str">
        <f>IF($C57="","",IFERROR('Comps'!B21,"DELETE"))</f>
        <v>Doordash, Inc.</v>
      </c>
      <c r="C57" s="13" t="str">
        <f>IF('Comps'!C21="","",'Comps'!C21)</f>
        <v>NASDAQGS:DASH</v>
      </c>
      <c r="D57" s="525">
        <v>0</v>
      </c>
      <c r="E57" s="525">
        <v>0</v>
      </c>
      <c r="F57" s="525">
        <v>0</v>
      </c>
      <c r="G57" s="525">
        <v>-277.9194</v>
      </c>
      <c r="H57" s="525">
        <v>-785.47415999999998</v>
      </c>
      <c r="I57" s="525">
        <v>-424.28816999999998</v>
      </c>
      <c r="J57" s="525">
        <v>-469.16663999999997</v>
      </c>
      <c r="K57" s="525">
        <v>-1002.9632800000001</v>
      </c>
      <c r="L57" s="525">
        <v>-425.02068000000003</v>
      </c>
      <c r="M57" s="525">
        <v>402.60124999999999</v>
      </c>
      <c r="N57" s="525">
        <v>0</v>
      </c>
      <c r="O57" s="434"/>
    </row>
    <row r="58" spans="1:15" hidden="1" outlineLevel="1">
      <c r="A58" s="110"/>
      <c r="B58" s="406" t="str">
        <f>IF($C58="","",IFERROR('Comps'!B22,"DELETE"))</f>
        <v>Talabat Holding Plc</v>
      </c>
      <c r="C58" s="13" t="str">
        <f>IF('Comps'!C22="","",'Comps'!C22)</f>
        <v>DFM:TALABAT</v>
      </c>
      <c r="D58" s="525">
        <v>0</v>
      </c>
      <c r="E58" s="525">
        <v>0</v>
      </c>
      <c r="F58" s="525">
        <v>0</v>
      </c>
      <c r="G58" s="525">
        <v>0</v>
      </c>
      <c r="H58" s="525">
        <v>0</v>
      </c>
      <c r="I58" s="525">
        <v>0</v>
      </c>
      <c r="J58" s="525">
        <v>0</v>
      </c>
      <c r="K58" s="525">
        <v>300.91577999999998</v>
      </c>
      <c r="L58" s="525">
        <v>418.69815999999997</v>
      </c>
      <c r="M58" s="525">
        <v>580.49730999999997</v>
      </c>
      <c r="N58" s="525">
        <v>0</v>
      </c>
      <c r="O58" s="434"/>
    </row>
    <row r="59" spans="1:15" hidden="1" outlineLevel="1">
      <c r="A59" s="110"/>
      <c r="B59" s="406" t="e">
        <f>IF($C59="","",IFERROR('Comps'!#REF!,"DELETE"))</f>
        <v>#REF!</v>
      </c>
      <c r="C59" s="13" t="e">
        <f>IF('Comps'!#REF!="","",'Comps'!#REF!)</f>
        <v>#REF!</v>
      </c>
      <c r="D59" s="525"/>
      <c r="E59" s="525"/>
      <c r="F59" s="525"/>
      <c r="G59" s="525"/>
      <c r="H59" s="525"/>
      <c r="I59" s="525"/>
      <c r="J59" s="525"/>
      <c r="K59" s="525"/>
      <c r="L59" s="525"/>
      <c r="M59" s="525"/>
      <c r="N59" s="525"/>
      <c r="O59" s="434"/>
    </row>
    <row r="60" spans="1:15" hidden="1" outlineLevel="1">
      <c r="A60" s="110"/>
      <c r="B60" s="406" t="e">
        <f>IF($C60="","",IFERROR('Comps'!#REF!,"DELETE"))</f>
        <v>#REF!</v>
      </c>
      <c r="C60" s="13" t="e">
        <f>IF('Comps'!#REF!="","",'Comps'!#REF!)</f>
        <v>#REF!</v>
      </c>
      <c r="D60" s="525"/>
      <c r="E60" s="525"/>
      <c r="F60" s="525"/>
      <c r="G60" s="525"/>
      <c r="H60" s="525"/>
      <c r="I60" s="525"/>
      <c r="J60" s="525"/>
      <c r="K60" s="525"/>
      <c r="L60" s="525"/>
      <c r="M60" s="525"/>
      <c r="N60" s="525"/>
      <c r="O60" s="434"/>
    </row>
    <row r="61" spans="1:15" hidden="1" outlineLevel="1">
      <c r="A61" s="110"/>
      <c r="B61" s="406" t="e">
        <f>IF($C61="","",IFERROR('Comps'!#REF!,"DELETE"))</f>
        <v>#REF!</v>
      </c>
      <c r="C61" s="13" t="e">
        <f>IF('Comps'!#REF!="","",'Comps'!#REF!)</f>
        <v>#REF!</v>
      </c>
      <c r="D61" s="525"/>
      <c r="E61" s="525"/>
      <c r="F61" s="525"/>
      <c r="G61" s="525"/>
      <c r="H61" s="525"/>
      <c r="I61" s="525"/>
      <c r="J61" s="525"/>
      <c r="K61" s="525"/>
      <c r="L61" s="525"/>
      <c r="M61" s="525"/>
      <c r="N61" s="525"/>
      <c r="O61" s="434"/>
    </row>
    <row r="62" spans="1:15" hidden="1" outlineLevel="1">
      <c r="A62" s="110"/>
      <c r="B62" s="406" t="e">
        <f>IF($C62="","",IFERROR('Comps'!#REF!,"DELETE"))</f>
        <v>#REF!</v>
      </c>
      <c r="C62" s="13" t="e">
        <f>IF('Comps'!#REF!="","",'Comps'!#REF!)</f>
        <v>#REF!</v>
      </c>
      <c r="D62" s="525"/>
      <c r="E62" s="525"/>
      <c r="F62" s="525"/>
      <c r="G62" s="525"/>
      <c r="H62" s="525"/>
      <c r="I62" s="525"/>
      <c r="J62" s="525"/>
      <c r="K62" s="525"/>
      <c r="L62" s="525"/>
      <c r="M62" s="525"/>
      <c r="N62" s="525"/>
      <c r="O62" s="434"/>
    </row>
    <row r="63" spans="1:15" hidden="1" outlineLevel="1">
      <c r="A63" s="110"/>
      <c r="B63" s="406" t="e">
        <f>IF($C63="","",IFERROR('Comps'!#REF!,"DELETE"))</f>
        <v>#REF!</v>
      </c>
      <c r="C63" s="13" t="e">
        <f>IF('Comps'!#REF!="","",'Comps'!#REF!)</f>
        <v>#REF!</v>
      </c>
      <c r="D63" s="525"/>
      <c r="E63" s="525"/>
      <c r="F63" s="525"/>
      <c r="G63" s="525"/>
      <c r="H63" s="525"/>
      <c r="I63" s="525"/>
      <c r="J63" s="525"/>
      <c r="K63" s="525"/>
      <c r="L63" s="525"/>
      <c r="M63" s="525"/>
      <c r="N63" s="525"/>
      <c r="O63" s="435"/>
    </row>
    <row r="64" spans="1:15" ht="4.3499999999999996" hidden="1" customHeight="1" outlineLevel="1" thickBot="1">
      <c r="A64" s="110"/>
      <c r="B64" s="338"/>
      <c r="C64" s="339"/>
      <c r="D64" s="341"/>
      <c r="E64" s="341"/>
      <c r="F64" s="341"/>
      <c r="G64" s="341"/>
      <c r="H64" s="341"/>
      <c r="I64" s="341"/>
      <c r="J64" s="341"/>
      <c r="K64" s="341"/>
      <c r="L64" s="341"/>
      <c r="M64" s="341"/>
      <c r="N64" s="341"/>
      <c r="O64" s="342"/>
    </row>
    <row r="65" spans="1:15" hidden="1" outlineLevel="1">
      <c r="B65" s="595" t="s">
        <v>1147</v>
      </c>
      <c r="D65" s="99"/>
      <c r="E65" s="99"/>
      <c r="F65" s="99"/>
      <c r="G65" s="99"/>
      <c r="H65" s="99"/>
      <c r="I65" s="99"/>
      <c r="J65" s="99"/>
      <c r="K65" s="99"/>
      <c r="L65" s="99"/>
      <c r="M65" s="99"/>
      <c r="N65" s="99"/>
      <c r="O65" s="98"/>
    </row>
    <row r="66" spans="1:15" hidden="1" outlineLevel="1">
      <c r="D66" s="99"/>
      <c r="E66" s="99"/>
      <c r="F66" s="99"/>
      <c r="G66" s="99"/>
      <c r="H66" s="99"/>
      <c r="I66" s="99"/>
      <c r="J66" s="99"/>
      <c r="K66" s="99"/>
      <c r="L66" s="99"/>
      <c r="M66" s="99"/>
      <c r="N66" s="99"/>
    </row>
    <row r="67" spans="1:15" ht="10.5" hidden="1" outlineLevel="1">
      <c r="B67" s="596" t="s">
        <v>823</v>
      </c>
      <c r="C67" s="596"/>
      <c r="D67" s="597"/>
      <c r="E67" s="597"/>
      <c r="F67" s="597"/>
      <c r="G67" s="597"/>
      <c r="H67" s="597"/>
      <c r="I67" s="597"/>
      <c r="J67" s="597"/>
      <c r="K67" s="597"/>
      <c r="L67" s="597"/>
      <c r="M67" s="597"/>
      <c r="N67" s="597"/>
    </row>
    <row r="68" spans="1:15" ht="10.5" hidden="1" outlineLevel="1">
      <c r="B68" s="401" t="str">
        <f>"("&amp;curr&amp;" "&amp;LEFT($L$2,1)&amp;")"</f>
        <v>(USD m)</v>
      </c>
      <c r="C68" s="402" t="s">
        <v>179</v>
      </c>
      <c r="D68" s="634" t="str">
        <f>D$8</f>
        <v>FY2015</v>
      </c>
      <c r="E68" s="634" t="str">
        <f t="shared" ref="E68:N68" si="3">E$8</f>
        <v>FY2016</v>
      </c>
      <c r="F68" s="634" t="str">
        <f t="shared" si="3"/>
        <v>FY2017</v>
      </c>
      <c r="G68" s="634" t="str">
        <f t="shared" si="3"/>
        <v>FY2018</v>
      </c>
      <c r="H68" s="634" t="str">
        <f t="shared" si="3"/>
        <v>FY2019</v>
      </c>
      <c r="I68" s="634" t="str">
        <f t="shared" si="3"/>
        <v>FY2020</v>
      </c>
      <c r="J68" s="634" t="str">
        <f t="shared" si="3"/>
        <v>FY2021</v>
      </c>
      <c r="K68" s="634" t="str">
        <f t="shared" si="3"/>
        <v>FY2022</v>
      </c>
      <c r="L68" s="634" t="str">
        <f t="shared" si="3"/>
        <v>FY2023</v>
      </c>
      <c r="M68" s="634" t="str">
        <f t="shared" si="3"/>
        <v>FY2024</v>
      </c>
      <c r="N68" s="634" t="str">
        <f t="shared" si="3"/>
        <v>FY2025</v>
      </c>
      <c r="O68" s="13"/>
    </row>
    <row r="69" spans="1:15" hidden="1" outlineLevel="1">
      <c r="A69" s="110"/>
      <c r="B69" s="406" t="str">
        <f>IF($C69="","",IFERROR('Comps'!B13,"DELETE"))</f>
        <v>Grab Holdings Limited</v>
      </c>
      <c r="C69" s="13" t="str">
        <f>IF('Comps'!C13="","",'Comps'!C13)</f>
        <v>NASDAQGS:GRAB</v>
      </c>
      <c r="D69" s="525">
        <v>0</v>
      </c>
      <c r="E69" s="525">
        <v>0</v>
      </c>
      <c r="F69" s="525">
        <v>0</v>
      </c>
      <c r="G69" s="525">
        <v>0</v>
      </c>
      <c r="H69" s="525">
        <v>-4009.4151900000002</v>
      </c>
      <c r="I69" s="525">
        <v>-1690.5438300000001</v>
      </c>
      <c r="J69" s="525">
        <v>-2096.4198999999999</v>
      </c>
      <c r="K69" s="525">
        <v>-1826.2513200000001</v>
      </c>
      <c r="L69" s="525">
        <v>-621.69173999999998</v>
      </c>
      <c r="M69" s="525">
        <v>-212.90100000000001</v>
      </c>
      <c r="N69" s="525">
        <v>0</v>
      </c>
      <c r="O69" s="434"/>
    </row>
    <row r="70" spans="1:15" hidden="1" outlineLevel="1">
      <c r="A70" s="110"/>
      <c r="B70" s="406" t="str">
        <f>IF($C70="","",IFERROR('Comps'!B14,"DELETE"))</f>
        <v>Pt Goto Gojek Tokopedia Tbk</v>
      </c>
      <c r="C70" s="13" t="str">
        <f>IF('Comps'!C14="","",'Comps'!C14)</f>
        <v>IDX: GOTO</v>
      </c>
      <c r="D70" s="525">
        <v>0</v>
      </c>
      <c r="E70" s="525">
        <v>0</v>
      </c>
      <c r="F70" s="525">
        <v>0</v>
      </c>
      <c r="G70" s="525">
        <v>-1127.6528900000001</v>
      </c>
      <c r="H70" s="525">
        <v>-2043.42156</v>
      </c>
      <c r="I70" s="525">
        <v>-964.84612000000004</v>
      </c>
      <c r="J70" s="525">
        <v>-2091.6682500000002</v>
      </c>
      <c r="K70" s="525">
        <v>-2618.8420599999999</v>
      </c>
      <c r="L70" s="525">
        <v>-880.21903999999995</v>
      </c>
      <c r="M70" s="525">
        <v>-189.97682</v>
      </c>
      <c r="N70" s="525">
        <v>0</v>
      </c>
      <c r="O70" s="434"/>
    </row>
    <row r="71" spans="1:15" hidden="1" outlineLevel="1">
      <c r="A71" s="110"/>
      <c r="B71" s="406" t="str">
        <f>IF($C71="","",IFERROR('Comps'!B15,"DELETE"))</f>
        <v>Sea Limited</v>
      </c>
      <c r="C71" s="13" t="str">
        <f>IF('Comps'!C15="","",'Comps'!C15)</f>
        <v>NYSE: SE</v>
      </c>
      <c r="D71" s="525">
        <v>-115.34428</v>
      </c>
      <c r="E71" s="525">
        <v>-288.79730000000001</v>
      </c>
      <c r="F71" s="525">
        <v>-670.14147000000003</v>
      </c>
      <c r="G71" s="525">
        <v>-1340.01019</v>
      </c>
      <c r="H71" s="525">
        <v>-1198.69813</v>
      </c>
      <c r="I71" s="525">
        <v>-1722.69589</v>
      </c>
      <c r="J71" s="525">
        <v>-2134.2498300000002</v>
      </c>
      <c r="K71" s="525">
        <v>-1518.6111100000001</v>
      </c>
      <c r="L71" s="525">
        <v>452.28140000000002</v>
      </c>
      <c r="M71" s="525">
        <v>903.67193999999995</v>
      </c>
      <c r="N71" s="525">
        <v>0</v>
      </c>
      <c r="O71" s="434"/>
    </row>
    <row r="72" spans="1:15" hidden="1" outlineLevel="1">
      <c r="A72" s="110"/>
      <c r="B72" s="406" t="str">
        <f>IF($C72="","",IFERROR('Comps'!B16,"DELETE"))</f>
        <v>Uber Technologies, Inc.</v>
      </c>
      <c r="C72" s="13" t="str">
        <f>IF('Comps'!C16="","",'Comps'!C16)</f>
        <v>NYSE:UBER</v>
      </c>
      <c r="D72" s="525">
        <v>0</v>
      </c>
      <c r="E72" s="525">
        <v>-4369.0814399999999</v>
      </c>
      <c r="F72" s="525">
        <v>-5154.6876499999998</v>
      </c>
      <c r="G72" s="525">
        <v>-3863.6246000000001</v>
      </c>
      <c r="H72" s="525">
        <v>-11561.53404</v>
      </c>
      <c r="I72" s="525">
        <v>-5949.2867699999997</v>
      </c>
      <c r="J72" s="525">
        <v>-5168.9221200000002</v>
      </c>
      <c r="K72" s="525">
        <v>-2456.45552</v>
      </c>
      <c r="L72" s="525">
        <v>1465.1333999999999</v>
      </c>
      <c r="M72" s="525">
        <v>3819.93525</v>
      </c>
      <c r="N72" s="525">
        <v>0</v>
      </c>
      <c r="O72" s="434"/>
    </row>
    <row r="73" spans="1:15" hidden="1" outlineLevel="1">
      <c r="A73" s="110"/>
      <c r="B73" s="406" t="str">
        <f>IF($C73="","",IFERROR('Comps'!B17,"DELETE"))</f>
        <v>Lyft, Inc.</v>
      </c>
      <c r="C73" s="13" t="str">
        <f>IF('Comps'!C17="","",'Comps'!C17)</f>
        <v>NASDAQGS:LYFT</v>
      </c>
      <c r="D73" s="525">
        <v>0</v>
      </c>
      <c r="E73" s="525">
        <v>-1001.00526</v>
      </c>
      <c r="F73" s="525">
        <v>-946.57011</v>
      </c>
      <c r="G73" s="525">
        <v>-1328.44247</v>
      </c>
      <c r="H73" s="525">
        <v>-3634.8085799999999</v>
      </c>
      <c r="I73" s="525">
        <v>-2323.9756699999998</v>
      </c>
      <c r="J73" s="525">
        <v>-1530.47686</v>
      </c>
      <c r="K73" s="525">
        <v>-1794.9556500000001</v>
      </c>
      <c r="L73" s="525">
        <v>-511.95589000000001</v>
      </c>
      <c r="M73" s="525">
        <v>-151.40946</v>
      </c>
      <c r="N73" s="525">
        <v>0</v>
      </c>
      <c r="O73" s="434"/>
    </row>
    <row r="74" spans="1:15" hidden="1" outlineLevel="1">
      <c r="A74" s="110"/>
      <c r="B74" s="406" t="str">
        <f>IF($C74="","",IFERROR('Comps'!B18,"DELETE"))</f>
        <v>Didi Global Inc.</v>
      </c>
      <c r="C74" s="13" t="str">
        <f>IF('Comps'!C18="","",'Comps'!C18)</f>
        <v>OTCPK:DIDI.Y</v>
      </c>
      <c r="D74" s="525">
        <v>0</v>
      </c>
      <c r="E74" s="525">
        <v>0</v>
      </c>
      <c r="F74" s="525">
        <v>0</v>
      </c>
      <c r="G74" s="525">
        <v>-2464.6436199999998</v>
      </c>
      <c r="H74" s="525">
        <v>-1547.9056</v>
      </c>
      <c r="I74" s="525">
        <v>-2791.4848699999998</v>
      </c>
      <c r="J74" s="525">
        <v>-9688.5820600000006</v>
      </c>
      <c r="K74" s="525">
        <v>-3441.29196</v>
      </c>
      <c r="L74" s="525">
        <v>-528.36635000000001</v>
      </c>
      <c r="M74" s="525">
        <v>363.18774000000002</v>
      </c>
      <c r="N74" s="525">
        <v>0</v>
      </c>
      <c r="O74" s="434"/>
    </row>
    <row r="75" spans="1:15" hidden="1" outlineLevel="1">
      <c r="A75" s="110"/>
      <c r="B75" s="406" t="str">
        <f>IF($C75="","",IFERROR('Comps'!B19,"DELETE"))</f>
        <v>Meituan</v>
      </c>
      <c r="C75" s="13" t="str">
        <f>IF('Comps'!C19="","",'Comps'!C19)</f>
        <v>SEHK:3690</v>
      </c>
      <c r="D75" s="525">
        <v>-1845.8797300000001</v>
      </c>
      <c r="E75" s="525">
        <v>-1303.5724600000001</v>
      </c>
      <c r="F75" s="525">
        <v>-914.68600000000004</v>
      </c>
      <c r="G75" s="525">
        <v>-2411.35851</v>
      </c>
      <c r="H75" s="525">
        <v>-16.453230000000001</v>
      </c>
      <c r="I75" s="525">
        <v>-508.72617000000002</v>
      </c>
      <c r="J75" s="525">
        <v>-5505.9793499999996</v>
      </c>
      <c r="K75" s="525">
        <v>-1283.8104599999999</v>
      </c>
      <c r="L75" s="525">
        <v>1674.81918</v>
      </c>
      <c r="M75" s="525">
        <v>6199.8172599999998</v>
      </c>
      <c r="N75" s="525">
        <v>0</v>
      </c>
      <c r="O75" s="434"/>
    </row>
    <row r="76" spans="1:15" hidden="1" outlineLevel="1">
      <c r="A76" s="110"/>
      <c r="B76" s="406" t="str">
        <f>IF($C76="","",IFERROR('Comps'!B20,"DELETE"))</f>
        <v>Delivery Hero Se</v>
      </c>
      <c r="C76" s="13" t="str">
        <f>IF('Comps'!C20="","",'Comps'!C20)</f>
        <v>XTRA:DHER</v>
      </c>
      <c r="D76" s="525">
        <v>-292.29539999999997</v>
      </c>
      <c r="E76" s="525">
        <v>-225.95373000000001</v>
      </c>
      <c r="F76" s="525">
        <v>-374.23167999999998</v>
      </c>
      <c r="G76" s="525">
        <v>-329.90271000000001</v>
      </c>
      <c r="H76" s="525">
        <v>-965.53709000000003</v>
      </c>
      <c r="I76" s="525">
        <v>-1447.39878</v>
      </c>
      <c r="J76" s="525">
        <v>-2542.8824399999999</v>
      </c>
      <c r="K76" s="525">
        <v>-2059.2239199999999</v>
      </c>
      <c r="L76" s="525">
        <v>-1032.0830699999999</v>
      </c>
      <c r="M76" s="525">
        <v>-373.72023999999999</v>
      </c>
      <c r="N76" s="525">
        <v>0</v>
      </c>
      <c r="O76" s="434"/>
    </row>
    <row r="77" spans="1:15" hidden="1" outlineLevel="1">
      <c r="A77" s="110"/>
      <c r="B77" s="406" t="str">
        <f>IF($C77="","",IFERROR('Comps'!B21,"DELETE"))</f>
        <v>Doordash, Inc.</v>
      </c>
      <c r="C77" s="13" t="str">
        <f>IF('Comps'!C21="","",'Comps'!C21)</f>
        <v>NASDAQGS:DASH</v>
      </c>
      <c r="D77" s="525">
        <v>0</v>
      </c>
      <c r="E77" s="525">
        <v>0</v>
      </c>
      <c r="F77" s="525">
        <v>0</v>
      </c>
      <c r="G77" s="525">
        <v>-286.09350000000001</v>
      </c>
      <c r="H77" s="525">
        <v>-821.78889000000004</v>
      </c>
      <c r="I77" s="525">
        <v>-560.43047999999999</v>
      </c>
      <c r="J77" s="525">
        <v>-594.54737999999998</v>
      </c>
      <c r="K77" s="525">
        <v>-1287.2256</v>
      </c>
      <c r="L77" s="525">
        <v>-758.96550000000002</v>
      </c>
      <c r="M77" s="525">
        <v>70.966999999999999</v>
      </c>
      <c r="N77" s="525">
        <v>0</v>
      </c>
      <c r="O77" s="434"/>
    </row>
    <row r="78" spans="1:15" hidden="1" outlineLevel="1">
      <c r="A78" s="110"/>
      <c r="B78" s="406" t="str">
        <f>IF($C78="","",IFERROR('Comps'!B22,"DELETE"))</f>
        <v>Talabat Holding Plc</v>
      </c>
      <c r="C78" s="13" t="str">
        <f>IF('Comps'!C22="","",'Comps'!C22)</f>
        <v>DFM:TALABAT</v>
      </c>
      <c r="D78" s="525">
        <v>0</v>
      </c>
      <c r="E78" s="525">
        <v>0</v>
      </c>
      <c r="F78" s="525">
        <v>0</v>
      </c>
      <c r="G78" s="525">
        <v>0</v>
      </c>
      <c r="H78" s="525">
        <v>0</v>
      </c>
      <c r="I78" s="525">
        <v>0</v>
      </c>
      <c r="J78" s="525">
        <v>0</v>
      </c>
      <c r="K78" s="525">
        <v>276.98374000000001</v>
      </c>
      <c r="L78" s="525">
        <v>392.01279</v>
      </c>
      <c r="M78" s="525">
        <v>534.82288000000005</v>
      </c>
      <c r="N78" s="525">
        <v>0</v>
      </c>
      <c r="O78" s="434"/>
    </row>
    <row r="79" spans="1:15" hidden="1" outlineLevel="1">
      <c r="A79" s="110"/>
      <c r="B79" s="406" t="e">
        <f>IF($C79="","",IFERROR('Comps'!#REF!,"DELETE"))</f>
        <v>#REF!</v>
      </c>
      <c r="C79" s="13" t="e">
        <f>IF('Comps'!#REF!="","",'Comps'!#REF!)</f>
        <v>#REF!</v>
      </c>
      <c r="D79" s="525"/>
      <c r="E79" s="525"/>
      <c r="F79" s="525"/>
      <c r="G79" s="525"/>
      <c r="H79" s="525"/>
      <c r="I79" s="525"/>
      <c r="J79" s="525"/>
      <c r="K79" s="525"/>
      <c r="L79" s="525"/>
      <c r="M79" s="525"/>
      <c r="N79" s="525"/>
      <c r="O79" s="434"/>
    </row>
    <row r="80" spans="1:15" hidden="1" outlineLevel="1">
      <c r="A80" s="110"/>
      <c r="B80" s="406" t="e">
        <f>IF($C80="","",IFERROR('Comps'!#REF!,"DELETE"))</f>
        <v>#REF!</v>
      </c>
      <c r="C80" s="13" t="e">
        <f>IF('Comps'!#REF!="","",'Comps'!#REF!)</f>
        <v>#REF!</v>
      </c>
      <c r="D80" s="525"/>
      <c r="E80" s="525"/>
      <c r="F80" s="525"/>
      <c r="G80" s="525"/>
      <c r="H80" s="525"/>
      <c r="I80" s="525"/>
      <c r="J80" s="525"/>
      <c r="K80" s="525"/>
      <c r="L80" s="525"/>
      <c r="M80" s="525"/>
      <c r="N80" s="525"/>
      <c r="O80" s="434"/>
    </row>
    <row r="81" spans="1:15" hidden="1" outlineLevel="1">
      <c r="A81" s="110"/>
      <c r="B81" s="406" t="e">
        <f>IF($C81="","",IFERROR('Comps'!#REF!,"DELETE"))</f>
        <v>#REF!</v>
      </c>
      <c r="C81" s="13" t="e">
        <f>IF('Comps'!#REF!="","",'Comps'!#REF!)</f>
        <v>#REF!</v>
      </c>
      <c r="D81" s="525"/>
      <c r="E81" s="525"/>
      <c r="F81" s="525"/>
      <c r="G81" s="525"/>
      <c r="H81" s="525"/>
      <c r="I81" s="525"/>
      <c r="J81" s="525"/>
      <c r="K81" s="525"/>
      <c r="L81" s="525"/>
      <c r="M81" s="525"/>
      <c r="N81" s="525"/>
      <c r="O81" s="434"/>
    </row>
    <row r="82" spans="1:15" hidden="1" outlineLevel="1">
      <c r="A82" s="110"/>
      <c r="B82" s="406" t="e">
        <f>IF($C82="","",IFERROR('Comps'!#REF!,"DELETE"))</f>
        <v>#REF!</v>
      </c>
      <c r="C82" s="13" t="e">
        <f>IF('Comps'!#REF!="","",'Comps'!#REF!)</f>
        <v>#REF!</v>
      </c>
      <c r="D82" s="525"/>
      <c r="E82" s="525"/>
      <c r="F82" s="525"/>
      <c r="G82" s="525"/>
      <c r="H82" s="525"/>
      <c r="I82" s="525"/>
      <c r="J82" s="525"/>
      <c r="K82" s="525"/>
      <c r="L82" s="525"/>
      <c r="M82" s="525"/>
      <c r="N82" s="525"/>
      <c r="O82" s="434"/>
    </row>
    <row r="83" spans="1:15" hidden="1" outlineLevel="1">
      <c r="A83" s="110"/>
      <c r="B83" s="406" t="e">
        <f>IF($C83="","",IFERROR('Comps'!#REF!,"DELETE"))</f>
        <v>#REF!</v>
      </c>
      <c r="C83" s="13" t="e">
        <f>IF('Comps'!#REF!="","",'Comps'!#REF!)</f>
        <v>#REF!</v>
      </c>
      <c r="D83" s="525"/>
      <c r="E83" s="525"/>
      <c r="F83" s="525"/>
      <c r="G83" s="525"/>
      <c r="H83" s="525"/>
      <c r="I83" s="525"/>
      <c r="J83" s="525"/>
      <c r="K83" s="525"/>
      <c r="L83" s="525"/>
      <c r="M83" s="525"/>
      <c r="N83" s="525"/>
      <c r="O83" s="435"/>
    </row>
    <row r="84" spans="1:15" ht="4.3499999999999996" hidden="1" customHeight="1" outlineLevel="1" thickBot="1">
      <c r="A84" s="110"/>
      <c r="B84" s="338"/>
      <c r="C84" s="339"/>
      <c r="D84" s="341"/>
      <c r="E84" s="341"/>
      <c r="F84" s="341"/>
      <c r="G84" s="341"/>
      <c r="H84" s="341"/>
      <c r="I84" s="341"/>
      <c r="J84" s="341"/>
      <c r="K84" s="341"/>
      <c r="L84" s="341"/>
      <c r="M84" s="341"/>
      <c r="N84" s="341"/>
      <c r="O84" s="342"/>
    </row>
    <row r="85" spans="1:15" hidden="1" outlineLevel="1">
      <c r="B85" s="595" t="s">
        <v>1147</v>
      </c>
      <c r="D85" s="99"/>
      <c r="E85" s="99"/>
      <c r="F85" s="99"/>
      <c r="G85" s="99"/>
      <c r="H85" s="99"/>
      <c r="I85" s="99"/>
      <c r="J85" s="99"/>
      <c r="K85" s="99"/>
      <c r="L85" s="99"/>
      <c r="M85" s="99"/>
      <c r="N85" s="99"/>
      <c r="O85" s="98"/>
    </row>
    <row r="86" spans="1:15" ht="18.95" hidden="1" outlineLevel="1">
      <c r="B86" s="17"/>
      <c r="D86" s="99"/>
      <c r="E86" s="99"/>
      <c r="F86" s="99"/>
      <c r="G86" s="99"/>
      <c r="H86" s="99"/>
      <c r="I86" s="99"/>
      <c r="J86" s="99"/>
      <c r="K86" s="99"/>
      <c r="L86" s="99"/>
      <c r="M86" s="99"/>
      <c r="N86" s="99"/>
    </row>
    <row r="87" spans="1:15" ht="10.5" hidden="1" outlineLevel="1">
      <c r="B87" s="596" t="s">
        <v>1148</v>
      </c>
      <c r="C87" s="596"/>
      <c r="D87" s="597"/>
      <c r="E87" s="597"/>
      <c r="F87" s="597"/>
      <c r="G87" s="597"/>
      <c r="H87" s="597"/>
      <c r="I87" s="597"/>
      <c r="J87" s="597"/>
      <c r="K87" s="597"/>
      <c r="L87" s="597"/>
      <c r="M87" s="597"/>
      <c r="N87" s="597"/>
      <c r="O87" s="596"/>
    </row>
    <row r="88" spans="1:15" ht="10.5" hidden="1" outlineLevel="1">
      <c r="B88" s="401" t="s">
        <v>777</v>
      </c>
      <c r="C88" s="402" t="s">
        <v>179</v>
      </c>
      <c r="D88" s="634" t="str">
        <f>D$8</f>
        <v>FY2015</v>
      </c>
      <c r="E88" s="634" t="str">
        <f t="shared" ref="E88:N88" si="4">E$8</f>
        <v>FY2016</v>
      </c>
      <c r="F88" s="634" t="str">
        <f t="shared" si="4"/>
        <v>FY2017</v>
      </c>
      <c r="G88" s="634" t="str">
        <f t="shared" si="4"/>
        <v>FY2018</v>
      </c>
      <c r="H88" s="634" t="str">
        <f t="shared" si="4"/>
        <v>FY2019</v>
      </c>
      <c r="I88" s="634" t="str">
        <f t="shared" si="4"/>
        <v>FY2020</v>
      </c>
      <c r="J88" s="634" t="str">
        <f t="shared" si="4"/>
        <v>FY2021</v>
      </c>
      <c r="K88" s="634" t="str">
        <f t="shared" si="4"/>
        <v>FY2022</v>
      </c>
      <c r="L88" s="634" t="str">
        <f t="shared" si="4"/>
        <v>FY2023</v>
      </c>
      <c r="M88" s="634" t="str">
        <f t="shared" si="4"/>
        <v>FY2024</v>
      </c>
      <c r="N88" s="634" t="str">
        <f t="shared" si="4"/>
        <v>FY2025</v>
      </c>
      <c r="O88" s="433" t="s">
        <v>1149</v>
      </c>
    </row>
    <row r="89" spans="1:15" hidden="1" outlineLevel="1">
      <c r="A89" s="110"/>
      <c r="B89" s="569" t="str">
        <f>IF($C89="","",IFERROR('Comps'!B13,"DELETE"))</f>
        <v>Grab Holdings Limited</v>
      </c>
      <c r="C89" s="570" t="str">
        <f>IF('Comps'!C13="","",'Comps'!C13)</f>
        <v>NASDAQGS:GRAB</v>
      </c>
      <c r="D89" s="571">
        <v>0</v>
      </c>
      <c r="E89" s="571">
        <v>0</v>
      </c>
      <c r="F89" s="571">
        <v>0</v>
      </c>
      <c r="G89" s="571">
        <v>0</v>
      </c>
      <c r="H89" s="571">
        <v>0</v>
      </c>
      <c r="I89" s="571">
        <v>-0.57312300000000005</v>
      </c>
      <c r="J89" s="571">
        <v>-0.46239400000000003</v>
      </c>
      <c r="K89" s="571">
        <v>-0.184782</v>
      </c>
      <c r="L89" s="571">
        <v>-5.6794999999999998E-2</v>
      </c>
      <c r="M89" s="571">
        <v>-1.5025E-2</v>
      </c>
      <c r="N89" s="571">
        <v>0</v>
      </c>
      <c r="O89" s="524">
        <f>IF($C89="","",IFERROR(AVERAGE(I89:M89),"NA"))</f>
        <v>-0.25842379999999998</v>
      </c>
    </row>
    <row r="90" spans="1:15" hidden="1" outlineLevel="1">
      <c r="A90" s="110"/>
      <c r="B90" s="569" t="str">
        <f>IF($C90="","",IFERROR('Comps'!B14,"DELETE"))</f>
        <v>Pt Goto Gojek Tokopedia Tbk</v>
      </c>
      <c r="C90" s="570" t="str">
        <f>IF('Comps'!C14="","",'Comps'!C14)</f>
        <v>IDX: GOTO</v>
      </c>
      <c r="D90" s="571">
        <v>0</v>
      </c>
      <c r="E90" s="571">
        <v>0</v>
      </c>
      <c r="F90" s="571">
        <v>0</v>
      </c>
      <c r="G90" s="571">
        <v>0</v>
      </c>
      <c r="H90" s="571">
        <v>-1.4079060000000001</v>
      </c>
      <c r="I90" s="571">
        <v>-0.72153900000000004</v>
      </c>
      <c r="J90" s="571">
        <v>-0.25947900000000002</v>
      </c>
      <c r="K90" s="571">
        <v>-0.29688900000000001</v>
      </c>
      <c r="L90" s="571">
        <v>-1.0942430000000001</v>
      </c>
      <c r="M90" s="571">
        <v>-0.13695599999999999</v>
      </c>
      <c r="N90" s="571">
        <v>0</v>
      </c>
      <c r="O90" s="524">
        <f t="shared" ref="O90:O103" si="5">IF($C90="","",IFERROR(AVERAGE(I90:M90),"NA"))</f>
        <v>-0.50182120000000008</v>
      </c>
    </row>
    <row r="91" spans="1:15" hidden="1" outlineLevel="1">
      <c r="A91" s="110"/>
      <c r="B91" s="569" t="str">
        <f>IF($C91="","",IFERROR('Comps'!B15,"DELETE"))</f>
        <v>Sea Limited</v>
      </c>
      <c r="C91" s="570" t="str">
        <f>IF('Comps'!C15="","",'Comps'!C15)</f>
        <v>NYSE: SE</v>
      </c>
      <c r="D91" s="571">
        <v>-3.085137</v>
      </c>
      <c r="E91" s="571">
        <v>-2.6935660000000001</v>
      </c>
      <c r="F91" s="571">
        <v>-0.87209400000000004</v>
      </c>
      <c r="G91" s="571">
        <v>-0.94782100000000002</v>
      </c>
      <c r="H91" s="571">
        <v>-0.81450100000000003</v>
      </c>
      <c r="I91" s="571">
        <v>-0.39079599999999998</v>
      </c>
      <c r="J91" s="571">
        <v>-0.23799999999999999</v>
      </c>
      <c r="K91" s="571">
        <v>-0.150146</v>
      </c>
      <c r="L91" s="571">
        <v>1.4038999999999999E-2</v>
      </c>
      <c r="M91" s="571">
        <v>3.7398000000000001E-2</v>
      </c>
      <c r="N91" s="571">
        <v>0</v>
      </c>
      <c r="O91" s="524">
        <f t="shared" si="5"/>
        <v>-0.14550099999999996</v>
      </c>
    </row>
    <row r="92" spans="1:15" hidden="1" outlineLevel="1">
      <c r="A92" s="110"/>
      <c r="B92" s="569" t="str">
        <f>IF($C92="","",IFERROR('Comps'!B16,"DELETE"))</f>
        <v>Uber Technologies, Inc.</v>
      </c>
      <c r="C92" s="570" t="str">
        <f>IF('Comps'!C16="","",'Comps'!C16)</f>
        <v>NYSE:UBER</v>
      </c>
      <c r="D92" s="571">
        <v>0</v>
      </c>
      <c r="E92" s="571">
        <v>0</v>
      </c>
      <c r="F92" s="571">
        <v>-0.474638</v>
      </c>
      <c r="G92" s="571">
        <v>9.3285999999999994E-2</v>
      </c>
      <c r="H92" s="571">
        <v>-0.45758199999999999</v>
      </c>
      <c r="I92" s="571">
        <v>-0.28829399999999999</v>
      </c>
      <c r="J92" s="571">
        <v>-1.9465E-2</v>
      </c>
      <c r="K92" s="571">
        <v>-0.38754300000000003</v>
      </c>
      <c r="L92" s="571">
        <v>8.4609000000000004E-2</v>
      </c>
      <c r="M92" s="571">
        <v>0.33813599999999999</v>
      </c>
      <c r="N92" s="571">
        <v>0</v>
      </c>
      <c r="O92" s="524">
        <f t="shared" si="5"/>
        <v>-5.4511400000000008E-2</v>
      </c>
    </row>
    <row r="93" spans="1:15" hidden="1" outlineLevel="1">
      <c r="A93" s="110"/>
      <c r="B93" s="569" t="str">
        <f>IF($C93="","",IFERROR('Comps'!B17,"DELETE"))</f>
        <v>Lyft, Inc.</v>
      </c>
      <c r="C93" s="570" t="str">
        <f>IF('Comps'!C17="","",'Comps'!C17)</f>
        <v>NASDAQGS:LYFT</v>
      </c>
      <c r="D93" s="571">
        <v>0</v>
      </c>
      <c r="E93" s="571">
        <v>0</v>
      </c>
      <c r="F93" s="571">
        <v>-0.42492200000000002</v>
      </c>
      <c r="G93" s="571">
        <v>-0.39749600000000002</v>
      </c>
      <c r="H93" s="571">
        <v>-0.92752800000000002</v>
      </c>
      <c r="I93" s="571">
        <v>-0.58147499999999996</v>
      </c>
      <c r="J93" s="571">
        <v>-0.42122700000000002</v>
      </c>
      <c r="K93" s="571">
        <v>-0.82747700000000002</v>
      </c>
      <c r="L93" s="571">
        <v>-0.215723</v>
      </c>
      <c r="M93" s="571">
        <v>1.2333E-2</v>
      </c>
      <c r="N93" s="571">
        <v>0</v>
      </c>
      <c r="O93" s="524">
        <f t="shared" si="5"/>
        <v>-0.40671380000000001</v>
      </c>
    </row>
    <row r="94" spans="1:15" hidden="1" outlineLevel="1">
      <c r="A94" s="110"/>
      <c r="B94" s="569" t="str">
        <f>IF($C94="","",IFERROR('Comps'!B18,"DELETE"))</f>
        <v>Didi Global Inc.</v>
      </c>
      <c r="C94" s="570" t="str">
        <f>IF('Comps'!C18="","",'Comps'!C18)</f>
        <v>OTCPK:DIDI.Y</v>
      </c>
      <c r="D94" s="571">
        <v>0</v>
      </c>
      <c r="E94" s="571">
        <v>0</v>
      </c>
      <c r="F94" s="571">
        <v>0</v>
      </c>
      <c r="G94" s="571">
        <v>0</v>
      </c>
      <c r="H94" s="571">
        <v>-7.4695999999999999E-2</v>
      </c>
      <c r="I94" s="571">
        <v>-8.208E-2</v>
      </c>
      <c r="J94" s="571">
        <v>-0.37750699999999998</v>
      </c>
      <c r="K94" s="571">
        <v>-9.6107999999999999E-2</v>
      </c>
      <c r="L94" s="571">
        <v>-4.3971000000000003E-2</v>
      </c>
      <c r="M94" s="571">
        <v>1.1405999999999999E-2</v>
      </c>
      <c r="N94" s="571">
        <v>0</v>
      </c>
      <c r="O94" s="524">
        <f t="shared" si="5"/>
        <v>-0.11765199999999998</v>
      </c>
    </row>
    <row r="95" spans="1:15" hidden="1" outlineLevel="1">
      <c r="A95" s="110"/>
      <c r="B95" s="569" t="str">
        <f>IF($C95="","",IFERROR('Comps'!B19,"DELETE"))</f>
        <v>Meituan</v>
      </c>
      <c r="C95" s="570" t="str">
        <f>IF('Comps'!C19="","",'Comps'!C19)</f>
        <v>SEHK:3690</v>
      </c>
      <c r="D95" s="571">
        <v>0</v>
      </c>
      <c r="E95" s="571">
        <v>-0.16467899999999999</v>
      </c>
      <c r="F95" s="571">
        <v>-0.381415</v>
      </c>
      <c r="G95" s="571">
        <v>-1.5411459999999999</v>
      </c>
      <c r="H95" s="571">
        <v>2.4022999999999999E-2</v>
      </c>
      <c r="I95" s="571">
        <v>4.2941E-2</v>
      </c>
      <c r="J95" s="571">
        <v>-0.15376100000000001</v>
      </c>
      <c r="K95" s="571">
        <v>-3.6017E-2</v>
      </c>
      <c r="L95" s="571">
        <v>6.9388000000000005E-2</v>
      </c>
      <c r="M95" s="571">
        <v>0.16032099999999999</v>
      </c>
      <c r="N95" s="571">
        <v>0</v>
      </c>
      <c r="O95" s="524">
        <f t="shared" si="5"/>
        <v>1.65744E-2</v>
      </c>
    </row>
    <row r="96" spans="1:15" hidden="1" outlineLevel="1">
      <c r="A96" s="110"/>
      <c r="B96" s="569" t="str">
        <f>IF($C96="","",IFERROR('Comps'!B20,"DELETE"))</f>
        <v>Delivery Hero Se</v>
      </c>
      <c r="C96" s="570" t="str">
        <f>IF('Comps'!C20="","",'Comps'!C20)</f>
        <v>XTRA:DHER</v>
      </c>
      <c r="D96" s="571">
        <v>-0.47262300000000002</v>
      </c>
      <c r="E96" s="571">
        <v>-0.21113199999999999</v>
      </c>
      <c r="F96" s="571">
        <v>-0.25243199999999999</v>
      </c>
      <c r="G96" s="571">
        <v>-2.2859999999999998E-2</v>
      </c>
      <c r="H96" s="571">
        <v>0.12833</v>
      </c>
      <c r="I96" s="571">
        <v>-0.44868599999999997</v>
      </c>
      <c r="J96" s="571">
        <v>-0.157752</v>
      </c>
      <c r="K96" s="571">
        <v>-0.30982300000000002</v>
      </c>
      <c r="L96" s="571">
        <v>-0.27432000000000001</v>
      </c>
      <c r="M96" s="571">
        <v>-0.112607</v>
      </c>
      <c r="N96" s="571">
        <v>0</v>
      </c>
      <c r="O96" s="524">
        <f t="shared" si="5"/>
        <v>-0.26063759999999997</v>
      </c>
    </row>
    <row r="97" spans="1:15" hidden="1" outlineLevel="1">
      <c r="A97" s="110"/>
      <c r="B97" s="406" t="str">
        <f>IF($C97="","",IFERROR('Comps'!B21,"DELETE"))</f>
        <v>Doordash, Inc.</v>
      </c>
      <c r="C97" s="13" t="str">
        <f>IF('Comps'!C21="","",'Comps'!C21)</f>
        <v>NASDAQGS:DASH</v>
      </c>
      <c r="D97" s="526">
        <v>0</v>
      </c>
      <c r="E97" s="526">
        <v>0</v>
      </c>
      <c r="F97" s="526">
        <v>0</v>
      </c>
      <c r="G97" s="526">
        <v>0</v>
      </c>
      <c r="H97" s="526">
        <v>-0.69660500000000003</v>
      </c>
      <c r="I97" s="526">
        <v>-0.137961</v>
      </c>
      <c r="J97" s="526">
        <v>-9.0147000000000005E-2</v>
      </c>
      <c r="K97" s="526">
        <v>-0.22114200000000001</v>
      </c>
      <c r="L97" s="526">
        <v>-7.6365000000000002E-2</v>
      </c>
      <c r="M97" s="526">
        <v>1.5687E-2</v>
      </c>
      <c r="N97" s="526">
        <v>0</v>
      </c>
      <c r="O97" s="524">
        <f t="shared" si="5"/>
        <v>-0.10198560000000001</v>
      </c>
    </row>
    <row r="98" spans="1:15" hidden="1" outlineLevel="1">
      <c r="A98" s="110"/>
      <c r="B98" s="406" t="str">
        <f>IF($C98="","",IFERROR('Comps'!B22,"DELETE"))</f>
        <v>Talabat Holding Plc</v>
      </c>
      <c r="C98" s="13" t="str">
        <f>IF('Comps'!C22="","",'Comps'!C22)</f>
        <v>DFM:TALABAT</v>
      </c>
      <c r="D98" s="526">
        <v>0</v>
      </c>
      <c r="E98" s="526">
        <v>0</v>
      </c>
      <c r="F98" s="526">
        <v>0</v>
      </c>
      <c r="G98" s="526">
        <v>0</v>
      </c>
      <c r="H98" s="526">
        <v>0</v>
      </c>
      <c r="I98" s="526">
        <v>0</v>
      </c>
      <c r="J98" s="526">
        <v>0</v>
      </c>
      <c r="K98" s="526">
        <v>0</v>
      </c>
      <c r="L98" s="526">
        <v>9.0200000000000002E-3</v>
      </c>
      <c r="M98" s="526">
        <v>0.71818000000000004</v>
      </c>
      <c r="N98" s="526">
        <v>0</v>
      </c>
      <c r="O98" s="524">
        <f t="shared" si="5"/>
        <v>0.14544000000000001</v>
      </c>
    </row>
    <row r="99" spans="1:15" hidden="1" outlineLevel="1">
      <c r="A99" s="110"/>
      <c r="B99" s="406" t="e">
        <f>IF($C99="","",IFERROR('Comps'!#REF!,"DELETE"))</f>
        <v>#REF!</v>
      </c>
      <c r="C99" s="13" t="e">
        <f>IF('Comps'!#REF!="","",'Comps'!#REF!)</f>
        <v>#REF!</v>
      </c>
      <c r="D99" s="526"/>
      <c r="E99" s="526"/>
      <c r="F99" s="526"/>
      <c r="G99" s="526"/>
      <c r="H99" s="526"/>
      <c r="I99" s="526"/>
      <c r="J99" s="526"/>
      <c r="K99" s="526"/>
      <c r="L99" s="526"/>
      <c r="M99" s="526"/>
      <c r="N99" s="526"/>
      <c r="O99" s="524" t="e">
        <f t="shared" si="5"/>
        <v>#REF!</v>
      </c>
    </row>
    <row r="100" spans="1:15" hidden="1" outlineLevel="1">
      <c r="A100" s="110"/>
      <c r="B100" s="406" t="e">
        <f>IF($C100="","",IFERROR('Comps'!#REF!,"DELETE"))</f>
        <v>#REF!</v>
      </c>
      <c r="C100" s="13" t="e">
        <f>IF('Comps'!#REF!="","",'Comps'!#REF!)</f>
        <v>#REF!</v>
      </c>
      <c r="D100" s="526"/>
      <c r="E100" s="526"/>
      <c r="F100" s="526"/>
      <c r="G100" s="526"/>
      <c r="H100" s="526"/>
      <c r="I100" s="526"/>
      <c r="J100" s="526"/>
      <c r="K100" s="526"/>
      <c r="L100" s="526"/>
      <c r="M100" s="526"/>
      <c r="N100" s="526"/>
      <c r="O100" s="524" t="e">
        <f t="shared" si="5"/>
        <v>#REF!</v>
      </c>
    </row>
    <row r="101" spans="1:15" hidden="1" outlineLevel="1">
      <c r="A101" s="110"/>
      <c r="B101" s="406" t="e">
        <f>IF($C101="","",IFERROR('Comps'!#REF!,"DELETE"))</f>
        <v>#REF!</v>
      </c>
      <c r="C101" s="13" t="e">
        <f>IF('Comps'!#REF!="","",'Comps'!#REF!)</f>
        <v>#REF!</v>
      </c>
      <c r="D101" s="526"/>
      <c r="E101" s="526"/>
      <c r="F101" s="526"/>
      <c r="G101" s="526"/>
      <c r="H101" s="526"/>
      <c r="I101" s="526"/>
      <c r="J101" s="526"/>
      <c r="K101" s="526"/>
      <c r="L101" s="526"/>
      <c r="M101" s="526"/>
      <c r="N101" s="526"/>
      <c r="O101" s="524" t="e">
        <f t="shared" si="5"/>
        <v>#REF!</v>
      </c>
    </row>
    <row r="102" spans="1:15" hidden="1" outlineLevel="1">
      <c r="A102" s="110"/>
      <c r="B102" s="406" t="e">
        <f>IF($C102="","",IFERROR('Comps'!#REF!,"DELETE"))</f>
        <v>#REF!</v>
      </c>
      <c r="C102" s="13" t="e">
        <f>IF('Comps'!#REF!="","",'Comps'!#REF!)</f>
        <v>#REF!</v>
      </c>
      <c r="D102" s="526"/>
      <c r="E102" s="526"/>
      <c r="F102" s="526"/>
      <c r="G102" s="526"/>
      <c r="H102" s="526"/>
      <c r="I102" s="526"/>
      <c r="J102" s="526"/>
      <c r="K102" s="526"/>
      <c r="L102" s="526"/>
      <c r="M102" s="526"/>
      <c r="N102" s="526"/>
      <c r="O102" s="524" t="e">
        <f t="shared" si="5"/>
        <v>#REF!</v>
      </c>
    </row>
    <row r="103" spans="1:15" hidden="1" outlineLevel="1">
      <c r="A103" s="110"/>
      <c r="B103" s="406" t="e">
        <f>IF($C103="","",IFERROR('Comps'!#REF!,"DELETE"))</f>
        <v>#REF!</v>
      </c>
      <c r="C103" s="13" t="e">
        <f>IF('Comps'!#REF!="","",'Comps'!#REF!)</f>
        <v>#REF!</v>
      </c>
      <c r="D103" s="526"/>
      <c r="E103" s="526"/>
      <c r="F103" s="526"/>
      <c r="G103" s="526"/>
      <c r="H103" s="526"/>
      <c r="I103" s="526"/>
      <c r="J103" s="526"/>
      <c r="K103" s="526"/>
      <c r="L103" s="526"/>
      <c r="M103" s="526"/>
      <c r="N103" s="526"/>
      <c r="O103" s="524" t="e">
        <f t="shared" si="5"/>
        <v>#REF!</v>
      </c>
    </row>
    <row r="104" spans="1:15" ht="4.3499999999999996" hidden="1" customHeight="1" outlineLevel="1" thickBot="1">
      <c r="A104" s="110"/>
      <c r="B104" s="338"/>
      <c r="C104" s="339"/>
      <c r="D104" s="341"/>
      <c r="E104" s="341"/>
      <c r="F104" s="341"/>
      <c r="G104" s="341"/>
      <c r="H104" s="341"/>
      <c r="I104" s="341"/>
      <c r="J104" s="341"/>
      <c r="K104" s="341"/>
      <c r="L104" s="341"/>
      <c r="M104" s="341"/>
      <c r="N104" s="341"/>
      <c r="O104" s="342"/>
    </row>
    <row r="105" spans="1:15" hidden="1" outlineLevel="1">
      <c r="B105" s="595" t="s">
        <v>1147</v>
      </c>
      <c r="D105" s="99"/>
      <c r="E105" s="99"/>
      <c r="F105" s="99"/>
      <c r="G105" s="99"/>
      <c r="H105" s="99"/>
      <c r="I105" s="99"/>
      <c r="J105" s="99"/>
      <c r="K105" s="99"/>
      <c r="L105" s="99"/>
      <c r="M105" s="99"/>
      <c r="N105" s="99"/>
      <c r="O105" s="98"/>
    </row>
    <row r="106" spans="1:15" hidden="1" outlineLevel="1">
      <c r="B106" s="343"/>
      <c r="D106" s="99"/>
      <c r="E106" s="99"/>
      <c r="F106" s="99"/>
      <c r="G106" s="99"/>
      <c r="H106" s="99"/>
      <c r="I106" s="99"/>
      <c r="J106" s="99"/>
      <c r="K106" s="99"/>
      <c r="L106" s="99"/>
      <c r="M106" s="99"/>
      <c r="N106" s="99"/>
      <c r="O106" s="98"/>
    </row>
    <row r="107" spans="1:15" collapsed="1">
      <c r="D107" s="99"/>
      <c r="E107" s="99"/>
      <c r="F107" s="99"/>
      <c r="G107" s="99"/>
      <c r="H107" s="99"/>
      <c r="I107" s="99"/>
      <c r="J107" s="99"/>
      <c r="K107" s="99"/>
      <c r="L107" s="99"/>
      <c r="M107" s="99"/>
      <c r="N107" s="99"/>
    </row>
    <row r="108" spans="1:15">
      <c r="A108" s="110">
        <v>1</v>
      </c>
      <c r="D108" s="527" t="str">
        <f t="shared" ref="D108:M108" si="6">"FY"&amp;RIGHT(D110,2)</f>
        <v>FY15</v>
      </c>
      <c r="E108" s="527" t="str">
        <f t="shared" si="6"/>
        <v>FY16</v>
      </c>
      <c r="F108" s="527" t="str">
        <f t="shared" si="6"/>
        <v>FY17</v>
      </c>
      <c r="G108" s="527" t="str">
        <f t="shared" si="6"/>
        <v>FY18</v>
      </c>
      <c r="H108" s="527" t="str">
        <f t="shared" si="6"/>
        <v>FY19</v>
      </c>
      <c r="I108" s="527" t="str">
        <f t="shared" si="6"/>
        <v>FY20</v>
      </c>
      <c r="J108" s="527" t="str">
        <f t="shared" si="6"/>
        <v>FY21</v>
      </c>
      <c r="K108" s="527" t="str">
        <f t="shared" si="6"/>
        <v>FY22</v>
      </c>
      <c r="L108" s="527" t="str">
        <f t="shared" si="6"/>
        <v>FY23</v>
      </c>
      <c r="M108" s="527" t="str">
        <f t="shared" si="6"/>
        <v>FY24</v>
      </c>
      <c r="N108" s="527" t="str">
        <f>"FY"&amp;RIGHT(N110,2)</f>
        <v>FY25</v>
      </c>
    </row>
    <row r="109" spans="1:15" ht="10.5">
      <c r="A109" s="110">
        <v>2</v>
      </c>
      <c r="B109" s="596" t="s">
        <v>108</v>
      </c>
      <c r="C109" s="596"/>
      <c r="D109" s="597"/>
      <c r="E109" s="597"/>
      <c r="F109" s="597"/>
      <c r="G109" s="597"/>
      <c r="H109" s="597"/>
      <c r="I109" s="597"/>
      <c r="J109" s="597"/>
      <c r="K109" s="597"/>
      <c r="L109" s="597"/>
      <c r="M109" s="597"/>
      <c r="N109" s="597"/>
      <c r="O109" s="596"/>
    </row>
    <row r="110" spans="1:15" ht="10.5">
      <c r="A110" s="110">
        <v>3</v>
      </c>
      <c r="B110" s="401" t="s">
        <v>777</v>
      </c>
      <c r="C110" s="402" t="s">
        <v>179</v>
      </c>
      <c r="D110" s="634" t="str">
        <f>D$8</f>
        <v>FY2015</v>
      </c>
      <c r="E110" s="634" t="str">
        <f t="shared" ref="E110:N110" si="7">E$8</f>
        <v>FY2016</v>
      </c>
      <c r="F110" s="634" t="str">
        <f t="shared" si="7"/>
        <v>FY2017</v>
      </c>
      <c r="G110" s="634" t="str">
        <f t="shared" si="7"/>
        <v>FY2018</v>
      </c>
      <c r="H110" s="634" t="str">
        <f t="shared" si="7"/>
        <v>FY2019</v>
      </c>
      <c r="I110" s="634" t="str">
        <f t="shared" si="7"/>
        <v>FY2020</v>
      </c>
      <c r="J110" s="634" t="str">
        <f t="shared" si="7"/>
        <v>FY2021</v>
      </c>
      <c r="K110" s="634" t="str">
        <f t="shared" si="7"/>
        <v>FY2022</v>
      </c>
      <c r="L110" s="634" t="str">
        <f t="shared" si="7"/>
        <v>FY2023</v>
      </c>
      <c r="M110" s="634" t="str">
        <f t="shared" si="7"/>
        <v>FY2024</v>
      </c>
      <c r="N110" s="634" t="str">
        <f t="shared" si="7"/>
        <v>FY2025</v>
      </c>
      <c r="O110" s="433" t="s">
        <v>1149</v>
      </c>
    </row>
    <row r="111" spans="1:15">
      <c r="A111" s="110">
        <v>4</v>
      </c>
      <c r="B111" s="406" t="str">
        <f>IF($C111="","",IFERROR('Comps'!B13,"DELETE"))</f>
        <v>Grab Holdings Limited</v>
      </c>
      <c r="C111" s="13" t="str">
        <f>IF('Comps'!C13="","",'Comps'!C13)</f>
        <v>NASDAQGS:GRAB</v>
      </c>
      <c r="D111" s="526">
        <f>IFERROR(D69/D9,0)</f>
        <v>0</v>
      </c>
      <c r="E111" s="526">
        <f t="shared" ref="E111:F111" si="8">IFERROR(E69/E9,0)</f>
        <v>0</v>
      </c>
      <c r="F111" s="526">
        <f t="shared" si="8"/>
        <v>0</v>
      </c>
      <c r="G111" s="526">
        <f t="shared" ref="G111:N111" si="9">IFERROR(G69/G9,0)</f>
        <v>0</v>
      </c>
      <c r="H111" s="526">
        <f t="shared" si="9"/>
        <v>3.5278106508875737</v>
      </c>
      <c r="I111" s="526">
        <f t="shared" si="9"/>
        <v>-2.727078891257996</v>
      </c>
      <c r="J111" s="526">
        <f t="shared" si="9"/>
        <v>-2.3037037037037038</v>
      </c>
      <c r="K111" s="526">
        <f t="shared" si="9"/>
        <v>-0.95045359385903705</v>
      </c>
      <c r="L111" s="526">
        <f t="shared" si="9"/>
        <v>-0.19966087325137769</v>
      </c>
      <c r="M111" s="526">
        <f t="shared" si="9"/>
        <v>-5.5774043618162315E-2</v>
      </c>
      <c r="N111" s="526">
        <f t="shared" si="9"/>
        <v>0</v>
      </c>
      <c r="O111" s="524">
        <f>IF($C111="","",IFERROR(AVERAGE(K111:M111),"NA"))</f>
        <v>-0.40196283690952567</v>
      </c>
    </row>
    <row r="112" spans="1:15">
      <c r="A112" s="110">
        <v>5</v>
      </c>
      <c r="B112" s="406" t="str">
        <f>IF($C112="","",IFERROR('Comps'!B14,"DELETE"))</f>
        <v>Pt Goto Gojek Tokopedia Tbk</v>
      </c>
      <c r="C112" s="13" t="str">
        <f>IF('Comps'!C14="","",'Comps'!C14)</f>
        <v>IDX: GOTO</v>
      </c>
      <c r="D112" s="526">
        <f t="shared" ref="D112:N112" si="10">IFERROR(D70/D10,0)</f>
        <v>0</v>
      </c>
      <c r="E112" s="526">
        <f t="shared" si="10"/>
        <v>0</v>
      </c>
      <c r="F112" s="526">
        <f t="shared" si="10"/>
        <v>0</v>
      </c>
      <c r="G112" s="526">
        <f t="shared" si="10"/>
        <v>-8.3105990838429076</v>
      </c>
      <c r="H112" s="526">
        <f t="shared" si="10"/>
        <v>-9.1253805755770614</v>
      </c>
      <c r="I112" s="526">
        <f t="shared" si="10"/>
        <v>-3.0550958037693801</v>
      </c>
      <c r="J112" s="526">
        <f t="shared" si="10"/>
        <v>-4.8732434232639834</v>
      </c>
      <c r="K112" s="526">
        <f t="shared" si="10"/>
        <v>-2.6724100654522798</v>
      </c>
      <c r="L112" s="526">
        <f t="shared" si="10"/>
        <v>-0.69520648986889166</v>
      </c>
      <c r="M112" s="526">
        <f t="shared" si="10"/>
        <v>-0.14098457982248172</v>
      </c>
      <c r="N112" s="526">
        <f t="shared" si="10"/>
        <v>0</v>
      </c>
      <c r="O112" s="524">
        <f t="shared" ref="O112:O125" si="11">IF($C112="","",IFERROR(AVERAGE(K112:M112),"NA"))</f>
        <v>-1.169533711714551</v>
      </c>
    </row>
    <row r="113" spans="1:15">
      <c r="A113" s="110">
        <v>6</v>
      </c>
      <c r="B113" s="406" t="str">
        <f>IF($C113="","",IFERROR('Comps'!B15,"DELETE"))</f>
        <v>Sea Limited</v>
      </c>
      <c r="C113" s="13" t="str">
        <f>IF('Comps'!C15="","",'Comps'!C15)</f>
        <v>NYSE: SE</v>
      </c>
      <c r="D113" s="526">
        <f t="shared" ref="D113:N113" si="12">IFERROR(D71/D11,0)</f>
        <v>-0.27861456067213231</v>
      </c>
      <c r="E113" s="526">
        <f t="shared" si="12"/>
        <v>-0.57806868569050851</v>
      </c>
      <c r="F113" s="526">
        <f t="shared" si="12"/>
        <v>-1.2106376214959373</v>
      </c>
      <c r="G113" s="526">
        <f t="shared" si="12"/>
        <v>-1.1894075700032485</v>
      </c>
      <c r="H113" s="526">
        <f t="shared" si="12"/>
        <v>-0.40969063793672322</v>
      </c>
      <c r="I113" s="526">
        <f t="shared" si="12"/>
        <v>-0.29785765143987875</v>
      </c>
      <c r="J113" s="526">
        <f t="shared" si="12"/>
        <v>-0.15901856216727153</v>
      </c>
      <c r="K113" s="526">
        <f t="shared" si="12"/>
        <v>-9.0971232073909461E-2</v>
      </c>
      <c r="L113" s="526">
        <f t="shared" si="12"/>
        <v>2.6229680064792517E-2</v>
      </c>
      <c r="M113" s="526">
        <f t="shared" si="12"/>
        <v>3.9367257660405275E-2</v>
      </c>
      <c r="N113" s="526">
        <f t="shared" si="12"/>
        <v>0</v>
      </c>
      <c r="O113" s="524">
        <f t="shared" si="11"/>
        <v>-8.4580981162372202E-3</v>
      </c>
    </row>
    <row r="114" spans="1:15">
      <c r="A114" s="110">
        <v>7</v>
      </c>
      <c r="B114" s="406" t="str">
        <f>IF($C114="","",IFERROR('Comps'!B16,"DELETE"))</f>
        <v>Uber Technologies, Inc.</v>
      </c>
      <c r="C114" s="13" t="str">
        <f>IF('Comps'!C16="","",'Comps'!C16)</f>
        <v>NYSE:UBER</v>
      </c>
      <c r="D114" s="526">
        <f t="shared" ref="D114:N114" si="13">IFERROR(D72/D12,0)</f>
        <v>0</v>
      </c>
      <c r="E114" s="526">
        <f t="shared" si="13"/>
        <v>-0.78621586475942784</v>
      </c>
      <c r="F114" s="526">
        <f t="shared" si="13"/>
        <v>-0.48625819465456377</v>
      </c>
      <c r="G114" s="526">
        <f t="shared" si="13"/>
        <v>-0.27182977091919869</v>
      </c>
      <c r="H114" s="526">
        <f t="shared" si="13"/>
        <v>-0.66123076923076929</v>
      </c>
      <c r="I114" s="526">
        <f t="shared" si="13"/>
        <v>-0.40407576981775745</v>
      </c>
      <c r="J114" s="526">
        <f t="shared" si="13"/>
        <v>-0.21965052993411632</v>
      </c>
      <c r="K114" s="526">
        <f t="shared" si="13"/>
        <v>-5.7470903786429085E-2</v>
      </c>
      <c r="L114" s="526">
        <f t="shared" si="13"/>
        <v>2.9773879456023174E-2</v>
      </c>
      <c r="M114" s="526">
        <f t="shared" si="13"/>
        <v>6.3645459093182949E-2</v>
      </c>
      <c r="N114" s="526">
        <f t="shared" si="13"/>
        <v>0</v>
      </c>
      <c r="O114" s="524">
        <f t="shared" si="11"/>
        <v>1.1982811587592346E-2</v>
      </c>
    </row>
    <row r="115" spans="1:15">
      <c r="A115" s="110">
        <v>8</v>
      </c>
      <c r="B115" s="406" t="str">
        <f>IF($C115="","",IFERROR('Comps'!B17,"DELETE"))</f>
        <v>Lyft, Inc.</v>
      </c>
      <c r="C115" s="13" t="str">
        <f>IF('Comps'!C17="","",'Comps'!C17)</f>
        <v>NASDAQGS:LYFT</v>
      </c>
      <c r="D115" s="526">
        <f t="shared" ref="D115:N115" si="14">IFERROR(D73/D13,0)</f>
        <v>0</v>
      </c>
      <c r="E115" s="526">
        <f t="shared" si="14"/>
        <v>-2.0174979235097394</v>
      </c>
      <c r="F115" s="526">
        <f t="shared" si="14"/>
        <v>-0.66825615133468086</v>
      </c>
      <c r="G115" s="526">
        <f t="shared" si="14"/>
        <v>-0.45214864332804033</v>
      </c>
      <c r="H115" s="526">
        <f t="shared" si="14"/>
        <v>-0.74737552511395844</v>
      </c>
      <c r="I115" s="526">
        <f t="shared" si="14"/>
        <v>-0.74353792312345912</v>
      </c>
      <c r="J115" s="526">
        <f t="shared" si="14"/>
        <v>-0.35383501107146953</v>
      </c>
      <c r="K115" s="526">
        <f t="shared" si="14"/>
        <v>-0.32689032250197098</v>
      </c>
      <c r="L115" s="526">
        <f t="shared" si="14"/>
        <v>-8.8078837737175522E-2</v>
      </c>
      <c r="M115" s="526">
        <f t="shared" si="14"/>
        <v>-1.9174333512619459E-2</v>
      </c>
      <c r="N115" s="526">
        <f t="shared" si="14"/>
        <v>0</v>
      </c>
      <c r="O115" s="524">
        <f t="shared" si="11"/>
        <v>-0.1447144979172553</v>
      </c>
    </row>
    <row r="116" spans="1:15">
      <c r="A116" s="110">
        <v>9</v>
      </c>
      <c r="B116" s="406" t="str">
        <f>IF($C116="","",IFERROR('Comps'!B18,"DELETE"))</f>
        <v>Didi Global Inc.</v>
      </c>
      <c r="C116" s="13" t="str">
        <f>IF('Comps'!C18="","",'Comps'!C18)</f>
        <v>OTCPK:DIDI.Y</v>
      </c>
      <c r="D116" s="526">
        <f t="shared" ref="D116:N116" si="15">IFERROR(D74/D14,0)</f>
        <v>0</v>
      </c>
      <c r="E116" s="526">
        <f t="shared" si="15"/>
        <v>0</v>
      </c>
      <c r="F116" s="526">
        <f t="shared" si="15"/>
        <v>0</v>
      </c>
      <c r="G116" s="526">
        <f t="shared" si="15"/>
        <v>-9.1970661149928731E-2</v>
      </c>
      <c r="H116" s="526">
        <f t="shared" si="15"/>
        <v>-5.1770640487956224E-2</v>
      </c>
      <c r="I116" s="526">
        <f t="shared" si="15"/>
        <v>-9.7278935595361979E-2</v>
      </c>
      <c r="J116" s="526">
        <f t="shared" si="15"/>
        <v>-0.26263080347375511</v>
      </c>
      <c r="K116" s="526">
        <f t="shared" si="15"/>
        <v>-0.12572854891871862</v>
      </c>
      <c r="L116" s="526">
        <f t="shared" si="15"/>
        <v>-1.4754435117508936E-2</v>
      </c>
      <c r="M116" s="526">
        <f t="shared" si="15"/>
        <v>9.3929006747168996E-3</v>
      </c>
      <c r="N116" s="526">
        <f t="shared" si="15"/>
        <v>0</v>
      </c>
      <c r="O116" s="524">
        <f t="shared" si="11"/>
        <v>-4.3696694453836886E-2</v>
      </c>
    </row>
    <row r="117" spans="1:15">
      <c r="A117" s="110">
        <v>10</v>
      </c>
      <c r="B117" s="406" t="str">
        <f>IF($C117="","",IFERROR('Comps'!B19,"DELETE"))</f>
        <v>Meituan</v>
      </c>
      <c r="C117" s="13" t="str">
        <f>IF('Comps'!C19="","",'Comps'!C19)</f>
        <v>SEHK:3690</v>
      </c>
      <c r="D117" s="526">
        <f t="shared" ref="D117:N117" si="16">IFERROR(D75/D15,0)</f>
        <v>-2.1041503627610338</v>
      </c>
      <c r="E117" s="526">
        <f t="shared" si="16"/>
        <v>-0.48218146670339213</v>
      </c>
      <c r="F117" s="526">
        <f t="shared" si="16"/>
        <v>-0.13125685926959973</v>
      </c>
      <c r="G117" s="526">
        <f t="shared" si="16"/>
        <v>-0.18794655333773067</v>
      </c>
      <c r="H117" s="526">
        <f t="shared" si="16"/>
        <v>-8.8045055166645358E-4</v>
      </c>
      <c r="I117" s="526">
        <f t="shared" si="16"/>
        <v>-2.1889060936911363E-2</v>
      </c>
      <c r="J117" s="526">
        <f t="shared" si="16"/>
        <v>-0.14483540503506551</v>
      </c>
      <c r="K117" s="526">
        <f t="shared" si="16"/>
        <v>-3.0023170842275109E-2</v>
      </c>
      <c r="L117" s="526">
        <f t="shared" si="16"/>
        <v>3.2511378643050218E-2</v>
      </c>
      <c r="M117" s="526">
        <f t="shared" si="16"/>
        <v>9.8220806835928598E-2</v>
      </c>
      <c r="N117" s="526">
        <f t="shared" si="16"/>
        <v>0</v>
      </c>
      <c r="O117" s="524">
        <f t="shared" si="11"/>
        <v>3.3569671545567899E-2</v>
      </c>
    </row>
    <row r="118" spans="1:15">
      <c r="A118" s="110">
        <v>11</v>
      </c>
      <c r="B118" s="406" t="str">
        <f>IF($C118="","",IFERROR('Comps'!B20,"DELETE"))</f>
        <v>Delivery Hero Se</v>
      </c>
      <c r="C118" s="13" t="str">
        <f>IF('Comps'!C20="","",'Comps'!C20)</f>
        <v>XTRA:DHER</v>
      </c>
      <c r="D118" s="526">
        <f t="shared" ref="D118:N118" si="17">IFERROR(D76/D16,0)</f>
        <v>-1.1429310789982698</v>
      </c>
      <c r="E118" s="526">
        <f t="shared" si="17"/>
        <v>-0.51086582018159121</v>
      </c>
      <c r="F118" s="526">
        <f t="shared" si="17"/>
        <v>-0.51399603844513231</v>
      </c>
      <c r="G118" s="526">
        <f t="shared" si="17"/>
        <v>-0.31799729512700958</v>
      </c>
      <c r="H118" s="526">
        <f t="shared" si="17"/>
        <v>-0.51688752280220196</v>
      </c>
      <c r="I118" s="526">
        <f t="shared" si="17"/>
        <v>-0.36215057150555968</v>
      </c>
      <c r="J118" s="526">
        <f t="shared" si="17"/>
        <v>-0.28323314413776651</v>
      </c>
      <c r="K118" s="526">
        <f t="shared" si="17"/>
        <v>-0.16753523848670079</v>
      </c>
      <c r="L118" s="526">
        <f t="shared" si="17"/>
        <v>-7.1153401052650098E-2</v>
      </c>
      <c r="M118" s="526">
        <f t="shared" si="17"/>
        <v>-2.1513335304205794E-2</v>
      </c>
      <c r="N118" s="526">
        <f t="shared" si="17"/>
        <v>0</v>
      </c>
      <c r="O118" s="524">
        <f t="shared" si="11"/>
        <v>-8.6733991614518891E-2</v>
      </c>
    </row>
    <row r="119" spans="1:15">
      <c r="A119" s="110">
        <v>12</v>
      </c>
      <c r="B119" s="406" t="str">
        <f>IF($C119="","",IFERROR('Comps'!B21,"DELETE"))</f>
        <v>Doordash, Inc.</v>
      </c>
      <c r="C119" s="13" t="str">
        <f>IF('Comps'!C21="","",'Comps'!C21)</f>
        <v>NASDAQGS:DASH</v>
      </c>
      <c r="D119" s="526">
        <f t="shared" ref="D119:N119" si="18">IFERROR(D77/D17,0)</f>
        <v>0</v>
      </c>
      <c r="E119" s="526">
        <f t="shared" si="18"/>
        <v>0</v>
      </c>
      <c r="F119" s="526">
        <f t="shared" si="18"/>
        <v>0</v>
      </c>
      <c r="G119" s="526">
        <f t="shared" si="18"/>
        <v>-0.72164948453608246</v>
      </c>
      <c r="H119" s="526">
        <f t="shared" si="18"/>
        <v>-0.69039548022598862</v>
      </c>
      <c r="I119" s="526">
        <f t="shared" si="18"/>
        <v>-0.14691614691614691</v>
      </c>
      <c r="J119" s="526">
        <f t="shared" si="18"/>
        <v>-9.0220949263502451E-2</v>
      </c>
      <c r="K119" s="526">
        <f t="shared" si="18"/>
        <v>-0.14583016861613246</v>
      </c>
      <c r="L119" s="526">
        <f t="shared" si="18"/>
        <v>-6.6589461493920102E-2</v>
      </c>
      <c r="M119" s="526">
        <f t="shared" si="18"/>
        <v>4.8498414474911393E-3</v>
      </c>
      <c r="N119" s="526">
        <f t="shared" si="18"/>
        <v>0</v>
      </c>
      <c r="O119" s="524">
        <f t="shared" si="11"/>
        <v>-6.9189929554187138E-2</v>
      </c>
    </row>
    <row r="120" spans="1:15">
      <c r="A120" s="110">
        <v>13</v>
      </c>
      <c r="B120" s="406" t="str">
        <f>IF($C120="","",IFERROR('Comps'!B22,"DELETE"))</f>
        <v>Talabat Holding Plc</v>
      </c>
      <c r="C120" s="13" t="str">
        <f>IF('Comps'!C22="","",'Comps'!C22)</f>
        <v>DFM:TALABAT</v>
      </c>
      <c r="D120" s="526">
        <f t="shared" ref="D120:N120" si="19">IFERROR(D78/D18,0)</f>
        <v>0</v>
      </c>
      <c r="E120" s="526">
        <f t="shared" si="19"/>
        <v>0</v>
      </c>
      <c r="F120" s="526">
        <f t="shared" si="19"/>
        <v>0</v>
      </c>
      <c r="G120" s="526">
        <f t="shared" si="19"/>
        <v>0</v>
      </c>
      <c r="H120" s="526">
        <f t="shared" si="19"/>
        <v>0</v>
      </c>
      <c r="I120" s="526">
        <f t="shared" si="19"/>
        <v>0</v>
      </c>
      <c r="J120" s="526">
        <f t="shared" si="19"/>
        <v>0</v>
      </c>
      <c r="K120" s="526">
        <f t="shared" si="19"/>
        <v>0.14956439916426931</v>
      </c>
      <c r="L120" s="526">
        <f t="shared" si="19"/>
        <v>0.17701382578273434</v>
      </c>
      <c r="M120" s="526">
        <f t="shared" si="19"/>
        <v>0.16302618722285345</v>
      </c>
      <c r="N120" s="526">
        <f t="shared" si="19"/>
        <v>0</v>
      </c>
      <c r="O120" s="524">
        <f t="shared" si="11"/>
        <v>0.1632014707232857</v>
      </c>
    </row>
    <row r="121" spans="1:15">
      <c r="A121" s="110">
        <v>14</v>
      </c>
      <c r="B121" s="406" t="e">
        <f>IF($C121="","",IFERROR('Comps'!#REF!,"DELETE"))</f>
        <v>#REF!</v>
      </c>
      <c r="C121" s="13" t="e">
        <f>IF('Comps'!#REF!="","",'Comps'!#REF!)</f>
        <v>#REF!</v>
      </c>
      <c r="D121" s="526">
        <f t="shared" ref="D121:N121" si="20">IFERROR(D79/D19,0)</f>
        <v>0</v>
      </c>
      <c r="E121" s="526">
        <f t="shared" si="20"/>
        <v>0</v>
      </c>
      <c r="F121" s="526">
        <f t="shared" si="20"/>
        <v>0</v>
      </c>
      <c r="G121" s="526">
        <f t="shared" si="20"/>
        <v>0</v>
      </c>
      <c r="H121" s="526">
        <f t="shared" si="20"/>
        <v>0</v>
      </c>
      <c r="I121" s="526">
        <f t="shared" si="20"/>
        <v>0</v>
      </c>
      <c r="J121" s="526">
        <f t="shared" si="20"/>
        <v>0</v>
      </c>
      <c r="K121" s="526">
        <f t="shared" si="20"/>
        <v>0</v>
      </c>
      <c r="L121" s="526">
        <f t="shared" si="20"/>
        <v>0</v>
      </c>
      <c r="M121" s="526">
        <f t="shared" si="20"/>
        <v>0</v>
      </c>
      <c r="N121" s="526">
        <f t="shared" si="20"/>
        <v>0</v>
      </c>
      <c r="O121" s="524" t="e">
        <f t="shared" si="11"/>
        <v>#REF!</v>
      </c>
    </row>
    <row r="122" spans="1:15">
      <c r="A122" s="110">
        <v>15</v>
      </c>
      <c r="B122" s="406" t="e">
        <f>IF($C122="","",IFERROR('Comps'!#REF!,"DELETE"))</f>
        <v>#REF!</v>
      </c>
      <c r="C122" s="13" t="e">
        <f>IF('Comps'!#REF!="","",'Comps'!#REF!)</f>
        <v>#REF!</v>
      </c>
      <c r="D122" s="526">
        <f t="shared" ref="D122:N122" si="21">IFERROR(D80/D20,0)</f>
        <v>0</v>
      </c>
      <c r="E122" s="526">
        <f t="shared" si="21"/>
        <v>0</v>
      </c>
      <c r="F122" s="526">
        <f t="shared" si="21"/>
        <v>0</v>
      </c>
      <c r="G122" s="526">
        <f t="shared" si="21"/>
        <v>0</v>
      </c>
      <c r="H122" s="526">
        <f t="shared" si="21"/>
        <v>0</v>
      </c>
      <c r="I122" s="526">
        <f t="shared" si="21"/>
        <v>0</v>
      </c>
      <c r="J122" s="526">
        <f t="shared" si="21"/>
        <v>0</v>
      </c>
      <c r="K122" s="526">
        <f t="shared" si="21"/>
        <v>0</v>
      </c>
      <c r="L122" s="526">
        <f t="shared" si="21"/>
        <v>0</v>
      </c>
      <c r="M122" s="526">
        <f t="shared" si="21"/>
        <v>0</v>
      </c>
      <c r="N122" s="526">
        <f t="shared" si="21"/>
        <v>0</v>
      </c>
      <c r="O122" s="524" t="e">
        <f t="shared" si="11"/>
        <v>#REF!</v>
      </c>
    </row>
    <row r="123" spans="1:15">
      <c r="A123" s="110">
        <v>16</v>
      </c>
      <c r="B123" s="406" t="e">
        <f>IF($C123="","",IFERROR('Comps'!#REF!,"DELETE"))</f>
        <v>#REF!</v>
      </c>
      <c r="C123" s="13" t="e">
        <f>IF('Comps'!#REF!="","",'Comps'!#REF!)</f>
        <v>#REF!</v>
      </c>
      <c r="D123" s="526">
        <f t="shared" ref="D123:N123" si="22">IFERROR(D81/D21,0)</f>
        <v>0</v>
      </c>
      <c r="E123" s="526">
        <f t="shared" si="22"/>
        <v>0</v>
      </c>
      <c r="F123" s="526">
        <f t="shared" si="22"/>
        <v>0</v>
      </c>
      <c r="G123" s="526">
        <f t="shared" si="22"/>
        <v>0</v>
      </c>
      <c r="H123" s="526">
        <f t="shared" si="22"/>
        <v>0</v>
      </c>
      <c r="I123" s="526">
        <f t="shared" si="22"/>
        <v>0</v>
      </c>
      <c r="J123" s="526">
        <f t="shared" si="22"/>
        <v>0</v>
      </c>
      <c r="K123" s="526">
        <f t="shared" si="22"/>
        <v>0</v>
      </c>
      <c r="L123" s="526">
        <f t="shared" si="22"/>
        <v>0</v>
      </c>
      <c r="M123" s="526">
        <f t="shared" si="22"/>
        <v>0</v>
      </c>
      <c r="N123" s="526">
        <f t="shared" si="22"/>
        <v>0</v>
      </c>
      <c r="O123" s="524" t="e">
        <f t="shared" si="11"/>
        <v>#REF!</v>
      </c>
    </row>
    <row r="124" spans="1:15">
      <c r="A124" s="110">
        <v>17</v>
      </c>
      <c r="B124" s="406" t="e">
        <f>IF($C124="","",IFERROR('Comps'!#REF!,"DELETE"))</f>
        <v>#REF!</v>
      </c>
      <c r="C124" s="13" t="e">
        <f>IF('Comps'!#REF!="","",'Comps'!#REF!)</f>
        <v>#REF!</v>
      </c>
      <c r="D124" s="526">
        <f t="shared" ref="D124:N124" si="23">IFERROR(D82/D22,0)</f>
        <v>0</v>
      </c>
      <c r="E124" s="526">
        <f t="shared" si="23"/>
        <v>0</v>
      </c>
      <c r="F124" s="526">
        <f t="shared" si="23"/>
        <v>0</v>
      </c>
      <c r="G124" s="526">
        <f t="shared" si="23"/>
        <v>0</v>
      </c>
      <c r="H124" s="526">
        <f t="shared" si="23"/>
        <v>0</v>
      </c>
      <c r="I124" s="526">
        <f t="shared" si="23"/>
        <v>0</v>
      </c>
      <c r="J124" s="526">
        <f t="shared" si="23"/>
        <v>0</v>
      </c>
      <c r="K124" s="526">
        <f t="shared" si="23"/>
        <v>0</v>
      </c>
      <c r="L124" s="526">
        <f t="shared" si="23"/>
        <v>0</v>
      </c>
      <c r="M124" s="526">
        <f t="shared" si="23"/>
        <v>0</v>
      </c>
      <c r="N124" s="526">
        <f t="shared" si="23"/>
        <v>0</v>
      </c>
      <c r="O124" s="524" t="e">
        <f t="shared" si="11"/>
        <v>#REF!</v>
      </c>
    </row>
    <row r="125" spans="1:15">
      <c r="A125" s="110">
        <v>18</v>
      </c>
      <c r="B125" s="406" t="e">
        <f>IF($C125="","",IFERROR('Comps'!#REF!,"DELETE"))</f>
        <v>#REF!</v>
      </c>
      <c r="C125" s="13" t="e">
        <f>IF('Comps'!#REF!="","",'Comps'!#REF!)</f>
        <v>#REF!</v>
      </c>
      <c r="D125" s="526">
        <f t="shared" ref="D125:N125" si="24">IFERROR(D83/D23,0)</f>
        <v>0</v>
      </c>
      <c r="E125" s="526">
        <f t="shared" si="24"/>
        <v>0</v>
      </c>
      <c r="F125" s="526">
        <f t="shared" si="24"/>
        <v>0</v>
      </c>
      <c r="G125" s="526">
        <f t="shared" si="24"/>
        <v>0</v>
      </c>
      <c r="H125" s="526">
        <f t="shared" si="24"/>
        <v>0</v>
      </c>
      <c r="I125" s="526">
        <f t="shared" si="24"/>
        <v>0</v>
      </c>
      <c r="J125" s="526">
        <f t="shared" si="24"/>
        <v>0</v>
      </c>
      <c r="K125" s="526">
        <f t="shared" si="24"/>
        <v>0</v>
      </c>
      <c r="L125" s="526">
        <f t="shared" si="24"/>
        <v>0</v>
      </c>
      <c r="M125" s="526">
        <f t="shared" si="24"/>
        <v>0</v>
      </c>
      <c r="N125" s="526">
        <f t="shared" si="24"/>
        <v>0</v>
      </c>
      <c r="O125" s="524" t="e">
        <f t="shared" si="11"/>
        <v>#REF!</v>
      </c>
    </row>
    <row r="126" spans="1:15" ht="4.3499999999999996" customHeight="1" thickBot="1">
      <c r="A126" s="110">
        <v>19</v>
      </c>
      <c r="B126" s="338"/>
      <c r="C126" s="339"/>
      <c r="D126" s="341"/>
      <c r="E126" s="341"/>
      <c r="F126" s="341"/>
      <c r="G126" s="341"/>
      <c r="H126" s="341"/>
      <c r="I126" s="341"/>
      <c r="J126" s="341"/>
      <c r="K126" s="341"/>
      <c r="L126" s="341"/>
      <c r="M126" s="341"/>
      <c r="N126" s="341"/>
      <c r="O126" s="342"/>
    </row>
    <row r="127" spans="1:15">
      <c r="A127" s="110">
        <v>20</v>
      </c>
      <c r="B127" s="595" t="s">
        <v>1147</v>
      </c>
      <c r="D127" s="99"/>
      <c r="E127" s="99"/>
      <c r="F127" s="99"/>
      <c r="G127" s="99"/>
      <c r="H127" s="99"/>
      <c r="I127" s="99"/>
      <c r="J127" s="99"/>
      <c r="K127" s="99"/>
      <c r="L127" s="99"/>
      <c r="M127" s="99"/>
      <c r="N127" s="99"/>
      <c r="O127" s="98"/>
    </row>
    <row r="128" spans="1:15">
      <c r="A128" s="110">
        <v>21</v>
      </c>
      <c r="B128" t="s">
        <v>1150</v>
      </c>
      <c r="D128" s="528">
        <f t="shared" ref="D128:H128" si="25">MAX(D111:D126)</f>
        <v>0</v>
      </c>
      <c r="E128" s="528">
        <f t="shared" si="25"/>
        <v>0</v>
      </c>
      <c r="F128" s="528">
        <f t="shared" si="25"/>
        <v>0</v>
      </c>
      <c r="G128" s="528">
        <f t="shared" si="25"/>
        <v>0</v>
      </c>
      <c r="H128" s="528">
        <f t="shared" si="25"/>
        <v>3.5278106508875737</v>
      </c>
      <c r="I128" s="528">
        <f t="shared" ref="I128:N128" si="26">MAX(I111:I126)</f>
        <v>0</v>
      </c>
      <c r="J128" s="528">
        <f t="shared" si="26"/>
        <v>0</v>
      </c>
      <c r="K128" s="528">
        <f t="shared" si="26"/>
        <v>0.14956439916426931</v>
      </c>
      <c r="L128" s="528">
        <f t="shared" si="26"/>
        <v>0.17701382578273434</v>
      </c>
      <c r="M128" s="528">
        <f t="shared" si="26"/>
        <v>0.16302618722285345</v>
      </c>
      <c r="N128" s="528">
        <f t="shared" si="26"/>
        <v>0</v>
      </c>
    </row>
    <row r="129" spans="1:15">
      <c r="A129" s="110">
        <v>22</v>
      </c>
      <c r="B129" t="s">
        <v>1151</v>
      </c>
      <c r="D129" s="528">
        <f t="shared" ref="D129:H129" si="27">MIN(D111:D126)</f>
        <v>-2.1041503627610338</v>
      </c>
      <c r="E129" s="528">
        <f t="shared" si="27"/>
        <v>-2.0174979235097394</v>
      </c>
      <c r="F129" s="528">
        <f t="shared" si="27"/>
        <v>-1.2106376214959373</v>
      </c>
      <c r="G129" s="528">
        <f t="shared" si="27"/>
        <v>-8.3105990838429076</v>
      </c>
      <c r="H129" s="528">
        <f t="shared" si="27"/>
        <v>-9.1253805755770614</v>
      </c>
      <c r="I129" s="528">
        <f t="shared" ref="I129:N129" si="28">MIN(I111:I126)</f>
        <v>-3.0550958037693801</v>
      </c>
      <c r="J129" s="528">
        <f t="shared" si="28"/>
        <v>-4.8732434232639834</v>
      </c>
      <c r="K129" s="528">
        <f t="shared" si="28"/>
        <v>-2.6724100654522798</v>
      </c>
      <c r="L129" s="528">
        <f t="shared" si="28"/>
        <v>-0.69520648986889166</v>
      </c>
      <c r="M129" s="528">
        <f t="shared" si="28"/>
        <v>-0.14098457982248172</v>
      </c>
      <c r="N129" s="528">
        <f t="shared" si="28"/>
        <v>0</v>
      </c>
    </row>
    <row r="130" spans="1:15">
      <c r="D130" s="99"/>
      <c r="E130" s="99"/>
      <c r="F130" s="99"/>
      <c r="G130" s="99"/>
      <c r="H130" s="99"/>
      <c r="I130" s="99"/>
      <c r="J130" s="99"/>
      <c r="K130" s="99"/>
      <c r="L130" s="99"/>
      <c r="M130" s="99"/>
      <c r="N130" s="99"/>
    </row>
    <row r="131" spans="1:15">
      <c r="A131" s="110">
        <v>1</v>
      </c>
      <c r="D131" s="527" t="str">
        <f t="shared" ref="D131:M131" si="29">"FY"&amp;RIGHT(D133,2)</f>
        <v>FY15</v>
      </c>
      <c r="E131" s="527" t="str">
        <f t="shared" si="29"/>
        <v>FY16</v>
      </c>
      <c r="F131" s="527" t="str">
        <f t="shared" si="29"/>
        <v>FY17</v>
      </c>
      <c r="G131" s="527" t="str">
        <f t="shared" si="29"/>
        <v>FY18</v>
      </c>
      <c r="H131" s="527" t="str">
        <f t="shared" si="29"/>
        <v>FY19</v>
      </c>
      <c r="I131" s="527" t="str">
        <f t="shared" si="29"/>
        <v>FY20</v>
      </c>
      <c r="J131" s="527" t="str">
        <f t="shared" si="29"/>
        <v>FY21</v>
      </c>
      <c r="K131" s="527" t="str">
        <f t="shared" si="29"/>
        <v>FY22</v>
      </c>
      <c r="L131" s="527" t="str">
        <f t="shared" si="29"/>
        <v>FY23</v>
      </c>
      <c r="M131" s="527" t="str">
        <f t="shared" si="29"/>
        <v>FY24</v>
      </c>
      <c r="N131" s="527" t="str">
        <f>"FY"&amp;RIGHT(N133,2)</f>
        <v>FY25</v>
      </c>
    </row>
    <row r="132" spans="1:15" ht="10.5">
      <c r="A132" s="110">
        <v>2</v>
      </c>
      <c r="B132" s="596" t="s">
        <v>835</v>
      </c>
      <c r="C132" s="596"/>
      <c r="D132" s="597"/>
      <c r="E132" s="597"/>
      <c r="F132" s="597"/>
      <c r="G132" s="597"/>
      <c r="H132" s="597"/>
      <c r="I132" s="597"/>
      <c r="J132" s="597"/>
      <c r="K132" s="597"/>
      <c r="L132" s="597"/>
      <c r="M132" s="597"/>
      <c r="N132" s="597"/>
      <c r="O132" s="596"/>
    </row>
    <row r="133" spans="1:15" ht="10.5">
      <c r="A133" s="110">
        <v>3</v>
      </c>
      <c r="B133" s="401" t="s">
        <v>777</v>
      </c>
      <c r="C133" s="402" t="s">
        <v>179</v>
      </c>
      <c r="D133" s="634" t="str">
        <f>D$8</f>
        <v>FY2015</v>
      </c>
      <c r="E133" s="634" t="str">
        <f t="shared" ref="E133:N133" si="30">E$8</f>
        <v>FY2016</v>
      </c>
      <c r="F133" s="634" t="str">
        <f t="shared" si="30"/>
        <v>FY2017</v>
      </c>
      <c r="G133" s="634" t="str">
        <f t="shared" si="30"/>
        <v>FY2018</v>
      </c>
      <c r="H133" s="634" t="str">
        <f t="shared" si="30"/>
        <v>FY2019</v>
      </c>
      <c r="I133" s="634" t="str">
        <f t="shared" si="30"/>
        <v>FY2020</v>
      </c>
      <c r="J133" s="634" t="str">
        <f t="shared" si="30"/>
        <v>FY2021</v>
      </c>
      <c r="K133" s="634" t="str">
        <f t="shared" si="30"/>
        <v>FY2022</v>
      </c>
      <c r="L133" s="634" t="str">
        <f t="shared" si="30"/>
        <v>FY2023</v>
      </c>
      <c r="M133" s="634" t="str">
        <f t="shared" si="30"/>
        <v>FY2024</v>
      </c>
      <c r="N133" s="634" t="str">
        <f t="shared" si="30"/>
        <v>FY2025</v>
      </c>
      <c r="O133" s="433" t="s">
        <v>1149</v>
      </c>
    </row>
    <row r="134" spans="1:15">
      <c r="A134" s="110">
        <v>4</v>
      </c>
      <c r="B134" s="406" t="str">
        <f>IF($C134="","",IFERROR('Comps'!B13,"DELETE"))</f>
        <v>Grab Holdings Limited</v>
      </c>
      <c r="C134" s="13" t="str">
        <f>IF('Comps'!C13="","",'Comps'!C13)</f>
        <v>NASDAQGS:GRAB</v>
      </c>
      <c r="D134" s="526">
        <f>IFERROR(D29/D9,0)</f>
        <v>0</v>
      </c>
      <c r="E134" s="526">
        <f t="shared" ref="E134:F134" si="31">IFERROR(E29/E9,0)</f>
        <v>0</v>
      </c>
      <c r="F134" s="526">
        <f t="shared" si="31"/>
        <v>0</v>
      </c>
      <c r="G134" s="526">
        <f t="shared" ref="G134:N134" si="32">IFERROR(G29/G9,0)</f>
        <v>0</v>
      </c>
      <c r="H134" s="526">
        <f t="shared" si="32"/>
        <v>2.5621301775147929</v>
      </c>
      <c r="I134" s="526">
        <f t="shared" si="32"/>
        <v>-1.0533049040511728</v>
      </c>
      <c r="J134" s="526">
        <f t="shared" si="32"/>
        <v>-0.58518518518518525</v>
      </c>
      <c r="K134" s="526">
        <f t="shared" si="32"/>
        <v>3.2100488485694349E-2</v>
      </c>
      <c r="L134" s="526">
        <f t="shared" si="32"/>
        <v>0.34675710046629926</v>
      </c>
      <c r="M134" s="526">
        <f t="shared" si="32"/>
        <v>0.39971397926349661</v>
      </c>
      <c r="N134" s="526">
        <f t="shared" si="32"/>
        <v>0</v>
      </c>
      <c r="O134" s="524">
        <f t="shared" ref="O134:O148" si="33">IF($C134="","",IFERROR(AVERAGE(K134:M134),"NA"))</f>
        <v>0.25952385607183009</v>
      </c>
    </row>
    <row r="135" spans="1:15">
      <c r="A135" s="110">
        <v>5</v>
      </c>
      <c r="B135" s="406" t="str">
        <f>IF($C135="","",IFERROR('Comps'!B14,"DELETE"))</f>
        <v>Pt Goto Gojek Tokopedia Tbk</v>
      </c>
      <c r="C135" s="13" t="str">
        <f>IF('Comps'!C14="","",'Comps'!C14)</f>
        <v>IDX: GOTO</v>
      </c>
      <c r="D135" s="526">
        <f t="shared" ref="D135:N135" si="34">IFERROR(D30/D10,0)</f>
        <v>0</v>
      </c>
      <c r="E135" s="526">
        <f t="shared" si="34"/>
        <v>0</v>
      </c>
      <c r="F135" s="526">
        <f t="shared" si="34"/>
        <v>0</v>
      </c>
      <c r="G135" s="526">
        <f t="shared" si="34"/>
        <v>-0.11613067929401838</v>
      </c>
      <c r="H135" s="526">
        <f t="shared" si="34"/>
        <v>-0.20713600447145183</v>
      </c>
      <c r="I135" s="526">
        <f t="shared" si="34"/>
        <v>0.26724832302319451</v>
      </c>
      <c r="J135" s="526">
        <f t="shared" si="34"/>
        <v>0.16756714429308719</v>
      </c>
      <c r="K135" s="526">
        <f t="shared" si="34"/>
        <v>0.51714782013956828</v>
      </c>
      <c r="L135" s="526">
        <f t="shared" si="34"/>
        <v>0.65552860756264042</v>
      </c>
      <c r="M135" s="526">
        <f t="shared" si="34"/>
        <v>0.53358647605897347</v>
      </c>
      <c r="N135" s="526">
        <f t="shared" si="34"/>
        <v>0</v>
      </c>
      <c r="O135" s="524">
        <f t="shared" si="33"/>
        <v>0.56875430125372739</v>
      </c>
    </row>
    <row r="136" spans="1:15">
      <c r="A136" s="110">
        <v>6</v>
      </c>
      <c r="B136" s="406" t="str">
        <f>IF($C136="","",IFERROR('Comps'!B15,"DELETE"))</f>
        <v>Sea Limited</v>
      </c>
      <c r="C136" s="13" t="str">
        <f>IF('Comps'!C15="","",'Comps'!C15)</f>
        <v>NYSE: SE</v>
      </c>
      <c r="D136" s="526">
        <f t="shared" ref="D136:N136" si="35">IFERROR(D31/D11,0)</f>
        <v>0.36911037642754169</v>
      </c>
      <c r="E136" s="526">
        <f t="shared" si="35"/>
        <v>0.32710966918188944</v>
      </c>
      <c r="F136" s="526">
        <f t="shared" si="35"/>
        <v>0.21080179988507874</v>
      </c>
      <c r="G136" s="526">
        <f t="shared" si="35"/>
        <v>1.7845912995000816E-2</v>
      </c>
      <c r="H136" s="526">
        <f t="shared" si="35"/>
        <v>0.27807580964029582</v>
      </c>
      <c r="I136" s="526">
        <f t="shared" si="35"/>
        <v>0.30827435504634804</v>
      </c>
      <c r="J136" s="526">
        <f t="shared" si="35"/>
        <v>0.39132703640142497</v>
      </c>
      <c r="K136" s="526">
        <f t="shared" si="35"/>
        <v>0.41649798129178256</v>
      </c>
      <c r="L136" s="526">
        <f t="shared" si="35"/>
        <v>0.44655874798968104</v>
      </c>
      <c r="M136" s="526">
        <f t="shared" si="35"/>
        <v>0.42836774101315966</v>
      </c>
      <c r="N136" s="526">
        <f t="shared" si="35"/>
        <v>0</v>
      </c>
      <c r="O136" s="524">
        <f t="shared" si="33"/>
        <v>0.43047482343154114</v>
      </c>
    </row>
    <row r="137" spans="1:15">
      <c r="A137" s="110">
        <v>7</v>
      </c>
      <c r="B137" s="406" t="str">
        <f>IF($C137="","",IFERROR('Comps'!B16,"DELETE"))</f>
        <v>Uber Technologies, Inc.</v>
      </c>
      <c r="C137" s="13" t="str">
        <f>IF('Comps'!C16="","",'Comps'!C16)</f>
        <v>NYSE:UBER</v>
      </c>
      <c r="D137" s="526">
        <f t="shared" ref="D137:N137" si="36">IFERROR(D32/D12,0)</f>
        <v>0</v>
      </c>
      <c r="E137" s="526">
        <f t="shared" si="36"/>
        <v>0.19141742522756824</v>
      </c>
      <c r="F137" s="526">
        <f t="shared" si="36"/>
        <v>0.30484114977307109</v>
      </c>
      <c r="G137" s="526">
        <f t="shared" si="36"/>
        <v>0.39595514233681584</v>
      </c>
      <c r="H137" s="526">
        <f t="shared" si="36"/>
        <v>0.35669230769230775</v>
      </c>
      <c r="I137" s="526">
        <f t="shared" si="36"/>
        <v>0.38944249932669006</v>
      </c>
      <c r="J137" s="526">
        <f t="shared" si="36"/>
        <v>0.35674591807505013</v>
      </c>
      <c r="K137" s="526">
        <f t="shared" si="36"/>
        <v>0.30758854346393949</v>
      </c>
      <c r="L137" s="526">
        <f t="shared" si="36"/>
        <v>0.32550092540436149</v>
      </c>
      <c r="M137" s="526">
        <f t="shared" si="36"/>
        <v>0.33187048069489289</v>
      </c>
      <c r="N137" s="526">
        <f t="shared" si="36"/>
        <v>0</v>
      </c>
      <c r="O137" s="524">
        <f t="shared" si="33"/>
        <v>0.3216533165210646</v>
      </c>
    </row>
    <row r="138" spans="1:15">
      <c r="A138" s="110">
        <v>8</v>
      </c>
      <c r="B138" s="406" t="str">
        <f>IF($C138="","",IFERROR('Comps'!B17,"DELETE"))</f>
        <v>Lyft, Inc.</v>
      </c>
      <c r="C138" s="13" t="str">
        <f>IF('Comps'!C17="","",'Comps'!C17)</f>
        <v>NASDAQGS:LYFT</v>
      </c>
      <c r="D138" s="526">
        <f t="shared" ref="D138:N138" si="37">IFERROR(D33/D13,0)</f>
        <v>0</v>
      </c>
      <c r="E138" s="526">
        <f t="shared" si="37"/>
        <v>-9.7853758289660919E-2</v>
      </c>
      <c r="F138" s="526">
        <f t="shared" si="37"/>
        <v>0.20458429159038943</v>
      </c>
      <c r="G138" s="526">
        <f t="shared" si="37"/>
        <v>0.26653516314530751</v>
      </c>
      <c r="H138" s="526">
        <f t="shared" si="37"/>
        <v>0.22267253997551079</v>
      </c>
      <c r="I138" s="526">
        <f t="shared" si="37"/>
        <v>0.22540672582076143</v>
      </c>
      <c r="J138" s="526">
        <f t="shared" si="37"/>
        <v>0.34403425035977625</v>
      </c>
      <c r="K138" s="526">
        <f t="shared" si="37"/>
        <v>0.30182643580988788</v>
      </c>
      <c r="L138" s="526">
        <f t="shared" si="37"/>
        <v>0.33148143492451704</v>
      </c>
      <c r="M138" s="526">
        <f t="shared" si="37"/>
        <v>0.35257662639218268</v>
      </c>
      <c r="N138" s="526">
        <f t="shared" si="37"/>
        <v>0</v>
      </c>
      <c r="O138" s="524">
        <f t="shared" si="33"/>
        <v>0.3286281657088625</v>
      </c>
    </row>
    <row r="139" spans="1:15">
      <c r="A139" s="110">
        <v>9</v>
      </c>
      <c r="B139" s="406" t="str">
        <f>IF($C139="","",IFERROR('Comps'!B18,"DELETE"))</f>
        <v>Didi Global Inc.</v>
      </c>
      <c r="C139" s="13" t="str">
        <f>IF('Comps'!C18="","",'Comps'!C18)</f>
        <v>OTCPK:DIDI.Y</v>
      </c>
      <c r="D139" s="526">
        <f t="shared" ref="D139:N139" si="38">IFERROR(D34/D14,0)</f>
        <v>0</v>
      </c>
      <c r="E139" s="526">
        <f t="shared" si="38"/>
        <v>0</v>
      </c>
      <c r="F139" s="526">
        <f t="shared" si="38"/>
        <v>0</v>
      </c>
      <c r="G139" s="526">
        <f t="shared" si="38"/>
        <v>2.7945030748317862E-2</v>
      </c>
      <c r="H139" s="526">
        <f t="shared" si="38"/>
        <v>7.134655489569304E-2</v>
      </c>
      <c r="I139" s="526">
        <f t="shared" si="38"/>
        <v>7.9135293668179882E-2</v>
      </c>
      <c r="J139" s="526">
        <f t="shared" si="38"/>
        <v>5.4299586787347323E-2</v>
      </c>
      <c r="K139" s="526">
        <f t="shared" si="38"/>
        <v>0.1313529082932185</v>
      </c>
      <c r="L139" s="526">
        <f t="shared" si="38"/>
        <v>0.1146045711929351</v>
      </c>
      <c r="M139" s="526">
        <f t="shared" si="38"/>
        <v>0.14459259159771459</v>
      </c>
      <c r="N139" s="526">
        <f t="shared" si="38"/>
        <v>0</v>
      </c>
      <c r="O139" s="524">
        <f t="shared" si="33"/>
        <v>0.13018335702795605</v>
      </c>
    </row>
    <row r="140" spans="1:15">
      <c r="A140" s="110">
        <v>10</v>
      </c>
      <c r="B140" s="406" t="str">
        <f>IF($C140="","",IFERROR('Comps'!B19,"DELETE"))</f>
        <v>Meituan</v>
      </c>
      <c r="C140" s="13" t="str">
        <f>IF('Comps'!C19="","",'Comps'!C19)</f>
        <v>SEHK:3690</v>
      </c>
      <c r="D140" s="526">
        <f t="shared" ref="D140:N140" si="39">IFERROR(D35/D15,0)</f>
        <v>0.69158581508258188</v>
      </c>
      <c r="E140" s="526">
        <f t="shared" si="39"/>
        <v>0.45743769251393579</v>
      </c>
      <c r="F140" s="526">
        <f t="shared" si="39"/>
        <v>0.36016000609585297</v>
      </c>
      <c r="G140" s="526">
        <f t="shared" si="39"/>
        <v>0.22616349174277481</v>
      </c>
      <c r="H140" s="526">
        <f t="shared" si="39"/>
        <v>0.32596176777007346</v>
      </c>
      <c r="I140" s="526">
        <f t="shared" si="39"/>
        <v>0.2966182095425447</v>
      </c>
      <c r="J140" s="526">
        <f t="shared" si="39"/>
        <v>0.2371160774517751</v>
      </c>
      <c r="K140" s="526">
        <f t="shared" si="39"/>
        <v>0.28075285212911466</v>
      </c>
      <c r="L140" s="526">
        <f t="shared" si="39"/>
        <v>0.35119397690816329</v>
      </c>
      <c r="M140" s="526">
        <f t="shared" si="39"/>
        <v>0.38444263191261568</v>
      </c>
      <c r="N140" s="526">
        <f t="shared" si="39"/>
        <v>0</v>
      </c>
      <c r="O140" s="524">
        <f t="shared" si="33"/>
        <v>0.33879648698329784</v>
      </c>
    </row>
    <row r="141" spans="1:15">
      <c r="A141" s="110">
        <v>11</v>
      </c>
      <c r="B141" s="406" t="str">
        <f>IF($C141="","",IFERROR('Comps'!B20,"DELETE"))</f>
        <v>Delivery Hero Se</v>
      </c>
      <c r="C141" s="13" t="str">
        <f>IF('Comps'!C20="","",'Comps'!C20)</f>
        <v>XTRA:DHER</v>
      </c>
      <c r="D141" s="526">
        <f t="shared" ref="D141:N141" si="40">IFERROR(D36/D16,0)</f>
        <v>0.82349824293575946</v>
      </c>
      <c r="E141" s="526">
        <f t="shared" si="40"/>
        <v>0.73370129233692438</v>
      </c>
      <c r="F141" s="526">
        <f t="shared" si="40"/>
        <v>0.61736830457513481</v>
      </c>
      <c r="G141" s="526">
        <f t="shared" si="40"/>
        <v>0.5218764099929063</v>
      </c>
      <c r="H141" s="526">
        <f t="shared" si="40"/>
        <v>0.25145442840948384</v>
      </c>
      <c r="I141" s="526">
        <f t="shared" si="40"/>
        <v>0.19988672689213563</v>
      </c>
      <c r="J141" s="526">
        <f t="shared" si="40"/>
        <v>0.21483707908049632</v>
      </c>
      <c r="K141" s="526">
        <f t="shared" si="40"/>
        <v>0.26019843052546665</v>
      </c>
      <c r="L141" s="526">
        <f t="shared" si="40"/>
        <v>0.29900723231205212</v>
      </c>
      <c r="M141" s="526">
        <f t="shared" si="40"/>
        <v>0.27078334554080391</v>
      </c>
      <c r="N141" s="526">
        <f t="shared" si="40"/>
        <v>0</v>
      </c>
      <c r="O141" s="524">
        <f t="shared" si="33"/>
        <v>0.27666300279277428</v>
      </c>
    </row>
    <row r="142" spans="1:15">
      <c r="A142" s="110">
        <v>12</v>
      </c>
      <c r="B142" s="406" t="str">
        <f>IF($C142="","",IFERROR('Comps'!B21,"DELETE"))</f>
        <v>Doordash, Inc.</v>
      </c>
      <c r="C142" s="13" t="str">
        <f>IF('Comps'!C21="","",'Comps'!C21)</f>
        <v>NASDAQGS:DASH</v>
      </c>
      <c r="D142" s="526">
        <f t="shared" ref="D142:N142" si="41">IFERROR(D37/D17,0)</f>
        <v>0</v>
      </c>
      <c r="E142" s="526">
        <f t="shared" si="41"/>
        <v>0</v>
      </c>
      <c r="F142" s="526">
        <f t="shared" si="41"/>
        <v>0</v>
      </c>
      <c r="G142" s="526">
        <f t="shared" si="41"/>
        <v>0.25085910652920962</v>
      </c>
      <c r="H142" s="526">
        <f t="shared" si="41"/>
        <v>0.44180790960451971</v>
      </c>
      <c r="I142" s="526">
        <f t="shared" si="41"/>
        <v>0.54192654192654188</v>
      </c>
      <c r="J142" s="526">
        <f t="shared" si="41"/>
        <v>0.53559738134206225</v>
      </c>
      <c r="K142" s="526">
        <f t="shared" si="41"/>
        <v>0.46847941667932547</v>
      </c>
      <c r="L142" s="526">
        <f t="shared" si="41"/>
        <v>0.48222350897510136</v>
      </c>
      <c r="M142" s="526">
        <f t="shared" si="41"/>
        <v>0.49421749673568366</v>
      </c>
      <c r="N142" s="526">
        <f t="shared" si="41"/>
        <v>0</v>
      </c>
      <c r="O142" s="524">
        <f t="shared" si="33"/>
        <v>0.48164014079670348</v>
      </c>
    </row>
    <row r="143" spans="1:15">
      <c r="A143" s="110">
        <v>13</v>
      </c>
      <c r="B143" s="406" t="str">
        <f>IF($C143="","",IFERROR('Comps'!B22,"DELETE"))</f>
        <v>Talabat Holding Plc</v>
      </c>
      <c r="C143" s="13" t="str">
        <f>IF('Comps'!C22="","",'Comps'!C22)</f>
        <v>DFM:TALABAT</v>
      </c>
      <c r="D143" s="526">
        <f t="shared" ref="D143:N143" si="42">IFERROR(D38/D18,0)</f>
        <v>0</v>
      </c>
      <c r="E143" s="526">
        <f t="shared" si="42"/>
        <v>0</v>
      </c>
      <c r="F143" s="526">
        <f t="shared" si="42"/>
        <v>0</v>
      </c>
      <c r="G143" s="526">
        <f t="shared" si="42"/>
        <v>0</v>
      </c>
      <c r="H143" s="526">
        <f t="shared" si="42"/>
        <v>0</v>
      </c>
      <c r="I143" s="526">
        <f t="shared" si="42"/>
        <v>0</v>
      </c>
      <c r="J143" s="526">
        <f t="shared" si="42"/>
        <v>0</v>
      </c>
      <c r="K143" s="526">
        <f t="shared" si="42"/>
        <v>0.36364100104307046</v>
      </c>
      <c r="L143" s="526">
        <f t="shared" si="42"/>
        <v>0.37440898614963475</v>
      </c>
      <c r="M143" s="526">
        <f t="shared" si="42"/>
        <v>0.31827996709291972</v>
      </c>
      <c r="N143" s="526">
        <f t="shared" si="42"/>
        <v>0</v>
      </c>
      <c r="O143" s="524">
        <f t="shared" si="33"/>
        <v>0.35210998476187499</v>
      </c>
    </row>
    <row r="144" spans="1:15">
      <c r="A144" s="110">
        <v>14</v>
      </c>
      <c r="B144" s="406" t="e">
        <f>IF($C144="","",IFERROR('Comps'!#REF!,"DELETE"))</f>
        <v>#REF!</v>
      </c>
      <c r="C144" s="13" t="e">
        <f>IF('Comps'!#REF!="","",'Comps'!#REF!)</f>
        <v>#REF!</v>
      </c>
      <c r="D144" s="526">
        <f t="shared" ref="D144:N144" si="43">IFERROR(D39/D19,0)</f>
        <v>0</v>
      </c>
      <c r="E144" s="526">
        <f t="shared" si="43"/>
        <v>0</v>
      </c>
      <c r="F144" s="526">
        <f t="shared" si="43"/>
        <v>0</v>
      </c>
      <c r="G144" s="526">
        <f t="shared" si="43"/>
        <v>0</v>
      </c>
      <c r="H144" s="526">
        <f t="shared" si="43"/>
        <v>0</v>
      </c>
      <c r="I144" s="526">
        <f t="shared" si="43"/>
        <v>0</v>
      </c>
      <c r="J144" s="526">
        <f t="shared" si="43"/>
        <v>0</v>
      </c>
      <c r="K144" s="526">
        <f t="shared" si="43"/>
        <v>0</v>
      </c>
      <c r="L144" s="526">
        <f t="shared" si="43"/>
        <v>0</v>
      </c>
      <c r="M144" s="526">
        <f t="shared" si="43"/>
        <v>0</v>
      </c>
      <c r="N144" s="526">
        <f t="shared" si="43"/>
        <v>0</v>
      </c>
      <c r="O144" s="524" t="e">
        <f t="shared" si="33"/>
        <v>#REF!</v>
      </c>
    </row>
    <row r="145" spans="1:15">
      <c r="A145" s="110">
        <v>15</v>
      </c>
      <c r="B145" s="406" t="e">
        <f>IF($C145="","",IFERROR('Comps'!#REF!,"DELETE"))</f>
        <v>#REF!</v>
      </c>
      <c r="C145" s="13" t="e">
        <f>IF('Comps'!#REF!="","",'Comps'!#REF!)</f>
        <v>#REF!</v>
      </c>
      <c r="D145" s="526">
        <f t="shared" ref="D145:N145" si="44">IFERROR(D40/D20,0)</f>
        <v>0</v>
      </c>
      <c r="E145" s="526">
        <f t="shared" si="44"/>
        <v>0</v>
      </c>
      <c r="F145" s="526">
        <f t="shared" si="44"/>
        <v>0</v>
      </c>
      <c r="G145" s="526">
        <f t="shared" si="44"/>
        <v>0</v>
      </c>
      <c r="H145" s="526">
        <f t="shared" si="44"/>
        <v>0</v>
      </c>
      <c r="I145" s="526">
        <f t="shared" si="44"/>
        <v>0</v>
      </c>
      <c r="J145" s="526">
        <f t="shared" si="44"/>
        <v>0</v>
      </c>
      <c r="K145" s="526">
        <f t="shared" si="44"/>
        <v>0</v>
      </c>
      <c r="L145" s="526">
        <f t="shared" si="44"/>
        <v>0</v>
      </c>
      <c r="M145" s="526">
        <f t="shared" si="44"/>
        <v>0</v>
      </c>
      <c r="N145" s="526">
        <f t="shared" si="44"/>
        <v>0</v>
      </c>
      <c r="O145" s="524" t="e">
        <f t="shared" si="33"/>
        <v>#REF!</v>
      </c>
    </row>
    <row r="146" spans="1:15">
      <c r="A146" s="110">
        <v>16</v>
      </c>
      <c r="B146" s="406" t="e">
        <f>IF($C146="","",IFERROR('Comps'!#REF!,"DELETE"))</f>
        <v>#REF!</v>
      </c>
      <c r="C146" s="13" t="e">
        <f>IF('Comps'!#REF!="","",'Comps'!#REF!)</f>
        <v>#REF!</v>
      </c>
      <c r="D146" s="526">
        <f t="shared" ref="D146:N146" si="45">IFERROR(D41/D21,0)</f>
        <v>0</v>
      </c>
      <c r="E146" s="526">
        <f t="shared" si="45"/>
        <v>0</v>
      </c>
      <c r="F146" s="526">
        <f t="shared" si="45"/>
        <v>0</v>
      </c>
      <c r="G146" s="526">
        <f t="shared" si="45"/>
        <v>0</v>
      </c>
      <c r="H146" s="526">
        <f t="shared" si="45"/>
        <v>0</v>
      </c>
      <c r="I146" s="526">
        <f t="shared" si="45"/>
        <v>0</v>
      </c>
      <c r="J146" s="526">
        <f t="shared" si="45"/>
        <v>0</v>
      </c>
      <c r="K146" s="526">
        <f t="shared" si="45"/>
        <v>0</v>
      </c>
      <c r="L146" s="526">
        <f t="shared" si="45"/>
        <v>0</v>
      </c>
      <c r="M146" s="526">
        <f t="shared" si="45"/>
        <v>0</v>
      </c>
      <c r="N146" s="526">
        <f t="shared" si="45"/>
        <v>0</v>
      </c>
      <c r="O146" s="524" t="e">
        <f t="shared" si="33"/>
        <v>#REF!</v>
      </c>
    </row>
    <row r="147" spans="1:15">
      <c r="A147" s="110">
        <v>17</v>
      </c>
      <c r="B147" s="406" t="e">
        <f>IF($C147="","",IFERROR('Comps'!#REF!,"DELETE"))</f>
        <v>#REF!</v>
      </c>
      <c r="C147" s="13" t="e">
        <f>IF('Comps'!#REF!="","",'Comps'!#REF!)</f>
        <v>#REF!</v>
      </c>
      <c r="D147" s="526">
        <f t="shared" ref="D147:N147" si="46">IFERROR(D42/D22,0)</f>
        <v>0</v>
      </c>
      <c r="E147" s="526">
        <f t="shared" si="46"/>
        <v>0</v>
      </c>
      <c r="F147" s="526">
        <f t="shared" si="46"/>
        <v>0</v>
      </c>
      <c r="G147" s="526">
        <f t="shared" si="46"/>
        <v>0</v>
      </c>
      <c r="H147" s="526">
        <f t="shared" si="46"/>
        <v>0</v>
      </c>
      <c r="I147" s="526">
        <f t="shared" si="46"/>
        <v>0</v>
      </c>
      <c r="J147" s="526">
        <f t="shared" si="46"/>
        <v>0</v>
      </c>
      <c r="K147" s="526">
        <f t="shared" si="46"/>
        <v>0</v>
      </c>
      <c r="L147" s="526">
        <f t="shared" si="46"/>
        <v>0</v>
      </c>
      <c r="M147" s="526">
        <f t="shared" si="46"/>
        <v>0</v>
      </c>
      <c r="N147" s="526">
        <f t="shared" si="46"/>
        <v>0</v>
      </c>
      <c r="O147" s="524" t="e">
        <f t="shared" si="33"/>
        <v>#REF!</v>
      </c>
    </row>
    <row r="148" spans="1:15">
      <c r="A148" s="110">
        <v>18</v>
      </c>
      <c r="B148" s="406" t="e">
        <f>IF($C148="","",IFERROR('Comps'!#REF!,"DELETE"))</f>
        <v>#REF!</v>
      </c>
      <c r="C148" s="13" t="e">
        <f>IF('Comps'!#REF!="","",'Comps'!#REF!)</f>
        <v>#REF!</v>
      </c>
      <c r="D148" s="526">
        <f t="shared" ref="D148:N148" si="47">IFERROR(D43/D23,0)</f>
        <v>0</v>
      </c>
      <c r="E148" s="526">
        <f t="shared" si="47"/>
        <v>0</v>
      </c>
      <c r="F148" s="526">
        <f t="shared" si="47"/>
        <v>0</v>
      </c>
      <c r="G148" s="526">
        <f t="shared" si="47"/>
        <v>0</v>
      </c>
      <c r="H148" s="526">
        <f t="shared" si="47"/>
        <v>0</v>
      </c>
      <c r="I148" s="526">
        <f t="shared" si="47"/>
        <v>0</v>
      </c>
      <c r="J148" s="526">
        <f t="shared" si="47"/>
        <v>0</v>
      </c>
      <c r="K148" s="526">
        <f t="shared" si="47"/>
        <v>0</v>
      </c>
      <c r="L148" s="526">
        <f t="shared" si="47"/>
        <v>0</v>
      </c>
      <c r="M148" s="526">
        <f t="shared" si="47"/>
        <v>0</v>
      </c>
      <c r="N148" s="526">
        <f t="shared" si="47"/>
        <v>0</v>
      </c>
      <c r="O148" s="524" t="e">
        <f t="shared" si="33"/>
        <v>#REF!</v>
      </c>
    </row>
    <row r="149" spans="1:15" ht="4.3499999999999996" customHeight="1" thickBot="1">
      <c r="A149" s="110">
        <v>19</v>
      </c>
      <c r="B149" s="338"/>
      <c r="C149" s="339"/>
      <c r="D149" s="341"/>
      <c r="E149" s="341"/>
      <c r="F149" s="341"/>
      <c r="G149" s="341"/>
      <c r="H149" s="341"/>
      <c r="I149" s="341"/>
      <c r="J149" s="341"/>
      <c r="K149" s="341"/>
      <c r="L149" s="341"/>
      <c r="M149" s="341"/>
      <c r="N149" s="341"/>
      <c r="O149" s="342"/>
    </row>
    <row r="150" spans="1:15">
      <c r="A150" s="110">
        <v>20</v>
      </c>
      <c r="B150" s="595" t="s">
        <v>1147</v>
      </c>
      <c r="D150" s="99"/>
      <c r="E150" s="99"/>
      <c r="F150" s="99"/>
      <c r="G150" s="99"/>
      <c r="H150" s="99"/>
      <c r="I150" s="99"/>
      <c r="J150" s="99"/>
      <c r="K150" s="99"/>
      <c r="L150" s="99"/>
      <c r="M150" s="99"/>
      <c r="N150" s="99"/>
      <c r="O150" s="98"/>
    </row>
    <row r="151" spans="1:15">
      <c r="A151" s="110">
        <v>21</v>
      </c>
      <c r="B151" t="s">
        <v>1150</v>
      </c>
      <c r="D151" s="528">
        <f>MAX(D134:D149)</f>
        <v>0.82349824293575946</v>
      </c>
      <c r="E151" s="528">
        <f t="shared" ref="E151:H151" si="48">MAX(E134:E149)</f>
        <v>0.73370129233692438</v>
      </c>
      <c r="F151" s="528">
        <f t="shared" si="48"/>
        <v>0.61736830457513481</v>
      </c>
      <c r="G151" s="528">
        <f t="shared" si="48"/>
        <v>0.5218764099929063</v>
      </c>
      <c r="H151" s="528">
        <f t="shared" si="48"/>
        <v>2.5621301775147929</v>
      </c>
      <c r="I151" s="528">
        <f>MAX(I134:I149)</f>
        <v>0.54192654192654188</v>
      </c>
      <c r="J151" s="528">
        <f t="shared" ref="J151:N151" si="49">MAX(J134:J149)</f>
        <v>0.53559738134206225</v>
      </c>
      <c r="K151" s="528">
        <f t="shared" si="49"/>
        <v>0.51714782013956828</v>
      </c>
      <c r="L151" s="528">
        <f t="shared" si="49"/>
        <v>0.65552860756264042</v>
      </c>
      <c r="M151" s="528">
        <f t="shared" si="49"/>
        <v>0.53358647605897347</v>
      </c>
      <c r="N151" s="528">
        <f t="shared" si="49"/>
        <v>0</v>
      </c>
    </row>
    <row r="152" spans="1:15">
      <c r="A152" s="110">
        <v>22</v>
      </c>
      <c r="B152" t="s">
        <v>1151</v>
      </c>
      <c r="D152" s="528">
        <f t="shared" ref="D152:H152" si="50">MIN(D134:D149)</f>
        <v>0</v>
      </c>
      <c r="E152" s="528">
        <f t="shared" si="50"/>
        <v>-9.7853758289660919E-2</v>
      </c>
      <c r="F152" s="528">
        <f t="shared" si="50"/>
        <v>0</v>
      </c>
      <c r="G152" s="528">
        <f t="shared" si="50"/>
        <v>-0.11613067929401838</v>
      </c>
      <c r="H152" s="528">
        <f t="shared" si="50"/>
        <v>-0.20713600447145183</v>
      </c>
      <c r="I152" s="528">
        <f t="shared" ref="I152:N152" si="51">MIN(I134:I149)</f>
        <v>-1.0533049040511728</v>
      </c>
      <c r="J152" s="528">
        <f t="shared" si="51"/>
        <v>-0.58518518518518525</v>
      </c>
      <c r="K152" s="528">
        <f t="shared" si="51"/>
        <v>0</v>
      </c>
      <c r="L152" s="528">
        <f t="shared" si="51"/>
        <v>0</v>
      </c>
      <c r="M152" s="528">
        <f t="shared" si="51"/>
        <v>0</v>
      </c>
      <c r="N152" s="528">
        <f t="shared" si="51"/>
        <v>0</v>
      </c>
    </row>
    <row r="153" spans="1:15">
      <c r="A153" s="110"/>
      <c r="D153" s="528"/>
      <c r="E153" s="528"/>
      <c r="F153" s="528"/>
      <c r="G153" s="528"/>
      <c r="H153" s="528"/>
      <c r="I153" s="528"/>
      <c r="J153" s="528"/>
      <c r="K153" s="528"/>
      <c r="L153" s="528"/>
      <c r="M153" s="528"/>
      <c r="N153" s="528"/>
    </row>
    <row r="154" spans="1:15">
      <c r="A154" s="110">
        <v>1</v>
      </c>
      <c r="D154" s="527" t="str">
        <f t="shared" ref="D154:M154" si="52">"FY"&amp;RIGHT(D156,2)</f>
        <v>FY15</v>
      </c>
      <c r="E154" s="527" t="str">
        <f t="shared" si="52"/>
        <v>FY16</v>
      </c>
      <c r="F154" s="527" t="str">
        <f t="shared" si="52"/>
        <v>FY17</v>
      </c>
      <c r="G154" s="527" t="str">
        <f t="shared" si="52"/>
        <v>FY18</v>
      </c>
      <c r="H154" s="527" t="str">
        <f t="shared" si="52"/>
        <v>FY19</v>
      </c>
      <c r="I154" s="527" t="str">
        <f t="shared" si="52"/>
        <v>FY20</v>
      </c>
      <c r="J154" s="527" t="str">
        <f t="shared" si="52"/>
        <v>FY21</v>
      </c>
      <c r="K154" s="527" t="str">
        <f t="shared" si="52"/>
        <v>FY22</v>
      </c>
      <c r="L154" s="527" t="str">
        <f t="shared" si="52"/>
        <v>FY23</v>
      </c>
      <c r="M154" s="527" t="str">
        <f t="shared" si="52"/>
        <v>FY24</v>
      </c>
      <c r="N154" s="527" t="str">
        <f>"FY"&amp;RIGHT(N156,2)</f>
        <v>FY25</v>
      </c>
    </row>
    <row r="155" spans="1:15" ht="10.5">
      <c r="A155" s="110">
        <v>2</v>
      </c>
      <c r="B155" s="596" t="s">
        <v>110</v>
      </c>
      <c r="C155" s="596"/>
      <c r="D155" s="597"/>
      <c r="E155" s="597"/>
      <c r="F155" s="597"/>
      <c r="G155" s="597"/>
      <c r="H155" s="597"/>
      <c r="I155" s="597"/>
      <c r="J155" s="597"/>
      <c r="K155" s="597"/>
      <c r="L155" s="597"/>
      <c r="M155" s="597"/>
      <c r="N155" s="597"/>
      <c r="O155" s="596"/>
    </row>
    <row r="156" spans="1:15" ht="10.5">
      <c r="A156" s="110">
        <v>3</v>
      </c>
      <c r="B156" s="401" t="s">
        <v>777</v>
      </c>
      <c r="C156" s="402" t="s">
        <v>179</v>
      </c>
      <c r="D156" s="634" t="str">
        <f>D$8</f>
        <v>FY2015</v>
      </c>
      <c r="E156" s="634" t="str">
        <f t="shared" ref="E156:N156" si="53">E$8</f>
        <v>FY2016</v>
      </c>
      <c r="F156" s="634" t="str">
        <f t="shared" si="53"/>
        <v>FY2017</v>
      </c>
      <c r="G156" s="634" t="str">
        <f t="shared" si="53"/>
        <v>FY2018</v>
      </c>
      <c r="H156" s="634" t="str">
        <f t="shared" si="53"/>
        <v>FY2019</v>
      </c>
      <c r="I156" s="634" t="str">
        <f t="shared" si="53"/>
        <v>FY2020</v>
      </c>
      <c r="J156" s="634" t="str">
        <f t="shared" si="53"/>
        <v>FY2021</v>
      </c>
      <c r="K156" s="634" t="str">
        <f t="shared" si="53"/>
        <v>FY2022</v>
      </c>
      <c r="L156" s="634" t="str">
        <f t="shared" si="53"/>
        <v>FY2023</v>
      </c>
      <c r="M156" s="634" t="str">
        <f t="shared" si="53"/>
        <v>FY2024</v>
      </c>
      <c r="N156" s="634" t="str">
        <f t="shared" si="53"/>
        <v>FY2025</v>
      </c>
      <c r="O156" s="433" t="s">
        <v>1149</v>
      </c>
    </row>
    <row r="157" spans="1:15">
      <c r="A157" s="110">
        <v>4</v>
      </c>
      <c r="B157" s="406" t="str">
        <f>IF($C157="","",IFERROR('Comps'!B13,"DELETE"))</f>
        <v>Grab Holdings Limited</v>
      </c>
      <c r="C157" s="13" t="str">
        <f>IF('Comps'!C13="","",'Comps'!C13)</f>
        <v>NASDAQGS:GRAB</v>
      </c>
      <c r="D157" s="526">
        <f>IFERROR(D49/D9,0)</f>
        <v>0</v>
      </c>
      <c r="E157" s="526">
        <f t="shared" ref="E157:N157" si="54">IFERROR(E49/E9,0)</f>
        <v>0</v>
      </c>
      <c r="F157" s="526">
        <f t="shared" si="54"/>
        <v>0</v>
      </c>
      <c r="G157" s="526">
        <f t="shared" si="54"/>
        <v>0</v>
      </c>
      <c r="H157" s="526">
        <f t="shared" si="54"/>
        <v>2.7621301775147926</v>
      </c>
      <c r="I157" s="526">
        <f t="shared" si="54"/>
        <v>-1.9019189765458422</v>
      </c>
      <c r="J157" s="526">
        <f t="shared" si="54"/>
        <v>-1.7925925925925927</v>
      </c>
      <c r="K157" s="526">
        <f t="shared" si="54"/>
        <v>-0.84577808792742493</v>
      </c>
      <c r="L157" s="526">
        <f t="shared" si="54"/>
        <v>-0.13819415006358626</v>
      </c>
      <c r="M157" s="526">
        <f t="shared" si="54"/>
        <v>-3.2177332856632105E-3</v>
      </c>
      <c r="N157" s="526">
        <f t="shared" si="54"/>
        <v>0</v>
      </c>
      <c r="O157" s="524">
        <f t="shared" ref="O157:O171" si="55">IF($C157="","",IFERROR(AVERAGE(K157:M157),"NA"))</f>
        <v>-0.32906332375889147</v>
      </c>
    </row>
    <row r="158" spans="1:15">
      <c r="A158" s="110">
        <v>5</v>
      </c>
      <c r="B158" s="406" t="str">
        <f>IF($C158="","",IFERROR('Comps'!B14,"DELETE"))</f>
        <v>Pt Goto Gojek Tokopedia Tbk</v>
      </c>
      <c r="C158" s="13" t="str">
        <f>IF('Comps'!C14="","",'Comps'!C14)</f>
        <v>IDX: GOTO</v>
      </c>
      <c r="D158" s="526">
        <f t="shared" ref="D158:N158" si="56">IFERROR(D50/D10,0)</f>
        <v>0</v>
      </c>
      <c r="E158" s="526">
        <f t="shared" si="56"/>
        <v>0</v>
      </c>
      <c r="F158" s="526">
        <f t="shared" si="56"/>
        <v>0</v>
      </c>
      <c r="G158" s="526">
        <f t="shared" si="56"/>
        <v>-8.1934311760493816</v>
      </c>
      <c r="H158" s="526">
        <f t="shared" si="56"/>
        <v>-8.949760741512188</v>
      </c>
      <c r="I158" s="526">
        <f t="shared" si="56"/>
        <v>-2.9401104138893319</v>
      </c>
      <c r="J158" s="526">
        <f t="shared" si="56"/>
        <v>-4.6703415476273991</v>
      </c>
      <c r="K158" s="526">
        <f t="shared" si="56"/>
        <v>-2.5576832356525045</v>
      </c>
      <c r="L158" s="526">
        <f t="shared" si="56"/>
        <v>-0.6112617666405471</v>
      </c>
      <c r="M158" s="526">
        <f t="shared" si="56"/>
        <v>-0.12510521144812764</v>
      </c>
      <c r="N158" s="526">
        <f t="shared" si="56"/>
        <v>0</v>
      </c>
      <c r="O158" s="524">
        <f t="shared" si="55"/>
        <v>-1.0980167379137264</v>
      </c>
    </row>
    <row r="159" spans="1:15">
      <c r="A159" s="110">
        <v>6</v>
      </c>
      <c r="B159" s="406" t="str">
        <f>IF($C159="","",IFERROR('Comps'!B15,"DELETE"))</f>
        <v>Sea Limited</v>
      </c>
      <c r="C159" s="13" t="str">
        <f>IF('Comps'!C15="","",'Comps'!C15)</f>
        <v>NYSE: SE</v>
      </c>
      <c r="D159" s="526">
        <f t="shared" ref="D159:N159" si="57">IFERROR(D51/D11,0)</f>
        <v>-0.178448202501549</v>
      </c>
      <c r="E159" s="526">
        <f t="shared" si="57"/>
        <v>-0.46364162176684337</v>
      </c>
      <c r="F159" s="526">
        <f t="shared" si="57"/>
        <v>-1.1118375490970254</v>
      </c>
      <c r="G159" s="526">
        <f t="shared" si="57"/>
        <v>-1.0942067806260756</v>
      </c>
      <c r="H159" s="526">
        <f t="shared" si="57"/>
        <v>-0.35377759452919588</v>
      </c>
      <c r="I159" s="526">
        <f t="shared" si="57"/>
        <v>-0.25654712070788882</v>
      </c>
      <c r="J159" s="526">
        <f t="shared" si="57"/>
        <v>-0.1309897652501002</v>
      </c>
      <c r="K159" s="526">
        <f t="shared" si="57"/>
        <v>-5.656527602856172E-2</v>
      </c>
      <c r="L159" s="526">
        <f t="shared" si="57"/>
        <v>5.9975841175415351E-2</v>
      </c>
      <c r="M159" s="526">
        <f t="shared" si="57"/>
        <v>6.2534683752908216E-2</v>
      </c>
      <c r="N159" s="526">
        <f t="shared" si="57"/>
        <v>0</v>
      </c>
      <c r="O159" s="524">
        <f t="shared" si="55"/>
        <v>2.1981749633253948E-2</v>
      </c>
    </row>
    <row r="160" spans="1:15">
      <c r="A160" s="110">
        <v>7</v>
      </c>
      <c r="B160" s="406" t="str">
        <f>IF($C160="","",IFERROR('Comps'!B16,"DELETE"))</f>
        <v>Uber Technologies, Inc.</v>
      </c>
      <c r="C160" s="13" t="str">
        <f>IF('Comps'!C16="","",'Comps'!C16)</f>
        <v>NYSE:UBER</v>
      </c>
      <c r="D160" s="526">
        <f t="shared" ref="D160:N160" si="58">IFERROR(D52/D12,0)</f>
        <v>0</v>
      </c>
      <c r="E160" s="526">
        <f t="shared" si="58"/>
        <v>-0.70611183355006502</v>
      </c>
      <c r="F160" s="526">
        <f t="shared" si="58"/>
        <v>-0.42372667675239539</v>
      </c>
      <c r="G160" s="526">
        <f t="shared" si="58"/>
        <v>-0.23214799194862457</v>
      </c>
      <c r="H160" s="526">
        <f t="shared" si="58"/>
        <v>-0.62661538461538457</v>
      </c>
      <c r="I160" s="526">
        <f t="shared" si="58"/>
        <v>-0.35245533710386928</v>
      </c>
      <c r="J160" s="526">
        <f t="shared" si="58"/>
        <v>-0.1679747923231166</v>
      </c>
      <c r="K160" s="526">
        <f t="shared" si="58"/>
        <v>-2.7762963892461651E-2</v>
      </c>
      <c r="L160" s="526">
        <f t="shared" si="58"/>
        <v>5.1849467557200719E-2</v>
      </c>
      <c r="M160" s="526">
        <f t="shared" si="58"/>
        <v>8.0403838282777751E-2</v>
      </c>
      <c r="N160" s="526">
        <f t="shared" si="58"/>
        <v>0</v>
      </c>
      <c r="O160" s="524">
        <f t="shared" si="55"/>
        <v>3.4830113982505607E-2</v>
      </c>
    </row>
    <row r="161" spans="1:15">
      <c r="A161" s="110">
        <v>8</v>
      </c>
      <c r="B161" s="406" t="str">
        <f>IF($C161="","",IFERROR('Comps'!B17,"DELETE"))</f>
        <v>Lyft, Inc.</v>
      </c>
      <c r="C161" s="13" t="str">
        <f>IF('Comps'!C17="","",'Comps'!C17)</f>
        <v>NASDAQGS:LYFT</v>
      </c>
      <c r="D161" s="526">
        <f t="shared" ref="D161:N161" si="59">IFERROR(D53/D13,0)</f>
        <v>0</v>
      </c>
      <c r="E161" s="526">
        <f t="shared" si="59"/>
        <v>-2.015962819220257</v>
      </c>
      <c r="F161" s="526">
        <f t="shared" si="59"/>
        <v>-0.66579266789297598</v>
      </c>
      <c r="G161" s="526">
        <f t="shared" si="59"/>
        <v>-0.44345353857135011</v>
      </c>
      <c r="H161" s="526">
        <f t="shared" si="59"/>
        <v>-0.7173892954775597</v>
      </c>
      <c r="I161" s="526">
        <f t="shared" si="59"/>
        <v>-0.67699490793728367</v>
      </c>
      <c r="J161" s="526">
        <f t="shared" si="59"/>
        <v>-0.31040203963710244</v>
      </c>
      <c r="K161" s="526">
        <f t="shared" si="59"/>
        <v>-0.29492800542630215</v>
      </c>
      <c r="L161" s="526">
        <f t="shared" si="59"/>
        <v>-6.1845008708315316E-2</v>
      </c>
      <c r="M161" s="526">
        <f t="shared" si="59"/>
        <v>4.7243213759233698E-3</v>
      </c>
      <c r="N161" s="526">
        <f t="shared" si="59"/>
        <v>0</v>
      </c>
      <c r="O161" s="524">
        <f t="shared" si="55"/>
        <v>-0.11734956425289804</v>
      </c>
    </row>
    <row r="162" spans="1:15">
      <c r="A162" s="110">
        <v>9</v>
      </c>
      <c r="B162" s="406" t="str">
        <f>IF($C162="","",IFERROR('Comps'!B18,"DELETE"))</f>
        <v>Didi Global Inc.</v>
      </c>
      <c r="C162" s="13" t="str">
        <f>IF('Comps'!C18="","",'Comps'!C18)</f>
        <v>OTCPK:DIDI.Y</v>
      </c>
      <c r="D162" s="526">
        <f t="shared" ref="D162:N162" si="60">IFERROR(D54/D14,0)</f>
        <v>0</v>
      </c>
      <c r="E162" s="526">
        <f t="shared" si="60"/>
        <v>0</v>
      </c>
      <c r="F162" s="526">
        <f t="shared" si="60"/>
        <v>0</v>
      </c>
      <c r="G162" s="526">
        <f t="shared" si="60"/>
        <v>-7.1388233276998642E-2</v>
      </c>
      <c r="H162" s="526">
        <f t="shared" si="60"/>
        <v>-2.5853020819104636E-2</v>
      </c>
      <c r="I162" s="526">
        <f t="shared" si="60"/>
        <v>-6.0103600192030877E-2</v>
      </c>
      <c r="J162" s="526">
        <f t="shared" si="60"/>
        <v>-0.22785329635288015</v>
      </c>
      <c r="K162" s="526">
        <f t="shared" si="60"/>
        <v>-8.9699204677111496E-2</v>
      </c>
      <c r="L162" s="526">
        <f t="shared" si="60"/>
        <v>7.1468269302765643E-3</v>
      </c>
      <c r="M162" s="526">
        <f t="shared" si="60"/>
        <v>2.1955227674508339E-2</v>
      </c>
      <c r="N162" s="526">
        <f t="shared" si="60"/>
        <v>0</v>
      </c>
      <c r="O162" s="524">
        <f t="shared" si="55"/>
        <v>-2.0199050024108867E-2</v>
      </c>
    </row>
    <row r="163" spans="1:15">
      <c r="A163" s="110">
        <v>10</v>
      </c>
      <c r="B163" s="406" t="str">
        <f>IF($C163="","",IFERROR('Comps'!B19,"DELETE"))</f>
        <v>Meituan</v>
      </c>
      <c r="C163" s="13" t="str">
        <f>IF('Comps'!C19="","",'Comps'!C19)</f>
        <v>SEHK:3690</v>
      </c>
      <c r="D163" s="526">
        <f t="shared" ref="D163:N163" si="61">IFERROR(D55/D15,0)</f>
        <v>-2.0622939991204623</v>
      </c>
      <c r="E163" s="526">
        <f t="shared" si="61"/>
        <v>-0.44068463595020274</v>
      </c>
      <c r="F163" s="526">
        <f t="shared" si="61"/>
        <v>-0.11343036664661503</v>
      </c>
      <c r="G163" s="526">
        <f t="shared" si="61"/>
        <v>-0.11205541836574688</v>
      </c>
      <c r="H163" s="526">
        <f t="shared" si="61"/>
        <v>3.3713693820906852E-2</v>
      </c>
      <c r="I163" s="526">
        <f t="shared" si="61"/>
        <v>1.2052937084566473E-2</v>
      </c>
      <c r="J163" s="526">
        <f t="shared" si="61"/>
        <v>-0.10851856385917914</v>
      </c>
      <c r="K163" s="526">
        <f t="shared" si="61"/>
        <v>1.549003622706875E-3</v>
      </c>
      <c r="L163" s="526">
        <f t="shared" si="61"/>
        <v>5.0769438858246911E-2</v>
      </c>
      <c r="M163" s="526">
        <f t="shared" si="61"/>
        <v>0.11396273995241415</v>
      </c>
      <c r="N163" s="526">
        <f t="shared" si="61"/>
        <v>0</v>
      </c>
      <c r="O163" s="524">
        <f t="shared" si="55"/>
        <v>5.5427060811122641E-2</v>
      </c>
    </row>
    <row r="164" spans="1:15">
      <c r="A164" s="110">
        <v>11</v>
      </c>
      <c r="B164" s="406" t="str">
        <f>IF($C164="","",IFERROR('Comps'!B20,"DELETE"))</f>
        <v>Delivery Hero Se</v>
      </c>
      <c r="C164" s="13" t="str">
        <f>IF('Comps'!C20="","",'Comps'!C20)</f>
        <v>XTRA:DHER</v>
      </c>
      <c r="D164" s="526">
        <f t="shared" ref="D164:N164" si="62">IFERROR(D56/D16,0)</f>
        <v>-0.93824512859506459</v>
      </c>
      <c r="E164" s="526">
        <f t="shared" si="62"/>
        <v>-0.36736807156027873</v>
      </c>
      <c r="F164" s="526">
        <f t="shared" si="62"/>
        <v>-0.41415032171958571</v>
      </c>
      <c r="G164" s="526">
        <f t="shared" si="62"/>
        <v>-0.24808299763399036</v>
      </c>
      <c r="H164" s="526">
        <f t="shared" si="62"/>
        <v>-0.47228506585367852</v>
      </c>
      <c r="I164" s="526">
        <f t="shared" si="62"/>
        <v>-0.32396132618960499</v>
      </c>
      <c r="J164" s="526">
        <f t="shared" si="62"/>
        <v>-0.24559396163662156</v>
      </c>
      <c r="K164" s="526">
        <f t="shared" si="62"/>
        <v>-0.13461112512573459</v>
      </c>
      <c r="L164" s="526">
        <f t="shared" si="62"/>
        <v>-4.5373620459267627E-2</v>
      </c>
      <c r="M164" s="526">
        <f t="shared" si="62"/>
        <v>-2.2448695055724836E-3</v>
      </c>
      <c r="N164" s="526">
        <f t="shared" si="62"/>
        <v>0</v>
      </c>
      <c r="O164" s="524">
        <f t="shared" si="55"/>
        <v>-6.0743205030191566E-2</v>
      </c>
    </row>
    <row r="165" spans="1:15">
      <c r="A165" s="110">
        <v>12</v>
      </c>
      <c r="B165" s="406" t="str">
        <f>IF($C165="","",IFERROR('Comps'!B21,"DELETE"))</f>
        <v>Doordash, Inc.</v>
      </c>
      <c r="C165" s="13" t="str">
        <f>IF('Comps'!C21="","",'Comps'!C21)</f>
        <v>NASDAQGS:DASH</v>
      </c>
      <c r="D165" s="526">
        <f t="shared" ref="D165:N165" si="63">IFERROR(D57/D17,0)</f>
        <v>0</v>
      </c>
      <c r="E165" s="526">
        <f t="shared" si="63"/>
        <v>0</v>
      </c>
      <c r="F165" s="526">
        <f t="shared" si="63"/>
        <v>0</v>
      </c>
      <c r="G165" s="526">
        <f t="shared" si="63"/>
        <v>-0.7010309278350515</v>
      </c>
      <c r="H165" s="526">
        <f t="shared" si="63"/>
        <v>-0.65988700564971747</v>
      </c>
      <c r="I165" s="526">
        <f t="shared" si="63"/>
        <v>-0.11122661122661122</v>
      </c>
      <c r="J165" s="526">
        <f t="shared" si="63"/>
        <v>-7.1194762684124377E-2</v>
      </c>
      <c r="K165" s="526">
        <f t="shared" si="63"/>
        <v>-0.11362600638006988</v>
      </c>
      <c r="L165" s="526">
        <f t="shared" si="63"/>
        <v>-3.7290098436595254E-2</v>
      </c>
      <c r="M165" s="526">
        <f t="shared" si="63"/>
        <v>2.7513523596343965E-2</v>
      </c>
      <c r="N165" s="526">
        <f t="shared" si="63"/>
        <v>0</v>
      </c>
      <c r="O165" s="524">
        <f t="shared" si="55"/>
        <v>-4.1134193740107051E-2</v>
      </c>
    </row>
    <row r="166" spans="1:15">
      <c r="A166" s="110">
        <v>13</v>
      </c>
      <c r="B166" s="406" t="str">
        <f>IF($C166="","",IFERROR('Comps'!B22,"DELETE"))</f>
        <v>Talabat Holding Plc</v>
      </c>
      <c r="C166" s="13" t="str">
        <f>IF('Comps'!C22="","",'Comps'!C22)</f>
        <v>DFM:TALABAT</v>
      </c>
      <c r="D166" s="526">
        <f t="shared" ref="D166:N166" si="64">IFERROR(D58/D18,0)</f>
        <v>0</v>
      </c>
      <c r="E166" s="526">
        <f t="shared" si="64"/>
        <v>0</v>
      </c>
      <c r="F166" s="526">
        <f t="shared" si="64"/>
        <v>0</v>
      </c>
      <c r="G166" s="526">
        <f t="shared" si="64"/>
        <v>0</v>
      </c>
      <c r="H166" s="526">
        <f t="shared" si="64"/>
        <v>0</v>
      </c>
      <c r="I166" s="526">
        <f t="shared" si="64"/>
        <v>0</v>
      </c>
      <c r="J166" s="526">
        <f t="shared" si="64"/>
        <v>0</v>
      </c>
      <c r="K166" s="526">
        <f t="shared" si="64"/>
        <v>0.16248711146274306</v>
      </c>
      <c r="L166" s="526">
        <f t="shared" si="64"/>
        <v>0.18906363527014367</v>
      </c>
      <c r="M166" s="526">
        <f t="shared" si="64"/>
        <v>0.17694879310777203</v>
      </c>
      <c r="N166" s="526">
        <f t="shared" si="64"/>
        <v>0</v>
      </c>
      <c r="O166" s="524">
        <f t="shared" si="55"/>
        <v>0.17616651328021959</v>
      </c>
    </row>
    <row r="167" spans="1:15">
      <c r="A167" s="110">
        <v>14</v>
      </c>
      <c r="B167" s="406" t="e">
        <f>IF($C167="","",IFERROR('Comps'!#REF!,"DELETE"))</f>
        <v>#REF!</v>
      </c>
      <c r="C167" s="13" t="e">
        <f>IF('Comps'!#REF!="","",'Comps'!#REF!)</f>
        <v>#REF!</v>
      </c>
      <c r="D167" s="526">
        <f t="shared" ref="D167:N167" si="65">IFERROR(D59/D19,0)</f>
        <v>0</v>
      </c>
      <c r="E167" s="526">
        <f t="shared" si="65"/>
        <v>0</v>
      </c>
      <c r="F167" s="526">
        <f t="shared" si="65"/>
        <v>0</v>
      </c>
      <c r="G167" s="526">
        <f t="shared" si="65"/>
        <v>0</v>
      </c>
      <c r="H167" s="526">
        <f t="shared" si="65"/>
        <v>0</v>
      </c>
      <c r="I167" s="526">
        <f t="shared" si="65"/>
        <v>0</v>
      </c>
      <c r="J167" s="526">
        <f t="shared" si="65"/>
        <v>0</v>
      </c>
      <c r="K167" s="526">
        <f t="shared" si="65"/>
        <v>0</v>
      </c>
      <c r="L167" s="526">
        <f t="shared" si="65"/>
        <v>0</v>
      </c>
      <c r="M167" s="526">
        <f t="shared" si="65"/>
        <v>0</v>
      </c>
      <c r="N167" s="526">
        <f t="shared" si="65"/>
        <v>0</v>
      </c>
      <c r="O167" s="524" t="e">
        <f t="shared" si="55"/>
        <v>#REF!</v>
      </c>
    </row>
    <row r="168" spans="1:15">
      <c r="A168" s="110">
        <v>15</v>
      </c>
      <c r="B168" s="406" t="e">
        <f>IF($C168="","",IFERROR('Comps'!#REF!,"DELETE"))</f>
        <v>#REF!</v>
      </c>
      <c r="C168" s="13" t="e">
        <f>IF('Comps'!#REF!="","",'Comps'!#REF!)</f>
        <v>#REF!</v>
      </c>
      <c r="D168" s="526">
        <f t="shared" ref="D168:N168" si="66">IFERROR(D60/D20,0)</f>
        <v>0</v>
      </c>
      <c r="E168" s="526">
        <f t="shared" si="66"/>
        <v>0</v>
      </c>
      <c r="F168" s="526">
        <f t="shared" si="66"/>
        <v>0</v>
      </c>
      <c r="G168" s="526">
        <f t="shared" si="66"/>
        <v>0</v>
      </c>
      <c r="H168" s="526">
        <f t="shared" si="66"/>
        <v>0</v>
      </c>
      <c r="I168" s="526">
        <f t="shared" si="66"/>
        <v>0</v>
      </c>
      <c r="J168" s="526">
        <f t="shared" si="66"/>
        <v>0</v>
      </c>
      <c r="K168" s="526">
        <f t="shared" si="66"/>
        <v>0</v>
      </c>
      <c r="L168" s="526">
        <f t="shared" si="66"/>
        <v>0</v>
      </c>
      <c r="M168" s="526">
        <f t="shared" si="66"/>
        <v>0</v>
      </c>
      <c r="N168" s="526">
        <f t="shared" si="66"/>
        <v>0</v>
      </c>
      <c r="O168" s="524" t="e">
        <f t="shared" si="55"/>
        <v>#REF!</v>
      </c>
    </row>
    <row r="169" spans="1:15">
      <c r="A169" s="110">
        <v>16</v>
      </c>
      <c r="B169" s="406" t="e">
        <f>IF($C169="","",IFERROR('Comps'!#REF!,"DELETE"))</f>
        <v>#REF!</v>
      </c>
      <c r="C169" s="13" t="e">
        <f>IF('Comps'!#REF!="","",'Comps'!#REF!)</f>
        <v>#REF!</v>
      </c>
      <c r="D169" s="526">
        <f t="shared" ref="D169:N169" si="67">IFERROR(D61/D21,0)</f>
        <v>0</v>
      </c>
      <c r="E169" s="526">
        <f t="shared" si="67"/>
        <v>0</v>
      </c>
      <c r="F169" s="526">
        <f t="shared" si="67"/>
        <v>0</v>
      </c>
      <c r="G169" s="526">
        <f t="shared" si="67"/>
        <v>0</v>
      </c>
      <c r="H169" s="526">
        <f t="shared" si="67"/>
        <v>0</v>
      </c>
      <c r="I169" s="526">
        <f t="shared" si="67"/>
        <v>0</v>
      </c>
      <c r="J169" s="526">
        <f t="shared" si="67"/>
        <v>0</v>
      </c>
      <c r="K169" s="526">
        <f t="shared" si="67"/>
        <v>0</v>
      </c>
      <c r="L169" s="526">
        <f t="shared" si="67"/>
        <v>0</v>
      </c>
      <c r="M169" s="526">
        <f t="shared" si="67"/>
        <v>0</v>
      </c>
      <c r="N169" s="526">
        <f t="shared" si="67"/>
        <v>0</v>
      </c>
      <c r="O169" s="524" t="e">
        <f t="shared" si="55"/>
        <v>#REF!</v>
      </c>
    </row>
    <row r="170" spans="1:15">
      <c r="A170" s="110">
        <v>17</v>
      </c>
      <c r="B170" s="406" t="e">
        <f>IF($C170="","",IFERROR('Comps'!#REF!,"DELETE"))</f>
        <v>#REF!</v>
      </c>
      <c r="C170" s="13" t="e">
        <f>IF('Comps'!#REF!="","",'Comps'!#REF!)</f>
        <v>#REF!</v>
      </c>
      <c r="D170" s="526">
        <f t="shared" ref="D170:N170" si="68">IFERROR(D62/D22,0)</f>
        <v>0</v>
      </c>
      <c r="E170" s="526">
        <f t="shared" si="68"/>
        <v>0</v>
      </c>
      <c r="F170" s="526">
        <f t="shared" si="68"/>
        <v>0</v>
      </c>
      <c r="G170" s="526">
        <f t="shared" si="68"/>
        <v>0</v>
      </c>
      <c r="H170" s="526">
        <f t="shared" si="68"/>
        <v>0</v>
      </c>
      <c r="I170" s="526">
        <f t="shared" si="68"/>
        <v>0</v>
      </c>
      <c r="J170" s="526">
        <f t="shared" si="68"/>
        <v>0</v>
      </c>
      <c r="K170" s="526">
        <f t="shared" si="68"/>
        <v>0</v>
      </c>
      <c r="L170" s="526">
        <f t="shared" si="68"/>
        <v>0</v>
      </c>
      <c r="M170" s="526">
        <f t="shared" si="68"/>
        <v>0</v>
      </c>
      <c r="N170" s="526">
        <f t="shared" si="68"/>
        <v>0</v>
      </c>
      <c r="O170" s="524" t="e">
        <f t="shared" si="55"/>
        <v>#REF!</v>
      </c>
    </row>
    <row r="171" spans="1:15">
      <c r="A171" s="110">
        <v>18</v>
      </c>
      <c r="B171" s="406" t="e">
        <f>IF($C171="","",IFERROR('Comps'!#REF!,"DELETE"))</f>
        <v>#REF!</v>
      </c>
      <c r="C171" s="13" t="e">
        <f>IF('Comps'!#REF!="","",'Comps'!#REF!)</f>
        <v>#REF!</v>
      </c>
      <c r="D171" s="526">
        <f t="shared" ref="D171:N171" si="69">IFERROR(D63/D23,0)</f>
        <v>0</v>
      </c>
      <c r="E171" s="526">
        <f t="shared" si="69"/>
        <v>0</v>
      </c>
      <c r="F171" s="526">
        <f t="shared" si="69"/>
        <v>0</v>
      </c>
      <c r="G171" s="526">
        <f t="shared" si="69"/>
        <v>0</v>
      </c>
      <c r="H171" s="526">
        <f t="shared" si="69"/>
        <v>0</v>
      </c>
      <c r="I171" s="526">
        <f t="shared" si="69"/>
        <v>0</v>
      </c>
      <c r="J171" s="526">
        <f t="shared" si="69"/>
        <v>0</v>
      </c>
      <c r="K171" s="526">
        <f t="shared" si="69"/>
        <v>0</v>
      </c>
      <c r="L171" s="526">
        <f t="shared" si="69"/>
        <v>0</v>
      </c>
      <c r="M171" s="526">
        <f t="shared" si="69"/>
        <v>0</v>
      </c>
      <c r="N171" s="526">
        <f t="shared" si="69"/>
        <v>0</v>
      </c>
      <c r="O171" s="524" t="e">
        <f t="shared" si="55"/>
        <v>#REF!</v>
      </c>
    </row>
    <row r="172" spans="1:15" ht="4.3499999999999996" customHeight="1" thickBot="1">
      <c r="A172" s="110">
        <v>19</v>
      </c>
      <c r="B172" s="338"/>
      <c r="C172" s="339"/>
      <c r="D172" s="341"/>
      <c r="E172" s="341"/>
      <c r="F172" s="341"/>
      <c r="G172" s="341"/>
      <c r="H172" s="341"/>
      <c r="I172" s="341"/>
      <c r="J172" s="341"/>
      <c r="K172" s="341"/>
      <c r="L172" s="341"/>
      <c r="M172" s="341"/>
      <c r="N172" s="341"/>
      <c r="O172" s="342"/>
    </row>
    <row r="173" spans="1:15">
      <c r="A173" s="110">
        <v>20</v>
      </c>
      <c r="B173" s="595" t="s">
        <v>1147</v>
      </c>
      <c r="D173" s="99"/>
      <c r="E173" s="99"/>
      <c r="F173" s="99"/>
      <c r="G173" s="99"/>
      <c r="H173" s="99"/>
      <c r="I173" s="99"/>
      <c r="J173" s="99"/>
      <c r="K173" s="99"/>
      <c r="L173" s="99"/>
      <c r="M173" s="99"/>
      <c r="N173" s="99"/>
      <c r="O173" s="98"/>
    </row>
    <row r="174" spans="1:15">
      <c r="A174" s="110">
        <v>21</v>
      </c>
      <c r="B174" t="s">
        <v>1150</v>
      </c>
      <c r="D174" s="528">
        <f>MAX(D157:D172)</f>
        <v>0</v>
      </c>
      <c r="E174" s="528">
        <f t="shared" ref="E174:H174" si="70">MAX(E157:E172)</f>
        <v>0</v>
      </c>
      <c r="F174" s="528">
        <f t="shared" si="70"/>
        <v>0</v>
      </c>
      <c r="G174" s="528">
        <f t="shared" si="70"/>
        <v>0</v>
      </c>
      <c r="H174" s="528">
        <f t="shared" si="70"/>
        <v>2.7621301775147926</v>
      </c>
      <c r="I174" s="528">
        <f>MAX(I157:I172)</f>
        <v>1.2052937084566473E-2</v>
      </c>
      <c r="J174" s="528">
        <f t="shared" ref="J174:N174" si="71">MAX(J157:J172)</f>
        <v>0</v>
      </c>
      <c r="K174" s="528">
        <f t="shared" si="71"/>
        <v>0.16248711146274306</v>
      </c>
      <c r="L174" s="528">
        <f t="shared" si="71"/>
        <v>0.18906363527014367</v>
      </c>
      <c r="M174" s="528">
        <f t="shared" si="71"/>
        <v>0.17694879310777203</v>
      </c>
      <c r="N174" s="528">
        <f t="shared" si="71"/>
        <v>0</v>
      </c>
    </row>
    <row r="175" spans="1:15">
      <c r="A175" s="110">
        <v>22</v>
      </c>
      <c r="B175" t="s">
        <v>1151</v>
      </c>
      <c r="D175" s="528">
        <f t="shared" ref="D175:N175" si="72">MIN(D157:D172)</f>
        <v>-2.0622939991204623</v>
      </c>
      <c r="E175" s="528">
        <f t="shared" si="72"/>
        <v>-2.015962819220257</v>
      </c>
      <c r="F175" s="528">
        <f t="shared" si="72"/>
        <v>-1.1118375490970254</v>
      </c>
      <c r="G175" s="528">
        <f t="shared" si="72"/>
        <v>-8.1934311760493816</v>
      </c>
      <c r="H175" s="528">
        <f t="shared" si="72"/>
        <v>-8.949760741512188</v>
      </c>
      <c r="I175" s="528">
        <f t="shared" si="72"/>
        <v>-2.9401104138893319</v>
      </c>
      <c r="J175" s="528">
        <f t="shared" si="72"/>
        <v>-4.6703415476273991</v>
      </c>
      <c r="K175" s="528">
        <f t="shared" si="72"/>
        <v>-2.5576832356525045</v>
      </c>
      <c r="L175" s="528">
        <f t="shared" si="72"/>
        <v>-0.6112617666405471</v>
      </c>
      <c r="M175" s="528">
        <f t="shared" si="72"/>
        <v>-0.12510521144812764</v>
      </c>
      <c r="N175" s="528">
        <f t="shared" si="72"/>
        <v>0</v>
      </c>
    </row>
    <row r="176" spans="1:15">
      <c r="A176" s="110"/>
      <c r="D176" s="528"/>
      <c r="E176" s="528"/>
      <c r="F176" s="528"/>
      <c r="G176" s="528"/>
      <c r="H176" s="528"/>
      <c r="I176" s="528"/>
      <c r="J176" s="528"/>
      <c r="K176" s="528"/>
      <c r="L176" s="528"/>
      <c r="M176" s="528"/>
      <c r="N176" s="528"/>
    </row>
    <row r="177" spans="1:15">
      <c r="D177" s="99"/>
      <c r="E177" s="99"/>
      <c r="F177" s="99"/>
      <c r="G177" s="99"/>
      <c r="H177" s="99"/>
      <c r="I177" s="99"/>
      <c r="J177" s="99"/>
      <c r="K177" s="99"/>
      <c r="L177" s="99"/>
      <c r="M177" s="99"/>
      <c r="N177" s="99"/>
    </row>
    <row r="178" spans="1:15">
      <c r="A178" s="110">
        <v>1</v>
      </c>
      <c r="D178" s="527" t="str">
        <f t="shared" ref="D178:M178" si="73">"FY"&amp;RIGHT(D180,2)</f>
        <v>FY15</v>
      </c>
      <c r="E178" s="527" t="str">
        <f t="shared" si="73"/>
        <v>FY16</v>
      </c>
      <c r="F178" s="527" t="str">
        <f t="shared" si="73"/>
        <v>FY17</v>
      </c>
      <c r="G178" s="527" t="str">
        <f t="shared" si="73"/>
        <v>FY18</v>
      </c>
      <c r="H178" s="527" t="str">
        <f t="shared" si="73"/>
        <v>FY19</v>
      </c>
      <c r="I178" s="527" t="str">
        <f t="shared" si="73"/>
        <v>FY20</v>
      </c>
      <c r="J178" s="527" t="str">
        <f t="shared" si="73"/>
        <v>FY21</v>
      </c>
      <c r="K178" s="527" t="str">
        <f t="shared" si="73"/>
        <v>FY22</v>
      </c>
      <c r="L178" s="527" t="str">
        <f t="shared" si="73"/>
        <v>FY23</v>
      </c>
      <c r="M178" s="527" t="str">
        <f t="shared" si="73"/>
        <v>FY24</v>
      </c>
      <c r="N178" s="527" t="str">
        <f>"FY"&amp;RIGHT(N180,2)</f>
        <v>FY25</v>
      </c>
    </row>
    <row r="179" spans="1:15" ht="10.5">
      <c r="A179" s="110">
        <v>2</v>
      </c>
      <c r="B179" s="596" t="s">
        <v>1152</v>
      </c>
      <c r="C179" s="596"/>
      <c r="D179" s="597"/>
      <c r="E179" s="597"/>
      <c r="F179" s="597"/>
      <c r="G179" s="597"/>
      <c r="H179" s="597"/>
      <c r="I179" s="597"/>
      <c r="J179" s="597"/>
      <c r="K179" s="597"/>
      <c r="L179" s="597"/>
      <c r="M179" s="597"/>
      <c r="N179" s="597"/>
      <c r="O179" s="596"/>
    </row>
    <row r="180" spans="1:15" ht="10.5">
      <c r="A180" s="110">
        <v>3</v>
      </c>
      <c r="B180" s="401" t="s">
        <v>1153</v>
      </c>
      <c r="C180" s="402" t="s">
        <v>179</v>
      </c>
      <c r="D180" s="634" t="str">
        <f>D$8</f>
        <v>FY2015</v>
      </c>
      <c r="E180" s="634" t="str">
        <f t="shared" ref="E180:N180" si="74">E$8</f>
        <v>FY2016</v>
      </c>
      <c r="F180" s="634" t="str">
        <f t="shared" si="74"/>
        <v>FY2017</v>
      </c>
      <c r="G180" s="634" t="str">
        <f t="shared" si="74"/>
        <v>FY2018</v>
      </c>
      <c r="H180" s="634" t="str">
        <f t="shared" si="74"/>
        <v>FY2019</v>
      </c>
      <c r="I180" s="634" t="str">
        <f t="shared" si="74"/>
        <v>FY2020</v>
      </c>
      <c r="J180" s="634" t="str">
        <f t="shared" si="74"/>
        <v>FY2021</v>
      </c>
      <c r="K180" s="634" t="str">
        <f t="shared" si="74"/>
        <v>FY2022</v>
      </c>
      <c r="L180" s="634" t="str">
        <f t="shared" si="74"/>
        <v>FY2023</v>
      </c>
      <c r="M180" s="634" t="str">
        <f t="shared" si="74"/>
        <v>FY2024</v>
      </c>
      <c r="N180" s="634" t="str">
        <f t="shared" si="74"/>
        <v>FY2025</v>
      </c>
      <c r="O180" s="433" t="s">
        <v>1149</v>
      </c>
    </row>
    <row r="181" spans="1:15">
      <c r="A181" s="110">
        <v>4</v>
      </c>
      <c r="B181" s="406" t="str">
        <f>IF($C181="","",IFERROR('Comps'!B13,"DELETE"))</f>
        <v>Grab Holdings Limited</v>
      </c>
      <c r="C181" s="13" t="str">
        <f>IF('Comps'!C13="","",'Comps'!C13)</f>
        <v>NASDAQGS:GRAB</v>
      </c>
      <c r="D181" s="525">
        <v>0</v>
      </c>
      <c r="E181" s="525">
        <v>0</v>
      </c>
      <c r="F181" s="525">
        <v>0</v>
      </c>
      <c r="G181" s="525">
        <v>0</v>
      </c>
      <c r="H181" s="525">
        <v>0</v>
      </c>
      <c r="I181" s="525">
        <v>1.52</v>
      </c>
      <c r="J181" s="525">
        <v>1.1939200000000001</v>
      </c>
      <c r="K181" s="525">
        <v>6.8419299999999996</v>
      </c>
      <c r="L181" s="525">
        <v>11.48765</v>
      </c>
      <c r="M181" s="525">
        <v>11.77129</v>
      </c>
      <c r="N181" s="525">
        <v>0</v>
      </c>
      <c r="O181" s="635">
        <f>IF($C181="","",IFERROR(AVERAGE(K181:M181),"NA"))</f>
        <v>10.033623333333333</v>
      </c>
    </row>
    <row r="182" spans="1:15">
      <c r="A182" s="110">
        <v>5</v>
      </c>
      <c r="B182" s="406" t="str">
        <f>IF($C182="","",IFERROR('Comps'!B14,"DELETE"))</f>
        <v>Pt Goto Gojek Tokopedia Tbk</v>
      </c>
      <c r="C182" s="13" t="str">
        <f>IF('Comps'!C14="","",'Comps'!C14)</f>
        <v>IDX: GOTO</v>
      </c>
      <c r="D182" s="525">
        <v>0</v>
      </c>
      <c r="E182" s="525">
        <v>0</v>
      </c>
      <c r="F182" s="525">
        <v>0</v>
      </c>
      <c r="G182" s="525">
        <v>0</v>
      </c>
      <c r="H182" s="525">
        <v>11.111700000000001</v>
      </c>
      <c r="I182" s="525">
        <v>8.5468299999999999</v>
      </c>
      <c r="J182" s="525">
        <v>3.7073100000000001</v>
      </c>
      <c r="K182" s="525">
        <v>3.5211600000000001</v>
      </c>
      <c r="L182" s="525">
        <v>5.1118300000000003</v>
      </c>
      <c r="M182" s="525">
        <v>2.4393899999999999</v>
      </c>
      <c r="N182" s="525">
        <v>0</v>
      </c>
      <c r="O182" s="635">
        <f t="shared" ref="O182:O195" si="75">IF($C182="","",IFERROR(AVERAGE(K182:M182),"NA"))</f>
        <v>3.6907933333333331</v>
      </c>
    </row>
    <row r="183" spans="1:15">
      <c r="A183" s="110">
        <v>6</v>
      </c>
      <c r="B183" s="406" t="str">
        <f>IF($C183="","",IFERROR('Comps'!B15,"DELETE"))</f>
        <v>Sea Limited</v>
      </c>
      <c r="C183" s="13" t="str">
        <f>IF('Comps'!C15="","",'Comps'!C15)</f>
        <v>NYSE: SE</v>
      </c>
      <c r="D183" s="525">
        <v>5.40273</v>
      </c>
      <c r="E183" s="525">
        <v>6.3197200000000002</v>
      </c>
      <c r="F183" s="525">
        <v>7.6693800000000003</v>
      </c>
      <c r="G183" s="525">
        <v>10.66822</v>
      </c>
      <c r="H183" s="525">
        <v>7.50915</v>
      </c>
      <c r="I183" s="525">
        <v>5.5108600000000001</v>
      </c>
      <c r="J183" s="525">
        <v>5.47281</v>
      </c>
      <c r="K183" s="525">
        <v>5.7067800000000002</v>
      </c>
      <c r="L183" s="525">
        <v>5.93344</v>
      </c>
      <c r="M183" s="525">
        <v>5.1130199999999997</v>
      </c>
      <c r="N183" s="525">
        <v>0</v>
      </c>
      <c r="O183" s="635">
        <f t="shared" si="75"/>
        <v>5.584413333333333</v>
      </c>
    </row>
    <row r="184" spans="1:15">
      <c r="A184" s="110">
        <v>7</v>
      </c>
      <c r="B184" s="406" t="str">
        <f>IF($C184="","",IFERROR('Comps'!B16,"DELETE"))</f>
        <v>Uber Technologies, Inc.</v>
      </c>
      <c r="C184" s="13" t="str">
        <f>IF('Comps'!C16="","",'Comps'!C16)</f>
        <v>NYSE:UBER</v>
      </c>
      <c r="D184" s="525">
        <v>0</v>
      </c>
      <c r="E184" s="525">
        <v>0</v>
      </c>
      <c r="F184" s="525">
        <v>0</v>
      </c>
      <c r="G184" s="525">
        <v>0</v>
      </c>
      <c r="H184" s="525">
        <v>0</v>
      </c>
      <c r="I184" s="525">
        <v>0</v>
      </c>
      <c r="J184" s="525">
        <v>0</v>
      </c>
      <c r="K184" s="525">
        <v>0</v>
      </c>
      <c r="L184" s="525">
        <v>0</v>
      </c>
      <c r="M184" s="525">
        <v>0</v>
      </c>
      <c r="N184" s="525">
        <v>0</v>
      </c>
      <c r="O184" s="635">
        <f t="shared" si="75"/>
        <v>0</v>
      </c>
    </row>
    <row r="185" spans="1:15">
      <c r="A185" s="110">
        <v>8</v>
      </c>
      <c r="B185" s="406" t="str">
        <f>IF($C185="","",IFERROR('Comps'!B17,"DELETE"))</f>
        <v>Lyft, Inc.</v>
      </c>
      <c r="C185" s="13" t="str">
        <f>IF('Comps'!C17="","",'Comps'!C17)</f>
        <v>NASDAQGS:LYFT</v>
      </c>
      <c r="D185" s="525">
        <v>0</v>
      </c>
      <c r="E185" s="525">
        <v>0</v>
      </c>
      <c r="F185" s="525">
        <v>0</v>
      </c>
      <c r="G185" s="525">
        <v>0</v>
      </c>
      <c r="H185" s="525">
        <v>0</v>
      </c>
      <c r="I185" s="525">
        <v>0</v>
      </c>
      <c r="J185" s="525">
        <v>0</v>
      </c>
      <c r="K185" s="525">
        <v>0</v>
      </c>
      <c r="L185" s="525">
        <v>0</v>
      </c>
      <c r="M185" s="525">
        <v>0</v>
      </c>
      <c r="N185" s="525">
        <v>0</v>
      </c>
      <c r="O185" s="635">
        <f t="shared" si="75"/>
        <v>0</v>
      </c>
    </row>
    <row r="186" spans="1:15">
      <c r="A186" s="110">
        <v>9</v>
      </c>
      <c r="B186" s="406" t="str">
        <f>IF($C186="","",IFERROR('Comps'!B18,"DELETE"))</f>
        <v>Didi Global Inc.</v>
      </c>
      <c r="C186" s="13" t="str">
        <f>IF('Comps'!C18="","",'Comps'!C18)</f>
        <v>OTCPK:DIDI.Y</v>
      </c>
      <c r="D186" s="525">
        <v>0</v>
      </c>
      <c r="E186" s="525">
        <v>0</v>
      </c>
      <c r="F186" s="525">
        <v>0</v>
      </c>
      <c r="G186" s="525">
        <v>0</v>
      </c>
      <c r="H186" s="525">
        <v>0.45040999999999998</v>
      </c>
      <c r="I186" s="525">
        <v>0.64854999999999996</v>
      </c>
      <c r="J186" s="525">
        <v>0.50990999999999997</v>
      </c>
      <c r="K186" s="525">
        <v>0</v>
      </c>
      <c r="L186" s="525">
        <v>0</v>
      </c>
      <c r="M186" s="525">
        <v>0</v>
      </c>
      <c r="N186" s="525">
        <v>0</v>
      </c>
      <c r="O186" s="635">
        <f t="shared" si="75"/>
        <v>0</v>
      </c>
    </row>
    <row r="187" spans="1:15">
      <c r="A187" s="110">
        <v>10</v>
      </c>
      <c r="B187" s="406" t="str">
        <f>IF($C187="","",IFERROR('Comps'!B19,"DELETE"))</f>
        <v>Meituan</v>
      </c>
      <c r="C187" s="13" t="str">
        <f>IF('Comps'!C19="","",'Comps'!C19)</f>
        <v>SEHK:3690</v>
      </c>
      <c r="D187" s="525">
        <v>0</v>
      </c>
      <c r="E187" s="525">
        <v>1.1539999999999999</v>
      </c>
      <c r="F187" s="525">
        <v>1.05047</v>
      </c>
      <c r="G187" s="525">
        <v>1.77901</v>
      </c>
      <c r="H187" s="525">
        <v>1.8903399999999999</v>
      </c>
      <c r="I187" s="525">
        <v>3.04549</v>
      </c>
      <c r="J187" s="525">
        <v>2.9645299999999999</v>
      </c>
      <c r="K187" s="525">
        <v>3.4072800000000001</v>
      </c>
      <c r="L187" s="525">
        <v>3.8547699999999998</v>
      </c>
      <c r="M187" s="525">
        <v>4.2935499999999998</v>
      </c>
      <c r="N187" s="525">
        <v>0</v>
      </c>
      <c r="O187" s="635">
        <f t="shared" si="75"/>
        <v>3.8518666666666665</v>
      </c>
    </row>
    <row r="188" spans="1:15">
      <c r="A188" s="110">
        <v>11</v>
      </c>
      <c r="B188" s="406" t="str">
        <f>IF($C188="","",IFERROR('Comps'!B20,"DELETE"))</f>
        <v>Delivery Hero Se</v>
      </c>
      <c r="C188" s="13" t="str">
        <f>IF('Comps'!C20="","",'Comps'!C20)</f>
        <v>XTRA:DHER</v>
      </c>
      <c r="D188" s="525">
        <v>8.6559799999999996</v>
      </c>
      <c r="E188" s="525">
        <v>2.7424400000000002</v>
      </c>
      <c r="F188" s="525">
        <v>3.0484800000000001</v>
      </c>
      <c r="G188" s="525">
        <v>3.1561599999999999</v>
      </c>
      <c r="H188" s="525">
        <v>2.26519</v>
      </c>
      <c r="I188" s="525">
        <v>4.1171300000000004</v>
      </c>
      <c r="J188" s="525">
        <v>4.5884200000000002</v>
      </c>
      <c r="K188" s="525">
        <v>6.3502700000000001</v>
      </c>
      <c r="L188" s="525">
        <v>7.4576799999999999</v>
      </c>
      <c r="M188" s="525">
        <v>6.4928400000000002</v>
      </c>
      <c r="N188" s="525">
        <v>0</v>
      </c>
      <c r="O188" s="635">
        <f t="shared" si="75"/>
        <v>6.7669299999999994</v>
      </c>
    </row>
    <row r="189" spans="1:15">
      <c r="A189" s="110">
        <v>12</v>
      </c>
      <c r="B189" s="406" t="str">
        <f>IF($C189="","",IFERROR('Comps'!B21,"DELETE"))</f>
        <v>Doordash, Inc.</v>
      </c>
      <c r="C189" s="13" t="str">
        <f>IF('Comps'!C21="","",'Comps'!C21)</f>
        <v>NASDAQGS:DASH</v>
      </c>
      <c r="D189" s="525">
        <v>0</v>
      </c>
      <c r="E189" s="525">
        <v>0</v>
      </c>
      <c r="F189" s="525">
        <v>0</v>
      </c>
      <c r="G189" s="525">
        <v>0</v>
      </c>
      <c r="H189" s="525">
        <v>0</v>
      </c>
      <c r="I189" s="525">
        <v>0</v>
      </c>
      <c r="J189" s="525">
        <v>0</v>
      </c>
      <c r="K189" s="525">
        <v>0</v>
      </c>
      <c r="L189" s="525">
        <v>0</v>
      </c>
      <c r="M189" s="525">
        <v>0</v>
      </c>
      <c r="N189" s="525">
        <v>0</v>
      </c>
      <c r="O189" s="635">
        <f t="shared" si="75"/>
        <v>0</v>
      </c>
    </row>
    <row r="190" spans="1:15">
      <c r="A190" s="110">
        <v>13</v>
      </c>
      <c r="B190" s="406" t="str">
        <f>IF($C190="","",IFERROR('Comps'!B22,"DELETE"))</f>
        <v>Talabat Holding Plc</v>
      </c>
      <c r="C190" s="13" t="str">
        <f>IF('Comps'!C22="","",'Comps'!C22)</f>
        <v>DFM:TALABAT</v>
      </c>
      <c r="D190" s="525">
        <v>0</v>
      </c>
      <c r="E190" s="525">
        <v>0</v>
      </c>
      <c r="F190" s="525">
        <v>0</v>
      </c>
      <c r="G190" s="525">
        <v>0</v>
      </c>
      <c r="H190" s="525">
        <v>0</v>
      </c>
      <c r="I190" s="525">
        <v>0</v>
      </c>
      <c r="J190" s="525">
        <v>0</v>
      </c>
      <c r="K190" s="525">
        <v>0</v>
      </c>
      <c r="L190" s="525">
        <v>4.95451</v>
      </c>
      <c r="M190" s="525">
        <v>6.2772699999999997</v>
      </c>
      <c r="N190" s="525">
        <v>0</v>
      </c>
      <c r="O190" s="635">
        <f t="shared" si="75"/>
        <v>3.7439266666666668</v>
      </c>
    </row>
    <row r="191" spans="1:15">
      <c r="A191" s="110">
        <v>14</v>
      </c>
      <c r="B191" s="406" t="e">
        <f>IF($C191="","",IFERROR('Comps'!#REF!,"DELETE"))</f>
        <v>#REF!</v>
      </c>
      <c r="C191" s="13" t="e">
        <f>IF('Comps'!#REF!="","",'Comps'!#REF!)</f>
        <v>#REF!</v>
      </c>
      <c r="D191" s="525"/>
      <c r="E191" s="525"/>
      <c r="F191" s="525"/>
      <c r="G191" s="525"/>
      <c r="H191" s="525"/>
      <c r="I191" s="525"/>
      <c r="J191" s="525"/>
      <c r="K191" s="525"/>
      <c r="L191" s="525"/>
      <c r="M191" s="525"/>
      <c r="N191" s="525"/>
      <c r="O191" s="635" t="e">
        <f t="shared" si="75"/>
        <v>#REF!</v>
      </c>
    </row>
    <row r="192" spans="1:15">
      <c r="A192" s="110">
        <v>15</v>
      </c>
      <c r="B192" s="406" t="e">
        <f>IF($C192="","",IFERROR('Comps'!#REF!,"DELETE"))</f>
        <v>#REF!</v>
      </c>
      <c r="C192" s="13" t="e">
        <f>IF('Comps'!#REF!="","",'Comps'!#REF!)</f>
        <v>#REF!</v>
      </c>
      <c r="D192" s="525"/>
      <c r="E192" s="525"/>
      <c r="F192" s="525"/>
      <c r="G192" s="525"/>
      <c r="H192" s="525"/>
      <c r="I192" s="525"/>
      <c r="J192" s="525"/>
      <c r="K192" s="525"/>
      <c r="L192" s="525"/>
      <c r="M192" s="525"/>
      <c r="N192" s="525"/>
      <c r="O192" s="635" t="e">
        <f t="shared" si="75"/>
        <v>#REF!</v>
      </c>
    </row>
    <row r="193" spans="1:15">
      <c r="A193" s="110">
        <v>16</v>
      </c>
      <c r="B193" s="406" t="e">
        <f>IF($C193="","",IFERROR('Comps'!#REF!,"DELETE"))</f>
        <v>#REF!</v>
      </c>
      <c r="C193" s="13" t="e">
        <f>IF('Comps'!#REF!="","",'Comps'!#REF!)</f>
        <v>#REF!</v>
      </c>
      <c r="D193" s="525"/>
      <c r="E193" s="525"/>
      <c r="F193" s="525"/>
      <c r="G193" s="525"/>
      <c r="H193" s="525"/>
      <c r="I193" s="525"/>
      <c r="J193" s="525"/>
      <c r="K193" s="525"/>
      <c r="L193" s="525"/>
      <c r="M193" s="525"/>
      <c r="N193" s="525"/>
      <c r="O193" s="635" t="e">
        <f t="shared" si="75"/>
        <v>#REF!</v>
      </c>
    </row>
    <row r="194" spans="1:15">
      <c r="A194" s="110">
        <v>17</v>
      </c>
      <c r="B194" s="406" t="e">
        <f>IF($C194="","",IFERROR('Comps'!#REF!,"DELETE"))</f>
        <v>#REF!</v>
      </c>
      <c r="C194" s="13" t="e">
        <f>IF('Comps'!#REF!="","",'Comps'!#REF!)</f>
        <v>#REF!</v>
      </c>
      <c r="D194" s="525"/>
      <c r="E194" s="525"/>
      <c r="F194" s="525"/>
      <c r="G194" s="525"/>
      <c r="H194" s="525"/>
      <c r="I194" s="525"/>
      <c r="J194" s="525"/>
      <c r="K194" s="525"/>
      <c r="L194" s="525"/>
      <c r="M194" s="525"/>
      <c r="N194" s="525"/>
      <c r="O194" s="635" t="e">
        <f t="shared" si="75"/>
        <v>#REF!</v>
      </c>
    </row>
    <row r="195" spans="1:15">
      <c r="A195" s="110">
        <v>18</v>
      </c>
      <c r="B195" s="406" t="e">
        <f>IF($C195="","",IFERROR('Comps'!#REF!,"DELETE"))</f>
        <v>#REF!</v>
      </c>
      <c r="C195" s="13" t="e">
        <f>IF('Comps'!#REF!="","",'Comps'!#REF!)</f>
        <v>#REF!</v>
      </c>
      <c r="D195" s="525"/>
      <c r="E195" s="525"/>
      <c r="F195" s="525"/>
      <c r="G195" s="525"/>
      <c r="H195" s="525"/>
      <c r="I195" s="525"/>
      <c r="J195" s="525"/>
      <c r="K195" s="525"/>
      <c r="L195" s="525"/>
      <c r="M195" s="525"/>
      <c r="N195" s="525"/>
      <c r="O195" s="635" t="e">
        <f t="shared" si="75"/>
        <v>#REF!</v>
      </c>
    </row>
    <row r="196" spans="1:15" ht="4.3499999999999996" customHeight="1" thickBot="1">
      <c r="A196" s="110">
        <v>19</v>
      </c>
      <c r="B196" s="338"/>
      <c r="C196" s="339"/>
      <c r="D196" s="341"/>
      <c r="E196" s="341"/>
      <c r="F196" s="341"/>
      <c r="G196" s="341"/>
      <c r="H196" s="341"/>
      <c r="I196" s="341"/>
      <c r="J196" s="341"/>
      <c r="K196" s="341"/>
      <c r="L196" s="341"/>
      <c r="M196" s="341"/>
      <c r="N196" s="341"/>
      <c r="O196" s="342"/>
    </row>
    <row r="197" spans="1:15">
      <c r="A197" s="110">
        <v>20</v>
      </c>
      <c r="B197" s="595" t="s">
        <v>1147</v>
      </c>
      <c r="D197" s="99"/>
      <c r="E197" s="99"/>
      <c r="F197" s="99"/>
      <c r="G197" s="99"/>
      <c r="H197" s="99"/>
      <c r="I197" s="99"/>
      <c r="J197" s="99"/>
      <c r="K197" s="99"/>
      <c r="L197" s="99"/>
      <c r="M197" s="99"/>
      <c r="N197" s="99"/>
      <c r="O197" s="98"/>
    </row>
    <row r="198" spans="1:15">
      <c r="A198" s="110">
        <v>21</v>
      </c>
      <c r="B198" t="s">
        <v>1150</v>
      </c>
      <c r="D198" s="529">
        <f>MAX(D181:D196)</f>
        <v>8.6559799999999996</v>
      </c>
      <c r="E198" s="529">
        <f t="shared" ref="E198:H198" si="76">MAX(E181:E196)</f>
        <v>6.3197200000000002</v>
      </c>
      <c r="F198" s="529">
        <f t="shared" si="76"/>
        <v>7.6693800000000003</v>
      </c>
      <c r="G198" s="529">
        <f t="shared" si="76"/>
        <v>10.66822</v>
      </c>
      <c r="H198" s="529">
        <f t="shared" si="76"/>
        <v>11.111700000000001</v>
      </c>
      <c r="I198" s="529">
        <f>MAX(I181:I196)</f>
        <v>8.5468299999999999</v>
      </c>
      <c r="J198" s="529">
        <f t="shared" ref="J198:N198" si="77">MAX(J181:J196)</f>
        <v>5.47281</v>
      </c>
      <c r="K198" s="529">
        <f t="shared" si="77"/>
        <v>6.8419299999999996</v>
      </c>
      <c r="L198" s="529">
        <f t="shared" si="77"/>
        <v>11.48765</v>
      </c>
      <c r="M198" s="529">
        <f t="shared" si="77"/>
        <v>11.77129</v>
      </c>
      <c r="N198" s="529">
        <f t="shared" si="77"/>
        <v>0</v>
      </c>
      <c r="O198" s="27"/>
    </row>
    <row r="199" spans="1:15">
      <c r="A199" s="110">
        <v>22</v>
      </c>
      <c r="B199" t="s">
        <v>1151</v>
      </c>
      <c r="D199" s="529">
        <f t="shared" ref="D199:N199" si="78">MIN(D181:D196)</f>
        <v>0</v>
      </c>
      <c r="E199" s="529">
        <f t="shared" si="78"/>
        <v>0</v>
      </c>
      <c r="F199" s="529">
        <f t="shared" si="78"/>
        <v>0</v>
      </c>
      <c r="G199" s="529">
        <f t="shared" si="78"/>
        <v>0</v>
      </c>
      <c r="H199" s="529">
        <f t="shared" si="78"/>
        <v>0</v>
      </c>
      <c r="I199" s="529">
        <f t="shared" si="78"/>
        <v>0</v>
      </c>
      <c r="J199" s="529">
        <f t="shared" si="78"/>
        <v>0</v>
      </c>
      <c r="K199" s="529">
        <f t="shared" si="78"/>
        <v>0</v>
      </c>
      <c r="L199" s="529">
        <f t="shared" si="78"/>
        <v>0</v>
      </c>
      <c r="M199" s="529">
        <f t="shared" si="78"/>
        <v>0</v>
      </c>
      <c r="N199" s="529">
        <f t="shared" si="78"/>
        <v>0</v>
      </c>
      <c r="O199" s="27"/>
    </row>
    <row r="200" spans="1:15">
      <c r="D200" s="99"/>
      <c r="E200" s="99"/>
      <c r="F200" s="99"/>
      <c r="G200" s="99"/>
      <c r="H200" s="99"/>
      <c r="I200" s="99"/>
      <c r="J200" s="99"/>
      <c r="K200" s="99"/>
      <c r="L200" s="99"/>
      <c r="M200" s="99"/>
      <c r="N200" s="99"/>
    </row>
    <row r="201" spans="1:15">
      <c r="A201" s="110">
        <v>1</v>
      </c>
      <c r="D201" s="527" t="str">
        <f t="shared" ref="D201:M201" si="79">"FY"&amp;RIGHT(D203,2)</f>
        <v>FY15</v>
      </c>
      <c r="E201" s="527" t="str">
        <f t="shared" si="79"/>
        <v>FY16</v>
      </c>
      <c r="F201" s="527" t="str">
        <f t="shared" si="79"/>
        <v>FY17</v>
      </c>
      <c r="G201" s="527" t="str">
        <f t="shared" si="79"/>
        <v>FY18</v>
      </c>
      <c r="H201" s="527" t="str">
        <f t="shared" si="79"/>
        <v>FY19</v>
      </c>
      <c r="I201" s="527" t="str">
        <f t="shared" si="79"/>
        <v>FY20</v>
      </c>
      <c r="J201" s="527" t="str">
        <f t="shared" si="79"/>
        <v>FY21</v>
      </c>
      <c r="K201" s="527" t="str">
        <f t="shared" si="79"/>
        <v>FY22</v>
      </c>
      <c r="L201" s="527" t="str">
        <f t="shared" si="79"/>
        <v>FY23</v>
      </c>
      <c r="M201" s="527" t="str">
        <f t="shared" si="79"/>
        <v>FY24</v>
      </c>
      <c r="N201" s="527" t="str">
        <f>"FY"&amp;RIGHT(N203,2)</f>
        <v>FY25</v>
      </c>
    </row>
    <row r="202" spans="1:15" ht="10.5">
      <c r="A202" s="110">
        <v>2</v>
      </c>
      <c r="B202" s="596" t="s">
        <v>1154</v>
      </c>
      <c r="C202" s="596"/>
      <c r="D202" s="597"/>
      <c r="E202" s="597"/>
      <c r="F202" s="597"/>
      <c r="G202" s="597"/>
      <c r="H202" s="597"/>
      <c r="I202" s="597"/>
      <c r="J202" s="597"/>
      <c r="K202" s="597"/>
      <c r="L202" s="597"/>
      <c r="M202" s="597"/>
      <c r="N202" s="597"/>
      <c r="O202" s="596"/>
    </row>
    <row r="203" spans="1:15" ht="10.5">
      <c r="A203" s="110">
        <v>3</v>
      </c>
      <c r="B203" s="401" t="s">
        <v>1153</v>
      </c>
      <c r="C203" s="402" t="s">
        <v>179</v>
      </c>
      <c r="D203" s="634" t="str">
        <f>D$8</f>
        <v>FY2015</v>
      </c>
      <c r="E203" s="634" t="str">
        <f t="shared" ref="E203:N203" si="80">E$8</f>
        <v>FY2016</v>
      </c>
      <c r="F203" s="634" t="str">
        <f t="shared" si="80"/>
        <v>FY2017</v>
      </c>
      <c r="G203" s="634" t="str">
        <f t="shared" si="80"/>
        <v>FY2018</v>
      </c>
      <c r="H203" s="634" t="str">
        <f t="shared" si="80"/>
        <v>FY2019</v>
      </c>
      <c r="I203" s="634" t="str">
        <f t="shared" si="80"/>
        <v>FY2020</v>
      </c>
      <c r="J203" s="634" t="str">
        <f t="shared" si="80"/>
        <v>FY2021</v>
      </c>
      <c r="K203" s="634" t="str">
        <f t="shared" si="80"/>
        <v>FY2022</v>
      </c>
      <c r="L203" s="634" t="str">
        <f t="shared" si="80"/>
        <v>FY2023</v>
      </c>
      <c r="M203" s="634" t="str">
        <f t="shared" si="80"/>
        <v>FY2024</v>
      </c>
      <c r="N203" s="634" t="str">
        <f t="shared" si="80"/>
        <v>FY2025</v>
      </c>
      <c r="O203" s="433" t="s">
        <v>1149</v>
      </c>
    </row>
    <row r="204" spans="1:15">
      <c r="A204" s="110">
        <v>4</v>
      </c>
      <c r="B204" s="406" t="str">
        <f>IF($C204="","",IFERROR('Comps'!B13,"DELETE"))</f>
        <v>Grab Holdings Limited</v>
      </c>
      <c r="C204" s="13" t="str">
        <f>IF('Comps'!C13="","",'Comps'!C13)</f>
        <v>NASDAQGS:GRAB</v>
      </c>
      <c r="D204" s="525">
        <v>0</v>
      </c>
      <c r="E204" s="525">
        <v>0</v>
      </c>
      <c r="F204" s="525">
        <v>0</v>
      </c>
      <c r="G204" s="525">
        <v>0</v>
      </c>
      <c r="H204" s="525">
        <v>0</v>
      </c>
      <c r="I204" s="525">
        <v>59.699359999999999</v>
      </c>
      <c r="J204" s="525">
        <v>48.396079999999998</v>
      </c>
      <c r="K204" s="525">
        <v>24.834240000000001</v>
      </c>
      <c r="L204" s="525">
        <v>16.942209999999999</v>
      </c>
      <c r="M204" s="525">
        <v>16.814769999999999</v>
      </c>
      <c r="N204" s="525">
        <v>0</v>
      </c>
      <c r="O204" s="635">
        <f t="shared" ref="O204:O218" si="81">IF($C204="","",IFERROR(AVERAGE(K204:M204),"NA"))</f>
        <v>19.530406666666664</v>
      </c>
    </row>
    <row r="205" spans="1:15">
      <c r="A205" s="110">
        <v>5</v>
      </c>
      <c r="B205" s="406" t="str">
        <f>IF($C205="","",IFERROR('Comps'!B14,"DELETE"))</f>
        <v>Pt Goto Gojek Tokopedia Tbk</v>
      </c>
      <c r="C205" s="13" t="str">
        <f>IF('Comps'!C14="","",'Comps'!C14)</f>
        <v>IDX: GOTO</v>
      </c>
      <c r="D205" s="525">
        <v>0</v>
      </c>
      <c r="E205" s="525">
        <v>0</v>
      </c>
      <c r="F205" s="525">
        <v>0</v>
      </c>
      <c r="G205" s="525">
        <v>0</v>
      </c>
      <c r="H205" s="525">
        <v>109.07186</v>
      </c>
      <c r="I205" s="525">
        <v>63.2254</v>
      </c>
      <c r="J205" s="525">
        <v>31.443290000000001</v>
      </c>
      <c r="K205" s="525">
        <v>18.238689999999998</v>
      </c>
      <c r="L205" s="525">
        <v>21.39922</v>
      </c>
      <c r="M205" s="525">
        <v>36.245710000000003</v>
      </c>
      <c r="N205" s="525">
        <v>0</v>
      </c>
      <c r="O205" s="635">
        <f t="shared" si="81"/>
        <v>25.294540000000001</v>
      </c>
    </row>
    <row r="206" spans="1:15">
      <c r="A206" s="110">
        <v>6</v>
      </c>
      <c r="B206" s="406" t="str">
        <f>IF($C206="","",IFERROR('Comps'!B15,"DELETE"))</f>
        <v>Sea Limited</v>
      </c>
      <c r="C206" s="13" t="str">
        <f>IF('Comps'!C15="","",'Comps'!C15)</f>
        <v>NYSE: SE</v>
      </c>
      <c r="D206" s="525">
        <v>46.153889999999997</v>
      </c>
      <c r="E206" s="525">
        <v>40.70176</v>
      </c>
      <c r="F206" s="525">
        <v>43.634659999999997</v>
      </c>
      <c r="G206" s="525">
        <v>35.227609999999999</v>
      </c>
      <c r="H206" s="525">
        <v>23.893999999999998</v>
      </c>
      <c r="I206" s="525">
        <v>23.00347</v>
      </c>
      <c r="J206" s="525">
        <v>13.77291</v>
      </c>
      <c r="K206" s="525">
        <v>9.6327200000000008</v>
      </c>
      <c r="L206" s="525">
        <v>7.4252000000000002</v>
      </c>
      <c r="M206" s="525">
        <v>6.1945499999999996</v>
      </c>
      <c r="N206" s="525">
        <v>0</v>
      </c>
      <c r="O206" s="635">
        <f t="shared" si="81"/>
        <v>7.7508233333333338</v>
      </c>
    </row>
    <row r="207" spans="1:15">
      <c r="A207" s="110">
        <v>7</v>
      </c>
      <c r="B207" s="406" t="str">
        <f>IF($C207="","",IFERROR('Comps'!B16,"DELETE"))</f>
        <v>Uber Technologies, Inc.</v>
      </c>
      <c r="C207" s="13" t="str">
        <f>IF('Comps'!C16="","",'Comps'!C16)</f>
        <v>NYSE:UBER</v>
      </c>
      <c r="D207" s="525">
        <v>0</v>
      </c>
      <c r="E207" s="525">
        <v>0</v>
      </c>
      <c r="F207" s="525">
        <v>25.906970000000001</v>
      </c>
      <c r="G207" s="525">
        <v>29.00254</v>
      </c>
      <c r="H207" s="525">
        <v>29.94387</v>
      </c>
      <c r="I207" s="525">
        <v>37.57246</v>
      </c>
      <c r="J207" s="525">
        <v>36.719369999999998</v>
      </c>
      <c r="K207" s="525">
        <v>29.873429999999999</v>
      </c>
      <c r="L207" s="525">
        <v>30.26726</v>
      </c>
      <c r="M207" s="525">
        <v>28.033770000000001</v>
      </c>
      <c r="N207" s="525">
        <v>0</v>
      </c>
      <c r="O207" s="635">
        <f t="shared" si="81"/>
        <v>29.391486666666665</v>
      </c>
    </row>
    <row r="208" spans="1:15">
      <c r="A208" s="110">
        <v>8</v>
      </c>
      <c r="B208" s="406" t="str">
        <f>IF($C208="","",IFERROR('Comps'!B17,"DELETE"))</f>
        <v>Lyft, Inc.</v>
      </c>
      <c r="C208" s="13" t="str">
        <f>IF('Comps'!C17="","",'Comps'!C17)</f>
        <v>NASDAQGS:LYFT</v>
      </c>
      <c r="D208" s="525">
        <v>0</v>
      </c>
      <c r="E208" s="525">
        <v>0</v>
      </c>
      <c r="F208" s="525">
        <v>0</v>
      </c>
      <c r="G208" s="525">
        <v>0</v>
      </c>
      <c r="H208" s="525">
        <v>0</v>
      </c>
      <c r="I208" s="525">
        <v>15.73288</v>
      </c>
      <c r="J208" s="525">
        <v>15.722379999999999</v>
      </c>
      <c r="K208" s="525">
        <v>20.241440000000001</v>
      </c>
      <c r="L208" s="525">
        <v>23.726099999999999</v>
      </c>
      <c r="M208" s="525">
        <v>20.241630000000001</v>
      </c>
      <c r="N208" s="525">
        <v>0</v>
      </c>
      <c r="O208" s="635">
        <f t="shared" si="81"/>
        <v>21.403056666666668</v>
      </c>
    </row>
    <row r="209" spans="1:15">
      <c r="A209" s="110">
        <v>9</v>
      </c>
      <c r="B209" s="406" t="str">
        <f>IF($C209="","",IFERROR('Comps'!B18,"DELETE"))</f>
        <v>Didi Global Inc.</v>
      </c>
      <c r="C209" s="13" t="str">
        <f>IF('Comps'!C18="","",'Comps'!C18)</f>
        <v>OTCPK:DIDI.Y</v>
      </c>
      <c r="D209" s="525">
        <v>0</v>
      </c>
      <c r="E209" s="525">
        <v>0</v>
      </c>
      <c r="F209" s="525">
        <v>0</v>
      </c>
      <c r="G209" s="525">
        <v>0</v>
      </c>
      <c r="H209" s="525">
        <v>5.4990899999999998</v>
      </c>
      <c r="I209" s="525">
        <v>7.0568499999999998</v>
      </c>
      <c r="J209" s="525">
        <v>5.9027799999999999</v>
      </c>
      <c r="K209" s="525">
        <v>6.8422900000000002</v>
      </c>
      <c r="L209" s="525">
        <v>5.4286500000000002</v>
      </c>
      <c r="M209" s="525">
        <v>6.1301300000000003</v>
      </c>
      <c r="N209" s="525">
        <v>0</v>
      </c>
      <c r="O209" s="635">
        <f t="shared" si="81"/>
        <v>6.1336900000000005</v>
      </c>
    </row>
    <row r="210" spans="1:15">
      <c r="A210" s="110">
        <v>10</v>
      </c>
      <c r="B210" s="406" t="str">
        <f>IF($C210="","",IFERROR('Comps'!B19,"DELETE"))</f>
        <v>Meituan</v>
      </c>
      <c r="C210" s="13" t="str">
        <f>IF('Comps'!C19="","",'Comps'!C19)</f>
        <v>SEHK:3690</v>
      </c>
      <c r="D210" s="525">
        <v>0</v>
      </c>
      <c r="E210" s="525">
        <v>13.96912</v>
      </c>
      <c r="F210" s="525">
        <v>5.1596399999999996</v>
      </c>
      <c r="G210" s="525">
        <v>3.4620299999999999</v>
      </c>
      <c r="H210" s="525">
        <v>4.4942500000000001</v>
      </c>
      <c r="I210" s="525">
        <v>7.53484</v>
      </c>
      <c r="J210" s="525">
        <v>6.4064800000000002</v>
      </c>
      <c r="K210" s="525">
        <v>5.7056800000000001</v>
      </c>
      <c r="L210" s="525">
        <v>5.6480100000000002</v>
      </c>
      <c r="M210" s="525">
        <v>5.5617400000000004</v>
      </c>
      <c r="N210" s="525">
        <v>0</v>
      </c>
      <c r="O210" s="635">
        <f t="shared" si="81"/>
        <v>5.6384766666666666</v>
      </c>
    </row>
    <row r="211" spans="1:15">
      <c r="A211" s="110">
        <v>11</v>
      </c>
      <c r="B211" s="406" t="str">
        <f>IF($C211="","",IFERROR('Comps'!B20,"DELETE"))</f>
        <v>Delivery Hero Se</v>
      </c>
      <c r="C211" s="13" t="str">
        <f>IF('Comps'!C20="","",'Comps'!C20)</f>
        <v>XTRA:DHER</v>
      </c>
      <c r="D211" s="525">
        <v>36.852960000000003</v>
      </c>
      <c r="E211" s="525">
        <v>39.129429999999999</v>
      </c>
      <c r="F211" s="525">
        <v>45.45382</v>
      </c>
      <c r="G211" s="525">
        <v>34.244300000000003</v>
      </c>
      <c r="H211" s="525">
        <v>21.382069999999999</v>
      </c>
      <c r="I211" s="525">
        <v>14.42882</v>
      </c>
      <c r="J211" s="525">
        <v>14.22442</v>
      </c>
      <c r="K211" s="525">
        <v>18.64931</v>
      </c>
      <c r="L211" s="525">
        <v>20.889679999999998</v>
      </c>
      <c r="M211" s="525">
        <v>16.926400000000001</v>
      </c>
      <c r="N211" s="525">
        <v>0</v>
      </c>
      <c r="O211" s="635">
        <f t="shared" si="81"/>
        <v>18.821796666666668</v>
      </c>
    </row>
    <row r="212" spans="1:15">
      <c r="A212" s="110">
        <v>12</v>
      </c>
      <c r="B212" s="406" t="str">
        <f>IF($C212="","",IFERROR('Comps'!B21,"DELETE"))</f>
        <v>Doordash, Inc.</v>
      </c>
      <c r="C212" s="13" t="str">
        <f>IF('Comps'!C21="","",'Comps'!C21)</f>
        <v>NASDAQGS:DASH</v>
      </c>
      <c r="D212" s="525">
        <v>0</v>
      </c>
      <c r="E212" s="525">
        <v>0</v>
      </c>
      <c r="F212" s="525">
        <v>0</v>
      </c>
      <c r="G212" s="525">
        <v>0</v>
      </c>
      <c r="H212" s="525">
        <v>15.87823</v>
      </c>
      <c r="I212" s="525">
        <v>22.129819999999999</v>
      </c>
      <c r="J212" s="525">
        <v>23.89509</v>
      </c>
      <c r="K212" s="525">
        <v>20.764119999999998</v>
      </c>
      <c r="L212" s="525">
        <v>19.71876</v>
      </c>
      <c r="M212" s="525">
        <v>21.590340000000001</v>
      </c>
      <c r="N212" s="525">
        <v>0</v>
      </c>
      <c r="O212" s="635">
        <f t="shared" si="81"/>
        <v>20.691073333333332</v>
      </c>
    </row>
    <row r="213" spans="1:15">
      <c r="A213" s="110">
        <v>13</v>
      </c>
      <c r="B213" s="406" t="str">
        <f>IF($C213="","",IFERROR('Comps'!B22,"DELETE"))</f>
        <v>Talabat Holding Plc</v>
      </c>
      <c r="C213" s="13" t="str">
        <f>IF('Comps'!C22="","",'Comps'!C22)</f>
        <v>DFM:TALABAT</v>
      </c>
      <c r="D213" s="525">
        <v>0</v>
      </c>
      <c r="E213" s="525">
        <v>0</v>
      </c>
      <c r="F213" s="525">
        <v>0</v>
      </c>
      <c r="G213" s="525">
        <v>0</v>
      </c>
      <c r="H213" s="525">
        <v>0</v>
      </c>
      <c r="I213" s="525">
        <v>0</v>
      </c>
      <c r="J213" s="525">
        <v>0</v>
      </c>
      <c r="K213" s="525">
        <v>0</v>
      </c>
      <c r="L213" s="525">
        <v>23.993279999999999</v>
      </c>
      <c r="M213" s="525">
        <v>20.653749999999999</v>
      </c>
      <c r="N213" s="525">
        <v>0</v>
      </c>
      <c r="O213" s="635">
        <f t="shared" si="81"/>
        <v>14.882343333333333</v>
      </c>
    </row>
    <row r="214" spans="1:15">
      <c r="A214" s="110">
        <v>14</v>
      </c>
      <c r="B214" s="406" t="e">
        <f>IF($C214="","",IFERROR('Comps'!#REF!,"DELETE"))</f>
        <v>#REF!</v>
      </c>
      <c r="C214" s="13" t="e">
        <f>IF('Comps'!#REF!="","",'Comps'!#REF!)</f>
        <v>#REF!</v>
      </c>
      <c r="D214" s="525"/>
      <c r="E214" s="525"/>
      <c r="F214" s="525"/>
      <c r="G214" s="525"/>
      <c r="H214" s="525"/>
      <c r="I214" s="525"/>
      <c r="J214" s="525"/>
      <c r="K214" s="525"/>
      <c r="L214" s="525"/>
      <c r="M214" s="525"/>
      <c r="N214" s="525"/>
      <c r="O214" s="635" t="e">
        <f t="shared" si="81"/>
        <v>#REF!</v>
      </c>
    </row>
    <row r="215" spans="1:15">
      <c r="A215" s="110">
        <v>15</v>
      </c>
      <c r="B215" s="406" t="e">
        <f>IF($C215="","",IFERROR('Comps'!#REF!,"DELETE"))</f>
        <v>#REF!</v>
      </c>
      <c r="C215" s="13" t="e">
        <f>IF('Comps'!#REF!="","",'Comps'!#REF!)</f>
        <v>#REF!</v>
      </c>
      <c r="D215" s="525"/>
      <c r="E215" s="525"/>
      <c r="F215" s="525"/>
      <c r="G215" s="525"/>
      <c r="H215" s="525"/>
      <c r="I215" s="525"/>
      <c r="J215" s="525"/>
      <c r="K215" s="525"/>
      <c r="L215" s="525"/>
      <c r="M215" s="525"/>
      <c r="N215" s="525"/>
      <c r="O215" s="635" t="e">
        <f t="shared" si="81"/>
        <v>#REF!</v>
      </c>
    </row>
    <row r="216" spans="1:15">
      <c r="A216" s="110">
        <v>16</v>
      </c>
      <c r="B216" s="406" t="e">
        <f>IF($C216="","",IFERROR('Comps'!#REF!,"DELETE"))</f>
        <v>#REF!</v>
      </c>
      <c r="C216" s="13" t="e">
        <f>IF('Comps'!#REF!="","",'Comps'!#REF!)</f>
        <v>#REF!</v>
      </c>
      <c r="D216" s="525"/>
      <c r="E216" s="525"/>
      <c r="F216" s="525"/>
      <c r="G216" s="525"/>
      <c r="H216" s="525"/>
      <c r="I216" s="525"/>
      <c r="J216" s="525"/>
      <c r="K216" s="525"/>
      <c r="L216" s="525"/>
      <c r="M216" s="525"/>
      <c r="N216" s="525"/>
      <c r="O216" s="635" t="e">
        <f t="shared" si="81"/>
        <v>#REF!</v>
      </c>
    </row>
    <row r="217" spans="1:15">
      <c r="A217" s="110">
        <v>17</v>
      </c>
      <c r="B217" s="406" t="e">
        <f>IF($C217="","",IFERROR('Comps'!#REF!,"DELETE"))</f>
        <v>#REF!</v>
      </c>
      <c r="C217" s="13" t="e">
        <f>IF('Comps'!#REF!="","",'Comps'!#REF!)</f>
        <v>#REF!</v>
      </c>
      <c r="D217" s="525"/>
      <c r="E217" s="525"/>
      <c r="F217" s="525"/>
      <c r="G217" s="525"/>
      <c r="H217" s="525"/>
      <c r="I217" s="525"/>
      <c r="J217" s="525"/>
      <c r="K217" s="525"/>
      <c r="L217" s="525"/>
      <c r="M217" s="525"/>
      <c r="N217" s="525"/>
      <c r="O217" s="635" t="e">
        <f t="shared" si="81"/>
        <v>#REF!</v>
      </c>
    </row>
    <row r="218" spans="1:15">
      <c r="A218" s="110">
        <v>18</v>
      </c>
      <c r="B218" s="406" t="e">
        <f>IF($C218="","",IFERROR('Comps'!#REF!,"DELETE"))</f>
        <v>#REF!</v>
      </c>
      <c r="C218" s="13" t="e">
        <f>IF('Comps'!#REF!="","",'Comps'!#REF!)</f>
        <v>#REF!</v>
      </c>
      <c r="D218" s="525"/>
      <c r="E218" s="525"/>
      <c r="F218" s="525"/>
      <c r="G218" s="525"/>
      <c r="H218" s="525"/>
      <c r="I218" s="525"/>
      <c r="J218" s="525"/>
      <c r="K218" s="525"/>
      <c r="L218" s="525"/>
      <c r="M218" s="525"/>
      <c r="N218" s="525"/>
      <c r="O218" s="635" t="e">
        <f t="shared" si="81"/>
        <v>#REF!</v>
      </c>
    </row>
    <row r="219" spans="1:15" ht="4.3499999999999996" customHeight="1" thickBot="1">
      <c r="A219" s="110">
        <v>19</v>
      </c>
      <c r="B219" s="338"/>
      <c r="C219" s="339"/>
      <c r="D219" s="341"/>
      <c r="E219" s="341"/>
      <c r="F219" s="341"/>
      <c r="G219" s="341"/>
      <c r="H219" s="341"/>
      <c r="I219" s="341"/>
      <c r="J219" s="341"/>
      <c r="K219" s="341"/>
      <c r="L219" s="341"/>
      <c r="M219" s="341"/>
      <c r="N219" s="341"/>
      <c r="O219" s="342"/>
    </row>
    <row r="220" spans="1:15">
      <c r="A220" s="110">
        <v>20</v>
      </c>
      <c r="B220" s="595" t="s">
        <v>1147</v>
      </c>
      <c r="D220" s="99"/>
      <c r="E220" s="99"/>
      <c r="F220" s="99"/>
      <c r="G220" s="99"/>
      <c r="H220" s="99"/>
      <c r="I220" s="99"/>
      <c r="J220" s="99"/>
      <c r="K220" s="99"/>
      <c r="L220" s="99"/>
      <c r="M220" s="99"/>
      <c r="N220" s="99"/>
      <c r="O220" s="98"/>
    </row>
    <row r="221" spans="1:15">
      <c r="A221" s="110">
        <v>21</v>
      </c>
      <c r="B221" t="s">
        <v>1150</v>
      </c>
      <c r="D221" s="529">
        <f t="shared" ref="D221:N221" si="82">MAX(D204:D219)</f>
        <v>46.153889999999997</v>
      </c>
      <c r="E221" s="529">
        <f t="shared" si="82"/>
        <v>40.70176</v>
      </c>
      <c r="F221" s="529">
        <f t="shared" si="82"/>
        <v>45.45382</v>
      </c>
      <c r="G221" s="529">
        <f t="shared" si="82"/>
        <v>35.227609999999999</v>
      </c>
      <c r="H221" s="529">
        <f t="shared" si="82"/>
        <v>109.07186</v>
      </c>
      <c r="I221" s="529">
        <f t="shared" si="82"/>
        <v>63.2254</v>
      </c>
      <c r="J221" s="529">
        <f t="shared" si="82"/>
        <v>48.396079999999998</v>
      </c>
      <c r="K221" s="529">
        <f t="shared" si="82"/>
        <v>29.873429999999999</v>
      </c>
      <c r="L221" s="529">
        <f t="shared" si="82"/>
        <v>30.26726</v>
      </c>
      <c r="M221" s="529">
        <f t="shared" si="82"/>
        <v>36.245710000000003</v>
      </c>
      <c r="N221" s="529">
        <f t="shared" si="82"/>
        <v>0</v>
      </c>
      <c r="O221" s="27"/>
    </row>
    <row r="222" spans="1:15">
      <c r="A222" s="110">
        <v>22</v>
      </c>
      <c r="B222" t="s">
        <v>1151</v>
      </c>
      <c r="D222" s="529">
        <f t="shared" ref="D222:N222" si="83">MIN(D204:D219)</f>
        <v>0</v>
      </c>
      <c r="E222" s="529">
        <f t="shared" si="83"/>
        <v>0</v>
      </c>
      <c r="F222" s="529">
        <f t="shared" si="83"/>
        <v>0</v>
      </c>
      <c r="G222" s="529">
        <f t="shared" si="83"/>
        <v>0</v>
      </c>
      <c r="H222" s="529">
        <f t="shared" si="83"/>
        <v>0</v>
      </c>
      <c r="I222" s="529">
        <f t="shared" si="83"/>
        <v>0</v>
      </c>
      <c r="J222" s="529">
        <f t="shared" si="83"/>
        <v>0</v>
      </c>
      <c r="K222" s="529">
        <f t="shared" si="83"/>
        <v>0</v>
      </c>
      <c r="L222" s="529">
        <f t="shared" si="83"/>
        <v>5.4286500000000002</v>
      </c>
      <c r="M222" s="529">
        <f t="shared" si="83"/>
        <v>5.5617400000000004</v>
      </c>
      <c r="N222" s="529">
        <f t="shared" si="83"/>
        <v>0</v>
      </c>
      <c r="O222" s="27"/>
    </row>
    <row r="223" spans="1:15">
      <c r="D223" s="99"/>
      <c r="E223" s="99"/>
      <c r="F223" s="99"/>
      <c r="G223" s="99"/>
      <c r="H223" s="99"/>
      <c r="I223" s="99"/>
      <c r="J223" s="99"/>
      <c r="K223" s="99"/>
      <c r="L223" s="99"/>
      <c r="M223" s="99"/>
      <c r="N223" s="99"/>
    </row>
    <row r="224" spans="1:15">
      <c r="A224" s="110">
        <v>1</v>
      </c>
      <c r="D224" s="527" t="str">
        <f t="shared" ref="D224:M224" si="84">"FY"&amp;RIGHT(D226,2)</f>
        <v>FY15</v>
      </c>
      <c r="E224" s="527" t="str">
        <f t="shared" si="84"/>
        <v>FY16</v>
      </c>
      <c r="F224" s="527" t="str">
        <f t="shared" si="84"/>
        <v>FY17</v>
      </c>
      <c r="G224" s="527" t="str">
        <f t="shared" si="84"/>
        <v>FY18</v>
      </c>
      <c r="H224" s="527" t="str">
        <f t="shared" si="84"/>
        <v>FY19</v>
      </c>
      <c r="I224" s="527" t="str">
        <f t="shared" si="84"/>
        <v>FY20</v>
      </c>
      <c r="J224" s="527" t="str">
        <f t="shared" si="84"/>
        <v>FY21</v>
      </c>
      <c r="K224" s="527" t="str">
        <f t="shared" si="84"/>
        <v>FY22</v>
      </c>
      <c r="L224" s="527" t="str">
        <f t="shared" si="84"/>
        <v>FY23</v>
      </c>
      <c r="M224" s="527" t="str">
        <f t="shared" si="84"/>
        <v>FY24</v>
      </c>
      <c r="N224" s="527" t="str">
        <f>"FY"&amp;RIGHT(N226,2)</f>
        <v>FY25</v>
      </c>
    </row>
    <row r="225" spans="1:15" ht="10.5">
      <c r="A225" s="110">
        <v>2</v>
      </c>
      <c r="B225" s="596" t="s">
        <v>1155</v>
      </c>
      <c r="C225" s="596"/>
      <c r="D225" s="597"/>
      <c r="E225" s="597"/>
      <c r="F225" s="597"/>
      <c r="G225" s="597"/>
      <c r="H225" s="597"/>
      <c r="I225" s="597"/>
      <c r="J225" s="597"/>
      <c r="K225" s="597"/>
      <c r="L225" s="597"/>
      <c r="M225" s="597"/>
      <c r="N225" s="597"/>
      <c r="O225" s="596"/>
    </row>
    <row r="226" spans="1:15" ht="10.5">
      <c r="A226" s="110">
        <v>3</v>
      </c>
      <c r="B226" s="401" t="s">
        <v>1153</v>
      </c>
      <c r="C226" s="402" t="s">
        <v>179</v>
      </c>
      <c r="D226" s="634" t="str">
        <f>D$8</f>
        <v>FY2015</v>
      </c>
      <c r="E226" s="634" t="str">
        <f t="shared" ref="E226:N226" si="85">E$8</f>
        <v>FY2016</v>
      </c>
      <c r="F226" s="634" t="str">
        <f t="shared" si="85"/>
        <v>FY2017</v>
      </c>
      <c r="G226" s="634" t="str">
        <f t="shared" si="85"/>
        <v>FY2018</v>
      </c>
      <c r="H226" s="634" t="str">
        <f t="shared" si="85"/>
        <v>FY2019</v>
      </c>
      <c r="I226" s="634" t="str">
        <f t="shared" si="85"/>
        <v>FY2020</v>
      </c>
      <c r="J226" s="634" t="str">
        <f t="shared" si="85"/>
        <v>FY2021</v>
      </c>
      <c r="K226" s="634" t="str">
        <f t="shared" si="85"/>
        <v>FY2022</v>
      </c>
      <c r="L226" s="634" t="str">
        <f t="shared" si="85"/>
        <v>FY2023</v>
      </c>
      <c r="M226" s="634" t="str">
        <f t="shared" si="85"/>
        <v>FY2024</v>
      </c>
      <c r="N226" s="634" t="str">
        <f t="shared" si="85"/>
        <v>FY2025</v>
      </c>
      <c r="O226" s="433" t="s">
        <v>1149</v>
      </c>
    </row>
    <row r="227" spans="1:15">
      <c r="A227" s="110">
        <v>4</v>
      </c>
      <c r="B227" s="406" t="str">
        <f>IF($C227="","",IFERROR('Comps'!B13,"DELETE"))</f>
        <v>Grab Holdings Limited</v>
      </c>
      <c r="C227" s="13" t="str">
        <f>IF('Comps'!C13="","",'Comps'!C13)</f>
        <v>NASDAQGS:GRAB</v>
      </c>
      <c r="D227" s="525">
        <v>0</v>
      </c>
      <c r="E227" s="525">
        <v>0</v>
      </c>
      <c r="F227" s="525">
        <v>0</v>
      </c>
      <c r="G227" s="525">
        <v>0</v>
      </c>
      <c r="H227" s="525">
        <v>0</v>
      </c>
      <c r="I227" s="525">
        <v>39.608519999999999</v>
      </c>
      <c r="J227" s="525">
        <v>47.030619999999999</v>
      </c>
      <c r="K227" s="525">
        <v>45.401620000000001</v>
      </c>
      <c r="L227" s="525">
        <v>44.263919999999999</v>
      </c>
      <c r="M227" s="525">
        <v>42.58081</v>
      </c>
      <c r="N227" s="525">
        <v>0</v>
      </c>
      <c r="O227" s="635">
        <f t="shared" ref="O227:O241" si="86">IF($C227="","",IFERROR(AVERAGE(K227:M227),"NA"))</f>
        <v>44.082116666666671</v>
      </c>
    </row>
    <row r="228" spans="1:15">
      <c r="A228" s="110">
        <v>5</v>
      </c>
      <c r="B228" s="406" t="str">
        <f>IF($C228="","",IFERROR('Comps'!B14,"DELETE"))</f>
        <v>Pt Goto Gojek Tokopedia Tbk</v>
      </c>
      <c r="C228" s="13" t="str">
        <f>IF('Comps'!C14="","",'Comps'!C14)</f>
        <v>IDX: GOTO</v>
      </c>
      <c r="D228" s="525">
        <v>0</v>
      </c>
      <c r="E228" s="525">
        <v>0</v>
      </c>
      <c r="F228" s="525">
        <v>0</v>
      </c>
      <c r="G228" s="525">
        <v>0</v>
      </c>
      <c r="H228" s="525">
        <v>78.723200000000006</v>
      </c>
      <c r="I228" s="525">
        <v>100.90291000000001</v>
      </c>
      <c r="J228" s="525">
        <v>73.003290000000007</v>
      </c>
      <c r="K228" s="525">
        <v>69.460599999999999</v>
      </c>
      <c r="L228" s="525">
        <v>92.212509999999995</v>
      </c>
      <c r="M228" s="525">
        <v>59.483780000000003</v>
      </c>
      <c r="N228" s="525">
        <v>0</v>
      </c>
      <c r="O228" s="635">
        <f t="shared" si="86"/>
        <v>73.718963333333335</v>
      </c>
    </row>
    <row r="229" spans="1:15">
      <c r="A229" s="110">
        <v>6</v>
      </c>
      <c r="B229" s="406" t="str">
        <f>IF($C229="","",IFERROR('Comps'!B15,"DELETE"))</f>
        <v>Sea Limited</v>
      </c>
      <c r="C229" s="13" t="str">
        <f>IF('Comps'!C15="","",'Comps'!C15)</f>
        <v>NYSE: SE</v>
      </c>
      <c r="D229" s="525">
        <v>13.896280000000001</v>
      </c>
      <c r="E229" s="525">
        <v>11.757020000000001</v>
      </c>
      <c r="F229" s="525">
        <v>8.0486199999999997</v>
      </c>
      <c r="G229" s="525">
        <v>9.9506300000000003</v>
      </c>
      <c r="H229" s="525">
        <v>12.465120000000001</v>
      </c>
      <c r="I229" s="525">
        <v>11.40785</v>
      </c>
      <c r="J229" s="525">
        <v>10.00794</v>
      </c>
      <c r="K229" s="525">
        <v>11.876010000000001</v>
      </c>
      <c r="L229" s="525">
        <v>16.739999999999998</v>
      </c>
      <c r="M229" s="525">
        <v>19.20073</v>
      </c>
      <c r="N229" s="525">
        <v>0</v>
      </c>
      <c r="O229" s="635">
        <f t="shared" si="86"/>
        <v>15.938913333333332</v>
      </c>
    </row>
    <row r="230" spans="1:15">
      <c r="A230" s="110">
        <v>7</v>
      </c>
      <c r="B230" s="406" t="str">
        <f>IF($C230="","",IFERROR('Comps'!B16,"DELETE"))</f>
        <v>Uber Technologies, Inc.</v>
      </c>
      <c r="C230" s="13" t="str">
        <f>IF('Comps'!C16="","",'Comps'!C16)</f>
        <v>NYSE:UBER</v>
      </c>
      <c r="D230" s="525">
        <v>0</v>
      </c>
      <c r="E230" s="525">
        <v>0</v>
      </c>
      <c r="F230" s="525">
        <v>16.316960000000002</v>
      </c>
      <c r="G230" s="525">
        <v>10.512</v>
      </c>
      <c r="H230" s="525">
        <v>9.2089499999999997</v>
      </c>
      <c r="I230" s="525">
        <v>13.641920000000001</v>
      </c>
      <c r="J230" s="525">
        <v>17.79813</v>
      </c>
      <c r="K230" s="525">
        <v>13.13015</v>
      </c>
      <c r="L230" s="525">
        <v>11.0168</v>
      </c>
      <c r="M230" s="525">
        <v>10.26374</v>
      </c>
      <c r="N230" s="525">
        <v>0</v>
      </c>
      <c r="O230" s="635">
        <f t="shared" si="86"/>
        <v>11.470230000000001</v>
      </c>
    </row>
    <row r="231" spans="1:15">
      <c r="A231" s="110">
        <v>8</v>
      </c>
      <c r="B231" s="406" t="str">
        <f>IF($C231="","",IFERROR('Comps'!B17,"DELETE"))</f>
        <v>Lyft, Inc.</v>
      </c>
      <c r="C231" s="13" t="str">
        <f>IF('Comps'!C17="","",'Comps'!C17)</f>
        <v>NASDAQGS:LYFT</v>
      </c>
      <c r="D231" s="525">
        <v>0</v>
      </c>
      <c r="E231" s="525">
        <v>0</v>
      </c>
      <c r="F231" s="525">
        <v>24.47654</v>
      </c>
      <c r="G231" s="525">
        <v>11.44713</v>
      </c>
      <c r="H231" s="525">
        <v>4.6216299999999997</v>
      </c>
      <c r="I231" s="525">
        <v>12.283329999999999</v>
      </c>
      <c r="J231" s="525">
        <v>18.52704</v>
      </c>
      <c r="K231" s="525">
        <v>15.14969</v>
      </c>
      <c r="L231" s="525">
        <v>11.16353</v>
      </c>
      <c r="M231" s="525">
        <v>8.3038100000000004</v>
      </c>
      <c r="N231" s="525">
        <v>0</v>
      </c>
      <c r="O231" s="635">
        <f t="shared" si="86"/>
        <v>11.539009999999999</v>
      </c>
    </row>
    <row r="232" spans="1:15">
      <c r="A232" s="110">
        <v>9</v>
      </c>
      <c r="B232" s="406" t="str">
        <f>IF($C232="","",IFERROR('Comps'!B18,"DELETE"))</f>
        <v>Didi Global Inc.</v>
      </c>
      <c r="C232" s="13" t="str">
        <f>IF('Comps'!C18="","",'Comps'!C18)</f>
        <v>OTCPK:DIDI.Y</v>
      </c>
      <c r="D232" s="525">
        <v>0</v>
      </c>
      <c r="E232" s="525">
        <v>0</v>
      </c>
      <c r="F232" s="525">
        <v>0</v>
      </c>
      <c r="G232" s="525">
        <v>0</v>
      </c>
      <c r="H232" s="525">
        <v>2.2940299999999998</v>
      </c>
      <c r="I232" s="525">
        <v>5.3820300000000003</v>
      </c>
      <c r="J232" s="525">
        <v>4.2661199999999999</v>
      </c>
      <c r="K232" s="525">
        <v>0</v>
      </c>
      <c r="L232" s="525">
        <v>0.40698000000000001</v>
      </c>
      <c r="M232" s="525">
        <v>0.19288</v>
      </c>
      <c r="N232" s="525">
        <v>0</v>
      </c>
      <c r="O232" s="635">
        <f t="shared" si="86"/>
        <v>0.19995333333333334</v>
      </c>
    </row>
    <row r="233" spans="1:15">
      <c r="A233" s="110">
        <v>10</v>
      </c>
      <c r="B233" s="406" t="str">
        <f>IF($C233="","",IFERROR('Comps'!B19,"DELETE"))</f>
        <v>Meituan</v>
      </c>
      <c r="C233" s="13" t="str">
        <f>IF('Comps'!C19="","",'Comps'!C19)</f>
        <v>SEHK:3690</v>
      </c>
      <c r="D233" s="525">
        <v>0</v>
      </c>
      <c r="E233" s="525">
        <v>50.275219999999997</v>
      </c>
      <c r="F233" s="525">
        <v>34.942549999999997</v>
      </c>
      <c r="G233" s="525">
        <v>30.51802</v>
      </c>
      <c r="H233" s="525">
        <v>36.076599999999999</v>
      </c>
      <c r="I233" s="525">
        <v>43.720529999999997</v>
      </c>
      <c r="J233" s="525">
        <v>37.116120000000002</v>
      </c>
      <c r="K233" s="525">
        <v>38.06147</v>
      </c>
      <c r="L233" s="525">
        <v>41.653799999999997</v>
      </c>
      <c r="M233" s="525">
        <v>43.679900000000004</v>
      </c>
      <c r="N233" s="525">
        <v>0</v>
      </c>
      <c r="O233" s="635">
        <f t="shared" si="86"/>
        <v>41.131723333333333</v>
      </c>
    </row>
    <row r="234" spans="1:15">
      <c r="A234" s="110">
        <v>11</v>
      </c>
      <c r="B234" s="406" t="str">
        <f>IF($C234="","",IFERROR('Comps'!B20,"DELETE"))</f>
        <v>Delivery Hero Se</v>
      </c>
      <c r="C234" s="13" t="str">
        <f>IF('Comps'!C20="","",'Comps'!C20)</f>
        <v>XTRA:DHER</v>
      </c>
      <c r="D234" s="525" t="s">
        <v>1156</v>
      </c>
      <c r="E234" s="525">
        <v>356.48437000000001</v>
      </c>
      <c r="F234" s="525">
        <v>70.400109999999998</v>
      </c>
      <c r="G234" s="525">
        <v>33.270119999999999</v>
      </c>
      <c r="H234" s="525">
        <v>18.15766</v>
      </c>
      <c r="I234" s="525">
        <v>14.599740000000001</v>
      </c>
      <c r="J234" s="525">
        <v>13.1181</v>
      </c>
      <c r="K234" s="525">
        <v>15.881880000000001</v>
      </c>
      <c r="L234" s="525">
        <v>16.08117</v>
      </c>
      <c r="M234" s="525">
        <v>15.072609999999999</v>
      </c>
      <c r="N234" s="525">
        <v>0</v>
      </c>
      <c r="O234" s="635">
        <f t="shared" si="86"/>
        <v>15.678553333333333</v>
      </c>
    </row>
    <row r="235" spans="1:15">
      <c r="A235" s="110">
        <v>12</v>
      </c>
      <c r="B235" s="406" t="str">
        <f>IF($C235="","",IFERROR('Comps'!B21,"DELETE"))</f>
        <v>Doordash, Inc.</v>
      </c>
      <c r="C235" s="13" t="str">
        <f>IF('Comps'!C21="","",'Comps'!C21)</f>
        <v>NASDAQGS:DASH</v>
      </c>
      <c r="D235" s="525">
        <v>0</v>
      </c>
      <c r="E235" s="525">
        <v>0</v>
      </c>
      <c r="F235" s="525">
        <v>0</v>
      </c>
      <c r="G235" s="525">
        <v>0</v>
      </c>
      <c r="H235" s="525">
        <v>20.318819999999999</v>
      </c>
      <c r="I235" s="525">
        <v>13.84249</v>
      </c>
      <c r="J235" s="525">
        <v>19.375299999999999</v>
      </c>
      <c r="K235" s="525">
        <v>16.58597</v>
      </c>
      <c r="L235" s="525">
        <v>15.225250000000001</v>
      </c>
      <c r="M235" s="525">
        <v>18.121030000000001</v>
      </c>
      <c r="N235" s="525">
        <v>0</v>
      </c>
      <c r="O235" s="635">
        <f t="shared" si="86"/>
        <v>16.644083333333331</v>
      </c>
    </row>
    <row r="236" spans="1:15">
      <c r="A236" s="110">
        <v>13</v>
      </c>
      <c r="B236" s="406" t="str">
        <f>IF($C236="","",IFERROR('Comps'!B22,"DELETE"))</f>
        <v>Talabat Holding Plc</v>
      </c>
      <c r="C236" s="13" t="str">
        <f>IF('Comps'!C22="","",'Comps'!C22)</f>
        <v>DFM:TALABAT</v>
      </c>
      <c r="D236" s="525">
        <v>0</v>
      </c>
      <c r="E236" s="525">
        <v>0</v>
      </c>
      <c r="F236" s="525">
        <v>0</v>
      </c>
      <c r="G236" s="525">
        <v>0</v>
      </c>
      <c r="H236" s="525">
        <v>0</v>
      </c>
      <c r="I236" s="525">
        <v>0</v>
      </c>
      <c r="J236" s="525">
        <v>0</v>
      </c>
      <c r="K236" s="525">
        <v>0</v>
      </c>
      <c r="L236" s="525">
        <v>80.812460000000002</v>
      </c>
      <c r="M236" s="525">
        <v>69.895390000000006</v>
      </c>
      <c r="N236" s="525">
        <v>0</v>
      </c>
      <c r="O236" s="635">
        <f t="shared" si="86"/>
        <v>50.235950000000003</v>
      </c>
    </row>
    <row r="237" spans="1:15">
      <c r="A237" s="110">
        <v>14</v>
      </c>
      <c r="B237" s="406" t="e">
        <f>IF($C237="","",IFERROR('Comps'!#REF!,"DELETE"))</f>
        <v>#REF!</v>
      </c>
      <c r="C237" s="13" t="e">
        <f>IF('Comps'!#REF!="","",'Comps'!#REF!)</f>
        <v>#REF!</v>
      </c>
      <c r="D237" s="525"/>
      <c r="E237" s="525"/>
      <c r="F237" s="525"/>
      <c r="G237" s="525"/>
      <c r="H237" s="525"/>
      <c r="I237" s="525"/>
      <c r="J237" s="525"/>
      <c r="K237" s="525"/>
      <c r="L237" s="525"/>
      <c r="M237" s="525"/>
      <c r="N237" s="525"/>
      <c r="O237" s="635" t="e">
        <f t="shared" si="86"/>
        <v>#REF!</v>
      </c>
    </row>
    <row r="238" spans="1:15">
      <c r="A238" s="110">
        <v>15</v>
      </c>
      <c r="B238" s="406" t="e">
        <f>IF($C238="","",IFERROR('Comps'!#REF!,"DELETE"))</f>
        <v>#REF!</v>
      </c>
      <c r="C238" s="13" t="e">
        <f>IF('Comps'!#REF!="","",'Comps'!#REF!)</f>
        <v>#REF!</v>
      </c>
      <c r="D238" s="525"/>
      <c r="E238" s="525"/>
      <c r="F238" s="525"/>
      <c r="G238" s="525"/>
      <c r="H238" s="525"/>
      <c r="I238" s="525"/>
      <c r="J238" s="525"/>
      <c r="K238" s="525"/>
      <c r="L238" s="525"/>
      <c r="M238" s="525"/>
      <c r="N238" s="525"/>
      <c r="O238" s="635" t="e">
        <f t="shared" si="86"/>
        <v>#REF!</v>
      </c>
    </row>
    <row r="239" spans="1:15">
      <c r="A239" s="110">
        <v>16</v>
      </c>
      <c r="B239" s="406" t="e">
        <f>IF($C239="","",IFERROR('Comps'!#REF!,"DELETE"))</f>
        <v>#REF!</v>
      </c>
      <c r="C239" s="13" t="e">
        <f>IF('Comps'!#REF!="","",'Comps'!#REF!)</f>
        <v>#REF!</v>
      </c>
      <c r="D239" s="525"/>
      <c r="E239" s="525"/>
      <c r="F239" s="525"/>
      <c r="G239" s="525"/>
      <c r="H239" s="525"/>
      <c r="I239" s="525"/>
      <c r="J239" s="525"/>
      <c r="K239" s="525"/>
      <c r="L239" s="525"/>
      <c r="M239" s="525"/>
      <c r="N239" s="525"/>
      <c r="O239" s="635" t="e">
        <f t="shared" si="86"/>
        <v>#REF!</v>
      </c>
    </row>
    <row r="240" spans="1:15">
      <c r="A240" s="110">
        <v>17</v>
      </c>
      <c r="B240" s="406" t="e">
        <f>IF($C240="","",IFERROR('Comps'!#REF!,"DELETE"))</f>
        <v>#REF!</v>
      </c>
      <c r="C240" s="13" t="e">
        <f>IF('Comps'!#REF!="","",'Comps'!#REF!)</f>
        <v>#REF!</v>
      </c>
      <c r="D240" s="525"/>
      <c r="E240" s="525"/>
      <c r="F240" s="525"/>
      <c r="G240" s="525"/>
      <c r="H240" s="525"/>
      <c r="I240" s="525"/>
      <c r="J240" s="525"/>
      <c r="K240" s="525"/>
      <c r="L240" s="525"/>
      <c r="M240" s="525"/>
      <c r="N240" s="525"/>
      <c r="O240" s="635" t="e">
        <f t="shared" si="86"/>
        <v>#REF!</v>
      </c>
    </row>
    <row r="241" spans="1:15">
      <c r="A241" s="110">
        <v>18</v>
      </c>
      <c r="B241" s="406" t="e">
        <f>IF($C241="","",IFERROR('Comps'!#REF!,"DELETE"))</f>
        <v>#REF!</v>
      </c>
      <c r="C241" s="13" t="e">
        <f>IF('Comps'!#REF!="","",'Comps'!#REF!)</f>
        <v>#REF!</v>
      </c>
      <c r="D241" s="525"/>
      <c r="E241" s="525"/>
      <c r="F241" s="525"/>
      <c r="G241" s="525"/>
      <c r="H241" s="525"/>
      <c r="I241" s="525"/>
      <c r="J241" s="525"/>
      <c r="K241" s="525"/>
      <c r="L241" s="525"/>
      <c r="M241" s="525"/>
      <c r="N241" s="525"/>
      <c r="O241" s="635" t="e">
        <f t="shared" si="86"/>
        <v>#REF!</v>
      </c>
    </row>
    <row r="242" spans="1:15" ht="4.3499999999999996" customHeight="1" thickBot="1">
      <c r="A242" s="110">
        <v>19</v>
      </c>
      <c r="B242" s="338"/>
      <c r="C242" s="339"/>
      <c r="D242" s="341"/>
      <c r="E242" s="341"/>
      <c r="F242" s="341"/>
      <c r="G242" s="341"/>
      <c r="H242" s="341"/>
      <c r="I242" s="341"/>
      <c r="J242" s="341"/>
      <c r="K242" s="341"/>
      <c r="L242" s="341"/>
      <c r="M242" s="341"/>
      <c r="N242" s="341"/>
      <c r="O242" s="342"/>
    </row>
    <row r="243" spans="1:15">
      <c r="A243" s="110">
        <v>20</v>
      </c>
      <c r="B243" s="595" t="s">
        <v>1147</v>
      </c>
      <c r="D243" s="99"/>
      <c r="E243" s="99"/>
      <c r="F243" s="99"/>
      <c r="G243" s="99"/>
      <c r="H243" s="99"/>
      <c r="I243" s="99"/>
      <c r="J243" s="99"/>
      <c r="K243" s="99"/>
      <c r="L243" s="99"/>
      <c r="M243" s="99"/>
      <c r="N243" s="99"/>
      <c r="O243" s="98"/>
    </row>
    <row r="244" spans="1:15">
      <c r="A244" s="110">
        <v>21</v>
      </c>
      <c r="B244" t="s">
        <v>1150</v>
      </c>
      <c r="D244" s="529">
        <f>MAX(D227:D242)</f>
        <v>13.896280000000001</v>
      </c>
      <c r="E244" s="529">
        <f t="shared" ref="E244:H244" si="87">MAX(E227:E242)</f>
        <v>356.48437000000001</v>
      </c>
      <c r="F244" s="529">
        <f t="shared" si="87"/>
        <v>70.400109999999998</v>
      </c>
      <c r="G244" s="529">
        <f t="shared" si="87"/>
        <v>33.270119999999999</v>
      </c>
      <c r="H244" s="529">
        <f t="shared" si="87"/>
        <v>78.723200000000006</v>
      </c>
      <c r="I244" s="529">
        <f>MAX(I227:I242)</f>
        <v>100.90291000000001</v>
      </c>
      <c r="J244" s="529">
        <f t="shared" ref="J244:N244" si="88">MAX(J227:J242)</f>
        <v>73.003290000000007</v>
      </c>
      <c r="K244" s="529">
        <f t="shared" si="88"/>
        <v>69.460599999999999</v>
      </c>
      <c r="L244" s="529">
        <f t="shared" si="88"/>
        <v>92.212509999999995</v>
      </c>
      <c r="M244" s="529">
        <f t="shared" si="88"/>
        <v>69.895390000000006</v>
      </c>
      <c r="N244" s="529">
        <f t="shared" si="88"/>
        <v>0</v>
      </c>
      <c r="O244" s="27"/>
    </row>
    <row r="245" spans="1:15">
      <c r="A245" s="110">
        <v>22</v>
      </c>
      <c r="B245" t="s">
        <v>1151</v>
      </c>
      <c r="D245" s="529">
        <f t="shared" ref="D245:N245" si="89">MIN(D227:D242)</f>
        <v>0</v>
      </c>
      <c r="E245" s="529">
        <f t="shared" si="89"/>
        <v>0</v>
      </c>
      <c r="F245" s="529">
        <f t="shared" si="89"/>
        <v>0</v>
      </c>
      <c r="G245" s="529">
        <f t="shared" si="89"/>
        <v>0</v>
      </c>
      <c r="H245" s="529">
        <f t="shared" si="89"/>
        <v>0</v>
      </c>
      <c r="I245" s="529">
        <f t="shared" si="89"/>
        <v>0</v>
      </c>
      <c r="J245" s="529">
        <f t="shared" si="89"/>
        <v>0</v>
      </c>
      <c r="K245" s="529">
        <f t="shared" si="89"/>
        <v>0</v>
      </c>
      <c r="L245" s="529">
        <f t="shared" si="89"/>
        <v>0.40698000000000001</v>
      </c>
      <c r="M245" s="529">
        <f t="shared" si="89"/>
        <v>0.19288</v>
      </c>
      <c r="N245" s="529">
        <f t="shared" si="89"/>
        <v>0</v>
      </c>
      <c r="O245" s="27"/>
    </row>
  </sheetData>
  <conditionalFormatting sqref="B9:B24">
    <cfRule type="cellIs" dxfId="116" priority="57" operator="equal">
      <formula>"delete"</formula>
    </cfRule>
  </conditionalFormatting>
  <conditionalFormatting sqref="B29:B44">
    <cfRule type="cellIs" dxfId="115" priority="36" operator="equal">
      <formula>"delete"</formula>
    </cfRule>
  </conditionalFormatting>
  <conditionalFormatting sqref="B49:B64">
    <cfRule type="cellIs" dxfId="114" priority="27" operator="equal">
      <formula>"delete"</formula>
    </cfRule>
  </conditionalFormatting>
  <conditionalFormatting sqref="B69:B84">
    <cfRule type="cellIs" dxfId="113" priority="26" operator="equal">
      <formula>"delete"</formula>
    </cfRule>
  </conditionalFormatting>
  <conditionalFormatting sqref="B89:B104">
    <cfRule type="cellIs" dxfId="112" priority="25" operator="equal">
      <formula>"delete"</formula>
    </cfRule>
  </conditionalFormatting>
  <conditionalFormatting sqref="B111:B126">
    <cfRule type="cellIs" dxfId="111" priority="24" operator="equal">
      <formula>"delete"</formula>
    </cfRule>
  </conditionalFormatting>
  <conditionalFormatting sqref="B134:B149">
    <cfRule type="cellIs" dxfId="110" priority="23" operator="equal">
      <formula>"delete"</formula>
    </cfRule>
  </conditionalFormatting>
  <conditionalFormatting sqref="B157:B172">
    <cfRule type="cellIs" dxfId="109" priority="11" operator="equal">
      <formula>"delete"</formula>
    </cfRule>
  </conditionalFormatting>
  <conditionalFormatting sqref="B181:B196">
    <cfRule type="cellIs" dxfId="108" priority="30" operator="equal">
      <formula>"delete"</formula>
    </cfRule>
  </conditionalFormatting>
  <conditionalFormatting sqref="B204:B219">
    <cfRule type="cellIs" dxfId="107" priority="29" operator="equal">
      <formula>"delete"</formula>
    </cfRule>
  </conditionalFormatting>
  <conditionalFormatting sqref="B227:B242">
    <cfRule type="cellIs" dxfId="106" priority="28" operator="equal">
      <formula>"delete"</formula>
    </cfRule>
  </conditionalFormatting>
  <conditionalFormatting sqref="B28:N28">
    <cfRule type="cellIs" dxfId="105" priority="10" operator="equal">
      <formula>"FYTEF"</formula>
    </cfRule>
  </conditionalFormatting>
  <conditionalFormatting sqref="B48:N48">
    <cfRule type="cellIs" dxfId="104" priority="9" operator="equal">
      <formula>"FYTEF"</formula>
    </cfRule>
  </conditionalFormatting>
  <conditionalFormatting sqref="B68:N68">
    <cfRule type="cellIs" dxfId="103" priority="8" operator="equal">
      <formula>"FYTEF"</formula>
    </cfRule>
  </conditionalFormatting>
  <conditionalFormatting sqref="B8:O8">
    <cfRule type="cellIs" dxfId="102" priority="80" operator="equal">
      <formula>"FYTEF"</formula>
    </cfRule>
  </conditionalFormatting>
  <conditionalFormatting sqref="B88:O88">
    <cfRule type="cellIs" dxfId="101" priority="7" operator="equal">
      <formula>"FYTEF"</formula>
    </cfRule>
  </conditionalFormatting>
  <conditionalFormatting sqref="B110:O110">
    <cfRule type="cellIs" dxfId="100" priority="6" operator="equal">
      <formula>"FYTEF"</formula>
    </cfRule>
  </conditionalFormatting>
  <conditionalFormatting sqref="B133:O133">
    <cfRule type="cellIs" dxfId="99" priority="5" operator="equal">
      <formula>"FYTEF"</formula>
    </cfRule>
  </conditionalFormatting>
  <conditionalFormatting sqref="B156:O156">
    <cfRule type="cellIs" dxfId="98" priority="4" operator="equal">
      <formula>"FYTEF"</formula>
    </cfRule>
  </conditionalFormatting>
  <conditionalFormatting sqref="B180:O180">
    <cfRule type="cellIs" dxfId="97" priority="3" operator="equal">
      <formula>"FYTEF"</formula>
    </cfRule>
  </conditionalFormatting>
  <conditionalFormatting sqref="B203:O203">
    <cfRule type="cellIs" dxfId="96" priority="2" operator="equal">
      <formula>"FYTEF"</formula>
    </cfRule>
  </conditionalFormatting>
  <conditionalFormatting sqref="B226:O226">
    <cfRule type="cellIs" dxfId="95" priority="1" operator="equal">
      <formula>"FYTEF"</formula>
    </cfRule>
  </conditionalFormatting>
  <dataValidations disablePrompts="1" count="1">
    <dataValidation type="list" allowBlank="1" showInputMessage="1" showErrorMessage="1" prompt="Units to display_x000a_TLN - Trillions_x000a_BLN - Billions_x000a_MLN - Millions" sqref="L2" xr:uid="{F5E85269-371D-4A87-A515-A8274ED762C9}">
      <formula1>"mln,bln,tln"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FFC000"/>
  </sheetPr>
  <dimension ref="B1:AR24"/>
  <sheetViews>
    <sheetView showGridLines="0" workbookViewId="0">
      <selection activeCell="P21" sqref="P21"/>
    </sheetView>
  </sheetViews>
  <sheetFormatPr defaultRowHeight="9.9499999999999993"/>
  <cols>
    <col min="2" max="2" width="32.5" bestFit="1" customWidth="1"/>
    <col min="4" max="13" width="9.33203125" bestFit="1" customWidth="1"/>
    <col min="14" max="14" width="8.6640625" bestFit="1" customWidth="1"/>
    <col min="15" max="44" width="9.33203125" bestFit="1" customWidth="1"/>
  </cols>
  <sheetData>
    <row r="1" spans="2:44" ht="27.6">
      <c r="B1" s="18" t="s">
        <v>1157</v>
      </c>
    </row>
    <row r="12" spans="2:44">
      <c r="B12" t="s">
        <v>1158</v>
      </c>
      <c r="C12" s="28">
        <f>Input!D13</f>
        <v>5</v>
      </c>
      <c r="F12" s="23"/>
    </row>
    <row r="13" spans="2:44">
      <c r="B13" t="s">
        <v>795</v>
      </c>
      <c r="C13" s="28">
        <f>Input!D14</f>
        <v>10</v>
      </c>
      <c r="E13" s="27"/>
      <c r="F13" s="23"/>
      <c r="G13" s="27"/>
      <c r="H13" s="27"/>
      <c r="I13" s="27"/>
      <c r="J13" s="27"/>
      <c r="K13" s="27"/>
      <c r="L13" s="27"/>
      <c r="M13" s="27"/>
      <c r="N13" s="27"/>
      <c r="O13" s="27"/>
      <c r="P13" s="27"/>
      <c r="Q13" s="27"/>
    </row>
    <row r="14" spans="2:44" s="143" customFormat="1"/>
    <row r="15" spans="2:44">
      <c r="B15" t="s">
        <v>1159</v>
      </c>
      <c r="D15" s="161">
        <f t="shared" ref="D15:L15" si="0">EDATE(D16,-12)+1</f>
        <v>42005</v>
      </c>
      <c r="E15" s="161">
        <f t="shared" si="0"/>
        <v>42370</v>
      </c>
      <c r="F15" s="161">
        <f t="shared" si="0"/>
        <v>42736</v>
      </c>
      <c r="G15" s="161">
        <f t="shared" si="0"/>
        <v>43101</v>
      </c>
      <c r="H15" s="161">
        <f t="shared" si="0"/>
        <v>43466</v>
      </c>
      <c r="I15" s="161">
        <f t="shared" si="0"/>
        <v>43831</v>
      </c>
      <c r="J15" s="161">
        <f t="shared" si="0"/>
        <v>44197</v>
      </c>
      <c r="K15" s="161">
        <f t="shared" si="0"/>
        <v>44562</v>
      </c>
      <c r="L15" s="161">
        <f t="shared" si="0"/>
        <v>44927</v>
      </c>
      <c r="M15" s="161">
        <f>EDATE(M16,-12)+1</f>
        <v>45292</v>
      </c>
      <c r="N15" s="161">
        <f>IF(O17=12,EDATE(O16,-24)+1,EDATE(O16,-12)+1)</f>
        <v>45658</v>
      </c>
      <c r="O15" s="162">
        <f>vd+1</f>
        <v>46023</v>
      </c>
      <c r="P15" s="162">
        <f>O16+1</f>
        <v>46388</v>
      </c>
      <c r="Q15" s="162">
        <f t="shared" ref="Q15:T15" si="1">P16+1</f>
        <v>46753</v>
      </c>
      <c r="R15" s="162">
        <f t="shared" si="1"/>
        <v>47119</v>
      </c>
      <c r="S15" s="162">
        <f t="shared" si="1"/>
        <v>47484</v>
      </c>
      <c r="T15" s="162">
        <f t="shared" si="1"/>
        <v>47849</v>
      </c>
      <c r="U15" s="162">
        <f t="shared" ref="U15" si="2">T16+1</f>
        <v>48214</v>
      </c>
      <c r="V15" s="162">
        <f t="shared" ref="V15" si="3">U16+1</f>
        <v>48580</v>
      </c>
      <c r="W15" s="162">
        <f t="shared" ref="W15" si="4">V16+1</f>
        <v>48945</v>
      </c>
      <c r="X15" s="162">
        <f t="shared" ref="X15" si="5">W16+1</f>
        <v>49310</v>
      </c>
      <c r="Y15" s="162">
        <f t="shared" ref="Y15" si="6">X16+1</f>
        <v>49675</v>
      </c>
      <c r="Z15" s="162">
        <f t="shared" ref="Z15" si="7">Y16+1</f>
        <v>50041</v>
      </c>
      <c r="AA15" s="162">
        <f t="shared" ref="AA15" si="8">Z16+1</f>
        <v>50406</v>
      </c>
      <c r="AB15" s="162">
        <f t="shared" ref="AB15" si="9">AA16+1</f>
        <v>50771</v>
      </c>
      <c r="AC15" s="162">
        <f t="shared" ref="AC15" si="10">AB16+1</f>
        <v>51136</v>
      </c>
      <c r="AD15" s="162">
        <f t="shared" ref="AD15" si="11">AC16+1</f>
        <v>51502</v>
      </c>
      <c r="AE15" s="162">
        <f t="shared" ref="AE15" si="12">AD16+1</f>
        <v>51867</v>
      </c>
      <c r="AF15" s="162">
        <f t="shared" ref="AF15" si="13">AE16+1</f>
        <v>52232</v>
      </c>
      <c r="AG15" s="162">
        <f t="shared" ref="AG15" si="14">AF16+1</f>
        <v>52597</v>
      </c>
      <c r="AH15" s="162">
        <f t="shared" ref="AH15" si="15">AG16+1</f>
        <v>52963</v>
      </c>
      <c r="AI15" s="162">
        <f t="shared" ref="AI15" si="16">AH16+1</f>
        <v>53328</v>
      </c>
      <c r="AJ15" s="162">
        <f t="shared" ref="AJ15" si="17">AI16+1</f>
        <v>53693</v>
      </c>
      <c r="AK15" s="162">
        <f t="shared" ref="AK15" si="18">AJ16+1</f>
        <v>54058</v>
      </c>
      <c r="AL15" s="162">
        <f t="shared" ref="AL15" si="19">AK16+1</f>
        <v>54424</v>
      </c>
      <c r="AM15" s="162">
        <f t="shared" ref="AM15" si="20">AL16+1</f>
        <v>54789</v>
      </c>
      <c r="AN15" s="162">
        <f t="shared" ref="AN15" si="21">AM16+1</f>
        <v>55154</v>
      </c>
      <c r="AO15" s="162">
        <f t="shared" ref="AO15" si="22">AN16+1</f>
        <v>55519</v>
      </c>
      <c r="AP15" s="162">
        <f t="shared" ref="AP15" si="23">AO16+1</f>
        <v>55885</v>
      </c>
      <c r="AQ15" s="162">
        <f t="shared" ref="AQ15" si="24">AP16+1</f>
        <v>56250</v>
      </c>
      <c r="AR15" s="162">
        <f t="shared" ref="AR15" si="25">AQ16+1</f>
        <v>56615</v>
      </c>
    </row>
    <row r="16" spans="2:44">
      <c r="B16" t="s">
        <v>1160</v>
      </c>
      <c r="D16" s="163">
        <f t="shared" ref="D16:L16" si="26">E15-1</f>
        <v>42369</v>
      </c>
      <c r="E16" s="163">
        <f t="shared" si="26"/>
        <v>42735</v>
      </c>
      <c r="F16" s="163">
        <f t="shared" si="26"/>
        <v>43100</v>
      </c>
      <c r="G16" s="163">
        <f t="shared" si="26"/>
        <v>43465</v>
      </c>
      <c r="H16" s="163">
        <f t="shared" si="26"/>
        <v>43830</v>
      </c>
      <c r="I16" s="163">
        <f t="shared" si="26"/>
        <v>44196</v>
      </c>
      <c r="J16" s="163">
        <f t="shared" si="26"/>
        <v>44561</v>
      </c>
      <c r="K16" s="163">
        <f t="shared" si="26"/>
        <v>44926</v>
      </c>
      <c r="L16" s="163">
        <f t="shared" si="26"/>
        <v>45291</v>
      </c>
      <c r="M16" s="163">
        <f>N15-1</f>
        <v>45657</v>
      </c>
      <c r="N16" s="164">
        <f>vd</f>
        <v>46022</v>
      </c>
      <c r="O16" s="165">
        <f>next.fy</f>
        <v>46387</v>
      </c>
      <c r="P16" s="162">
        <f>EDATE(O16,12)</f>
        <v>46752</v>
      </c>
      <c r="Q16" s="162">
        <f t="shared" ref="Q16:T16" si="27">EDATE(P16,12)</f>
        <v>47118</v>
      </c>
      <c r="R16" s="162">
        <f t="shared" si="27"/>
        <v>47483</v>
      </c>
      <c r="S16" s="162">
        <f t="shared" si="27"/>
        <v>47848</v>
      </c>
      <c r="T16" s="162">
        <f t="shared" si="27"/>
        <v>48213</v>
      </c>
      <c r="U16" s="162">
        <f t="shared" ref="U16" si="28">EDATE(T16,12)</f>
        <v>48579</v>
      </c>
      <c r="V16" s="162">
        <f t="shared" ref="V16" si="29">EDATE(U16,12)</f>
        <v>48944</v>
      </c>
      <c r="W16" s="162">
        <f t="shared" ref="W16" si="30">EDATE(V16,12)</f>
        <v>49309</v>
      </c>
      <c r="X16" s="162">
        <f t="shared" ref="X16" si="31">EDATE(W16,12)</f>
        <v>49674</v>
      </c>
      <c r="Y16" s="162">
        <f t="shared" ref="Y16" si="32">EDATE(X16,12)</f>
        <v>50040</v>
      </c>
      <c r="Z16" s="162">
        <f t="shared" ref="Z16" si="33">EDATE(Y16,12)</f>
        <v>50405</v>
      </c>
      <c r="AA16" s="162">
        <f t="shared" ref="AA16" si="34">EDATE(Z16,12)</f>
        <v>50770</v>
      </c>
      <c r="AB16" s="162">
        <f t="shared" ref="AB16" si="35">EDATE(AA16,12)</f>
        <v>51135</v>
      </c>
      <c r="AC16" s="162">
        <f t="shared" ref="AC16" si="36">EDATE(AB16,12)</f>
        <v>51501</v>
      </c>
      <c r="AD16" s="162">
        <f t="shared" ref="AD16" si="37">EDATE(AC16,12)</f>
        <v>51866</v>
      </c>
      <c r="AE16" s="162">
        <f t="shared" ref="AE16" si="38">EDATE(AD16,12)</f>
        <v>52231</v>
      </c>
      <c r="AF16" s="162">
        <f t="shared" ref="AF16" si="39">EDATE(AE16,12)</f>
        <v>52596</v>
      </c>
      <c r="AG16" s="162">
        <f t="shared" ref="AG16" si="40">EDATE(AF16,12)</f>
        <v>52962</v>
      </c>
      <c r="AH16" s="162">
        <f t="shared" ref="AH16" si="41">EDATE(AG16,12)</f>
        <v>53327</v>
      </c>
      <c r="AI16" s="162">
        <f t="shared" ref="AI16" si="42">EDATE(AH16,12)</f>
        <v>53692</v>
      </c>
      <c r="AJ16" s="162">
        <f t="shared" ref="AJ16" si="43">EDATE(AI16,12)</f>
        <v>54057</v>
      </c>
      <c r="AK16" s="162">
        <f t="shared" ref="AK16" si="44">EDATE(AJ16,12)</f>
        <v>54423</v>
      </c>
      <c r="AL16" s="162">
        <f t="shared" ref="AL16" si="45">EDATE(AK16,12)</f>
        <v>54788</v>
      </c>
      <c r="AM16" s="162">
        <f t="shared" ref="AM16" si="46">EDATE(AL16,12)</f>
        <v>55153</v>
      </c>
      <c r="AN16" s="162">
        <f t="shared" ref="AN16" si="47">EDATE(AM16,12)</f>
        <v>55518</v>
      </c>
      <c r="AO16" s="162">
        <f t="shared" ref="AO16" si="48">EDATE(AN16,12)</f>
        <v>55884</v>
      </c>
      <c r="AP16" s="162">
        <f t="shared" ref="AP16" si="49">EDATE(AO16,12)</f>
        <v>56249</v>
      </c>
      <c r="AQ16" s="162">
        <f t="shared" ref="AQ16" si="50">EDATE(AP16,12)</f>
        <v>56614</v>
      </c>
      <c r="AR16" s="162">
        <f t="shared" ref="AR16" si="51">EDATE(AQ16,12)</f>
        <v>56979</v>
      </c>
    </row>
    <row r="17" spans="2:44">
      <c r="B17" t="s">
        <v>1161</v>
      </c>
      <c r="D17" s="166">
        <f t="shared" ref="D17:M17" si="52">ROUND((D16-D15)/30,0)</f>
        <v>12</v>
      </c>
      <c r="E17" s="166">
        <f t="shared" si="52"/>
        <v>12</v>
      </c>
      <c r="F17" s="166">
        <f t="shared" si="52"/>
        <v>12</v>
      </c>
      <c r="G17" s="166">
        <f t="shared" si="52"/>
        <v>12</v>
      </c>
      <c r="H17" s="166">
        <f t="shared" si="52"/>
        <v>12</v>
      </c>
      <c r="I17" s="166">
        <f t="shared" si="52"/>
        <v>12</v>
      </c>
      <c r="J17" s="166">
        <f t="shared" si="52"/>
        <v>12</v>
      </c>
      <c r="K17" s="166">
        <f t="shared" si="52"/>
        <v>12</v>
      </c>
      <c r="L17" s="166">
        <f t="shared" si="52"/>
        <v>12</v>
      </c>
      <c r="M17" s="166">
        <f t="shared" si="52"/>
        <v>12</v>
      </c>
      <c r="N17" s="166">
        <f>ROUND((N16-N15)/30,0)</f>
        <v>12</v>
      </c>
      <c r="O17" s="167">
        <f>ROUND((O16-O15)/30,0)</f>
        <v>12</v>
      </c>
      <c r="P17" s="167">
        <f t="shared" ref="P17" si="53">ROUND((P16-P15)/30,0)</f>
        <v>12</v>
      </c>
      <c r="Q17" s="167">
        <f t="shared" ref="Q17" si="54">ROUND((Q16-Q15)/30,0)</f>
        <v>12</v>
      </c>
      <c r="R17" s="167">
        <f t="shared" ref="R17" si="55">ROUND((R16-R15)/30,0)</f>
        <v>12</v>
      </c>
      <c r="S17" s="167">
        <f t="shared" ref="S17" si="56">ROUND((S16-S15)/30,0)</f>
        <v>12</v>
      </c>
      <c r="T17" s="167">
        <f t="shared" ref="T17:AR17" si="57">ROUND((T16-T15)/30,0)</f>
        <v>12</v>
      </c>
      <c r="U17" s="167">
        <f t="shared" si="57"/>
        <v>12</v>
      </c>
      <c r="V17" s="167">
        <f t="shared" si="57"/>
        <v>12</v>
      </c>
      <c r="W17" s="167">
        <f t="shared" si="57"/>
        <v>12</v>
      </c>
      <c r="X17" s="167">
        <f t="shared" ref="X17:AC17" si="58">ROUND((X16-X15)/30,0)</f>
        <v>12</v>
      </c>
      <c r="Y17" s="167">
        <f t="shared" si="58"/>
        <v>12</v>
      </c>
      <c r="Z17" s="167">
        <f t="shared" si="58"/>
        <v>12</v>
      </c>
      <c r="AA17" s="167">
        <f t="shared" si="58"/>
        <v>12</v>
      </c>
      <c r="AB17" s="167">
        <f t="shared" si="58"/>
        <v>12</v>
      </c>
      <c r="AC17" s="167">
        <f t="shared" si="58"/>
        <v>12</v>
      </c>
      <c r="AD17" s="167">
        <f t="shared" si="57"/>
        <v>12</v>
      </c>
      <c r="AE17" s="167">
        <f t="shared" si="57"/>
        <v>12</v>
      </c>
      <c r="AF17" s="167">
        <f t="shared" si="57"/>
        <v>12</v>
      </c>
      <c r="AG17" s="167">
        <f t="shared" si="57"/>
        <v>12</v>
      </c>
      <c r="AH17" s="167">
        <f t="shared" si="57"/>
        <v>12</v>
      </c>
      <c r="AI17" s="167">
        <f t="shared" si="57"/>
        <v>12</v>
      </c>
      <c r="AJ17" s="167">
        <f t="shared" si="57"/>
        <v>12</v>
      </c>
      <c r="AK17" s="167">
        <f t="shared" si="57"/>
        <v>12</v>
      </c>
      <c r="AL17" s="167">
        <f t="shared" si="57"/>
        <v>12</v>
      </c>
      <c r="AM17" s="167">
        <f t="shared" si="57"/>
        <v>12</v>
      </c>
      <c r="AN17" s="167">
        <f t="shared" si="57"/>
        <v>12</v>
      </c>
      <c r="AO17" s="167">
        <f t="shared" si="57"/>
        <v>12</v>
      </c>
      <c r="AP17" s="167">
        <f t="shared" si="57"/>
        <v>12</v>
      </c>
      <c r="AQ17" s="167">
        <f t="shared" si="57"/>
        <v>12</v>
      </c>
      <c r="AR17" s="167">
        <f t="shared" si="57"/>
        <v>12</v>
      </c>
    </row>
    <row r="18" spans="2:44">
      <c r="D18" s="166"/>
      <c r="E18" s="166"/>
      <c r="F18" s="166"/>
      <c r="G18" s="166"/>
      <c r="H18" s="166"/>
      <c r="I18" s="166"/>
      <c r="J18" s="166"/>
      <c r="K18" s="166"/>
      <c r="L18" s="166"/>
      <c r="M18" s="166"/>
      <c r="N18" s="166"/>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row>
    <row r="19" spans="2:44">
      <c r="D19" s="166"/>
      <c r="E19" s="166"/>
      <c r="F19" s="166"/>
      <c r="G19" s="166"/>
      <c r="H19" s="166"/>
      <c r="I19" s="166"/>
      <c r="J19" s="166"/>
      <c r="K19" s="166"/>
      <c r="L19" s="166"/>
      <c r="M19" s="166"/>
      <c r="N19" s="166"/>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row>
    <row r="20" spans="2:44">
      <c r="B20" t="s">
        <v>1162</v>
      </c>
      <c r="D20" s="168" t="str">
        <f t="shared" ref="D20:N20" si="59">IF(D23&lt;$C$12,YEAR(D16),"DELETE")</f>
        <v>DELETE</v>
      </c>
      <c r="E20" s="168" t="str">
        <f>IF(E23&lt;$C$12,YEAR(E16),"DELETE")</f>
        <v>DELETE</v>
      </c>
      <c r="F20" s="168" t="str">
        <f t="shared" si="59"/>
        <v>DELETE</v>
      </c>
      <c r="G20" s="168" t="str">
        <f t="shared" si="59"/>
        <v>DELETE</v>
      </c>
      <c r="H20" s="168" t="str">
        <f t="shared" si="59"/>
        <v>DELETE</v>
      </c>
      <c r="I20" s="168" t="str">
        <f t="shared" si="59"/>
        <v>DELETE</v>
      </c>
      <c r="J20" s="168">
        <f t="shared" si="59"/>
        <v>2021</v>
      </c>
      <c r="K20" s="168">
        <f t="shared" si="59"/>
        <v>2022</v>
      </c>
      <c r="L20" s="168">
        <f t="shared" si="59"/>
        <v>2023</v>
      </c>
      <c r="M20" s="168">
        <f t="shared" si="59"/>
        <v>2024</v>
      </c>
      <c r="N20" s="168">
        <f t="shared" si="59"/>
        <v>2025</v>
      </c>
      <c r="O20" s="169">
        <f t="shared" ref="O20:T20" si="60">IF(O23&lt;$C$13+1,YEAR(O16),"DELETE")</f>
        <v>2026</v>
      </c>
      <c r="P20" s="169">
        <f t="shared" si="60"/>
        <v>2027</v>
      </c>
      <c r="Q20" s="169">
        <f t="shared" si="60"/>
        <v>2028</v>
      </c>
      <c r="R20" s="169">
        <f t="shared" si="60"/>
        <v>2029</v>
      </c>
      <c r="S20" s="169">
        <f t="shared" si="60"/>
        <v>2030</v>
      </c>
      <c r="T20" s="169">
        <f t="shared" si="60"/>
        <v>2031</v>
      </c>
      <c r="U20" s="169">
        <f t="shared" ref="U20:AR20" si="61">IF(U23&lt;$C$13+1,YEAR(U16),"DELETE")</f>
        <v>2032</v>
      </c>
      <c r="V20" s="169">
        <f t="shared" si="61"/>
        <v>2033</v>
      </c>
      <c r="W20" s="169">
        <f t="shared" si="61"/>
        <v>2034</v>
      </c>
      <c r="X20" s="169">
        <f t="shared" ref="X20:AC20" si="62">IF(X23&lt;$C$13+1,YEAR(X16),"DELETE")</f>
        <v>2035</v>
      </c>
      <c r="Y20" s="169" t="str">
        <f t="shared" si="62"/>
        <v>DELETE</v>
      </c>
      <c r="Z20" s="169" t="str">
        <f t="shared" si="62"/>
        <v>DELETE</v>
      </c>
      <c r="AA20" s="169" t="str">
        <f t="shared" si="62"/>
        <v>DELETE</v>
      </c>
      <c r="AB20" s="169" t="str">
        <f t="shared" si="62"/>
        <v>DELETE</v>
      </c>
      <c r="AC20" s="169" t="str">
        <f t="shared" si="62"/>
        <v>DELETE</v>
      </c>
      <c r="AD20" s="169" t="str">
        <f t="shared" si="61"/>
        <v>DELETE</v>
      </c>
      <c r="AE20" s="169" t="str">
        <f t="shared" si="61"/>
        <v>DELETE</v>
      </c>
      <c r="AF20" s="169" t="str">
        <f t="shared" si="61"/>
        <v>DELETE</v>
      </c>
      <c r="AG20" s="169" t="str">
        <f t="shared" si="61"/>
        <v>DELETE</v>
      </c>
      <c r="AH20" s="169" t="str">
        <f t="shared" si="61"/>
        <v>DELETE</v>
      </c>
      <c r="AI20" s="169" t="str">
        <f t="shared" si="61"/>
        <v>DELETE</v>
      </c>
      <c r="AJ20" s="169" t="str">
        <f t="shared" si="61"/>
        <v>DELETE</v>
      </c>
      <c r="AK20" s="169" t="str">
        <f t="shared" si="61"/>
        <v>DELETE</v>
      </c>
      <c r="AL20" s="169" t="str">
        <f t="shared" si="61"/>
        <v>DELETE</v>
      </c>
      <c r="AM20" s="169" t="str">
        <f t="shared" si="61"/>
        <v>DELETE</v>
      </c>
      <c r="AN20" s="169" t="str">
        <f t="shared" si="61"/>
        <v>DELETE</v>
      </c>
      <c r="AO20" s="169" t="str">
        <f t="shared" si="61"/>
        <v>DELETE</v>
      </c>
      <c r="AP20" s="169" t="str">
        <f t="shared" si="61"/>
        <v>DELETE</v>
      </c>
      <c r="AQ20" s="169" t="str">
        <f t="shared" si="61"/>
        <v>DELETE</v>
      </c>
      <c r="AR20" s="169" t="str">
        <f t="shared" si="61"/>
        <v>DELETE</v>
      </c>
    </row>
    <row r="21" spans="2:44">
      <c r="D21" s="168" t="str">
        <f t="shared" ref="D21:N21" si="63">IF(D17=12,"FY"&amp;RIGHT(D20,2),D17&amp;"M"&amp;RIGHT(E20,2))</f>
        <v>FYTE</v>
      </c>
      <c r="E21" s="168" t="str">
        <f t="shared" si="63"/>
        <v>FYTE</v>
      </c>
      <c r="F21" s="168" t="str">
        <f t="shared" si="63"/>
        <v>FYTE</v>
      </c>
      <c r="G21" s="168" t="str">
        <f t="shared" si="63"/>
        <v>FYTE</v>
      </c>
      <c r="H21" s="168" t="str">
        <f t="shared" si="63"/>
        <v>FYTE</v>
      </c>
      <c r="I21" s="168" t="str">
        <f t="shared" si="63"/>
        <v>FYTE</v>
      </c>
      <c r="J21" s="168" t="str">
        <f t="shared" si="63"/>
        <v>FY21</v>
      </c>
      <c r="K21" s="168" t="str">
        <f t="shared" si="63"/>
        <v>FY22</v>
      </c>
      <c r="L21" s="168" t="str">
        <f t="shared" si="63"/>
        <v>FY23</v>
      </c>
      <c r="M21" s="168" t="str">
        <f t="shared" si="63"/>
        <v>FY24</v>
      </c>
      <c r="N21" s="168" t="str">
        <f t="shared" si="63"/>
        <v>FY25</v>
      </c>
      <c r="O21" s="169" t="str">
        <f>IF(O17=12,"FY"&amp;RIGHT(O20,2)&amp;"F",O17&amp;"M"&amp;RIGHT(O20,2)&amp;"F")</f>
        <v>FY26F</v>
      </c>
      <c r="P21" s="169" t="str">
        <f t="shared" ref="P21:T21" si="64">IF(P17=12,"FY"&amp;RIGHT(P20,2)&amp;"F",P17&amp;"M"&amp;RIGHT(P20,2)&amp;"F")</f>
        <v>FY27F</v>
      </c>
      <c r="Q21" s="169" t="str">
        <f t="shared" si="64"/>
        <v>FY28F</v>
      </c>
      <c r="R21" s="169" t="str">
        <f t="shared" si="64"/>
        <v>FY29F</v>
      </c>
      <c r="S21" s="169" t="str">
        <f t="shared" si="64"/>
        <v>FY30F</v>
      </c>
      <c r="T21" s="169" t="str">
        <f t="shared" si="64"/>
        <v>FY31F</v>
      </c>
      <c r="U21" s="169" t="str">
        <f t="shared" ref="U21:AR21" si="65">IF(U17=12,"FY"&amp;RIGHT(U20,2)&amp;"F",U17&amp;"M"&amp;RIGHT(U20,2)&amp;"F")</f>
        <v>FY32F</v>
      </c>
      <c r="V21" s="169" t="str">
        <f t="shared" si="65"/>
        <v>FY33F</v>
      </c>
      <c r="W21" s="169" t="str">
        <f t="shared" si="65"/>
        <v>FY34F</v>
      </c>
      <c r="X21" s="169" t="str">
        <f t="shared" ref="X21:AC21" si="66">IF(X17=12,"FY"&amp;RIGHT(X20,2)&amp;"F",X17&amp;"M"&amp;RIGHT(X20,2)&amp;"F")</f>
        <v>FY35F</v>
      </c>
      <c r="Y21" s="169" t="str">
        <f t="shared" si="66"/>
        <v>FYTEF</v>
      </c>
      <c r="Z21" s="169" t="str">
        <f t="shared" si="66"/>
        <v>FYTEF</v>
      </c>
      <c r="AA21" s="169" t="str">
        <f t="shared" si="66"/>
        <v>FYTEF</v>
      </c>
      <c r="AB21" s="169" t="str">
        <f t="shared" si="66"/>
        <v>FYTEF</v>
      </c>
      <c r="AC21" s="169" t="str">
        <f t="shared" si="66"/>
        <v>FYTEF</v>
      </c>
      <c r="AD21" s="169" t="str">
        <f t="shared" si="65"/>
        <v>FYTEF</v>
      </c>
      <c r="AE21" s="169" t="str">
        <f t="shared" si="65"/>
        <v>FYTEF</v>
      </c>
      <c r="AF21" s="169" t="str">
        <f t="shared" si="65"/>
        <v>FYTEF</v>
      </c>
      <c r="AG21" s="169" t="str">
        <f t="shared" si="65"/>
        <v>FYTEF</v>
      </c>
      <c r="AH21" s="169" t="str">
        <f t="shared" si="65"/>
        <v>FYTEF</v>
      </c>
      <c r="AI21" s="169" t="str">
        <f t="shared" si="65"/>
        <v>FYTEF</v>
      </c>
      <c r="AJ21" s="169" t="str">
        <f t="shared" si="65"/>
        <v>FYTEF</v>
      </c>
      <c r="AK21" s="169" t="str">
        <f t="shared" si="65"/>
        <v>FYTEF</v>
      </c>
      <c r="AL21" s="169" t="str">
        <f t="shared" si="65"/>
        <v>FYTEF</v>
      </c>
      <c r="AM21" s="169" t="str">
        <f t="shared" si="65"/>
        <v>FYTEF</v>
      </c>
      <c r="AN21" s="169" t="str">
        <f t="shared" si="65"/>
        <v>FYTEF</v>
      </c>
      <c r="AO21" s="169" t="str">
        <f t="shared" si="65"/>
        <v>FYTEF</v>
      </c>
      <c r="AP21" s="169" t="str">
        <f t="shared" si="65"/>
        <v>FYTEF</v>
      </c>
      <c r="AQ21" s="169" t="str">
        <f t="shared" si="65"/>
        <v>FYTEF</v>
      </c>
      <c r="AR21" s="169" t="str">
        <f t="shared" si="65"/>
        <v>FYTEF</v>
      </c>
    </row>
    <row r="22" spans="2:44">
      <c r="D22" s="166"/>
      <c r="E22" s="166"/>
      <c r="F22" s="166"/>
      <c r="G22" s="166"/>
      <c r="H22" s="166"/>
      <c r="I22" s="166"/>
      <c r="J22" s="166"/>
      <c r="K22" s="166"/>
      <c r="L22" s="166"/>
      <c r="M22" s="166"/>
      <c r="N22" s="166"/>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c r="AP22" s="167"/>
      <c r="AQ22" s="167"/>
      <c r="AR22" s="167"/>
    </row>
    <row r="23" spans="2:44" s="284" customFormat="1">
      <c r="B23" s="284" t="s">
        <v>1163</v>
      </c>
      <c r="D23" s="285">
        <f t="shared" ref="D23:T23" si="67">YEARFRAC(vd,D16)</f>
        <v>10</v>
      </c>
      <c r="E23" s="285">
        <f t="shared" si="67"/>
        <v>9</v>
      </c>
      <c r="F23" s="285">
        <f t="shared" si="67"/>
        <v>8</v>
      </c>
      <c r="G23" s="285">
        <f t="shared" si="67"/>
        <v>7</v>
      </c>
      <c r="H23" s="285">
        <f t="shared" si="67"/>
        <v>6</v>
      </c>
      <c r="I23" s="285">
        <f t="shared" si="67"/>
        <v>5</v>
      </c>
      <c r="J23" s="285">
        <f t="shared" si="67"/>
        <v>4</v>
      </c>
      <c r="K23" s="285">
        <f t="shared" si="67"/>
        <v>3</v>
      </c>
      <c r="L23" s="285">
        <f t="shared" si="67"/>
        <v>2</v>
      </c>
      <c r="M23" s="285">
        <f t="shared" si="67"/>
        <v>1</v>
      </c>
      <c r="N23" s="285">
        <f t="shared" si="67"/>
        <v>0</v>
      </c>
      <c r="O23" s="286">
        <f t="shared" si="67"/>
        <v>1</v>
      </c>
      <c r="P23" s="286">
        <f t="shared" si="67"/>
        <v>2</v>
      </c>
      <c r="Q23" s="286">
        <f t="shared" si="67"/>
        <v>3</v>
      </c>
      <c r="R23" s="286">
        <f t="shared" si="67"/>
        <v>4</v>
      </c>
      <c r="S23" s="286">
        <f t="shared" si="67"/>
        <v>5</v>
      </c>
      <c r="T23" s="286">
        <f t="shared" si="67"/>
        <v>6</v>
      </c>
      <c r="U23" s="286">
        <f t="shared" ref="U23:AR23" si="68">YEARFRAC(vd,U16)</f>
        <v>7</v>
      </c>
      <c r="V23" s="286">
        <f t="shared" si="68"/>
        <v>8</v>
      </c>
      <c r="W23" s="286">
        <f t="shared" si="68"/>
        <v>9</v>
      </c>
      <c r="X23" s="286">
        <f t="shared" ref="X23:AC23" si="69">YEARFRAC(vd,X16)</f>
        <v>10</v>
      </c>
      <c r="Y23" s="286">
        <f t="shared" si="69"/>
        <v>11</v>
      </c>
      <c r="Z23" s="286">
        <f t="shared" si="69"/>
        <v>12</v>
      </c>
      <c r="AA23" s="286">
        <f t="shared" si="69"/>
        <v>13</v>
      </c>
      <c r="AB23" s="286">
        <f t="shared" si="69"/>
        <v>14</v>
      </c>
      <c r="AC23" s="286">
        <f t="shared" si="69"/>
        <v>15</v>
      </c>
      <c r="AD23" s="286">
        <f t="shared" si="68"/>
        <v>16</v>
      </c>
      <c r="AE23" s="286">
        <f t="shared" si="68"/>
        <v>17</v>
      </c>
      <c r="AF23" s="286">
        <f t="shared" si="68"/>
        <v>18</v>
      </c>
      <c r="AG23" s="286">
        <f t="shared" si="68"/>
        <v>19</v>
      </c>
      <c r="AH23" s="286">
        <f t="shared" si="68"/>
        <v>20</v>
      </c>
      <c r="AI23" s="286">
        <f t="shared" si="68"/>
        <v>21</v>
      </c>
      <c r="AJ23" s="286">
        <f t="shared" si="68"/>
        <v>22</v>
      </c>
      <c r="AK23" s="286">
        <f t="shared" si="68"/>
        <v>23</v>
      </c>
      <c r="AL23" s="286">
        <f t="shared" si="68"/>
        <v>24</v>
      </c>
      <c r="AM23" s="286">
        <f t="shared" si="68"/>
        <v>25</v>
      </c>
      <c r="AN23" s="286">
        <f t="shared" si="68"/>
        <v>26</v>
      </c>
      <c r="AO23" s="286">
        <f t="shared" si="68"/>
        <v>27</v>
      </c>
      <c r="AP23" s="286">
        <f t="shared" si="68"/>
        <v>28</v>
      </c>
      <c r="AQ23" s="286">
        <f t="shared" si="68"/>
        <v>29</v>
      </c>
      <c r="AR23" s="286">
        <f t="shared" si="68"/>
        <v>30</v>
      </c>
    </row>
    <row r="24" spans="2:44" s="284" customFormat="1">
      <c r="B24" s="284" t="s">
        <v>1164</v>
      </c>
      <c r="D24" s="285"/>
      <c r="E24" s="285"/>
      <c r="F24" s="285"/>
      <c r="G24" s="285"/>
      <c r="H24" s="285"/>
      <c r="I24" s="285"/>
      <c r="J24" s="285"/>
      <c r="K24" s="285"/>
      <c r="L24" s="285"/>
      <c r="M24" s="285"/>
      <c r="N24" s="285"/>
      <c r="O24" s="286">
        <f>O23/2</f>
        <v>0.5</v>
      </c>
      <c r="P24" s="286">
        <f>P23-0.5</f>
        <v>1.5</v>
      </c>
      <c r="Q24" s="286">
        <f t="shared" ref="Q24:T24" si="70">Q23-0.5</f>
        <v>2.5</v>
      </c>
      <c r="R24" s="286">
        <f t="shared" si="70"/>
        <v>3.5</v>
      </c>
      <c r="S24" s="286">
        <f t="shared" si="70"/>
        <v>4.5</v>
      </c>
      <c r="T24" s="286">
        <f t="shared" si="70"/>
        <v>5.5</v>
      </c>
      <c r="U24" s="286">
        <f t="shared" ref="U24:AR24" si="71">U23-0.5</f>
        <v>6.5</v>
      </c>
      <c r="V24" s="286">
        <f t="shared" si="71"/>
        <v>7.5</v>
      </c>
      <c r="W24" s="286">
        <f t="shared" si="71"/>
        <v>8.5</v>
      </c>
      <c r="X24" s="286">
        <f t="shared" ref="X24:AC24" si="72">X23-0.5</f>
        <v>9.5</v>
      </c>
      <c r="Y24" s="286">
        <f t="shared" si="72"/>
        <v>10.5</v>
      </c>
      <c r="Z24" s="286">
        <f t="shared" si="72"/>
        <v>11.5</v>
      </c>
      <c r="AA24" s="286">
        <f t="shared" si="72"/>
        <v>12.5</v>
      </c>
      <c r="AB24" s="286">
        <f t="shared" si="72"/>
        <v>13.5</v>
      </c>
      <c r="AC24" s="286">
        <f t="shared" si="72"/>
        <v>14.5</v>
      </c>
      <c r="AD24" s="286">
        <f t="shared" si="71"/>
        <v>15.5</v>
      </c>
      <c r="AE24" s="286">
        <f t="shared" si="71"/>
        <v>16.5</v>
      </c>
      <c r="AF24" s="286">
        <f t="shared" si="71"/>
        <v>17.5</v>
      </c>
      <c r="AG24" s="286">
        <f t="shared" si="71"/>
        <v>18.5</v>
      </c>
      <c r="AH24" s="286">
        <f t="shared" si="71"/>
        <v>19.5</v>
      </c>
      <c r="AI24" s="286">
        <f t="shared" si="71"/>
        <v>20.5</v>
      </c>
      <c r="AJ24" s="286">
        <f t="shared" si="71"/>
        <v>21.5</v>
      </c>
      <c r="AK24" s="286">
        <f t="shared" si="71"/>
        <v>22.5</v>
      </c>
      <c r="AL24" s="286">
        <f t="shared" si="71"/>
        <v>23.5</v>
      </c>
      <c r="AM24" s="286">
        <f t="shared" si="71"/>
        <v>24.5</v>
      </c>
      <c r="AN24" s="286">
        <f t="shared" si="71"/>
        <v>25.5</v>
      </c>
      <c r="AO24" s="286">
        <f t="shared" si="71"/>
        <v>26.5</v>
      </c>
      <c r="AP24" s="286">
        <f t="shared" si="71"/>
        <v>27.5</v>
      </c>
      <c r="AQ24" s="286">
        <f t="shared" si="71"/>
        <v>28.5</v>
      </c>
      <c r="AR24" s="286">
        <f t="shared" si="71"/>
        <v>29.5</v>
      </c>
    </row>
  </sheetData>
  <sheetProtection algorithmName="SHA-512" hashValue="TIoKAY2K3DV0/vKIcZDMB4o6dl9VeM6TJn5mJOMof3WQTnorP1kZzXB+UXpLMIql4vwiXhEejaKDNh8RlKzVuQ==" saltValue="7L1b0AjCXeLEU3H4QteRTw==" spinCount="100000" sheet="1" scenarios="1" formatCells="0" formatColumns="0" formatRows="0" insertColumns="0" insertRows="0" deleteColumns="0" deleteRows="0" sort="0"/>
  <conditionalFormatting sqref="D20:AR20">
    <cfRule type="cellIs" dxfId="94" priority="1" operator="equal">
      <formula>"DELETE"</formula>
    </cfRule>
  </conditionalFormatting>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8F3D-7E3E-4E48-91BF-04E7BDF58478}">
  <sheetPr>
    <tabColor rgb="FFFFC000"/>
  </sheetPr>
  <dimension ref="A1:IP1"/>
  <sheetViews>
    <sheetView workbookViewId="0"/>
  </sheetViews>
  <sheetFormatPr defaultRowHeight="9.9499999999999993"/>
  <sheetData>
    <row r="1" spans="1:250">
      <c r="A1">
        <v>250</v>
      </c>
      <c r="B1" t="s">
        <v>1165</v>
      </c>
      <c r="C1" t="s">
        <v>1166</v>
      </c>
      <c r="D1" t="s">
        <v>1167</v>
      </c>
      <c r="E1" t="s">
        <v>1168</v>
      </c>
      <c r="F1" t="s">
        <v>1169</v>
      </c>
      <c r="G1" t="s">
        <v>1170</v>
      </c>
      <c r="H1" t="s">
        <v>1171</v>
      </c>
      <c r="I1" t="s">
        <v>1172</v>
      </c>
      <c r="J1" t="s">
        <v>1173</v>
      </c>
      <c r="K1" t="s">
        <v>1174</v>
      </c>
      <c r="L1" t="s">
        <v>1175</v>
      </c>
      <c r="M1" t="s">
        <v>1176</v>
      </c>
      <c r="N1" t="s">
        <v>1177</v>
      </c>
      <c r="O1" t="s">
        <v>1178</v>
      </c>
      <c r="P1" t="s">
        <v>1179</v>
      </c>
      <c r="Q1" t="s">
        <v>1180</v>
      </c>
      <c r="R1" t="s">
        <v>1181</v>
      </c>
      <c r="S1" t="s">
        <v>1182</v>
      </c>
      <c r="T1" t="s">
        <v>1183</v>
      </c>
      <c r="U1" t="s">
        <v>1184</v>
      </c>
      <c r="V1" t="s">
        <v>1185</v>
      </c>
      <c r="W1" t="s">
        <v>1186</v>
      </c>
      <c r="X1" t="s">
        <v>1187</v>
      </c>
      <c r="Y1" t="s">
        <v>1188</v>
      </c>
      <c r="Z1" t="s">
        <v>1189</v>
      </c>
      <c r="AA1" t="s">
        <v>1190</v>
      </c>
      <c r="AB1" t="s">
        <v>1191</v>
      </c>
      <c r="AC1" t="s">
        <v>1192</v>
      </c>
      <c r="AD1" t="s">
        <v>1193</v>
      </c>
      <c r="AE1" t="s">
        <v>1194</v>
      </c>
      <c r="AF1" t="s">
        <v>1195</v>
      </c>
      <c r="AG1" t="s">
        <v>1196</v>
      </c>
      <c r="AH1" t="s">
        <v>1197</v>
      </c>
      <c r="AI1" t="s">
        <v>1198</v>
      </c>
      <c r="AJ1" t="s">
        <v>1199</v>
      </c>
      <c r="AK1" t="s">
        <v>1200</v>
      </c>
      <c r="AL1" t="s">
        <v>1201</v>
      </c>
      <c r="AM1" t="s">
        <v>1202</v>
      </c>
      <c r="AN1" t="s">
        <v>1203</v>
      </c>
      <c r="AO1" t="s">
        <v>1204</v>
      </c>
      <c r="AP1" t="s">
        <v>1205</v>
      </c>
      <c r="AQ1" t="s">
        <v>1206</v>
      </c>
      <c r="AR1" t="s">
        <v>1207</v>
      </c>
      <c r="AS1" t="s">
        <v>1208</v>
      </c>
      <c r="AT1" t="s">
        <v>1209</v>
      </c>
      <c r="AU1" t="s">
        <v>1210</v>
      </c>
      <c r="AV1" t="s">
        <v>1211</v>
      </c>
      <c r="AW1" t="s">
        <v>1212</v>
      </c>
      <c r="AX1" t="s">
        <v>1213</v>
      </c>
      <c r="AY1" t="s">
        <v>1214</v>
      </c>
      <c r="AZ1" t="s">
        <v>1215</v>
      </c>
      <c r="BA1" t="s">
        <v>1216</v>
      </c>
      <c r="BB1" t="s">
        <v>1217</v>
      </c>
      <c r="BC1" t="s">
        <v>1218</v>
      </c>
      <c r="BD1" t="s">
        <v>1219</v>
      </c>
      <c r="BE1" t="s">
        <v>1220</v>
      </c>
      <c r="BF1" t="s">
        <v>1221</v>
      </c>
      <c r="BG1" t="s">
        <v>1222</v>
      </c>
      <c r="BH1" t="s">
        <v>1223</v>
      </c>
      <c r="BI1" t="s">
        <v>1224</v>
      </c>
      <c r="BJ1" t="s">
        <v>1225</v>
      </c>
      <c r="BK1" t="s">
        <v>1226</v>
      </c>
      <c r="BL1" t="s">
        <v>1227</v>
      </c>
      <c r="BM1" t="s">
        <v>1228</v>
      </c>
      <c r="BN1" t="s">
        <v>1229</v>
      </c>
      <c r="BO1" t="s">
        <v>1230</v>
      </c>
      <c r="BP1" t="s">
        <v>1231</v>
      </c>
      <c r="BQ1" t="s">
        <v>1232</v>
      </c>
      <c r="BR1" t="s">
        <v>1233</v>
      </c>
      <c r="BS1" t="s">
        <v>1234</v>
      </c>
      <c r="BT1" t="s">
        <v>1235</v>
      </c>
      <c r="BU1" t="s">
        <v>1236</v>
      </c>
      <c r="BV1" t="s">
        <v>1237</v>
      </c>
      <c r="BW1" t="s">
        <v>1238</v>
      </c>
      <c r="BX1" t="s">
        <v>1239</v>
      </c>
      <c r="BY1" t="s">
        <v>1240</v>
      </c>
      <c r="BZ1" t="s">
        <v>1241</v>
      </c>
      <c r="CA1" t="s">
        <v>1242</v>
      </c>
      <c r="CB1" t="s">
        <v>1243</v>
      </c>
      <c r="CC1" t="s">
        <v>1244</v>
      </c>
      <c r="CD1" t="s">
        <v>1245</v>
      </c>
      <c r="CE1" t="s">
        <v>1246</v>
      </c>
      <c r="CF1" t="s">
        <v>1247</v>
      </c>
      <c r="CG1" t="s">
        <v>1248</v>
      </c>
      <c r="CH1" t="s">
        <v>1249</v>
      </c>
      <c r="CI1" t="s">
        <v>1250</v>
      </c>
      <c r="CJ1" t="s">
        <v>1251</v>
      </c>
      <c r="CK1" t="s">
        <v>1252</v>
      </c>
      <c r="CL1" t="s">
        <v>1253</v>
      </c>
      <c r="CM1" t="s">
        <v>1254</v>
      </c>
      <c r="CN1" t="s">
        <v>1255</v>
      </c>
      <c r="CO1" t="s">
        <v>1256</v>
      </c>
      <c r="CP1" t="s">
        <v>1257</v>
      </c>
      <c r="CQ1" t="s">
        <v>1258</v>
      </c>
      <c r="CR1" t="s">
        <v>1259</v>
      </c>
      <c r="CS1" t="s">
        <v>1260</v>
      </c>
      <c r="CT1" t="s">
        <v>1261</v>
      </c>
      <c r="CU1" t="s">
        <v>1262</v>
      </c>
      <c r="CV1" t="s">
        <v>1263</v>
      </c>
      <c r="CW1" t="s">
        <v>1264</v>
      </c>
      <c r="CX1" t="s">
        <v>1265</v>
      </c>
      <c r="CY1" t="s">
        <v>1266</v>
      </c>
      <c r="CZ1" t="s">
        <v>1267</v>
      </c>
      <c r="DA1" t="s">
        <v>1268</v>
      </c>
      <c r="DB1" t="s">
        <v>1269</v>
      </c>
      <c r="DC1" t="s">
        <v>1270</v>
      </c>
      <c r="DD1" t="s">
        <v>1271</v>
      </c>
      <c r="DE1" t="s">
        <v>1272</v>
      </c>
      <c r="DF1" t="s">
        <v>1273</v>
      </c>
      <c r="DG1" t="s">
        <v>1274</v>
      </c>
      <c r="DH1" t="s">
        <v>1275</v>
      </c>
      <c r="DI1" t="s">
        <v>1276</v>
      </c>
      <c r="DJ1" t="s">
        <v>1277</v>
      </c>
      <c r="DK1" t="s">
        <v>1278</v>
      </c>
      <c r="DL1" t="s">
        <v>1279</v>
      </c>
      <c r="DM1" t="s">
        <v>1280</v>
      </c>
      <c r="DN1" t="s">
        <v>1281</v>
      </c>
      <c r="DO1" t="s">
        <v>1282</v>
      </c>
      <c r="DP1" t="s">
        <v>1283</v>
      </c>
      <c r="DQ1" t="s">
        <v>1284</v>
      </c>
      <c r="DR1" t="s">
        <v>1285</v>
      </c>
      <c r="DS1" t="s">
        <v>1286</v>
      </c>
      <c r="DT1" t="s">
        <v>1287</v>
      </c>
      <c r="DU1" t="s">
        <v>1288</v>
      </c>
      <c r="DV1" t="s">
        <v>1289</v>
      </c>
      <c r="DW1" t="s">
        <v>1290</v>
      </c>
      <c r="DX1" t="s">
        <v>1291</v>
      </c>
      <c r="DY1" t="s">
        <v>1292</v>
      </c>
      <c r="DZ1" t="s">
        <v>1293</v>
      </c>
      <c r="EA1" t="s">
        <v>1294</v>
      </c>
      <c r="EB1" t="s">
        <v>1295</v>
      </c>
      <c r="EC1" t="s">
        <v>1296</v>
      </c>
      <c r="ED1" t="s">
        <v>1297</v>
      </c>
      <c r="EE1" t="s">
        <v>1298</v>
      </c>
      <c r="EF1" t="s">
        <v>1299</v>
      </c>
      <c r="EG1" t="s">
        <v>1300</v>
      </c>
      <c r="EH1" t="s">
        <v>1301</v>
      </c>
      <c r="EI1" t="s">
        <v>1302</v>
      </c>
      <c r="EJ1" t="s">
        <v>1303</v>
      </c>
      <c r="EK1" t="s">
        <v>1304</v>
      </c>
      <c r="EL1" t="s">
        <v>1305</v>
      </c>
      <c r="EM1" t="s">
        <v>1306</v>
      </c>
      <c r="EN1" t="s">
        <v>1307</v>
      </c>
      <c r="EO1" t="s">
        <v>1308</v>
      </c>
      <c r="EP1" t="s">
        <v>1309</v>
      </c>
      <c r="EQ1" t="s">
        <v>1310</v>
      </c>
      <c r="ER1" t="s">
        <v>1311</v>
      </c>
      <c r="ES1" t="s">
        <v>1312</v>
      </c>
      <c r="ET1" t="s">
        <v>1313</v>
      </c>
      <c r="EU1" t="s">
        <v>1314</v>
      </c>
      <c r="EV1" t="s">
        <v>1315</v>
      </c>
      <c r="EW1" t="s">
        <v>1316</v>
      </c>
      <c r="EX1" t="s">
        <v>1317</v>
      </c>
      <c r="EY1" t="s">
        <v>1318</v>
      </c>
      <c r="EZ1" t="s">
        <v>1319</v>
      </c>
      <c r="FA1" t="s">
        <v>1320</v>
      </c>
      <c r="FB1" t="s">
        <v>1321</v>
      </c>
      <c r="FC1" t="s">
        <v>1322</v>
      </c>
      <c r="FD1" t="s">
        <v>1323</v>
      </c>
      <c r="FE1" t="s">
        <v>1324</v>
      </c>
      <c r="FF1" t="s">
        <v>1325</v>
      </c>
      <c r="FG1" t="s">
        <v>1326</v>
      </c>
      <c r="FH1" t="s">
        <v>1327</v>
      </c>
      <c r="FI1" t="s">
        <v>1328</v>
      </c>
      <c r="FJ1" t="s">
        <v>1329</v>
      </c>
      <c r="FK1" t="s">
        <v>1330</v>
      </c>
      <c r="FL1" t="s">
        <v>1331</v>
      </c>
      <c r="FM1" t="s">
        <v>1332</v>
      </c>
      <c r="FN1" t="s">
        <v>1333</v>
      </c>
      <c r="FO1" t="s">
        <v>1334</v>
      </c>
      <c r="FP1" t="s">
        <v>1335</v>
      </c>
      <c r="FQ1" t="s">
        <v>1336</v>
      </c>
      <c r="FR1" t="s">
        <v>1337</v>
      </c>
      <c r="FS1" t="s">
        <v>1338</v>
      </c>
      <c r="FT1" t="s">
        <v>1339</v>
      </c>
      <c r="FU1" t="s">
        <v>1340</v>
      </c>
      <c r="FV1" t="s">
        <v>1341</v>
      </c>
      <c r="FW1" t="s">
        <v>1342</v>
      </c>
      <c r="FX1" t="s">
        <v>1343</v>
      </c>
      <c r="FY1" t="s">
        <v>1344</v>
      </c>
      <c r="FZ1" t="s">
        <v>1345</v>
      </c>
      <c r="GA1" t="s">
        <v>1346</v>
      </c>
      <c r="GB1" t="s">
        <v>1347</v>
      </c>
      <c r="GC1" t="s">
        <v>1348</v>
      </c>
      <c r="GD1" t="s">
        <v>1349</v>
      </c>
      <c r="GE1" t="s">
        <v>1350</v>
      </c>
      <c r="GF1" t="s">
        <v>1351</v>
      </c>
      <c r="GG1" t="s">
        <v>1352</v>
      </c>
      <c r="GH1" t="s">
        <v>1353</v>
      </c>
      <c r="GI1" t="s">
        <v>1354</v>
      </c>
      <c r="GJ1" t="s">
        <v>1355</v>
      </c>
      <c r="GK1" t="s">
        <v>1356</v>
      </c>
      <c r="GL1" t="s">
        <v>1357</v>
      </c>
      <c r="GM1" t="s">
        <v>1358</v>
      </c>
      <c r="GN1" t="s">
        <v>1359</v>
      </c>
      <c r="GO1" t="s">
        <v>1360</v>
      </c>
      <c r="GP1" t="s">
        <v>1361</v>
      </c>
      <c r="GQ1" t="s">
        <v>1362</v>
      </c>
      <c r="GR1" t="s">
        <v>1363</v>
      </c>
      <c r="GS1" t="s">
        <v>1364</v>
      </c>
      <c r="GT1" t="s">
        <v>1365</v>
      </c>
      <c r="GU1" t="s">
        <v>1366</v>
      </c>
      <c r="GV1" t="s">
        <v>1367</v>
      </c>
      <c r="GW1" t="s">
        <v>1368</v>
      </c>
      <c r="GX1" t="s">
        <v>1369</v>
      </c>
      <c r="GY1" t="s">
        <v>1370</v>
      </c>
      <c r="GZ1" t="s">
        <v>1371</v>
      </c>
      <c r="HA1" t="s">
        <v>1372</v>
      </c>
      <c r="HB1" t="s">
        <v>1373</v>
      </c>
      <c r="HC1" t="s">
        <v>1374</v>
      </c>
      <c r="HD1" t="s">
        <v>1375</v>
      </c>
      <c r="HE1" t="s">
        <v>1376</v>
      </c>
      <c r="HF1" t="s">
        <v>1377</v>
      </c>
      <c r="HG1" t="s">
        <v>1378</v>
      </c>
      <c r="HH1" t="s">
        <v>1379</v>
      </c>
      <c r="HI1" t="s">
        <v>1380</v>
      </c>
      <c r="HJ1" t="s">
        <v>1381</v>
      </c>
      <c r="HK1" t="s">
        <v>1382</v>
      </c>
      <c r="HL1" t="s">
        <v>1383</v>
      </c>
      <c r="HM1" t="s">
        <v>1384</v>
      </c>
      <c r="HN1" t="s">
        <v>1385</v>
      </c>
      <c r="HO1" t="s">
        <v>1386</v>
      </c>
      <c r="HP1" t="s">
        <v>1387</v>
      </c>
      <c r="HQ1" t="s">
        <v>1388</v>
      </c>
      <c r="HR1" t="s">
        <v>1389</v>
      </c>
      <c r="HS1" t="s">
        <v>1390</v>
      </c>
      <c r="HT1" t="s">
        <v>1391</v>
      </c>
      <c r="HU1" t="s">
        <v>1392</v>
      </c>
      <c r="HV1" t="s">
        <v>1393</v>
      </c>
      <c r="HW1" t="s">
        <v>1394</v>
      </c>
      <c r="HX1" t="s">
        <v>1395</v>
      </c>
      <c r="HY1" t="s">
        <v>1396</v>
      </c>
      <c r="HZ1" t="s">
        <v>1397</v>
      </c>
      <c r="IA1" t="s">
        <v>1398</v>
      </c>
      <c r="IB1" t="s">
        <v>1399</v>
      </c>
      <c r="IC1" t="s">
        <v>1400</v>
      </c>
      <c r="ID1" t="s">
        <v>1401</v>
      </c>
      <c r="IE1" t="s">
        <v>1402</v>
      </c>
      <c r="IF1" t="s">
        <v>1403</v>
      </c>
      <c r="IG1" t="s">
        <v>1404</v>
      </c>
      <c r="IH1" t="s">
        <v>1405</v>
      </c>
      <c r="II1" t="s">
        <v>1406</v>
      </c>
      <c r="IJ1" t="s">
        <v>1407</v>
      </c>
      <c r="IK1" t="s">
        <v>1408</v>
      </c>
      <c r="IL1" t="s">
        <v>1409</v>
      </c>
      <c r="IM1" t="s">
        <v>1410</v>
      </c>
      <c r="IN1" t="s">
        <v>1411</v>
      </c>
      <c r="IO1" t="s">
        <v>1412</v>
      </c>
      <c r="IP1" t="s">
        <v>1413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FFC000"/>
  </sheetPr>
  <dimension ref="A1:H64"/>
  <sheetViews>
    <sheetView showGridLines="0" zoomScale="130" zoomScaleNormal="130" workbookViewId="0">
      <selection activeCell="D31" sqref="D31"/>
    </sheetView>
  </sheetViews>
  <sheetFormatPr defaultColWidth="0" defaultRowHeight="9.9499999999999993" zeroHeight="1"/>
  <cols>
    <col min="1" max="1" width="9.1640625" customWidth="1"/>
    <col min="2" max="2" width="39.1640625" customWidth="1"/>
    <col min="3" max="3" width="17.6640625" customWidth="1"/>
    <col min="4" max="4" width="113.6640625" customWidth="1"/>
    <col min="5" max="7" width="9.1640625" customWidth="1"/>
    <col min="8" max="8" width="0" hidden="1" customWidth="1"/>
    <col min="9" max="16" width="9.1640625" hidden="1" customWidth="1"/>
    <col min="17" max="16384" width="9.1640625" hidden="1"/>
  </cols>
  <sheetData>
    <row r="1" spans="2:5" ht="27.6">
      <c r="B1" s="18" t="s">
        <v>144</v>
      </c>
    </row>
    <row r="2" spans="2:5"/>
    <row r="3" spans="2:5"/>
    <row r="4" spans="2:5"/>
    <row r="5" spans="2:5"/>
    <row r="6" spans="2:5"/>
    <row r="7" spans="2:5"/>
    <row r="8" spans="2:5">
      <c r="B8" s="44" t="s">
        <v>184</v>
      </c>
      <c r="C8" s="15" t="s">
        <v>199</v>
      </c>
      <c r="D8" s="59"/>
    </row>
    <row r="9" spans="2:5">
      <c r="B9" s="59"/>
      <c r="C9" s="59"/>
      <c r="D9" s="59"/>
    </row>
    <row r="10" spans="2:5" ht="10.5">
      <c r="B10" s="598" t="s">
        <v>1414</v>
      </c>
      <c r="C10" s="599"/>
      <c r="D10" s="599"/>
    </row>
    <row r="11" spans="2:5" ht="10.5">
      <c r="B11" s="436" t="s">
        <v>1415</v>
      </c>
      <c r="C11" s="437"/>
      <c r="D11" s="438" t="s">
        <v>1416</v>
      </c>
    </row>
    <row r="12" spans="2:5">
      <c r="B12" s="439" t="s">
        <v>1077</v>
      </c>
      <c r="C12" s="698">
        <v>4.2000000000000003E-2</v>
      </c>
      <c r="D12" s="150" t="s">
        <v>1417</v>
      </c>
      <c r="E12" s="150"/>
    </row>
    <row r="13" spans="2:5">
      <c r="B13" s="439" t="s">
        <v>1418</v>
      </c>
      <c r="C13" s="698">
        <v>4.1000000000000002E-2</v>
      </c>
      <c r="D13" s="150" t="s">
        <v>1419</v>
      </c>
      <c r="E13" s="150"/>
    </row>
    <row r="14" spans="2:5">
      <c r="B14" s="439" t="s">
        <v>1030</v>
      </c>
      <c r="C14" s="441">
        <f>'Comps'!K24</f>
        <v>1.397275</v>
      </c>
      <c r="D14" s="150" t="s">
        <v>222</v>
      </c>
      <c r="E14" s="150"/>
    </row>
    <row r="15" spans="2:5">
      <c r="B15" s="439" t="s">
        <v>130</v>
      </c>
      <c r="C15" s="441">
        <f>C14*(1+((1-tax)*C27))</f>
        <v>1.4889854271020875</v>
      </c>
      <c r="D15" s="150"/>
      <c r="E15" s="150"/>
    </row>
    <row r="16" spans="2:5">
      <c r="B16" s="439" t="s">
        <v>1420</v>
      </c>
      <c r="C16" s="694">
        <v>0</v>
      </c>
      <c r="D16" s="150" t="s">
        <v>1421</v>
      </c>
      <c r="E16" s="150"/>
    </row>
    <row r="17" spans="2:5">
      <c r="B17" s="439" t="s">
        <v>134</v>
      </c>
      <c r="C17" s="442"/>
      <c r="D17" s="150" t="s">
        <v>1422</v>
      </c>
      <c r="E17" s="150"/>
    </row>
    <row r="18" spans="2:5">
      <c r="B18" s="439" t="s">
        <v>1423</v>
      </c>
      <c r="C18" s="584">
        <v>0</v>
      </c>
      <c r="D18" s="150" t="s">
        <v>1424</v>
      </c>
      <c r="E18" s="150"/>
    </row>
    <row r="19" spans="2:5" ht="10.5">
      <c r="B19" s="600" t="s">
        <v>136</v>
      </c>
      <c r="C19" s="601">
        <f>C12+C15*C13+C16+C17+C18</f>
        <v>0.10304840251118559</v>
      </c>
      <c r="D19" s="150"/>
      <c r="E19" s="150"/>
    </row>
    <row r="20" spans="2:5">
      <c r="B20" s="59"/>
      <c r="C20" s="133"/>
      <c r="D20" s="150"/>
      <c r="E20" s="150"/>
    </row>
    <row r="21" spans="2:5" ht="10.5">
      <c r="B21" s="436" t="s">
        <v>1425</v>
      </c>
      <c r="C21" s="443"/>
      <c r="D21" s="150"/>
      <c r="E21" s="150"/>
    </row>
    <row r="22" spans="2:5">
      <c r="B22" s="439" t="s">
        <v>1426</v>
      </c>
      <c r="C22" s="584">
        <v>0.06</v>
      </c>
      <c r="D22" s="445" t="s">
        <v>1427</v>
      </c>
      <c r="E22" s="151"/>
    </row>
    <row r="23" spans="2:5" ht="11.25">
      <c r="B23" s="439" t="s">
        <v>1020</v>
      </c>
      <c r="C23" s="440">
        <v>0.17</v>
      </c>
      <c r="D23" s="446" t="s">
        <v>1428</v>
      </c>
      <c r="E23" s="150"/>
    </row>
    <row r="24" spans="2:5" ht="10.5">
      <c r="B24" s="600" t="s">
        <v>1429</v>
      </c>
      <c r="C24" s="602">
        <f>SUM(C22:C22)*(1-tax)</f>
        <v>4.9799999999999997E-2</v>
      </c>
      <c r="D24" s="150"/>
      <c r="E24" s="150"/>
    </row>
    <row r="25" spans="2:5">
      <c r="B25" s="444"/>
      <c r="C25" s="443"/>
      <c r="D25" s="150"/>
      <c r="E25" s="150"/>
    </row>
    <row r="26" spans="2:5" ht="10.5">
      <c r="B26" s="436" t="s">
        <v>1430</v>
      </c>
      <c r="C26" s="443"/>
      <c r="D26" s="150"/>
      <c r="E26" s="150"/>
    </row>
    <row r="27" spans="2:5">
      <c r="B27" s="439" t="s">
        <v>1431</v>
      </c>
      <c r="C27" s="440">
        <f>'Comps'!I24</f>
        <v>7.9078556822703205E-2</v>
      </c>
      <c r="D27" s="150" t="s">
        <v>1432</v>
      </c>
      <c r="E27" s="150"/>
    </row>
    <row r="28" spans="2:5">
      <c r="B28" s="439" t="s">
        <v>578</v>
      </c>
      <c r="C28" s="440">
        <f>1/(C27+1)</f>
        <v>0.92671658951731339</v>
      </c>
      <c r="D28" s="447"/>
    </row>
    <row r="29" spans="2:5">
      <c r="B29" s="439" t="s">
        <v>51</v>
      </c>
      <c r="C29" s="440">
        <f>1-C28</f>
        <v>7.3283410482686606E-2</v>
      </c>
      <c r="D29" s="447"/>
    </row>
    <row r="30" spans="2:5" ht="11.1" thickBot="1">
      <c r="B30" s="603" t="s">
        <v>144</v>
      </c>
      <c r="C30" s="604">
        <f>C28*C19+C24*C29</f>
        <v>9.9146177972411056E-2</v>
      </c>
      <c r="D30" s="340"/>
    </row>
    <row r="31" spans="2:5">
      <c r="B31" s="605" t="s">
        <v>1433</v>
      </c>
      <c r="C31" s="59"/>
      <c r="D31" s="43"/>
    </row>
    <row r="32" spans="2:5"/>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hidden="1"/>
    <row r="46" customFormat="1" hidden="1"/>
    <row r="47" customFormat="1" hidden="1"/>
    <row r="48" customFormat="1" hidden="1"/>
    <row r="49" customFormat="1" hidden="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sheetData>
  <conditionalFormatting sqref="B31">
    <cfRule type="cellIs" dxfId="93" priority="1" operator="equal">
      <formula>0</formula>
    </cfRule>
  </conditionalFormatting>
  <dataValidations count="3">
    <dataValidation allowBlank="1" showInputMessage="1" showErrorMessage="1" prompt="(1) Median D/E Ratio of Comps_x000a_(2) Target capital structure of the Company" sqref="C27" xr:uid="{00000000-0002-0000-0D00-000000000000}"/>
    <dataValidation allowBlank="1" showInputMessage="1" showErrorMessage="1" prompt="(1) YTM of the Company's listed bond_x000a_(2) Altman Adjusted Z'' Model - Bloomberg USD Corporate Curve Z spread (CMX)" sqref="C22" xr:uid="{00000000-0002-0000-0D00-000002000000}"/>
    <dataValidation allowBlank="1" showInputMessage="1" showErrorMessage="1" prompt="= country 10 year gov bond yield if AAA rated._x000a_= US 10 yr gov bond yield if not AAA rated." sqref="C12" xr:uid="{00000000-0002-0000-0D00-000003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0E9998-F450-42FB-999D-AED2ED6EBE16}">
          <x14:formula1>
            <xm:f>'Comps'!$C$41:$C$49</xm:f>
          </x14:formula1>
          <xm:sqref>C8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FFC000"/>
  </sheetPr>
  <dimension ref="A1:T75"/>
  <sheetViews>
    <sheetView showGridLines="0" tabSelected="1" topLeftCell="A39" zoomScaleNormal="100" workbookViewId="0">
      <selection activeCell="C53" sqref="C53"/>
    </sheetView>
  </sheetViews>
  <sheetFormatPr defaultColWidth="0" defaultRowHeight="9.9499999999999993" outlineLevelRow="1"/>
  <cols>
    <col min="1" max="1" width="9.83203125" style="182" bestFit="1" customWidth="1"/>
    <col min="2" max="2" width="54.5" style="182" bestFit="1" customWidth="1"/>
    <col min="3" max="3" width="12.1640625" style="183" bestFit="1" customWidth="1"/>
    <col min="4" max="4" width="31" style="182" bestFit="1" customWidth="1"/>
    <col min="5" max="7" width="19.5" style="182" bestFit="1" customWidth="1"/>
    <col min="8" max="8" width="43.1640625" style="182" bestFit="1" customWidth="1"/>
    <col min="9" max="13" width="19.5" style="182" bestFit="1" customWidth="1"/>
    <col min="14" max="14" width="10.1640625" style="182" bestFit="1" customWidth="1"/>
    <col min="15" max="16" width="9.1640625" style="182" customWidth="1"/>
    <col min="17" max="20" width="0" style="182" hidden="1" customWidth="1"/>
    <col min="21" max="16384" width="9.1640625" style="182" hidden="1"/>
  </cols>
  <sheetData>
    <row r="1" spans="2:14" ht="27.6">
      <c r="B1" s="190" t="s">
        <v>1434</v>
      </c>
    </row>
    <row r="2" spans="2:14">
      <c r="C2" s="182"/>
    </row>
    <row r="3" spans="2:14">
      <c r="C3" s="182"/>
    </row>
    <row r="4" spans="2:14">
      <c r="C4" s="182"/>
    </row>
    <row r="5" spans="2:14">
      <c r="C5" s="182"/>
    </row>
    <row r="6" spans="2:14">
      <c r="C6" s="182"/>
    </row>
    <row r="7" spans="2:14">
      <c r="C7" s="182"/>
    </row>
    <row r="8" spans="2:14">
      <c r="C8" s="182"/>
    </row>
    <row r="9" spans="2:14">
      <c r="C9" s="182"/>
    </row>
    <row r="10" spans="2:14" ht="18.95">
      <c r="B10" s="191" t="s">
        <v>1435</v>
      </c>
      <c r="C10" s="182"/>
    </row>
    <row r="11" spans="2:14">
      <c r="B11" s="453" t="s">
        <v>1436</v>
      </c>
      <c r="C11" s="456">
        <v>1</v>
      </c>
      <c r="D11" s="453"/>
      <c r="E11" s="453" t="s">
        <v>1437</v>
      </c>
      <c r="F11" s="457" t="s">
        <v>801</v>
      </c>
      <c r="G11" s="453"/>
      <c r="H11" s="23" t="s">
        <v>1438</v>
      </c>
      <c r="I11" s="453"/>
      <c r="J11" s="453"/>
    </row>
    <row r="12" spans="2:14">
      <c r="B12" s="453" t="s">
        <v>946</v>
      </c>
      <c r="C12" s="632" t="str">
        <f>Forecast!D13</f>
        <v>Y</v>
      </c>
      <c r="D12" s="453"/>
      <c r="E12" s="453" t="s">
        <v>1439</v>
      </c>
      <c r="F12" s="483" t="s">
        <v>1440</v>
      </c>
      <c r="G12" s="633">
        <f>IF(F12="Gordon",A33,"")</f>
        <v>16</v>
      </c>
      <c r="H12" s="23"/>
      <c r="I12" s="453"/>
      <c r="J12" s="453"/>
    </row>
    <row r="13" spans="2:14">
      <c r="B13" s="453" t="s">
        <v>945</v>
      </c>
      <c r="C13" s="630">
        <f>C0!O17</f>
        <v>12</v>
      </c>
      <c r="D13" s="453"/>
      <c r="E13" s="453" t="s">
        <v>1441</v>
      </c>
      <c r="F13" s="458">
        <v>0.02</v>
      </c>
      <c r="G13" s="453"/>
      <c r="H13" s="23" t="s">
        <v>1442</v>
      </c>
      <c r="I13" s="453"/>
      <c r="J13" s="453"/>
    </row>
    <row r="14" spans="2:14" ht="10.5">
      <c r="B14" s="453" t="s">
        <v>1443</v>
      </c>
      <c r="C14" s="696">
        <v>2</v>
      </c>
      <c r="D14" s="453"/>
      <c r="E14" s="453" t="s">
        <v>1444</v>
      </c>
      <c r="F14" s="457" t="s">
        <v>1445</v>
      </c>
      <c r="G14" s="459"/>
      <c r="H14" s="23" t="s">
        <v>1446</v>
      </c>
      <c r="I14" s="453"/>
      <c r="J14" s="453"/>
    </row>
    <row r="15" spans="2:14">
      <c r="B15" s="453"/>
      <c r="C15" s="454"/>
      <c r="D15" s="453"/>
      <c r="E15" s="453" t="s">
        <v>1447</v>
      </c>
      <c r="F15" s="631">
        <v>1</v>
      </c>
      <c r="G15" s="459"/>
      <c r="H15" s="460" t="str">
        <f>IF(F15=1,"Difference between YTD and full year","Pro-rate full year forecast")</f>
        <v>Difference between YTD and full year</v>
      </c>
      <c r="I15" s="461"/>
      <c r="J15" s="462"/>
    </row>
    <row r="16" spans="2:14">
      <c r="B16" s="192" t="s">
        <v>802</v>
      </c>
      <c r="C16" s="192">
        <f>IF($C$12="Y",0,-1)</f>
        <v>0</v>
      </c>
      <c r="D16" s="264">
        <f>C16+1</f>
        <v>1</v>
      </c>
      <c r="E16" s="264">
        <f t="shared" ref="E16:N16" si="0">D16+1</f>
        <v>2</v>
      </c>
      <c r="F16" s="264">
        <f t="shared" si="0"/>
        <v>3</v>
      </c>
      <c r="G16" s="264">
        <f t="shared" si="0"/>
        <v>4</v>
      </c>
      <c r="H16" s="264">
        <f t="shared" si="0"/>
        <v>5</v>
      </c>
      <c r="I16" s="264">
        <f t="shared" si="0"/>
        <v>6</v>
      </c>
      <c r="J16" s="264">
        <f t="shared" si="0"/>
        <v>7</v>
      </c>
      <c r="K16" s="264">
        <f t="shared" si="0"/>
        <v>8</v>
      </c>
      <c r="L16" s="264">
        <f t="shared" si="0"/>
        <v>9</v>
      </c>
      <c r="M16" s="264">
        <f t="shared" si="0"/>
        <v>10</v>
      </c>
      <c r="N16" s="264">
        <f t="shared" si="0"/>
        <v>11</v>
      </c>
    </row>
    <row r="17" spans="1:14" ht="10.5">
      <c r="A17" s="192" t="s">
        <v>1448</v>
      </c>
      <c r="B17" s="606" t="str">
        <f>"DCF Model - Scenario "&amp;case</f>
        <v>DCF Model - Scenario 1</v>
      </c>
      <c r="C17" s="606"/>
      <c r="D17" s="613"/>
      <c r="E17" s="613"/>
      <c r="F17" s="613"/>
      <c r="G17" s="613"/>
      <c r="H17" s="613"/>
      <c r="I17" s="613"/>
      <c r="J17" s="613"/>
      <c r="K17" s="613"/>
      <c r="L17" s="613"/>
      <c r="M17" s="613"/>
      <c r="N17" s="613"/>
    </row>
    <row r="18" spans="1:14" ht="10.5">
      <c r="A18" s="192">
        <v>1</v>
      </c>
      <c r="B18" s="448" t="str">
        <f>Historicals!B15</f>
        <v>(USD k)</v>
      </c>
      <c r="C18" s="449"/>
      <c r="D18" s="463" t="str">
        <f>IF(D16&gt;Input!$D$14,"TV",C0!O21)</f>
        <v>FY26F</v>
      </c>
      <c r="E18" s="463" t="str">
        <f>IF(E16&gt;Input!$D$14,"TV",C0!P21)</f>
        <v>FY27F</v>
      </c>
      <c r="F18" s="463" t="str">
        <f>IF(F16&gt;Input!$D$14,"TV",C0!Q21)</f>
        <v>FY28F</v>
      </c>
      <c r="G18" s="463" t="str">
        <f>IF(G16&gt;Input!$D$14,"TV",C0!R21)</f>
        <v>FY29F</v>
      </c>
      <c r="H18" s="463" t="str">
        <f>IF(H16&gt;Input!$D$14,"TV",C0!S21)</f>
        <v>FY30F</v>
      </c>
      <c r="I18" s="463" t="str">
        <f>IF(I16&gt;Input!$D$14,"TV",C0!T21)</f>
        <v>FY31F</v>
      </c>
      <c r="J18" s="463" t="str">
        <f>IF(J16&gt;Input!$D$14,"TV",C0!U21)</f>
        <v>FY32F</v>
      </c>
      <c r="K18" s="463" t="str">
        <f>IF(K16&gt;Input!$D$14,"TV",C0!V21)</f>
        <v>FY33F</v>
      </c>
      <c r="L18" s="463" t="str">
        <f>IF(L16&gt;Input!$D$14,"TV",C0!W21)</f>
        <v>FY34F</v>
      </c>
      <c r="M18" s="463" t="str">
        <f>IF(M16&gt;Input!$D$14,"TV",C0!X21)</f>
        <v>FY35F</v>
      </c>
      <c r="N18" s="463" t="str">
        <f>IF(N16&gt;Input!$D$14,"TV",C0!Y21)</f>
        <v>TV</v>
      </c>
    </row>
    <row r="19" spans="1:14">
      <c r="A19" s="192">
        <v>2</v>
      </c>
      <c r="B19" s="450" t="s">
        <v>827</v>
      </c>
      <c r="C19" s="454"/>
      <c r="D19" s="464">
        <f>IF(C12="Y",Forecast!D35,IF(F15=1,Forecast!D35-Historicals!H31,Forecast!D35*C13/12))</f>
        <v>526023.29999999993</v>
      </c>
      <c r="E19" s="464">
        <f>IF(E$18="TV",D19*(1+$C$33),Forecast!E35)</f>
        <v>727869.44999999984</v>
      </c>
      <c r="F19" s="464">
        <f>IF(F$18="TV",E19*(1+$C$33),Forecast!F35)</f>
        <v>965154.89069999999</v>
      </c>
      <c r="G19" s="464">
        <f>IF(G$18="TV",F19*(1+$C$33),Forecast!G35)</f>
        <v>1220920.9367354999</v>
      </c>
      <c r="H19" s="464">
        <f>IF(H$18="TV",G19*(1+$C$33),Forecast!H35)</f>
        <v>1505062.5365575799</v>
      </c>
      <c r="I19" s="464">
        <f>IF(I$18="TV",H19*(1+$C$33),Forecast!I35)</f>
        <v>1712377.523210854</v>
      </c>
      <c r="J19" s="464">
        <f>IF(J$18="TV",I19*(1+$C$33),Forecast!J35)</f>
        <v>1972642.6756723332</v>
      </c>
      <c r="K19" s="464">
        <f>IF(K$18="TV",J19*(1+$C$33),Forecast!K35)</f>
        <v>2217674.9721571933</v>
      </c>
      <c r="L19" s="464">
        <f>IF(L$18="TV",K19*(1+$C$33),Forecast!L35)</f>
        <v>2530463.5638823211</v>
      </c>
      <c r="M19" s="464">
        <f>IF(M$18="TV",L19*(1+$C$33),Forecast!M35)</f>
        <v>2807877.3471820131</v>
      </c>
      <c r="N19" s="464">
        <f ca="1">IF(N$18="TV",M19*(1+$C$33),Forecast!#REF!)</f>
        <v>2864034.8941256534</v>
      </c>
    </row>
    <row r="20" spans="1:14">
      <c r="A20" s="192">
        <v>3</v>
      </c>
      <c r="B20" s="450" t="s">
        <v>823</v>
      </c>
      <c r="C20" s="454"/>
      <c r="D20" s="464">
        <f>IF(C12="Y",Forecast!D31,IF(F15=1,Forecast!D31-Historicals!H27,Forecast!D31*C13/12))</f>
        <v>322138.29999999993</v>
      </c>
      <c r="E20" s="464">
        <f>IF(E$18="TV",D20*(1+$C$33),Forecast!E31)</f>
        <v>485246.29999999976</v>
      </c>
      <c r="F20" s="464">
        <f>IF(F$18="TV",E20*(1+$C$33),Forecast!F31)</f>
        <v>681285.80519999994</v>
      </c>
      <c r="G20" s="464">
        <f>IF(G$18="TV",F20*(1+$C$33),Forecast!G31)</f>
        <v>894471.48841049999</v>
      </c>
      <c r="H20" s="464">
        <f>IF(H$18="TV",G20*(1+$C$33),Forecast!H31)</f>
        <v>1136174.6599503297</v>
      </c>
      <c r="I20" s="464">
        <f>IF(I$18="TV",H20*(1+$C$33),Forecast!I31)</f>
        <v>1306600.8589428789</v>
      </c>
      <c r="J20" s="464">
        <f>IF(J$18="TV",I20*(1+$C$33),Forecast!J31)</f>
        <v>1530346.1116202406</v>
      </c>
      <c r="K20" s="464">
        <f>IF(K$18="TV",J20*(1+$C$33),Forecast!K31)</f>
        <v>1735571.7173404123</v>
      </c>
      <c r="L20" s="464">
        <f>IF(L$18="TV",K20*(1+$C$33),Forecast!L31)</f>
        <v>2009792.0486801972</v>
      </c>
      <c r="M20" s="464">
        <f>IF(M$18="TV",L20*(1+$C$33),Forecast!M31)</f>
        <v>2250758.8259157403</v>
      </c>
      <c r="N20" s="464">
        <f ca="1">IF(N$18="TV",M20*(1+$C$33),Forecast!#REF!)</f>
        <v>2295774.0024340553</v>
      </c>
    </row>
    <row r="21" spans="1:14">
      <c r="A21" s="192">
        <v>4</v>
      </c>
      <c r="B21" s="450" t="s">
        <v>1449</v>
      </c>
      <c r="C21" s="465">
        <v>0.25</v>
      </c>
      <c r="D21" s="464">
        <f t="shared" ref="D21:N21" si="1">-MAX((D20-C22)*tax,0)</f>
        <v>-54763.510999999991</v>
      </c>
      <c r="E21" s="464">
        <f t="shared" si="1"/>
        <v>-82491.87099999997</v>
      </c>
      <c r="F21" s="464">
        <f t="shared" si="1"/>
        <v>-115818.586884</v>
      </c>
      <c r="G21" s="464">
        <f t="shared" si="1"/>
        <v>-152060.153029785</v>
      </c>
      <c r="H21" s="464">
        <f t="shared" si="1"/>
        <v>-193149.69219155607</v>
      </c>
      <c r="I21" s="464">
        <f t="shared" si="1"/>
        <v>-222122.14602028942</v>
      </c>
      <c r="J21" s="464">
        <f t="shared" si="1"/>
        <v>-260158.83897544091</v>
      </c>
      <c r="K21" s="464">
        <f t="shared" si="1"/>
        <v>-295047.19194787013</v>
      </c>
      <c r="L21" s="464">
        <f t="shared" si="1"/>
        <v>-341664.64827563358</v>
      </c>
      <c r="M21" s="464">
        <f t="shared" si="1"/>
        <v>-382629.00040567591</v>
      </c>
      <c r="N21" s="464">
        <f t="shared" ca="1" si="1"/>
        <v>-390281.58041378943</v>
      </c>
    </row>
    <row r="22" spans="1:14">
      <c r="A22" s="195">
        <v>5</v>
      </c>
      <c r="B22" s="466" t="s">
        <v>1450</v>
      </c>
      <c r="C22" s="467">
        <v>0</v>
      </c>
      <c r="D22" s="468">
        <f t="shared" ref="D22:N22" si="2">IF($F$14="Y",MAX(C22-D19,0),0)</f>
        <v>0</v>
      </c>
      <c r="E22" s="468">
        <f t="shared" si="2"/>
        <v>0</v>
      </c>
      <c r="F22" s="468">
        <f t="shared" si="2"/>
        <v>0</v>
      </c>
      <c r="G22" s="468">
        <f t="shared" si="2"/>
        <v>0</v>
      </c>
      <c r="H22" s="468">
        <f t="shared" si="2"/>
        <v>0</v>
      </c>
      <c r="I22" s="468">
        <f t="shared" si="2"/>
        <v>0</v>
      </c>
      <c r="J22" s="468">
        <f t="shared" si="2"/>
        <v>0</v>
      </c>
      <c r="K22" s="468">
        <f t="shared" si="2"/>
        <v>0</v>
      </c>
      <c r="L22" s="468">
        <f t="shared" si="2"/>
        <v>0</v>
      </c>
      <c r="M22" s="468">
        <f t="shared" si="2"/>
        <v>0</v>
      </c>
      <c r="N22" s="468">
        <f t="shared" si="2"/>
        <v>0</v>
      </c>
    </row>
    <row r="23" spans="1:14">
      <c r="A23" s="192">
        <v>6</v>
      </c>
      <c r="B23" s="450" t="s">
        <v>824</v>
      </c>
      <c r="C23" s="454"/>
      <c r="D23" s="464">
        <f>IF(C12="Y",(Forecast!D33+Forecast!D34),IF(F15=1,(Forecast!D33+Forecast!D34)-(Historicals!H29+Historicals!H30),(Forecast!D33+Forecast!D34)*C13/12))</f>
        <v>203885</v>
      </c>
      <c r="E23" s="464">
        <f>IF(E$18="TV",D23*(1+$C$33),(Forecast!E33+Forecast!E34))</f>
        <v>242623.15000000005</v>
      </c>
      <c r="F23" s="464">
        <f>IF(F$18="TV",E23*(1+$C$33),(Forecast!F33+Forecast!F34))</f>
        <v>283869.08550000004</v>
      </c>
      <c r="G23" s="464">
        <f>IF(G$18="TV",F23*(1+$C$33),(Forecast!G33+Forecast!G34))</f>
        <v>326449.44832500006</v>
      </c>
      <c r="H23" s="464">
        <f>IF(H$18="TV",G23*(1+$C$33),(Forecast!H33+Forecast!H34))</f>
        <v>368887.87660725007</v>
      </c>
      <c r="I23" s="464">
        <f>IF(I$18="TV",H23*(1+$C$33),(Forecast!I33+Forecast!I34))</f>
        <v>405776.66426797508</v>
      </c>
      <c r="J23" s="464">
        <f>IF(J$18="TV",I23*(1+$C$33),(Forecast!J33+Forecast!J34))</f>
        <v>442296.56405209273</v>
      </c>
      <c r="K23" s="464">
        <f>IF(K$18="TV",J23*(1+$C$33),(Forecast!K33+Forecast!K34))</f>
        <v>482103.25481678121</v>
      </c>
      <c r="L23" s="464">
        <f>IF(L$18="TV",K23*(1+$C$33),(Forecast!L33+Forecast!L34))</f>
        <v>520671.51520212379</v>
      </c>
      <c r="M23" s="464">
        <f>IF(M$18="TV",L23*(1+$C$33),(Forecast!M33+Forecast!M34))</f>
        <v>557118.52126627252</v>
      </c>
      <c r="N23" s="464">
        <f ca="1">IF(N$18="TV",M23*(1+$C$33),(Forecast!#REF!+Forecast!#REF!))</f>
        <v>568260.89169159799</v>
      </c>
    </row>
    <row r="24" spans="1:14" ht="10.5">
      <c r="A24" s="192">
        <v>7</v>
      </c>
      <c r="B24" s="610" t="s">
        <v>1451</v>
      </c>
      <c r="C24" s="611"/>
      <c r="D24" s="614">
        <f>D20+D21+D23</f>
        <v>471259.78899999993</v>
      </c>
      <c r="E24" s="614">
        <f>E20+E21+E23</f>
        <v>645377.57899999979</v>
      </c>
      <c r="F24" s="614">
        <f t="shared" ref="F24:N24" si="3">F20+F21+F23</f>
        <v>849336.303816</v>
      </c>
      <c r="G24" s="614">
        <f t="shared" si="3"/>
        <v>1068860.7837057151</v>
      </c>
      <c r="H24" s="614">
        <f t="shared" si="3"/>
        <v>1311912.8443660238</v>
      </c>
      <c r="I24" s="614">
        <f t="shared" si="3"/>
        <v>1490255.3771905645</v>
      </c>
      <c r="J24" s="614">
        <f t="shared" si="3"/>
        <v>1712483.8366968925</v>
      </c>
      <c r="K24" s="614">
        <f t="shared" si="3"/>
        <v>1922627.7802093234</v>
      </c>
      <c r="L24" s="614">
        <f t="shared" si="3"/>
        <v>2188798.9156066873</v>
      </c>
      <c r="M24" s="614">
        <f t="shared" si="3"/>
        <v>2425248.3467763369</v>
      </c>
      <c r="N24" s="614">
        <f t="shared" ca="1" si="3"/>
        <v>2473753.3137118639</v>
      </c>
    </row>
    <row r="25" spans="1:14">
      <c r="A25" s="192">
        <v>8</v>
      </c>
      <c r="B25" s="453"/>
      <c r="C25" s="454"/>
      <c r="D25" s="469"/>
      <c r="E25" s="469"/>
      <c r="F25" s="469"/>
      <c r="G25" s="469"/>
      <c r="H25" s="469"/>
      <c r="I25" s="469"/>
      <c r="J25" s="469"/>
      <c r="K25" s="469"/>
      <c r="L25" s="469"/>
      <c r="M25" s="469"/>
      <c r="N25" s="469"/>
    </row>
    <row r="26" spans="1:14">
      <c r="A26" s="192">
        <v>9</v>
      </c>
      <c r="B26" s="450" t="s">
        <v>1452</v>
      </c>
      <c r="C26" s="454"/>
      <c r="D26" s="470">
        <f>IFERROR(IF(C12="Y",Forecast!D57,IF(F15=1,Forecast!D57-Historicals!H129,Forecast!D57*C13/12)),0)</f>
        <v>-353700.44520547963</v>
      </c>
      <c r="E26" s="470">
        <f>IFERROR(IF(E$18="TV",-E23,Forecast!E57),0)</f>
        <v>-330919.87831506901</v>
      </c>
      <c r="F26" s="470">
        <f>IFERROR(IF(F$18="TV",-F23,Forecast!F57),0)</f>
        <v>-348596.95359424688</v>
      </c>
      <c r="G26" s="470">
        <f>IFERROR(IF(G$18="TV",-G23,Forecast!G57),0)</f>
        <v>-349683.93854229432</v>
      </c>
      <c r="H26" s="470">
        <f>IFERROR(IF(H$18="TV",-H23,Forecast!H57),0)</f>
        <v>-316727.51543926587</v>
      </c>
      <c r="I26" s="470">
        <f>IFERROR(IF(I$18="TV",-I23,Forecast!I57),0)</f>
        <v>-239069.66359300027</v>
      </c>
      <c r="J26" s="470">
        <f>IFERROR(IF(J$18="TV",-J23,Forecast!J57),0)</f>
        <v>-251544.84518882632</v>
      </c>
      <c r="K26" s="470">
        <f>IFERROR(IF(K$18="TV",-K23,Forecast!K57),0)</f>
        <v>-341975.22092522029</v>
      </c>
      <c r="L26" s="470">
        <f>IFERROR(IF(L$18="TV",-L23,Forecast!L57),0)</f>
        <v>-288659.65402925666</v>
      </c>
      <c r="M26" s="470">
        <f>IFERROR(IF(M$18="TV",-M23,Forecast!M57),0)</f>
        <v>-282533.48211629782</v>
      </c>
      <c r="N26" s="470">
        <f ca="1">IFERROR(IF(N$18="TV",-N23,Forecast!#REF!),0)</f>
        <v>-568260.89169159799</v>
      </c>
    </row>
    <row r="27" spans="1:14">
      <c r="A27" s="192">
        <v>10</v>
      </c>
      <c r="B27" s="450" t="s">
        <v>1453</v>
      </c>
      <c r="C27" s="454"/>
      <c r="D27" s="470">
        <f>IFERROR(IF(D$18="TV",C27*(1+$C$33),Forecast!D58),"")</f>
        <v>0</v>
      </c>
      <c r="E27" s="470">
        <f>IFERROR(IF(E$18="TV",D27*(1+$C$33),Forecast!E58),"")</f>
        <v>0</v>
      </c>
      <c r="F27" s="470">
        <f>IFERROR(IF(F$18="TV",E27*(1+$C$33),Forecast!F58),"")</f>
        <v>0</v>
      </c>
      <c r="G27" s="470">
        <f>IFERROR(IF(G$18="TV",F27*(1+$C$33),Forecast!G58),"")</f>
        <v>0</v>
      </c>
      <c r="H27" s="470">
        <f>IFERROR(IF(H$18="TV",G27*(1+$C$33),Forecast!H58),"")</f>
        <v>0</v>
      </c>
      <c r="I27" s="470">
        <f>IFERROR(IF(I$18="TV",H27*(1+$C$33),Forecast!I58),"")</f>
        <v>0</v>
      </c>
      <c r="J27" s="470">
        <f>IFERROR(IF(J$18="TV",I27*(1+$C$33),Forecast!J58),"")</f>
        <v>0</v>
      </c>
      <c r="K27" s="470">
        <f>IFERROR(IF(K$18="TV",J27*(1+$C$33),Forecast!K58),"")</f>
        <v>0</v>
      </c>
      <c r="L27" s="470">
        <f>IFERROR(IF(L$18="TV",K27*(1+$C$33),Forecast!L58),"")</f>
        <v>0</v>
      </c>
      <c r="M27" s="470">
        <f>IFERROR(IF(M$18="TV",L27*(1+$C$33),Forecast!M58),"")</f>
        <v>0</v>
      </c>
      <c r="N27" s="470">
        <f ca="1">IFERROR(IF(N$18="TV",M27*(1+$C$33),Forecast!#REF!),"")</f>
        <v>0</v>
      </c>
    </row>
    <row r="28" spans="1:14" ht="10.5">
      <c r="A28" s="192">
        <v>11</v>
      </c>
      <c r="B28" s="610" t="s">
        <v>1454</v>
      </c>
      <c r="C28" s="611"/>
      <c r="D28" s="614">
        <f t="shared" ref="D28:N28" si="4">SUM(D24:D27)</f>
        <v>117559.3437945203</v>
      </c>
      <c r="E28" s="614">
        <f t="shared" si="4"/>
        <v>314457.70068493078</v>
      </c>
      <c r="F28" s="614">
        <f t="shared" si="4"/>
        <v>500739.35022175312</v>
      </c>
      <c r="G28" s="614">
        <f t="shared" si="4"/>
        <v>719176.84516342077</v>
      </c>
      <c r="H28" s="614">
        <f t="shared" si="4"/>
        <v>995185.32892675791</v>
      </c>
      <c r="I28" s="614">
        <f t="shared" si="4"/>
        <v>1251185.7135975643</v>
      </c>
      <c r="J28" s="614">
        <f t="shared" si="4"/>
        <v>1460938.9915080662</v>
      </c>
      <c r="K28" s="614">
        <f t="shared" si="4"/>
        <v>1580652.5592841031</v>
      </c>
      <c r="L28" s="614">
        <f t="shared" si="4"/>
        <v>1900139.2615774306</v>
      </c>
      <c r="M28" s="614">
        <f t="shared" si="4"/>
        <v>2142714.8646600391</v>
      </c>
      <c r="N28" s="614">
        <f t="shared" ca="1" si="4"/>
        <v>1905492.4220202658</v>
      </c>
    </row>
    <row r="29" spans="1:14">
      <c r="A29" s="192">
        <v>12</v>
      </c>
      <c r="B29" s="450" t="s">
        <v>1455</v>
      </c>
      <c r="C29" s="454"/>
      <c r="D29" s="471">
        <f>IF(D18="TV",C0!N23,C0!O24)</f>
        <v>0.5</v>
      </c>
      <c r="E29" s="471">
        <f>IF(E18="TV",C0!O23,C0!P24)</f>
        <v>1.5</v>
      </c>
      <c r="F29" s="471">
        <f>IF(F18="TV",C0!P23,C0!Q24)</f>
        <v>2.5</v>
      </c>
      <c r="G29" s="471">
        <f>IF(G18="TV",C0!Q23,C0!R24)</f>
        <v>3.5</v>
      </c>
      <c r="H29" s="471">
        <f>IF(H18="TV",C0!R23,C0!S24)</f>
        <v>4.5</v>
      </c>
      <c r="I29" s="471">
        <f>IF(I18="TV",C0!S23,C0!T24)</f>
        <v>5.5</v>
      </c>
      <c r="J29" s="471">
        <f>IF(J18="TV",C0!T23,C0!U24)</f>
        <v>6.5</v>
      </c>
      <c r="K29" s="471">
        <f>IF(K18="TV",C0!U23,C0!V24)</f>
        <v>7.5</v>
      </c>
      <c r="L29" s="471">
        <f>IF(L18="TV",C0!V23,C0!W24)</f>
        <v>8.5</v>
      </c>
      <c r="M29" s="471">
        <f>IF(M18="TV",C0!W23,C0!X24)</f>
        <v>9.5</v>
      </c>
      <c r="N29" s="471">
        <f>IF(N18="TV",C0!X23,C0!Y24)</f>
        <v>10</v>
      </c>
    </row>
    <row r="30" spans="1:14">
      <c r="A30" s="199">
        <v>13</v>
      </c>
      <c r="B30" s="450" t="s">
        <v>1456</v>
      </c>
      <c r="C30" s="465">
        <f ca="1">IFERROR(OFFSET($C$58,0,$C$14),"")</f>
        <v>9.9146177972411056E-2</v>
      </c>
      <c r="D30" s="471">
        <f ca="1">IFERROR(1/(1+$C$30)^D29,"")</f>
        <v>0.95383284451378336</v>
      </c>
      <c r="E30" s="471">
        <f t="shared" ref="E30:N30" ca="1" si="5">IFERROR(1/(1+$C$30)^E29,"")</f>
        <v>0.8677943513148666</v>
      </c>
      <c r="F30" s="471">
        <f t="shared" ca="1" si="5"/>
        <v>0.78951678012080451</v>
      </c>
      <c r="G30" s="471">
        <f t="shared" ca="1" si="5"/>
        <v>0.71830007322340128</v>
      </c>
      <c r="H30" s="471">
        <f t="shared" ca="1" si="5"/>
        <v>0.65350732015321711</v>
      </c>
      <c r="I30" s="471">
        <f t="shared" ca="1" si="5"/>
        <v>0.59455906161520622</v>
      </c>
      <c r="J30" s="471">
        <f t="shared" ca="1" si="5"/>
        <v>0.54092810722590701</v>
      </c>
      <c r="K30" s="471">
        <f t="shared" ca="1" si="5"/>
        <v>0.49213482070579012</v>
      </c>
      <c r="L30" s="471">
        <f t="shared" ca="1" si="5"/>
        <v>0.44774283036095219</v>
      </c>
      <c r="M30" s="471">
        <f t="shared" ca="1" si="5"/>
        <v>0.40735512649182021</v>
      </c>
      <c r="N30" s="471">
        <f t="shared" ca="1" si="5"/>
        <v>0.38854869902896494</v>
      </c>
    </row>
    <row r="31" spans="1:14" ht="10.5">
      <c r="A31" s="192">
        <v>14</v>
      </c>
      <c r="B31" s="610" t="s">
        <v>1457</v>
      </c>
      <c r="C31" s="611"/>
      <c r="D31" s="614">
        <f t="shared" ref="D31:N31" ca="1" si="6">IFERROR(IF(D18="TV",0,D30*D28),"")</f>
        <v>112131.96329070108</v>
      </c>
      <c r="E31" s="614">
        <f t="shared" ca="1" si="6"/>
        <v>272884.61638184398</v>
      </c>
      <c r="F31" s="614">
        <f t="shared" ca="1" si="6"/>
        <v>395342.11946686241</v>
      </c>
      <c r="G31" s="614">
        <f t="shared" ca="1" si="6"/>
        <v>516584.78054145986</v>
      </c>
      <c r="H31" s="614">
        <f t="shared" ca="1" si="6"/>
        <v>650360.89736272348</v>
      </c>
      <c r="I31" s="614">
        <f t="shared" ca="1" si="6"/>
        <v>743903.80378292</v>
      </c>
      <c r="J31" s="614">
        <f t="shared" ca="1" si="6"/>
        <v>790262.96344898362</v>
      </c>
      <c r="K31" s="614">
        <f t="shared" ca="1" si="6"/>
        <v>777894.16386143037</v>
      </c>
      <c r="L31" s="614">
        <f t="shared" ca="1" si="6"/>
        <v>850773.73105864844</v>
      </c>
      <c r="M31" s="614">
        <f t="shared" ca="1" si="6"/>
        <v>872845.88472949364</v>
      </c>
      <c r="N31" s="614">
        <f t="shared" si="6"/>
        <v>0</v>
      </c>
    </row>
    <row r="32" spans="1:14">
      <c r="A32" s="192">
        <v>15</v>
      </c>
      <c r="B32" s="453"/>
      <c r="C32" s="454"/>
      <c r="D32" s="469"/>
      <c r="E32" s="469"/>
      <c r="F32" s="469"/>
      <c r="G32" s="469"/>
      <c r="H32" s="469"/>
      <c r="I32" s="469"/>
      <c r="J32" s="469"/>
      <c r="K32" s="469"/>
      <c r="L32" s="469"/>
      <c r="M32" s="469"/>
      <c r="N32" s="469"/>
    </row>
    <row r="33" spans="1:14">
      <c r="A33" s="199">
        <v>16</v>
      </c>
      <c r="B33" s="450" t="s">
        <v>1458</v>
      </c>
      <c r="C33" s="472">
        <f ca="1">OFFSET($C$57,0,$C$14)</f>
        <v>0.02</v>
      </c>
      <c r="D33" s="464"/>
      <c r="E33" s="464" t="str">
        <f t="shared" ref="E33:N33" si="7">IFERROR(IF(E18="TV",E28/($C$30-$C$33),""),"")</f>
        <v/>
      </c>
      <c r="F33" s="464" t="str">
        <f t="shared" si="7"/>
        <v/>
      </c>
      <c r="G33" s="464" t="str">
        <f t="shared" si="7"/>
        <v/>
      </c>
      <c r="H33" s="464" t="str">
        <f t="shared" si="7"/>
        <v/>
      </c>
      <c r="I33" s="464" t="str">
        <f t="shared" si="7"/>
        <v/>
      </c>
      <c r="J33" s="464" t="str">
        <f t="shared" si="7"/>
        <v/>
      </c>
      <c r="K33" s="464" t="str">
        <f t="shared" si="7"/>
        <v/>
      </c>
      <c r="L33" s="464" t="str">
        <f t="shared" si="7"/>
        <v/>
      </c>
      <c r="M33" s="464" t="str">
        <f t="shared" si="7"/>
        <v/>
      </c>
      <c r="N33" s="464">
        <f t="shared" ca="1" si="7"/>
        <v>24075608.839690104</v>
      </c>
    </row>
    <row r="34" spans="1:14">
      <c r="B34" s="453"/>
      <c r="C34" s="454"/>
      <c r="D34" s="469"/>
      <c r="E34" s="469"/>
      <c r="F34" s="469"/>
      <c r="G34" s="469"/>
      <c r="H34" s="469"/>
      <c r="I34" s="469"/>
      <c r="J34" s="469"/>
      <c r="K34" s="469"/>
      <c r="L34" s="469"/>
      <c r="M34" s="469"/>
      <c r="N34" s="469"/>
    </row>
    <row r="35" spans="1:14">
      <c r="B35" s="450" t="s">
        <v>1459</v>
      </c>
      <c r="C35" s="454"/>
      <c r="D35" s="470">
        <f ca="1">SUM(D31:N31)</f>
        <v>5982984.9239250673</v>
      </c>
      <c r="E35" s="473">
        <f ca="1">IFERROR(D35/$D$37,"")</f>
        <v>0.39008786755122715</v>
      </c>
      <c r="F35" s="469"/>
      <c r="G35" s="469"/>
      <c r="H35" s="469"/>
      <c r="I35" s="469"/>
      <c r="J35" s="469"/>
      <c r="K35" s="469"/>
      <c r="L35" s="469"/>
      <c r="M35" s="469"/>
      <c r="N35" s="469"/>
    </row>
    <row r="36" spans="1:14">
      <c r="B36" s="450" t="s">
        <v>1460</v>
      </c>
      <c r="C36" s="454"/>
      <c r="D36" s="470">
        <f ca="1">IFERROR(HLOOKUP("TV",$D$18:$N$33,G12,FALSE)*HLOOKUP("TV",$D$18:$N$33,A30,FALSE),"")</f>
        <v>9354546.4929918386</v>
      </c>
      <c r="E36" s="473">
        <f ca="1">IFERROR(D36/$D$37,"")</f>
        <v>0.60991213244877285</v>
      </c>
      <c r="F36" s="469"/>
      <c r="G36" s="469"/>
      <c r="H36" s="469"/>
      <c r="I36" s="469"/>
      <c r="J36" s="469"/>
      <c r="K36" s="469"/>
      <c r="L36" s="469"/>
      <c r="M36" s="469"/>
      <c r="N36" s="469"/>
    </row>
    <row r="37" spans="1:14" ht="10.5">
      <c r="B37" s="610" t="s">
        <v>1461</v>
      </c>
      <c r="C37" s="378"/>
      <c r="D37" s="612">
        <f ca="1">SUM(D35:D36)</f>
        <v>15337531.416916907</v>
      </c>
      <c r="E37" s="263"/>
      <c r="F37" s="248"/>
      <c r="G37" s="248"/>
      <c r="H37" s="248"/>
      <c r="I37" s="248"/>
      <c r="J37" s="248"/>
      <c r="K37" s="248"/>
      <c r="L37" s="248"/>
      <c r="M37" s="248"/>
      <c r="N37" s="248"/>
    </row>
    <row r="38" spans="1:14">
      <c r="B38" s="450">
        <f>Historicals!B152</f>
        <v>0</v>
      </c>
      <c r="C38" s="454"/>
      <c r="D38" s="452">
        <f>Historicals!H152</f>
        <v>0</v>
      </c>
    </row>
    <row r="39" spans="1:14">
      <c r="B39" s="450" t="str">
        <f>Historicals!B158</f>
        <v>Inventory</v>
      </c>
      <c r="C39" s="454"/>
      <c r="D39" s="452">
        <f>Historicals!H158</f>
        <v>87000</v>
      </c>
    </row>
    <row r="40" spans="1:14" ht="10.5">
      <c r="B40" s="610" t="s">
        <v>1462</v>
      </c>
      <c r="C40" s="378"/>
      <c r="D40" s="612">
        <f ca="1">SUM(D37:D39)</f>
        <v>15424531.416916907</v>
      </c>
      <c r="E40" s="248"/>
      <c r="F40" s="248"/>
      <c r="G40" s="248"/>
      <c r="H40" s="248"/>
      <c r="I40" s="248"/>
      <c r="J40" s="248"/>
      <c r="K40" s="248"/>
      <c r="L40" s="248"/>
      <c r="M40" s="248"/>
      <c r="N40" s="248"/>
    </row>
    <row r="41" spans="1:14">
      <c r="B41" s="450" t="s">
        <v>1463</v>
      </c>
      <c r="C41" s="454"/>
      <c r="D41" s="451">
        <f>pcent</f>
        <v>1</v>
      </c>
    </row>
    <row r="42" spans="1:14">
      <c r="B42" s="450" t="s">
        <v>1464</v>
      </c>
      <c r="C42" s="474">
        <f>IF($F$11="Y",0,'DLOM DLOC'!H29/(1+'DLOM DLOC'!H29))</f>
        <v>0</v>
      </c>
      <c r="D42" s="475">
        <f ca="1">-D37*pcent*C42</f>
        <v>0</v>
      </c>
    </row>
    <row r="43" spans="1:14">
      <c r="B43" s="450" t="s">
        <v>1465</v>
      </c>
      <c r="C43" s="476">
        <f>IF($F$11="Y",0,'DLOM DLOC'!D14)</f>
        <v>0</v>
      </c>
      <c r="D43" s="475">
        <f ca="1">-D37*pcent*C43</f>
        <v>0</v>
      </c>
    </row>
    <row r="44" spans="1:14" ht="11.1" thickBot="1">
      <c r="B44" s="608" t="str">
        <f>"Equity Value ("&amp;TEXT(pcent,"0.0%")&amp;")"</f>
        <v>Equity Value (100.0%)</v>
      </c>
      <c r="C44" s="383"/>
      <c r="D44" s="609">
        <f ca="1">MAX(0,D40*pcent+D42+D43)</f>
        <v>15424531.416916907</v>
      </c>
      <c r="E44" s="383"/>
      <c r="F44" s="383"/>
      <c r="G44" s="383"/>
      <c r="H44" s="383"/>
      <c r="I44" s="383"/>
      <c r="J44" s="383"/>
      <c r="K44" s="383"/>
      <c r="L44" s="383"/>
      <c r="M44" s="383"/>
      <c r="N44" s="383"/>
    </row>
    <row r="45" spans="1:14">
      <c r="B45" s="607" t="s">
        <v>1466</v>
      </c>
      <c r="C45" s="376"/>
      <c r="D45" s="376"/>
      <c r="E45" s="376"/>
      <c r="F45" s="376"/>
      <c r="G45" s="376"/>
      <c r="H45" s="376"/>
      <c r="I45" s="376"/>
      <c r="J45" s="376"/>
      <c r="K45" s="376"/>
      <c r="L45" s="376"/>
      <c r="M45" s="376"/>
      <c r="N45" s="376"/>
    </row>
    <row r="46" spans="1:14">
      <c r="D46" s="203"/>
    </row>
    <row r="47" spans="1:14" ht="18.95">
      <c r="B47" s="191" t="s">
        <v>1467</v>
      </c>
    </row>
    <row r="48" spans="1:14">
      <c r="C48" s="182"/>
    </row>
    <row r="49" spans="2:7">
      <c r="B49" s="490" t="str">
        <f>B37</f>
        <v>Enterprise Value</v>
      </c>
      <c r="C49" s="491">
        <f ca="1">D37</f>
        <v>15337531.416916907</v>
      </c>
      <c r="D49" s="453"/>
      <c r="E49" s="453"/>
      <c r="F49" s="453"/>
    </row>
    <row r="50" spans="2:7">
      <c r="B50" s="490" t="s">
        <v>1468</v>
      </c>
      <c r="C50" s="492">
        <f>'Market '!D37</f>
        <v>876000</v>
      </c>
      <c r="D50" s="23" t="s">
        <v>1469</v>
      </c>
      <c r="E50" s="453"/>
      <c r="F50" s="453"/>
    </row>
    <row r="51" spans="2:7" ht="10.5">
      <c r="B51" s="493" t="s">
        <v>1470</v>
      </c>
      <c r="C51" s="494">
        <f ca="1">C49/C50</f>
        <v>17.508597507896013</v>
      </c>
      <c r="D51" s="453"/>
      <c r="E51" s="453"/>
      <c r="F51" s="453"/>
    </row>
    <row r="52" spans="2:7" ht="10.5">
      <c r="B52" s="455"/>
      <c r="C52" s="495"/>
      <c r="D52" s="453"/>
      <c r="E52" s="453"/>
      <c r="F52" s="453"/>
    </row>
    <row r="53" spans="2:7">
      <c r="B53" s="453" t="s">
        <v>1471</v>
      </c>
      <c r="C53" s="496">
        <v>1</v>
      </c>
      <c r="D53" s="460"/>
      <c r="E53" s="497" t="str">
        <f>IF(C53=1,"Enterprise Value","Equity Value")</f>
        <v>Enterprise Value</v>
      </c>
      <c r="F53" s="462"/>
    </row>
    <row r="54" spans="2:7">
      <c r="B54" s="453"/>
      <c r="C54" s="454"/>
      <c r="D54" s="498" t="str">
        <f>'Market '!C42</f>
        <v>Min</v>
      </c>
      <c r="E54" s="498" t="str">
        <f>'Market '!D42</f>
        <v>1st quartile</v>
      </c>
      <c r="F54" s="498" t="str">
        <f>'Market '!E42</f>
        <v>Median</v>
      </c>
      <c r="G54" s="23"/>
    </row>
    <row r="55" spans="2:7" ht="4.3499999999999996" customHeight="1">
      <c r="C55" s="182"/>
    </row>
    <row r="56" spans="2:7" ht="10.5">
      <c r="B56" s="615" t="s">
        <v>1467</v>
      </c>
      <c r="C56" s="615"/>
      <c r="D56" s="615"/>
      <c r="E56" s="615"/>
      <c r="F56" s="615"/>
    </row>
    <row r="57" spans="2:7">
      <c r="B57" s="453"/>
      <c r="C57" s="477" t="s">
        <v>1441</v>
      </c>
      <c r="D57" s="479">
        <f>E57-0.5%</f>
        <v>1.4999999999999999E-2</v>
      </c>
      <c r="E57" s="479">
        <f>F13</f>
        <v>0.02</v>
      </c>
      <c r="F57" s="479">
        <f>E57+0.5%</f>
        <v>2.5000000000000001E-2</v>
      </c>
      <c r="G57" s="23"/>
    </row>
    <row r="58" spans="2:7" ht="10.5">
      <c r="B58" s="480"/>
      <c r="C58" s="477" t="s">
        <v>1472</v>
      </c>
      <c r="D58" s="481">
        <f>E58+1%</f>
        <v>0.10914617797241105</v>
      </c>
      <c r="E58" s="481">
        <f>wacc</f>
        <v>9.9146177972411056E-2</v>
      </c>
      <c r="F58" s="481">
        <f>E58-1%</f>
        <v>8.9146177972411061E-2</v>
      </c>
      <c r="G58" s="23"/>
    </row>
    <row r="59" spans="2:7" ht="10.5" outlineLevel="1">
      <c r="B59" s="482"/>
      <c r="C59" s="475">
        <f ca="1">IF(C53=2,D44,D37)</f>
        <v>15337531.416916907</v>
      </c>
      <c r="D59" s="483">
        <v>1</v>
      </c>
      <c r="E59" s="483">
        <v>2</v>
      </c>
      <c r="F59" s="453">
        <v>3</v>
      </c>
    </row>
    <row r="60" spans="2:7">
      <c r="B60" s="484" t="str">
        <f>IF(C53=2,B44,"Enterprise Value")</f>
        <v>Enterprise Value</v>
      </c>
      <c r="C60" s="483"/>
      <c r="D60" s="485">
        <f t="dataTable" ref="D60:F64" dt2D="1" dtr="1" r1="C14" r2="C11" ca="1"/>
        <v>12808411.459554795</v>
      </c>
      <c r="E60" s="485">
        <v>15337531.416916907</v>
      </c>
      <c r="F60" s="485">
        <v>19038936.102834545</v>
      </c>
    </row>
    <row r="61" spans="2:7" hidden="1" outlineLevel="1">
      <c r="B61" s="484"/>
      <c r="C61" s="483"/>
      <c r="D61" s="485">
        <v>12808411.459554795</v>
      </c>
      <c r="E61" s="485">
        <v>15337531.416916907</v>
      </c>
      <c r="F61" s="485">
        <v>19038936.102834545</v>
      </c>
    </row>
    <row r="62" spans="2:7" hidden="1" outlineLevel="1">
      <c r="B62" s="484"/>
      <c r="C62" s="483"/>
      <c r="D62" s="485">
        <v>12808411.459554795</v>
      </c>
      <c r="E62" s="485">
        <v>15337531.416916907</v>
      </c>
      <c r="F62" s="485">
        <v>19038936.102834545</v>
      </c>
    </row>
    <row r="63" spans="2:7" hidden="1" outlineLevel="1">
      <c r="B63" s="484"/>
      <c r="C63" s="483"/>
      <c r="D63" s="485">
        <v>12808411.459554795</v>
      </c>
      <c r="E63" s="485">
        <v>15337531.416916907</v>
      </c>
      <c r="F63" s="485">
        <v>19038936.102834545</v>
      </c>
    </row>
    <row r="64" spans="2:7" hidden="1" outlineLevel="1">
      <c r="B64" s="484"/>
      <c r="C64" s="483"/>
      <c r="D64" s="485">
        <v>12808411.459554795</v>
      </c>
      <c r="E64" s="485">
        <v>15337531.416916907</v>
      </c>
      <c r="F64" s="485">
        <v>19038936.102834545</v>
      </c>
    </row>
    <row r="65" spans="2:6" collapsed="1">
      <c r="B65" s="484"/>
      <c r="C65" s="483"/>
      <c r="D65" s="486"/>
      <c r="E65" s="486"/>
      <c r="F65" s="486"/>
    </row>
    <row r="66" spans="2:6" ht="10.5">
      <c r="B66" s="480"/>
      <c r="C66" s="454"/>
      <c r="D66" s="483"/>
      <c r="E66" s="483"/>
      <c r="F66" s="483"/>
    </row>
    <row r="67" spans="2:6" outlineLevel="1">
      <c r="B67" s="487"/>
      <c r="C67" s="488"/>
      <c r="D67" s="483">
        <v>1</v>
      </c>
      <c r="E67" s="483">
        <v>2</v>
      </c>
      <c r="F67" s="483">
        <v>3</v>
      </c>
    </row>
    <row r="68" spans="2:6">
      <c r="B68" s="484" t="str">
        <f>B51</f>
        <v>Implied EV/Revenue ratio</v>
      </c>
      <c r="C68" s="483"/>
      <c r="D68" s="489">
        <f t="dataTable" ref="D68:F72" dt2D="1" dtr="1" r1="C14" r2="C11"/>
        <v>0</v>
      </c>
      <c r="E68" s="489">
        <v>0</v>
      </c>
      <c r="F68" s="489">
        <v>0</v>
      </c>
    </row>
    <row r="69" spans="2:6" hidden="1" outlineLevel="1">
      <c r="B69" s="484">
        <f t="shared" ref="B69:C69" si="8">B61</f>
        <v>0</v>
      </c>
      <c r="C69" s="483">
        <f t="shared" si="8"/>
        <v>0</v>
      </c>
      <c r="D69" s="489">
        <v>0</v>
      </c>
      <c r="E69" s="489">
        <v>0</v>
      </c>
      <c r="F69" s="489">
        <v>0</v>
      </c>
    </row>
    <row r="70" spans="2:6" hidden="1" outlineLevel="1">
      <c r="B70" s="484">
        <f t="shared" ref="B70:C70" si="9">B62</f>
        <v>0</v>
      </c>
      <c r="C70" s="483">
        <f t="shared" si="9"/>
        <v>0</v>
      </c>
      <c r="D70" s="489">
        <v>0</v>
      </c>
      <c r="E70" s="489">
        <v>0</v>
      </c>
      <c r="F70" s="489">
        <v>0</v>
      </c>
    </row>
    <row r="71" spans="2:6" hidden="1" outlineLevel="1">
      <c r="B71" s="484">
        <f t="shared" ref="B71:C71" si="10">B63</f>
        <v>0</v>
      </c>
      <c r="C71" s="483">
        <f t="shared" si="10"/>
        <v>0</v>
      </c>
      <c r="D71" s="489">
        <v>0</v>
      </c>
      <c r="E71" s="489">
        <v>0</v>
      </c>
      <c r="F71" s="489">
        <v>0</v>
      </c>
    </row>
    <row r="72" spans="2:6" hidden="1" outlineLevel="1">
      <c r="B72" s="484">
        <f t="shared" ref="B72:C72" si="11">B64</f>
        <v>0</v>
      </c>
      <c r="C72" s="483">
        <f t="shared" si="11"/>
        <v>0</v>
      </c>
      <c r="D72" s="489">
        <v>0</v>
      </c>
      <c r="E72" s="489">
        <v>0</v>
      </c>
      <c r="F72" s="489">
        <v>0</v>
      </c>
    </row>
    <row r="73" spans="2:6" ht="4.3499999999999996" customHeight="1" collapsed="1" thickBot="1">
      <c r="B73" s="384"/>
      <c r="C73" s="385"/>
      <c r="D73" s="386"/>
      <c r="E73" s="386"/>
      <c r="F73" s="386"/>
    </row>
    <row r="74" spans="2:6">
      <c r="B74" s="607" t="s">
        <v>1473</v>
      </c>
      <c r="C74" s="376"/>
      <c r="D74" s="376"/>
      <c r="E74" s="376"/>
      <c r="F74" s="376"/>
    </row>
    <row r="75" spans="2:6">
      <c r="B75" s="616"/>
    </row>
  </sheetData>
  <sheetProtection formatCells="0" formatColumns="0" formatRows="0" insertColumns="0" insertRows="0" deleteColumns="0" deleteRows="0" sort="0"/>
  <conditionalFormatting sqref="B60:B65">
    <cfRule type="cellIs" dxfId="92" priority="2" operator="equal">
      <formula>"not selected"</formula>
    </cfRule>
  </conditionalFormatting>
  <conditionalFormatting sqref="B68:B72">
    <cfRule type="cellIs" dxfId="91" priority="1" operator="equal">
      <formula>"not selected"</formula>
    </cfRule>
  </conditionalFormatting>
  <conditionalFormatting sqref="C12">
    <cfRule type="cellIs" dxfId="90" priority="12" operator="equal">
      <formula>"N"</formula>
    </cfRule>
    <cfRule type="cellIs" dxfId="89" priority="13" operator="equal">
      <formula>"Y"</formula>
    </cfRule>
  </conditionalFormatting>
  <conditionalFormatting sqref="D18:N19">
    <cfRule type="cellIs" dxfId="88" priority="14" operator="equal">
      <formula>"FYTEF"</formula>
    </cfRule>
  </conditionalFormatting>
  <conditionalFormatting sqref="D29:N29">
    <cfRule type="cellIs" dxfId="87" priority="10" operator="equal">
      <formula>0</formula>
    </cfRule>
  </conditionalFormatting>
  <dataValidations disablePrompts="1" count="6">
    <dataValidation type="list" allowBlank="1" showInputMessage="1" showErrorMessage="1" sqref="F12" xr:uid="{00000000-0002-0000-0F00-000000000000}">
      <formula1>"Gordon,Exit Multiple"</formula1>
    </dataValidation>
    <dataValidation type="list" allowBlank="1" showInputMessage="1" showErrorMessage="1" sqref="F11" xr:uid="{00000000-0002-0000-0F00-000001000000}">
      <formula1>"Y,N, Joint control"</formula1>
    </dataValidation>
    <dataValidation allowBlank="1" showInputMessage="1" showErrorMessage="1" prompt="Link to the outstanding amount of tax loss carryforward._x000a_Ensure that the unit (k,m,b) is correct" sqref="C22" xr:uid="{A8E5AF2D-3F23-408D-A43A-70183F14A0AA}"/>
    <dataValidation type="list" allowBlank="1" showInputMessage="1" showErrorMessage="1" sqref="F14" xr:uid="{CCDE8C3C-9D15-4904-A866-3C36178D9D5A}">
      <formula1>"Y,N"</formula1>
    </dataValidation>
    <dataValidation type="list" allowBlank="1" showInputMessage="1" showErrorMessage="1" sqref="F15 C53" xr:uid="{1E5BF8EF-754D-434E-88F2-78F5E2496A0B}">
      <formula1>"1,2"</formula1>
    </dataValidation>
    <dataValidation type="list" allowBlank="1" showInputMessage="1" showErrorMessage="1" sqref="C11" xr:uid="{E7A1F21E-0050-4E57-B861-EDBAE08D157C}">
      <formula1>#REF!</formula1>
    </dataValidation>
  </dataValidations>
  <pageMargins left="0.7" right="0.7" top="0.75" bottom="0.75" header="0.3" footer="0.3"/>
  <pageSetup paperSize="9" orientation="portrait"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3" operator="greaterThan" id="{B3C85D64-13FD-419C-BB32-F8B66179733C}">
            <xm:f>Input!$D$14+1</xm:f>
            <x14:dxf>
              <font>
                <color rgb="FF9C0006"/>
              </font>
              <fill>
                <patternFill>
                  <bgColor rgb="FFFFC7CE"/>
                </patternFill>
              </fill>
            </x14:dxf>
          </x14:cfRule>
          <xm:sqref>D16:N16</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8CFC297-E0D0-4632-AEF7-848862D7BE84}">
          <x14:formula1>
            <xm:f>'Market '!#REF!</xm:f>
          </x14:formula1>
          <xm:sqref>D54:F55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sheetPr>
  <dimension ref="A1:U191"/>
  <sheetViews>
    <sheetView showGridLines="0" zoomScaleNormal="100" workbookViewId="0">
      <selection activeCell="I28" sqref="I28"/>
    </sheetView>
  </sheetViews>
  <sheetFormatPr defaultColWidth="0" defaultRowHeight="9.9499999999999993" zeroHeight="1"/>
  <cols>
    <col min="1" max="1" width="10.5" style="182" customWidth="1"/>
    <col min="2" max="2" width="31.5" style="182" customWidth="1"/>
    <col min="3" max="15" width="15.6640625" style="182" customWidth="1"/>
    <col min="16" max="17" width="12.6640625" style="182" customWidth="1"/>
    <col min="18" max="21" width="12.6640625" style="182" hidden="1" customWidth="1"/>
    <col min="22" max="16384" width="9.1640625" style="182" hidden="1"/>
  </cols>
  <sheetData>
    <row r="1" spans="1:7" ht="27.6">
      <c r="B1" s="190" t="s">
        <v>1474</v>
      </c>
    </row>
    <row r="2" spans="1:7"/>
    <row r="3" spans="1:7"/>
    <row r="4" spans="1:7"/>
    <row r="5" spans="1:7"/>
    <row r="6" spans="1:7"/>
    <row r="7" spans="1:7" ht="18.95">
      <c r="B7" s="191" t="s">
        <v>1475</v>
      </c>
    </row>
    <row r="8" spans="1:7" ht="21">
      <c r="B8" s="204" t="s">
        <v>775</v>
      </c>
      <c r="C8" s="204" t="s">
        <v>179</v>
      </c>
      <c r="D8" s="204" t="s">
        <v>1037</v>
      </c>
      <c r="E8" s="204" t="s">
        <v>1476</v>
      </c>
      <c r="F8" s="204" t="s">
        <v>1477</v>
      </c>
      <c r="G8" s="204" t="s">
        <v>1478</v>
      </c>
    </row>
    <row r="9" spans="1:7" ht="10.5">
      <c r="A9" s="192">
        <v>1</v>
      </c>
      <c r="B9" s="205" t="str">
        <f>Subject</f>
        <v>Grab Holdings</v>
      </c>
      <c r="C9" s="205" t="str">
        <f>IF('Comps'!C11="","",'Comps'!C11)</f>
        <v/>
      </c>
      <c r="D9" s="206">
        <f ca="1">DCF!D40/1000</f>
        <v>15424.531416916907</v>
      </c>
      <c r="E9" s="207" t="str">
        <f>Historicals!I59</f>
        <v>3-YR CAGR</v>
      </c>
      <c r="F9" s="208">
        <f>Historicals!I48</f>
        <v>0.11600000000000001</v>
      </c>
      <c r="G9" s="656">
        <f>DCF!E68</f>
        <v>0</v>
      </c>
    </row>
    <row r="10" spans="1:7">
      <c r="A10" s="192">
        <v>2</v>
      </c>
      <c r="B10" s="194" t="str">
        <f>IFERROR('Comps'!B13,"DELETE")</f>
        <v>Grab Holdings Limited</v>
      </c>
      <c r="C10" s="194" t="str">
        <f>IF('Comps'!C13="","",'Comps'!C13)</f>
        <v>NASDAQGS:GRAB</v>
      </c>
      <c r="D10" s="209">
        <f>'Comps'!E13</f>
        <v>26231.541829999998</v>
      </c>
      <c r="E10" s="210">
        <f>'Comps'!F13</f>
        <v>2.3737999999999999E-2</v>
      </c>
      <c r="F10" s="211">
        <f>'Comps'!G13</f>
        <v>0.61274104387880657</v>
      </c>
      <c r="G10" s="652">
        <f>'Comps'!H13</f>
        <v>4.7903099999999998</v>
      </c>
    </row>
    <row r="11" spans="1:7">
      <c r="A11" s="192">
        <v>3</v>
      </c>
      <c r="B11" s="194" t="str">
        <f>IFERROR('Comps'!B14,"DELETE")</f>
        <v>Pt Goto Gojek Tokopedia Tbk</v>
      </c>
      <c r="C11" s="194" t="e">
        <f>IF('Comps'!#REF!="","",'Comps'!#REF!)</f>
        <v>#REF!</v>
      </c>
      <c r="D11" s="212">
        <f>'Comps'!E14</f>
        <v>5215.9345800000001</v>
      </c>
      <c r="E11" s="213">
        <f>'Comps'!F14</f>
        <v>-2.0643999999999999E-2</v>
      </c>
      <c r="F11" s="214">
        <f>'Comps'!G14</f>
        <v>0.46425966802624963</v>
      </c>
      <c r="G11" s="653">
        <f>'Comps'!H14</f>
        <v>2.89941</v>
      </c>
    </row>
    <row r="12" spans="1:7">
      <c r="A12" s="192">
        <v>4</v>
      </c>
      <c r="B12" s="194" t="str">
        <f>IFERROR('Comps'!B15,"DELETE")</f>
        <v>Sea Limited</v>
      </c>
      <c r="C12" s="194" t="str">
        <f>IF('Comps'!C15="","",'Comps'!C15)</f>
        <v>NYSE: SE</v>
      </c>
      <c r="D12" s="209">
        <f>'Comps'!E15</f>
        <v>97141.212629999995</v>
      </c>
      <c r="E12" s="210">
        <f>'Comps'!F15</f>
        <v>8.6549000000000001E-2</v>
      </c>
      <c r="F12" s="211">
        <f>'Comps'!G15</f>
        <v>0.19589412882933632</v>
      </c>
      <c r="G12" s="652">
        <f>'Comps'!H15</f>
        <v>3.3262200000000002</v>
      </c>
    </row>
    <row r="13" spans="1:7">
      <c r="A13" s="192">
        <v>5</v>
      </c>
      <c r="B13" s="194" t="str">
        <f>IFERROR('Comps'!B16,"DELETE")</f>
        <v>Uber Technologies, Inc.</v>
      </c>
      <c r="C13" s="194" t="str">
        <f>IF('Comps'!C16="","",'Comps'!C16)</f>
        <v>NYSE:UBER</v>
      </c>
      <c r="D13" s="209">
        <f>'Comps'!E16</f>
        <v>218375.51256999999</v>
      </c>
      <c r="E13" s="210">
        <f>'Comps'!F16</f>
        <v>0.106984</v>
      </c>
      <c r="F13" s="211">
        <f>'Comps'!G16</f>
        <v>0.36628179471097311</v>
      </c>
      <c r="G13" s="652">
        <f>'Comps'!H16</f>
        <v>3.4129700000000001</v>
      </c>
    </row>
    <row r="14" spans="1:7">
      <c r="A14" s="192">
        <v>6</v>
      </c>
      <c r="B14" s="194" t="str">
        <f>IFERROR('Comps'!B17,"DELETE")</f>
        <v>Lyft, Inc.</v>
      </c>
      <c r="C14" s="194" t="str">
        <f>IF('Comps'!C17="","",'Comps'!C17)</f>
        <v>NASDAQGS:LYFT</v>
      </c>
      <c r="D14" s="209">
        <f>'Comps'!E17</f>
        <v>9949.6004200000007</v>
      </c>
      <c r="E14" s="210">
        <f>'Comps'!F17</f>
        <v>-2.6672999999999999E-2</v>
      </c>
      <c r="F14" s="211">
        <f>'Comps'!G17</f>
        <v>0.22218117363548462</v>
      </c>
      <c r="G14" s="652">
        <f>'Comps'!H17</f>
        <v>1.1255999999999999</v>
      </c>
    </row>
    <row r="15" spans="1:7">
      <c r="A15" s="192">
        <v>7</v>
      </c>
      <c r="B15" s="194" t="str">
        <f>IFERROR('Comps'!B18,"DELETE")</f>
        <v>Didi Global Inc.</v>
      </c>
      <c r="C15" s="194" t="str">
        <f>IF('Comps'!C18="","",'Comps'!C18)</f>
        <v>OTCPK:DIDI.Y</v>
      </c>
      <c r="D15" s="209">
        <f>'Comps'!E18</f>
        <v>31622.724630000001</v>
      </c>
      <c r="E15" s="210">
        <f>'Comps'!F18</f>
        <v>-1.6008999999999999E-2</v>
      </c>
      <c r="F15" s="211">
        <f>'Comps'!G18</f>
        <v>1.5793969166853383E-2</v>
      </c>
      <c r="G15" s="652">
        <f>'Comps'!H18</f>
        <v>0.62453999999999998</v>
      </c>
    </row>
    <row r="16" spans="1:7">
      <c r="A16" s="192">
        <v>8</v>
      </c>
      <c r="B16" s="194" t="str">
        <f>IFERROR('Comps'!B19,"DELETE")</f>
        <v>Meituan</v>
      </c>
      <c r="C16" s="194" t="str">
        <f>IF('Comps'!C19="","",'Comps'!C19)</f>
        <v>SEHK:3690</v>
      </c>
      <c r="D16" s="209">
        <f>'Comps'!E19</f>
        <v>104268.16804999999</v>
      </c>
      <c r="E16" s="210">
        <f>'Comps'!F19</f>
        <v>-8.5064000000000001E-2</v>
      </c>
      <c r="F16" s="211">
        <f>'Comps'!G19</f>
        <v>0.18414581328815327</v>
      </c>
      <c r="G16" s="652">
        <f>'Comps'!H19</f>
        <v>1.34459</v>
      </c>
    </row>
    <row r="17" spans="1:7">
      <c r="A17" s="192">
        <v>9</v>
      </c>
      <c r="B17" s="194" t="str">
        <f>IFERROR('Comps'!B20,"DELETE")</f>
        <v>Delivery Hero Se</v>
      </c>
      <c r="C17" s="194" t="str">
        <f>IF('Comps'!C20="","",'Comps'!C20)</f>
        <v>XTRA:DHER</v>
      </c>
      <c r="D17" s="209">
        <f>'Comps'!E20</f>
        <v>10232.01735</v>
      </c>
      <c r="E17" s="210">
        <f>'Comps'!F20</f>
        <v>6.6639999999999998E-3</v>
      </c>
      <c r="F17" s="211">
        <f>'Comps'!G20</f>
        <v>0.2460980637762229</v>
      </c>
      <c r="G17" s="652">
        <f>'Comps'!H20</f>
        <v>0.65244999999999997</v>
      </c>
    </row>
    <row r="18" spans="1:7">
      <c r="A18" s="192">
        <v>10</v>
      </c>
      <c r="B18" s="194" t="str">
        <f>IFERROR('Comps'!B21,"DELETE")</f>
        <v>Doordash, Inc.</v>
      </c>
      <c r="C18" s="194" t="str">
        <f>IF('Comps'!C21="","",'Comps'!C21)</f>
        <v>NASDAQGS:DASH</v>
      </c>
      <c r="D18" s="209">
        <f>'Comps'!E21</f>
        <v>125552.18322000001</v>
      </c>
      <c r="E18" s="210">
        <f>'Comps'!F21</f>
        <v>6.1310000000000003E-2</v>
      </c>
      <c r="F18" s="211">
        <f>'Comps'!G21</f>
        <v>0.30461772934889697</v>
      </c>
      <c r="G18" s="652">
        <f>'Comps'!H21</f>
        <v>7.5813600000000001</v>
      </c>
    </row>
    <row r="19" spans="1:7">
      <c r="A19" s="192">
        <v>11</v>
      </c>
      <c r="B19" s="194" t="str">
        <f>IFERROR('Comps'!B22,"DELETE")</f>
        <v>Talabat Holding Plc</v>
      </c>
      <c r="C19" s="194" t="str">
        <f>IF('Comps'!C22="","",'Comps'!C22)</f>
        <v>DFM:TALABAT</v>
      </c>
      <c r="D19" s="209">
        <f>'Comps'!E22</f>
        <v>7665.4665500000001</v>
      </c>
      <c r="E19" s="210">
        <f>'Comps'!F22</f>
        <v>0.14419599999999999</v>
      </c>
      <c r="F19" s="211" t="str">
        <f>'Comps'!G22</f>
        <v>NA</v>
      </c>
      <c r="G19" s="652">
        <f>'Comps'!H22</f>
        <v>1.4474199999999999</v>
      </c>
    </row>
    <row r="20" spans="1:7" ht="4.3499999999999996" customHeight="1" thickBot="1">
      <c r="B20" s="215"/>
      <c r="C20" s="216"/>
      <c r="D20" s="217"/>
      <c r="E20" s="218"/>
      <c r="F20" s="219"/>
      <c r="G20" s="654"/>
    </row>
    <row r="21" spans="1:7">
      <c r="B21" s="194"/>
      <c r="G21" s="655"/>
    </row>
    <row r="22" spans="1:7" ht="10.5">
      <c r="B22" s="657" t="s">
        <v>291</v>
      </c>
      <c r="C22" s="658"/>
      <c r="D22" s="658"/>
      <c r="E22" s="658"/>
      <c r="F22" s="658"/>
      <c r="G22" s="659">
        <f>MAX(G10:G19)</f>
        <v>7.5813600000000001</v>
      </c>
    </row>
    <row r="23" spans="1:7" ht="10.5">
      <c r="B23" s="657" t="s">
        <v>1479</v>
      </c>
      <c r="C23" s="658"/>
      <c r="D23" s="658"/>
      <c r="E23" s="658"/>
      <c r="F23" s="658"/>
      <c r="G23" s="659">
        <f>_xlfn.QUARTILE.INC(G10:G19,3)</f>
        <v>3.3912825</v>
      </c>
    </row>
    <row r="24" spans="1:7" ht="10.5">
      <c r="B24" s="657" t="s">
        <v>288</v>
      </c>
      <c r="C24" s="658"/>
      <c r="D24" s="658"/>
      <c r="E24" s="658"/>
      <c r="F24" s="658"/>
      <c r="G24" s="659">
        <f>MEDIAN(G10:G19)</f>
        <v>2.1734149999999999</v>
      </c>
    </row>
    <row r="25" spans="1:7" ht="10.5">
      <c r="B25" s="657" t="s">
        <v>1480</v>
      </c>
      <c r="C25" s="658"/>
      <c r="D25" s="658"/>
      <c r="E25" s="658"/>
      <c r="F25" s="658"/>
      <c r="G25" s="659">
        <f>_xlfn.QUARTILE.INC(G10:G19,1)</f>
        <v>1.1803474999999999</v>
      </c>
    </row>
    <row r="26" spans="1:7" ht="10.5">
      <c r="B26" s="657" t="s">
        <v>290</v>
      </c>
      <c r="C26" s="658"/>
      <c r="D26" s="658"/>
      <c r="E26" s="658"/>
      <c r="F26" s="658"/>
      <c r="G26" s="659">
        <f>MIN(G10:G19)</f>
        <v>0.62453999999999998</v>
      </c>
    </row>
    <row r="27" spans="1:7" ht="10.5">
      <c r="B27" s="658"/>
      <c r="C27" s="658"/>
      <c r="D27" s="658"/>
      <c r="E27" s="658"/>
      <c r="F27" s="658"/>
      <c r="G27" s="658"/>
    </row>
    <row r="28" spans="1:7" ht="18.95">
      <c r="B28" s="191" t="s">
        <v>1481</v>
      </c>
    </row>
    <row r="29" spans="1:7"/>
    <row r="30" spans="1:7" ht="10.5">
      <c r="B30" s="606" t="s">
        <v>1481</v>
      </c>
      <c r="C30" s="606"/>
      <c r="D30" s="606"/>
    </row>
    <row r="31" spans="1:7" ht="10.5">
      <c r="B31" s="448" t="str">
        <f>Historicals!B15</f>
        <v>(USD k)</v>
      </c>
      <c r="C31" s="449"/>
      <c r="D31" s="449"/>
    </row>
    <row r="32" spans="1:7">
      <c r="B32" s="450" t="s">
        <v>1482</v>
      </c>
      <c r="C32" s="499"/>
      <c r="D32" s="697">
        <f>Historicals!H31+(12-Historicals!H11)*Historicals!G31/12</f>
        <v>876000</v>
      </c>
    </row>
    <row r="33" spans="1:6">
      <c r="B33" s="450" t="s">
        <v>1483</v>
      </c>
      <c r="C33" s="499"/>
      <c r="D33" s="499"/>
      <c r="E33" s="23" t="s">
        <v>1484</v>
      </c>
    </row>
    <row r="34" spans="1:6">
      <c r="B34" s="450" t="s">
        <v>1485</v>
      </c>
      <c r="C34" s="499"/>
      <c r="D34" s="499"/>
    </row>
    <row r="35" spans="1:6">
      <c r="B35" s="450" t="s">
        <v>1486</v>
      </c>
      <c r="C35" s="499"/>
      <c r="D35" s="499"/>
    </row>
    <row r="36" spans="1:6">
      <c r="B36" s="450" t="s">
        <v>1487</v>
      </c>
      <c r="C36" s="499"/>
      <c r="D36" s="499"/>
    </row>
    <row r="37" spans="1:6" ht="11.1" thickBot="1">
      <c r="B37" s="608" t="s">
        <v>1488</v>
      </c>
      <c r="C37" s="609"/>
      <c r="D37" s="609">
        <f>SUM(D32:D36)</f>
        <v>876000</v>
      </c>
    </row>
    <row r="38" spans="1:6">
      <c r="B38" s="607" t="s">
        <v>1466</v>
      </c>
    </row>
    <row r="39" spans="1:6"/>
    <row r="40" spans="1:6" ht="18.95">
      <c r="B40" s="191" t="s">
        <v>1489</v>
      </c>
    </row>
    <row r="41" spans="1:6"/>
    <row r="42" spans="1:6">
      <c r="B42" s="182" t="s">
        <v>1490</v>
      </c>
      <c r="C42" s="181" t="s">
        <v>290</v>
      </c>
      <c r="D42" s="181" t="s">
        <v>1480</v>
      </c>
      <c r="E42" s="181" t="s">
        <v>288</v>
      </c>
    </row>
    <row r="43" spans="1:6" customFormat="1" ht="4.3499999999999996" customHeight="1"/>
    <row r="44" spans="1:6" ht="10.5">
      <c r="B44" s="617" t="str">
        <f>"Valuation of "&amp;PROPER(Subject)&amp;" - Market Approach"</f>
        <v>Valuation of Grab Holdings - Market Approach</v>
      </c>
      <c r="C44" s="617"/>
      <c r="D44" s="617"/>
      <c r="E44" s="617"/>
    </row>
    <row r="45" spans="1:6" ht="10.5">
      <c r="B45" s="500" t="str">
        <f>Historicals!B15</f>
        <v>(USD k)</v>
      </c>
      <c r="C45" s="501" t="s">
        <v>1491</v>
      </c>
      <c r="D45" s="501" t="s">
        <v>1492</v>
      </c>
      <c r="E45" s="501" t="s">
        <v>1493</v>
      </c>
    </row>
    <row r="46" spans="1:6">
      <c r="A46" s="230"/>
      <c r="B46" s="502" t="s">
        <v>1494</v>
      </c>
      <c r="C46" s="478">
        <f>IFERROR(VLOOKUP(C42,$B$22:$G$26,6,0),"")</f>
        <v>0.62453999999999998</v>
      </c>
      <c r="D46" s="478">
        <f>IFERROR(VLOOKUP(D42,$B$22:$G$26,6,0),"")</f>
        <v>1.1803474999999999</v>
      </c>
      <c r="E46" s="478">
        <f>IFERROR(VLOOKUP(E42,$B$22:$G$26,6,0),"")</f>
        <v>2.1734149999999999</v>
      </c>
      <c r="F46" s="23"/>
    </row>
    <row r="47" spans="1:6">
      <c r="B47" s="503" t="s">
        <v>1488</v>
      </c>
      <c r="C47" s="452">
        <f>D37</f>
        <v>876000</v>
      </c>
      <c r="D47" s="453"/>
      <c r="E47" s="453"/>
    </row>
    <row r="48" spans="1:6">
      <c r="B48" s="503"/>
      <c r="C48" s="452"/>
      <c r="D48" s="453"/>
      <c r="E48" s="453"/>
    </row>
    <row r="49" spans="2:6" ht="10.5">
      <c r="B49" s="610" t="s">
        <v>1461</v>
      </c>
      <c r="C49" s="618">
        <f>C46*$C$47</f>
        <v>547097.04</v>
      </c>
      <c r="D49" s="618">
        <f t="shared" ref="D49:E49" si="0">D46*$C$47</f>
        <v>1033984.4099999999</v>
      </c>
      <c r="E49" s="618">
        <f t="shared" si="0"/>
        <v>1903911.5399999998</v>
      </c>
    </row>
    <row r="50" spans="2:6">
      <c r="B50" s="450">
        <f>DCF!B38</f>
        <v>0</v>
      </c>
      <c r="C50" s="504">
        <f>DCF!D38</f>
        <v>0</v>
      </c>
      <c r="D50" s="452"/>
      <c r="E50" s="453"/>
    </row>
    <row r="51" spans="2:6">
      <c r="B51" s="450" t="str">
        <f>DCF!B39</f>
        <v>Inventory</v>
      </c>
      <c r="C51" s="504">
        <f>DCF!D39</f>
        <v>87000</v>
      </c>
      <c r="D51" s="452"/>
      <c r="E51" s="453"/>
    </row>
    <row r="52" spans="2:6">
      <c r="B52" s="450"/>
      <c r="C52" s="504"/>
      <c r="D52" s="452"/>
      <c r="E52" s="453"/>
    </row>
    <row r="53" spans="2:6" ht="10.5">
      <c r="B53" s="610" t="str">
        <f>DCF!B40</f>
        <v>Equity Value (100%)</v>
      </c>
      <c r="C53" s="612">
        <f>C49+SUM($C$50:$C$51)</f>
        <v>634097.04</v>
      </c>
      <c r="D53" s="612">
        <f>D49+SUM($C$50:$C$51)</f>
        <v>1120984.4099999999</v>
      </c>
      <c r="E53" s="612">
        <f>E49+SUM($C$50:$C$51)</f>
        <v>1990911.5399999998</v>
      </c>
    </row>
    <row r="54" spans="2:6">
      <c r="B54" s="466" t="str">
        <f>DCF!B41</f>
        <v>% shareholding</v>
      </c>
      <c r="C54" s="505">
        <f>pcent</f>
        <v>1</v>
      </c>
      <c r="D54" s="453"/>
      <c r="E54" s="453"/>
    </row>
    <row r="55" spans="2:6">
      <c r="B55" s="466" t="s">
        <v>1495</v>
      </c>
      <c r="C55" s="505">
        <f>IF(DCF!F11="Y",'DLOM DLOC'!H29,0)</f>
        <v>0.34399999999999997</v>
      </c>
      <c r="D55" s="453"/>
      <c r="E55" s="453"/>
      <c r="F55" s="23" t="s">
        <v>1496</v>
      </c>
    </row>
    <row r="56" spans="2:6">
      <c r="B56" s="466" t="str">
        <f>DCF!B43</f>
        <v>DLOM</v>
      </c>
      <c r="C56" s="505">
        <f>IF(DCF!F11="Y",0,'DLOM DLOC'!D14)</f>
        <v>0</v>
      </c>
      <c r="D56" s="453"/>
      <c r="E56" s="453"/>
      <c r="F56" s="23" t="s">
        <v>1497</v>
      </c>
    </row>
    <row r="57" spans="2:6" ht="11.1" thickBot="1">
      <c r="B57" s="608" t="str">
        <f>"Equity Value ("&amp;TEXT(pcent,"0.0%")&amp;")"</f>
        <v>Equity Value (100.0%)</v>
      </c>
      <c r="C57" s="619">
        <f>C53*pcent*(1+$C$55)*(1-$C$56)</f>
        <v>852226.42175999994</v>
      </c>
      <c r="D57" s="619">
        <f>D53*pcent*(1+$C$55)*(1-$C$56)</f>
        <v>1506603.0470399996</v>
      </c>
      <c r="E57" s="619">
        <f>E53*pcent*(1+$C$55)*(1-$C$56)</f>
        <v>2675785.1097599994</v>
      </c>
    </row>
    <row r="58" spans="2:6">
      <c r="B58" s="607" t="s">
        <v>1498</v>
      </c>
    </row>
    <row r="59" spans="2:6"/>
    <row r="60" spans="2:6"/>
    <row r="61" spans="2:6"/>
    <row r="62" spans="2:6"/>
    <row r="63" spans="2:6"/>
    <row r="64" spans="2:6"/>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sheetData>
  <sheetProtection formatCells="0" formatColumns="0" formatRows="0" insertColumns="0" insertRows="0" deleteColumns="0" deleteRows="0" sort="0" autoFilter="0"/>
  <conditionalFormatting sqref="B9:B20">
    <cfRule type="cellIs" dxfId="85" priority="10" operator="equal">
      <formula>"delete"</formula>
    </cfRule>
  </conditionalFormatting>
  <conditionalFormatting sqref="B9:F19 B20">
    <cfRule type="cellIs" dxfId="84" priority="24" operator="equal">
      <formula>"END"</formula>
    </cfRule>
  </conditionalFormatting>
  <conditionalFormatting sqref="C20:G20">
    <cfRule type="cellIs" dxfId="83" priority="11" operator="equal">
      <formula>"END"</formula>
    </cfRule>
  </conditionalFormatting>
  <conditionalFormatting sqref="G9:G19">
    <cfRule type="cellIs" dxfId="82" priority="1" operator="equal">
      <formula>"END"</formula>
    </cfRule>
  </conditionalFormatting>
  <dataValidations count="2">
    <dataValidation type="list" allowBlank="1" showInputMessage="1" showErrorMessage="1" sqref="C43:E43" xr:uid="{00000000-0002-0000-1000-000001000000}">
      <formula1>#REF!</formula1>
    </dataValidation>
    <dataValidation type="list" allowBlank="1" showInputMessage="1" showErrorMessage="1" sqref="C42:E42" xr:uid="{6484DE81-A9B5-4D6F-9842-18205166FF3A}">
      <formula1>$B$22:$B$26</formula1>
    </dataValidation>
  </dataValidation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rgb="FFFFC000"/>
  </sheetPr>
  <dimension ref="A1:X40"/>
  <sheetViews>
    <sheetView showGridLines="0" topLeftCell="A37" zoomScaleNormal="100" workbookViewId="0">
      <selection activeCell="H27" sqref="H27"/>
    </sheetView>
  </sheetViews>
  <sheetFormatPr defaultColWidth="0" defaultRowHeight="9.9499999999999993" outlineLevelCol="1"/>
  <cols>
    <col min="1" max="1" width="9.1640625" style="530" customWidth="1"/>
    <col min="2" max="2" width="15.5" style="530" customWidth="1"/>
    <col min="3" max="3" width="32" style="530" bestFit="1" customWidth="1"/>
    <col min="4" max="4" width="38.6640625" style="530" bestFit="1" customWidth="1"/>
    <col min="5" max="5" width="14.5" style="67" customWidth="1" outlineLevel="1"/>
    <col min="6" max="6" width="18.6640625" style="530" customWidth="1" outlineLevel="1"/>
    <col min="7" max="7" width="11.33203125" style="67" customWidth="1" outlineLevel="1"/>
    <col min="8" max="8" width="15.6640625" style="67" customWidth="1" outlineLevel="1"/>
    <col min="9" max="9" width="10.6640625" style="530" bestFit="1" customWidth="1"/>
    <col min="10" max="10" width="11.5" style="530" bestFit="1" customWidth="1"/>
    <col min="11" max="11" width="10.6640625" style="530" customWidth="1"/>
    <col min="12" max="13" width="9.1640625" style="530" customWidth="1"/>
    <col min="14" max="14" width="41.5" style="530" bestFit="1" customWidth="1"/>
    <col min="15" max="18" width="12.6640625" style="530" customWidth="1"/>
    <col min="19" max="24" width="12.6640625" style="530" hidden="1" customWidth="1"/>
    <col min="25" max="16384" width="9.1640625" style="530" hidden="1"/>
  </cols>
  <sheetData>
    <row r="1" spans="1:12" ht="27.6">
      <c r="B1" s="531" t="s">
        <v>1499</v>
      </c>
    </row>
    <row r="9" spans="1:12">
      <c r="B9" s="532" t="s">
        <v>1500</v>
      </c>
      <c r="C9" s="533"/>
    </row>
    <row r="11" spans="1:12" ht="10.5">
      <c r="B11" s="591" t="s">
        <v>1501</v>
      </c>
      <c r="C11" s="591"/>
      <c r="D11" s="591"/>
      <c r="E11" s="591"/>
      <c r="F11" s="591"/>
      <c r="G11" s="591"/>
      <c r="H11" s="591"/>
      <c r="I11" s="591"/>
      <c r="J11" s="591"/>
      <c r="K11" s="591"/>
    </row>
    <row r="12" spans="1:12" ht="21">
      <c r="B12" s="401" t="s">
        <v>1502</v>
      </c>
      <c r="C12" s="401" t="s">
        <v>1503</v>
      </c>
      <c r="D12" s="401" t="s">
        <v>1504</v>
      </c>
      <c r="E12" s="542" t="s">
        <v>1505</v>
      </c>
      <c r="F12" s="506" t="s">
        <v>1506</v>
      </c>
      <c r="G12" s="542" t="s">
        <v>1507</v>
      </c>
      <c r="H12" s="542" t="s">
        <v>1508</v>
      </c>
      <c r="I12" s="402" t="s">
        <v>1000</v>
      </c>
      <c r="J12" s="402" t="s">
        <v>1007</v>
      </c>
      <c r="K12" s="402" t="s">
        <v>1009</v>
      </c>
    </row>
    <row r="13" spans="1:12">
      <c r="A13" s="534" t="s">
        <v>1509</v>
      </c>
      <c r="B13" s="535" t="s">
        <v>1510</v>
      </c>
      <c r="C13" s="543" t="s">
        <v>1510</v>
      </c>
      <c r="D13" s="543" t="s">
        <v>1510</v>
      </c>
      <c r="E13" s="544" t="s">
        <v>1509</v>
      </c>
      <c r="F13" s="545" t="s">
        <v>1510</v>
      </c>
      <c r="G13" s="544" t="s">
        <v>1510</v>
      </c>
      <c r="H13" s="544" t="s">
        <v>1510</v>
      </c>
      <c r="I13" s="546" t="s">
        <v>1510</v>
      </c>
      <c r="J13" s="546" t="s">
        <v>1510</v>
      </c>
      <c r="K13" s="546" t="s">
        <v>1510</v>
      </c>
      <c r="L13" s="536">
        <v>1</v>
      </c>
    </row>
    <row r="14" spans="1:12">
      <c r="A14" s="534" t="s">
        <v>1509</v>
      </c>
      <c r="B14" s="535" t="s">
        <v>1510</v>
      </c>
      <c r="C14" s="543" t="s">
        <v>1510</v>
      </c>
      <c r="D14" s="543" t="s">
        <v>1510</v>
      </c>
      <c r="E14" s="544" t="s">
        <v>1509</v>
      </c>
      <c r="F14" s="545" t="s">
        <v>1510</v>
      </c>
      <c r="G14" s="544" t="s">
        <v>1510</v>
      </c>
      <c r="H14" s="544" t="s">
        <v>1510</v>
      </c>
      <c r="I14" s="546" t="s">
        <v>1510</v>
      </c>
      <c r="J14" s="546" t="s">
        <v>1510</v>
      </c>
      <c r="K14" s="546" t="s">
        <v>1510</v>
      </c>
      <c r="L14" s="536">
        <f>L13+1</f>
        <v>2</v>
      </c>
    </row>
    <row r="15" spans="1:12">
      <c r="A15" s="534" t="s">
        <v>1509</v>
      </c>
      <c r="B15" s="535" t="s">
        <v>1510</v>
      </c>
      <c r="C15" s="543" t="s">
        <v>1510</v>
      </c>
      <c r="D15" s="543" t="s">
        <v>1510</v>
      </c>
      <c r="E15" s="544" t="s">
        <v>1509</v>
      </c>
      <c r="F15" s="545" t="s">
        <v>1510</v>
      </c>
      <c r="G15" s="544" t="s">
        <v>1510</v>
      </c>
      <c r="H15" s="544" t="s">
        <v>1510</v>
      </c>
      <c r="I15" s="546" t="s">
        <v>1510</v>
      </c>
      <c r="J15" s="546" t="s">
        <v>1510</v>
      </c>
      <c r="K15" s="546" t="s">
        <v>1510</v>
      </c>
      <c r="L15" s="536">
        <f t="shared" ref="L15:L26" si="0">L14+1</f>
        <v>3</v>
      </c>
    </row>
    <row r="16" spans="1:12">
      <c r="A16" s="534" t="s">
        <v>1509</v>
      </c>
      <c r="B16" s="535" t="s">
        <v>1510</v>
      </c>
      <c r="C16" s="543" t="s">
        <v>1510</v>
      </c>
      <c r="D16" s="543" t="s">
        <v>1510</v>
      </c>
      <c r="E16" s="544" t="s">
        <v>1509</v>
      </c>
      <c r="F16" s="545" t="s">
        <v>1510</v>
      </c>
      <c r="G16" s="544" t="s">
        <v>1510</v>
      </c>
      <c r="H16" s="544" t="s">
        <v>1510</v>
      </c>
      <c r="I16" s="546" t="s">
        <v>1510</v>
      </c>
      <c r="J16" s="546" t="s">
        <v>1510</v>
      </c>
      <c r="K16" s="546" t="s">
        <v>1510</v>
      </c>
      <c r="L16" s="536">
        <f t="shared" si="0"/>
        <v>4</v>
      </c>
    </row>
    <row r="17" spans="1:12">
      <c r="A17" s="534" t="s">
        <v>1509</v>
      </c>
      <c r="B17" s="535" t="s">
        <v>1510</v>
      </c>
      <c r="C17" s="543" t="s">
        <v>1510</v>
      </c>
      <c r="D17" s="543" t="s">
        <v>1510</v>
      </c>
      <c r="E17" s="544" t="s">
        <v>1509</v>
      </c>
      <c r="F17" s="545" t="s">
        <v>1510</v>
      </c>
      <c r="G17" s="544" t="s">
        <v>1510</v>
      </c>
      <c r="H17" s="544" t="s">
        <v>1510</v>
      </c>
      <c r="I17" s="546" t="s">
        <v>1510</v>
      </c>
      <c r="J17" s="546" t="s">
        <v>1510</v>
      </c>
      <c r="K17" s="546" t="s">
        <v>1510</v>
      </c>
      <c r="L17" s="536">
        <f t="shared" si="0"/>
        <v>5</v>
      </c>
    </row>
    <row r="18" spans="1:12">
      <c r="A18" s="534" t="s">
        <v>1509</v>
      </c>
      <c r="B18" s="535" t="s">
        <v>1510</v>
      </c>
      <c r="C18" s="543" t="s">
        <v>1510</v>
      </c>
      <c r="D18" s="543" t="s">
        <v>1510</v>
      </c>
      <c r="E18" s="544" t="s">
        <v>1509</v>
      </c>
      <c r="F18" s="545" t="s">
        <v>1510</v>
      </c>
      <c r="G18" s="544" t="s">
        <v>1510</v>
      </c>
      <c r="H18" s="544" t="s">
        <v>1510</v>
      </c>
      <c r="I18" s="546" t="s">
        <v>1510</v>
      </c>
      <c r="J18" s="546" t="s">
        <v>1510</v>
      </c>
      <c r="K18" s="546" t="s">
        <v>1510</v>
      </c>
      <c r="L18" s="536">
        <f t="shared" si="0"/>
        <v>6</v>
      </c>
    </row>
    <row r="19" spans="1:12">
      <c r="A19" s="534" t="s">
        <v>1509</v>
      </c>
      <c r="B19" s="535" t="s">
        <v>1510</v>
      </c>
      <c r="C19" s="543" t="s">
        <v>1510</v>
      </c>
      <c r="D19" s="543" t="s">
        <v>1510</v>
      </c>
      <c r="E19" s="544" t="s">
        <v>1509</v>
      </c>
      <c r="F19" s="545" t="s">
        <v>1510</v>
      </c>
      <c r="G19" s="544" t="s">
        <v>1510</v>
      </c>
      <c r="H19" s="544" t="s">
        <v>1510</v>
      </c>
      <c r="I19" s="546" t="s">
        <v>1510</v>
      </c>
      <c r="J19" s="546" t="s">
        <v>1510</v>
      </c>
      <c r="K19" s="546" t="s">
        <v>1510</v>
      </c>
      <c r="L19" s="536">
        <f t="shared" si="0"/>
        <v>7</v>
      </c>
    </row>
    <row r="20" spans="1:12">
      <c r="A20" s="534" t="s">
        <v>1509</v>
      </c>
      <c r="B20" s="535" t="s">
        <v>1510</v>
      </c>
      <c r="C20" s="543" t="s">
        <v>1510</v>
      </c>
      <c r="D20" s="543" t="s">
        <v>1510</v>
      </c>
      <c r="E20" s="544" t="s">
        <v>1509</v>
      </c>
      <c r="F20" s="545" t="s">
        <v>1510</v>
      </c>
      <c r="G20" s="544" t="s">
        <v>1510</v>
      </c>
      <c r="H20" s="544" t="s">
        <v>1510</v>
      </c>
      <c r="I20" s="546" t="s">
        <v>1510</v>
      </c>
      <c r="J20" s="546" t="s">
        <v>1510</v>
      </c>
      <c r="K20" s="546" t="s">
        <v>1510</v>
      </c>
      <c r="L20" s="536">
        <f t="shared" si="0"/>
        <v>8</v>
      </c>
    </row>
    <row r="21" spans="1:12">
      <c r="A21" s="534" t="s">
        <v>1509</v>
      </c>
      <c r="B21" s="535" t="s">
        <v>1510</v>
      </c>
      <c r="C21" s="543" t="s">
        <v>1510</v>
      </c>
      <c r="D21" s="543" t="s">
        <v>1510</v>
      </c>
      <c r="E21" s="544" t="s">
        <v>1509</v>
      </c>
      <c r="F21" s="545" t="s">
        <v>1510</v>
      </c>
      <c r="G21" s="544" t="s">
        <v>1510</v>
      </c>
      <c r="H21" s="544" t="s">
        <v>1510</v>
      </c>
      <c r="I21" s="546" t="s">
        <v>1510</v>
      </c>
      <c r="J21" s="546" t="s">
        <v>1510</v>
      </c>
      <c r="K21" s="546" t="s">
        <v>1510</v>
      </c>
      <c r="L21" s="536">
        <f t="shared" si="0"/>
        <v>9</v>
      </c>
    </row>
    <row r="22" spans="1:12">
      <c r="A22" s="534" t="s">
        <v>1509</v>
      </c>
      <c r="B22" s="535" t="s">
        <v>1510</v>
      </c>
      <c r="C22" s="543" t="s">
        <v>1510</v>
      </c>
      <c r="D22" s="543" t="s">
        <v>1510</v>
      </c>
      <c r="E22" s="544" t="s">
        <v>1509</v>
      </c>
      <c r="F22" s="545" t="s">
        <v>1510</v>
      </c>
      <c r="G22" s="544" t="s">
        <v>1510</v>
      </c>
      <c r="H22" s="544" t="s">
        <v>1510</v>
      </c>
      <c r="I22" s="546" t="s">
        <v>1510</v>
      </c>
      <c r="J22" s="546" t="s">
        <v>1510</v>
      </c>
      <c r="K22" s="546" t="s">
        <v>1510</v>
      </c>
      <c r="L22" s="536">
        <f t="shared" si="0"/>
        <v>10</v>
      </c>
    </row>
    <row r="23" spans="1:12">
      <c r="A23" s="534" t="s">
        <v>1509</v>
      </c>
      <c r="B23" s="535" t="s">
        <v>1510</v>
      </c>
      <c r="C23" s="543" t="s">
        <v>1510</v>
      </c>
      <c r="D23" s="543" t="s">
        <v>1510</v>
      </c>
      <c r="E23" s="544" t="s">
        <v>1509</v>
      </c>
      <c r="F23" s="545" t="s">
        <v>1510</v>
      </c>
      <c r="G23" s="544" t="s">
        <v>1510</v>
      </c>
      <c r="H23" s="544" t="s">
        <v>1510</v>
      </c>
      <c r="I23" s="546" t="s">
        <v>1510</v>
      </c>
      <c r="J23" s="546" t="s">
        <v>1510</v>
      </c>
      <c r="K23" s="546" t="s">
        <v>1510</v>
      </c>
      <c r="L23" s="536">
        <f t="shared" si="0"/>
        <v>11</v>
      </c>
    </row>
    <row r="24" spans="1:12">
      <c r="A24" s="534" t="s">
        <v>1509</v>
      </c>
      <c r="B24" s="535" t="s">
        <v>1510</v>
      </c>
      <c r="C24" s="543" t="s">
        <v>1510</v>
      </c>
      <c r="D24" s="543" t="s">
        <v>1510</v>
      </c>
      <c r="E24" s="544" t="s">
        <v>1509</v>
      </c>
      <c r="F24" s="545" t="s">
        <v>1510</v>
      </c>
      <c r="G24" s="544" t="s">
        <v>1510</v>
      </c>
      <c r="H24" s="544" t="s">
        <v>1510</v>
      </c>
      <c r="I24" s="546" t="s">
        <v>1510</v>
      </c>
      <c r="J24" s="546" t="s">
        <v>1510</v>
      </c>
      <c r="K24" s="546" t="s">
        <v>1510</v>
      </c>
      <c r="L24" s="536">
        <f t="shared" si="0"/>
        <v>12</v>
      </c>
    </row>
    <row r="25" spans="1:12">
      <c r="A25" s="534" t="s">
        <v>1509</v>
      </c>
      <c r="B25" s="535" t="s">
        <v>1510</v>
      </c>
      <c r="C25" s="543" t="s">
        <v>1510</v>
      </c>
      <c r="D25" s="543" t="s">
        <v>1510</v>
      </c>
      <c r="E25" s="544" t="s">
        <v>1509</v>
      </c>
      <c r="F25" s="545" t="s">
        <v>1510</v>
      </c>
      <c r="G25" s="544" t="s">
        <v>1510</v>
      </c>
      <c r="H25" s="544" t="s">
        <v>1510</v>
      </c>
      <c r="I25" s="546" t="s">
        <v>1510</v>
      </c>
      <c r="J25" s="546" t="s">
        <v>1510</v>
      </c>
      <c r="K25" s="546" t="s">
        <v>1510</v>
      </c>
      <c r="L25" s="536">
        <f t="shared" si="0"/>
        <v>13</v>
      </c>
    </row>
    <row r="26" spans="1:12">
      <c r="A26" s="534" t="s">
        <v>1509</v>
      </c>
      <c r="B26" s="535" t="s">
        <v>1510</v>
      </c>
      <c r="C26" s="543" t="s">
        <v>1510</v>
      </c>
      <c r="D26" s="543" t="s">
        <v>1510</v>
      </c>
      <c r="E26" s="544" t="s">
        <v>1509</v>
      </c>
      <c r="F26" s="545" t="s">
        <v>1510</v>
      </c>
      <c r="G26" s="544" t="s">
        <v>1510</v>
      </c>
      <c r="H26" s="544" t="s">
        <v>1510</v>
      </c>
      <c r="I26" s="546" t="s">
        <v>1510</v>
      </c>
      <c r="J26" s="546" t="s">
        <v>1510</v>
      </c>
      <c r="K26" s="546" t="s">
        <v>1510</v>
      </c>
      <c r="L26" s="536">
        <f t="shared" si="0"/>
        <v>14</v>
      </c>
    </row>
    <row r="27" spans="1:12" ht="4.3499999999999996" customHeight="1" thickBot="1">
      <c r="B27" s="380"/>
      <c r="C27" s="339"/>
      <c r="D27" s="339"/>
      <c r="E27" s="339"/>
      <c r="F27" s="339"/>
      <c r="G27" s="339"/>
      <c r="H27" s="339"/>
      <c r="I27" s="381"/>
      <c r="J27" s="381"/>
      <c r="K27" s="381"/>
    </row>
    <row r="28" spans="1:12">
      <c r="B28" s="620" t="s">
        <v>1147</v>
      </c>
      <c r="D28" s="405" t="s">
        <v>291</v>
      </c>
      <c r="E28" s="537"/>
      <c r="F28" s="538"/>
      <c r="G28" s="537"/>
      <c r="H28" s="537"/>
      <c r="I28" s="539" t="e">
        <f>_xlfn.QUARTILE.INC(I$13:I$26,$L28)</f>
        <v>#NUM!</v>
      </c>
      <c r="J28" s="539" t="e">
        <f t="shared" ref="J28:K28" si="1">_xlfn.QUARTILE.INC(J$13:J$26,$L28)</f>
        <v>#NUM!</v>
      </c>
      <c r="K28" s="539" t="e">
        <f t="shared" si="1"/>
        <v>#NUM!</v>
      </c>
      <c r="L28" s="540">
        <v>4</v>
      </c>
    </row>
    <row r="29" spans="1:12">
      <c r="B29" s="67"/>
      <c r="D29" s="405" t="s">
        <v>1479</v>
      </c>
      <c r="E29" s="537"/>
      <c r="F29" s="538"/>
      <c r="G29" s="537"/>
      <c r="H29" s="537"/>
      <c r="I29" s="539" t="e">
        <f t="shared" ref="I29:K32" si="2">_xlfn.QUARTILE.INC(I$13:I$26,$L29)</f>
        <v>#NUM!</v>
      </c>
      <c r="J29" s="539" t="e">
        <f t="shared" si="2"/>
        <v>#NUM!</v>
      </c>
      <c r="K29" s="539" t="e">
        <f t="shared" si="2"/>
        <v>#NUM!</v>
      </c>
      <c r="L29" s="540">
        <v>3</v>
      </c>
    </row>
    <row r="30" spans="1:12">
      <c r="B30" s="67"/>
      <c r="D30" s="405" t="s">
        <v>288</v>
      </c>
      <c r="E30" s="537"/>
      <c r="F30" s="538"/>
      <c r="G30" s="537"/>
      <c r="H30" s="537"/>
      <c r="I30" s="539" t="e">
        <f t="shared" si="2"/>
        <v>#NUM!</v>
      </c>
      <c r="J30" s="539" t="e">
        <f t="shared" si="2"/>
        <v>#NUM!</v>
      </c>
      <c r="K30" s="539" t="e">
        <f t="shared" si="2"/>
        <v>#NUM!</v>
      </c>
      <c r="L30" s="540">
        <v>2</v>
      </c>
    </row>
    <row r="31" spans="1:12">
      <c r="B31" s="67"/>
      <c r="D31" s="405" t="s">
        <v>1480</v>
      </c>
      <c r="E31" s="537"/>
      <c r="F31" s="538"/>
      <c r="G31" s="537"/>
      <c r="H31" s="537"/>
      <c r="I31" s="539" t="e">
        <f t="shared" si="2"/>
        <v>#NUM!</v>
      </c>
      <c r="J31" s="539" t="e">
        <f t="shared" si="2"/>
        <v>#NUM!</v>
      </c>
      <c r="K31" s="539" t="e">
        <f t="shared" si="2"/>
        <v>#NUM!</v>
      </c>
      <c r="L31" s="540">
        <v>1</v>
      </c>
    </row>
    <row r="32" spans="1:12">
      <c r="B32" s="67"/>
      <c r="D32" s="405" t="s">
        <v>290</v>
      </c>
      <c r="E32" s="537"/>
      <c r="F32" s="538"/>
      <c r="G32" s="537"/>
      <c r="H32" s="537"/>
      <c r="I32" s="539" t="e">
        <f t="shared" si="2"/>
        <v>#NUM!</v>
      </c>
      <c r="J32" s="539" t="e">
        <f t="shared" si="2"/>
        <v>#NUM!</v>
      </c>
      <c r="K32" s="539" t="e">
        <f t="shared" si="2"/>
        <v>#NUM!</v>
      </c>
      <c r="L32" s="540">
        <v>0</v>
      </c>
    </row>
    <row r="33" spans="2:17">
      <c r="B33" s="541"/>
    </row>
    <row r="36" spans="2:17" ht="10.5">
      <c r="N36" s="591" t="s">
        <v>1511</v>
      </c>
      <c r="O36" s="591"/>
      <c r="P36" s="591"/>
      <c r="Q36" s="591"/>
    </row>
    <row r="37" spans="2:17" ht="10.5">
      <c r="N37" s="401"/>
      <c r="O37" s="402" t="str">
        <f>'Market '!C42</f>
        <v>Min</v>
      </c>
      <c r="P37" s="402" t="str">
        <f>'Market '!D42</f>
        <v>1st quartile</v>
      </c>
      <c r="Q37" s="402" t="str">
        <f>'Market '!E42</f>
        <v>Median</v>
      </c>
    </row>
    <row r="38" spans="2:17">
      <c r="N38" s="510" t="s">
        <v>1512</v>
      </c>
      <c r="O38" s="508">
        <f>'Market '!C46</f>
        <v>0.62453999999999998</v>
      </c>
      <c r="P38" s="508">
        <f>'Market '!D46</f>
        <v>1.1803474999999999</v>
      </c>
      <c r="Q38" s="508">
        <f>'Market '!E46</f>
        <v>2.1734149999999999</v>
      </c>
    </row>
    <row r="39" spans="2:17">
      <c r="N39" s="510" t="s">
        <v>1513</v>
      </c>
      <c r="O39" s="508" t="e">
        <f>'Market '!#REF!</f>
        <v>#REF!</v>
      </c>
      <c r="P39" s="508" t="e">
        <f>'Market '!#REF!</f>
        <v>#REF!</v>
      </c>
      <c r="Q39" s="508" t="e">
        <f>'Market '!#REF!</f>
        <v>#REF!</v>
      </c>
    </row>
    <row r="40" spans="2:17" ht="10.5" thickBot="1">
      <c r="N40" s="432" t="s">
        <v>1514</v>
      </c>
      <c r="O40" s="509" t="e">
        <f>VLOOKUP(O37,$D$28:$I$32,6,FALSE)</f>
        <v>#NUM!</v>
      </c>
      <c r="P40" s="509" t="e">
        <f t="shared" ref="P40:Q40" si="3">VLOOKUP(P37,$D$28:$I$32,6,FALSE)</f>
        <v>#NUM!</v>
      </c>
      <c r="Q40" s="509" t="e">
        <f t="shared" si="3"/>
        <v>#NUM!</v>
      </c>
    </row>
  </sheetData>
  <phoneticPr fontId="12" type="noConversion"/>
  <conditionalFormatting sqref="B13:K27">
    <cfRule type="expression" dxfId="72" priority="1">
      <formula>MOD(ROW(),2)=0</formula>
    </cfRule>
  </conditionalFormatting>
  <pageMargins left="0.7" right="0.7" top="0.75" bottom="0.75" header="0.3" footer="0.3"/>
  <pageSetup orientation="portrait" horizontalDpi="90" verticalDpi="90"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09E55-F12A-444F-9F3B-6C6D7BC6C396}">
  <sheetPr>
    <tabColor rgb="FF0A1F8F"/>
  </sheetPr>
  <dimension ref="B1:X170"/>
  <sheetViews>
    <sheetView showGridLines="0" zoomScale="70" zoomScaleNormal="70" workbookViewId="0">
      <selection activeCell="N169" sqref="N169"/>
    </sheetView>
  </sheetViews>
  <sheetFormatPr defaultRowHeight="9.9499999999999993"/>
  <cols>
    <col min="2" max="2" width="40" customWidth="1"/>
    <col min="3" max="3" width="12.1640625" bestFit="1" customWidth="1"/>
    <col min="4" max="4" width="22.6640625" customWidth="1"/>
    <col min="5" max="11" width="12.1640625" bestFit="1" customWidth="1"/>
    <col min="12" max="12" width="12.5" bestFit="1" customWidth="1"/>
    <col min="13" max="13" width="12.1640625" bestFit="1" customWidth="1"/>
    <col min="14" max="20" width="9" bestFit="1" customWidth="1"/>
    <col min="21" max="21" width="8.6640625" bestFit="1" customWidth="1"/>
    <col min="22" max="24" width="9" bestFit="1" customWidth="1"/>
  </cols>
  <sheetData>
    <row r="1" spans="2:24" ht="28.15" customHeight="1">
      <c r="B1" s="18" t="s">
        <v>1515</v>
      </c>
    </row>
    <row r="2" spans="2:24" ht="18.95">
      <c r="B2" s="191" t="s">
        <v>25</v>
      </c>
      <c r="C2" s="625"/>
      <c r="D2" s="625"/>
      <c r="E2" s="625"/>
      <c r="F2" s="625"/>
      <c r="G2" s="625"/>
      <c r="H2" s="625"/>
      <c r="I2" s="625"/>
      <c r="J2" s="625"/>
      <c r="K2" s="625"/>
      <c r="L2" s="530"/>
      <c r="M2" s="530"/>
    </row>
    <row r="3" spans="2:24" ht="12">
      <c r="B3" s="636" t="str">
        <f>"("&amp;curr&amp;" "&amp;Input!D8&amp;")"</f>
        <v>(USD k)</v>
      </c>
      <c r="C3" s="402" t="e">
        <f>Historicals!#REF!</f>
        <v>#REF!</v>
      </c>
      <c r="D3" s="402" t="e">
        <f>Historicals!#REF!</f>
        <v>#REF!</v>
      </c>
      <c r="E3" s="402" t="e">
        <f>Historicals!#REF!</f>
        <v>#REF!</v>
      </c>
      <c r="F3" s="402" t="e">
        <f>Historicals!#REF!</f>
        <v>#REF!</v>
      </c>
      <c r="G3" s="402" t="e">
        <f>Historicals!#REF!</f>
        <v>#REF!</v>
      </c>
      <c r="H3" s="402" t="e">
        <f>Historicals!#REF!</f>
        <v>#REF!</v>
      </c>
      <c r="I3" s="402" t="str">
        <f>Historicals!D15</f>
        <v>FY21</v>
      </c>
      <c r="J3" s="402" t="str">
        <f>Historicals!E15</f>
        <v>FY22</v>
      </c>
      <c r="K3" s="402" t="str">
        <f>Historicals!F15</f>
        <v>FY23</v>
      </c>
      <c r="L3" s="402" t="str">
        <f>Historicals!G15</f>
        <v>FY24</v>
      </c>
      <c r="M3" s="402" t="str">
        <f>Historicals!H15</f>
        <v>FY25</v>
      </c>
      <c r="N3" s="402" t="str">
        <f>Forecast!D16</f>
        <v>FY26F</v>
      </c>
      <c r="O3" s="402" t="str">
        <f>Forecast!E16</f>
        <v>FY27F</v>
      </c>
      <c r="P3" s="402" t="str">
        <f>Forecast!F16</f>
        <v>FY28F</v>
      </c>
      <c r="Q3" s="402" t="str">
        <f>Forecast!G16</f>
        <v>FY29F</v>
      </c>
      <c r="R3" s="402" t="str">
        <f>Forecast!H16</f>
        <v>FY30F</v>
      </c>
      <c r="S3" s="402" t="str">
        <f>Forecast!I16</f>
        <v>FY31F</v>
      </c>
      <c r="T3" s="402" t="str">
        <f>Forecast!J16</f>
        <v>FY32F</v>
      </c>
      <c r="U3" s="402" t="str">
        <f>Forecast!K16</f>
        <v>FY33F</v>
      </c>
      <c r="V3" s="402" t="str">
        <f>Forecast!L16</f>
        <v>FY34F</v>
      </c>
      <c r="W3" s="402" t="str">
        <f>Forecast!M16</f>
        <v>FY35F</v>
      </c>
      <c r="X3" s="402" t="e">
        <f>Forecast!#REF!</f>
        <v>#REF!</v>
      </c>
    </row>
    <row r="4" spans="2:24" ht="12">
      <c r="B4" s="625" t="s">
        <v>1516</v>
      </c>
      <c r="C4" s="403" t="e">
        <f>Historicals!#REF!</f>
        <v>#REF!</v>
      </c>
      <c r="D4" s="403" t="e">
        <f>Historicals!#REF!</f>
        <v>#REF!</v>
      </c>
      <c r="E4" s="403" t="e">
        <f>Historicals!#REF!</f>
        <v>#REF!</v>
      </c>
      <c r="F4" s="403" t="e">
        <f>Historicals!#REF!</f>
        <v>#REF!</v>
      </c>
      <c r="G4" s="403" t="e">
        <f>Historicals!#REF!</f>
        <v>#REF!</v>
      </c>
      <c r="H4" s="403" t="e">
        <f>Historicals!#REF!</f>
        <v>#REF!</v>
      </c>
      <c r="I4" s="403">
        <f>Historicals!D16</f>
        <v>675000</v>
      </c>
      <c r="J4" s="403">
        <f>Historicals!E16</f>
        <v>1433000</v>
      </c>
      <c r="K4" s="403">
        <f>Historicals!F16</f>
        <v>2359000</v>
      </c>
      <c r="L4" s="403">
        <f>Historicals!G16</f>
        <v>2797000</v>
      </c>
      <c r="M4" s="403">
        <f>Historicals!H16</f>
        <v>3370000</v>
      </c>
    </row>
    <row r="5" spans="2:24" ht="12">
      <c r="B5" s="625" t="s">
        <v>1517</v>
      </c>
      <c r="C5" s="403"/>
      <c r="D5" s="403"/>
      <c r="E5" s="403"/>
      <c r="F5" s="403"/>
      <c r="G5" s="403"/>
      <c r="H5" s="403"/>
      <c r="I5" s="403"/>
      <c r="J5" s="403"/>
      <c r="K5" s="403"/>
      <c r="L5" s="403"/>
      <c r="M5" s="403"/>
      <c r="N5" s="404">
        <f>Forecast!D17</f>
        <v>4077700</v>
      </c>
      <c r="O5" s="404">
        <f>Forecast!E17</f>
        <v>4852463.0000000009</v>
      </c>
      <c r="P5" s="404">
        <f>Forecast!F17</f>
        <v>5677381.7100000009</v>
      </c>
      <c r="Q5" s="404">
        <f>Forecast!G17</f>
        <v>6528988.966500001</v>
      </c>
      <c r="R5" s="404">
        <f>Forecast!H17</f>
        <v>7377757.532145001</v>
      </c>
      <c r="S5" s="404">
        <f>Forecast!I17</f>
        <v>8115533.2853595009</v>
      </c>
      <c r="T5" s="404">
        <f>Forecast!J17</f>
        <v>8845931.281041855</v>
      </c>
      <c r="U5" s="404">
        <f>Forecast!K17</f>
        <v>9642065.0963356234</v>
      </c>
      <c r="V5" s="404">
        <f>Forecast!L17</f>
        <v>10413430.304042475</v>
      </c>
      <c r="W5" s="404">
        <f>Forecast!M17</f>
        <v>11142370.425325451</v>
      </c>
      <c r="X5" s="404" t="e">
        <f>Forecast!#REF!</f>
        <v>#REF!</v>
      </c>
    </row>
    <row r="6" spans="2:24" ht="12">
      <c r="B6" s="637" t="s">
        <v>1518</v>
      </c>
      <c r="C6" s="638" t="e">
        <f>Historicals!#REF!</f>
        <v>#REF!</v>
      </c>
      <c r="D6" s="638" t="e">
        <f>Historicals!#REF!</f>
        <v>#REF!</v>
      </c>
      <c r="E6" s="638" t="e">
        <f>Historicals!#REF!</f>
        <v>#REF!</v>
      </c>
      <c r="F6" s="638" t="e">
        <f>Historicals!#REF!</f>
        <v>#REF!</v>
      </c>
      <c r="G6" s="638" t="e">
        <f>Historicals!#REF!</f>
        <v>#REF!</v>
      </c>
      <c r="H6" s="638" t="e">
        <f>Historicals!#REF!</f>
        <v>#REF!</v>
      </c>
      <c r="I6" s="638">
        <f>Historicals!D48</f>
        <v>0.35699999999999998</v>
      </c>
      <c r="J6" s="638">
        <f>Historicals!E48</f>
        <v>0.19400000000000001</v>
      </c>
      <c r="K6" s="638">
        <f>Historicals!F48</f>
        <v>0.124</v>
      </c>
      <c r="L6" s="638">
        <f>Historicals!G48</f>
        <v>0.11600000000000001</v>
      </c>
      <c r="M6" s="638">
        <f>Historicals!H48</f>
        <v>0.109</v>
      </c>
      <c r="N6" s="638">
        <f>Forecast!E44</f>
        <v>0.11</v>
      </c>
      <c r="O6" s="638">
        <f>Forecast!E43</f>
        <v>0.18</v>
      </c>
      <c r="P6" s="638">
        <f>Forecast!F43</f>
        <v>0.16</v>
      </c>
      <c r="Q6" s="638">
        <f>Forecast!G43</f>
        <v>0.14000000000000001</v>
      </c>
      <c r="R6" s="638">
        <f>Forecast!H43</f>
        <v>0.12</v>
      </c>
      <c r="S6" s="638">
        <f>Forecast!I43</f>
        <v>0.1</v>
      </c>
      <c r="T6" s="638">
        <f>Forecast!J43</f>
        <v>0.08</v>
      </c>
      <c r="U6" s="638">
        <f>Forecast!K43</f>
        <v>0.09</v>
      </c>
      <c r="V6" s="638">
        <f>Forecast!L43</f>
        <v>7.0000000000000007E-2</v>
      </c>
      <c r="W6" s="638">
        <f>Forecast!M43</f>
        <v>7.0000000000000007E-2</v>
      </c>
      <c r="X6" s="638" t="e">
        <f>Forecast!#REF!</f>
        <v>#REF!</v>
      </c>
    </row>
    <row r="42" spans="2:24" ht="18.95">
      <c r="B42" s="191" t="s">
        <v>27</v>
      </c>
      <c r="C42" s="625"/>
      <c r="D42" s="625"/>
      <c r="E42" s="625"/>
      <c r="F42" s="625"/>
      <c r="G42" s="625"/>
      <c r="H42" s="625"/>
      <c r="I42" s="625"/>
      <c r="J42" s="625"/>
      <c r="K42" s="625"/>
      <c r="L42" s="530"/>
      <c r="M42" s="530"/>
    </row>
    <row r="43" spans="2:24" ht="12">
      <c r="B43" s="636" t="str">
        <f>B3</f>
        <v>(USD k)</v>
      </c>
      <c r="C43" s="402" t="e">
        <f t="shared" ref="C43:X43" si="0">C3</f>
        <v>#REF!</v>
      </c>
      <c r="D43" s="402" t="e">
        <f t="shared" si="0"/>
        <v>#REF!</v>
      </c>
      <c r="E43" s="402" t="e">
        <f t="shared" si="0"/>
        <v>#REF!</v>
      </c>
      <c r="F43" s="402" t="e">
        <f t="shared" si="0"/>
        <v>#REF!</v>
      </c>
      <c r="G43" s="402" t="e">
        <f t="shared" si="0"/>
        <v>#REF!</v>
      </c>
      <c r="H43" s="402" t="e">
        <f t="shared" si="0"/>
        <v>#REF!</v>
      </c>
      <c r="I43" s="402" t="str">
        <f t="shared" si="0"/>
        <v>FY21</v>
      </c>
      <c r="J43" s="402" t="str">
        <f t="shared" si="0"/>
        <v>FY22</v>
      </c>
      <c r="K43" s="402" t="str">
        <f t="shared" si="0"/>
        <v>FY23</v>
      </c>
      <c r="L43" s="402" t="str">
        <f t="shared" si="0"/>
        <v>FY24</v>
      </c>
      <c r="M43" s="402" t="str">
        <f t="shared" si="0"/>
        <v>FY25</v>
      </c>
      <c r="N43" s="402" t="str">
        <f t="shared" si="0"/>
        <v>FY26F</v>
      </c>
      <c r="O43" s="402" t="str">
        <f t="shared" si="0"/>
        <v>FY27F</v>
      </c>
      <c r="P43" s="402" t="str">
        <f t="shared" si="0"/>
        <v>FY28F</v>
      </c>
      <c r="Q43" s="402" t="str">
        <f t="shared" si="0"/>
        <v>FY29F</v>
      </c>
      <c r="R43" s="402" t="str">
        <f t="shared" si="0"/>
        <v>FY30F</v>
      </c>
      <c r="S43" s="402" t="str">
        <f t="shared" si="0"/>
        <v>FY31F</v>
      </c>
      <c r="T43" s="402" t="str">
        <f t="shared" si="0"/>
        <v>FY32F</v>
      </c>
      <c r="U43" s="402" t="str">
        <f t="shared" si="0"/>
        <v>FY33F</v>
      </c>
      <c r="V43" s="402" t="str">
        <f t="shared" si="0"/>
        <v>FY34F</v>
      </c>
      <c r="W43" s="402" t="str">
        <f t="shared" si="0"/>
        <v>FY35F</v>
      </c>
      <c r="X43" s="402" t="e">
        <f t="shared" si="0"/>
        <v>#REF!</v>
      </c>
    </row>
    <row r="44" spans="2:24" ht="12">
      <c r="B44" s="625" t="s">
        <v>1519</v>
      </c>
      <c r="C44" s="403" t="e">
        <f>Historicals!#REF!</f>
        <v>#REF!</v>
      </c>
      <c r="D44" s="403" t="e">
        <f>Historicals!#REF!</f>
        <v>#REF!</v>
      </c>
      <c r="E44" s="403" t="e">
        <f>Historicals!#REF!</f>
        <v>#REF!</v>
      </c>
      <c r="F44" s="403" t="e">
        <f>Historicals!#REF!</f>
        <v>#REF!</v>
      </c>
      <c r="G44" s="403" t="e">
        <f>Historicals!#REF!</f>
        <v>#REF!</v>
      </c>
      <c r="H44" s="403" t="e">
        <f>Historicals!#REF!</f>
        <v>#REF!</v>
      </c>
      <c r="I44" s="403">
        <f>Historicals!D20</f>
        <v>-395000</v>
      </c>
      <c r="J44" s="403">
        <f>Historicals!E20</f>
        <v>77000</v>
      </c>
      <c r="K44" s="403">
        <f>Historicals!F20</f>
        <v>860000</v>
      </c>
      <c r="L44" s="403">
        <f>Historicals!G20</f>
        <v>1174000</v>
      </c>
      <c r="M44" s="403">
        <f>Historicals!H20</f>
        <v>1456000</v>
      </c>
    </row>
    <row r="45" spans="2:24" ht="12">
      <c r="B45" s="625" t="s">
        <v>1520</v>
      </c>
      <c r="C45" s="403"/>
      <c r="D45" s="403"/>
      <c r="E45" s="403"/>
      <c r="F45" s="403"/>
      <c r="G45" s="403"/>
      <c r="H45" s="403"/>
      <c r="I45" s="403"/>
      <c r="J45" s="403"/>
      <c r="K45" s="403"/>
      <c r="L45" s="403"/>
      <c r="M45" s="403"/>
      <c r="N45" s="404">
        <f>Forecast!D24</f>
        <v>1773799.5</v>
      </c>
      <c r="O45" s="404">
        <f>Forecast!E24</f>
        <v>2135083.7200000002</v>
      </c>
      <c r="P45" s="404">
        <f>Forecast!F24</f>
        <v>2526434.8609500001</v>
      </c>
      <c r="Q45" s="404">
        <f>Forecast!G24</f>
        <v>2938045.0349250003</v>
      </c>
      <c r="R45" s="404">
        <f>Forecast!H24</f>
        <v>3356879.677125975</v>
      </c>
      <c r="S45" s="404">
        <f>Forecast!I24</f>
        <v>3692567.6448385725</v>
      </c>
      <c r="T45" s="404">
        <f>Forecast!J24</f>
        <v>4069128.3892792528</v>
      </c>
      <c r="U45" s="404">
        <f>Forecast!K24</f>
        <v>4435349.9443143867</v>
      </c>
      <c r="V45" s="404">
        <f>Forecast!L24</f>
        <v>4842245.0913797505</v>
      </c>
      <c r="W45" s="404">
        <f>Forecast!M24</f>
        <v>5181202.2477763342</v>
      </c>
      <c r="X45" s="404" t="e">
        <f>Forecast!#REF!</f>
        <v>#REF!</v>
      </c>
    </row>
    <row r="46" spans="2:24" ht="12">
      <c r="B46" s="637" t="s">
        <v>1521</v>
      </c>
      <c r="C46" s="638" t="e">
        <f>Historicals!#REF!</f>
        <v>#REF!</v>
      </c>
      <c r="D46" s="638" t="e">
        <f>Historicals!#REF!</f>
        <v>#REF!</v>
      </c>
      <c r="E46" s="638" t="e">
        <f>Historicals!#REF!</f>
        <v>#REF!</v>
      </c>
      <c r="F46" s="638" t="e">
        <f>Historicals!#REF!</f>
        <v>#REF!</v>
      </c>
      <c r="G46" s="638" t="e">
        <f>Historicals!#REF!</f>
        <v>#REF!</v>
      </c>
      <c r="H46" s="638" t="e">
        <f>Historicals!#REF!</f>
        <v>#REF!</v>
      </c>
      <c r="I46" s="638" t="str">
        <f>Historicals!D58</f>
        <v> </v>
      </c>
      <c r="J46" s="638" t="str">
        <f>Historicals!E58</f>
        <v> </v>
      </c>
      <c r="K46" s="638" t="str">
        <f>Historicals!F58</f>
        <v> </v>
      </c>
      <c r="L46" s="638" t="str">
        <f>Historicals!G58</f>
        <v> </v>
      </c>
      <c r="M46" s="638" t="str">
        <f>Historicals!H58</f>
        <v> </v>
      </c>
      <c r="N46" s="638">
        <f>Forecast!D52</f>
        <v>0.08</v>
      </c>
      <c r="O46" s="638">
        <f>Forecast!E52</f>
        <v>0.1</v>
      </c>
      <c r="P46" s="638">
        <f>Forecast!F52</f>
        <v>0.12</v>
      </c>
      <c r="Q46" s="638">
        <f>Forecast!G52</f>
        <v>0.14000000000000001</v>
      </c>
      <c r="R46" s="638">
        <f>Forecast!H52</f>
        <v>0.15</v>
      </c>
      <c r="S46" s="638">
        <f>Forecast!I52</f>
        <v>0.16</v>
      </c>
      <c r="T46" s="638">
        <f>Forecast!J52</f>
        <v>0.17</v>
      </c>
      <c r="U46" s="638">
        <f>Forecast!K52</f>
        <v>0.18</v>
      </c>
      <c r="V46" s="638">
        <f>Forecast!L52</f>
        <v>0.19</v>
      </c>
      <c r="W46" s="638">
        <f>Forecast!M52</f>
        <v>0.2</v>
      </c>
      <c r="X46" s="638" t="e">
        <f>Forecast!#REF!</f>
        <v>#REF!</v>
      </c>
    </row>
    <row r="82" spans="2:24" ht="18.95">
      <c r="B82" s="191" t="s">
        <v>827</v>
      </c>
      <c r="C82" s="625"/>
      <c r="D82" s="625"/>
      <c r="E82" s="625"/>
      <c r="F82" s="625"/>
      <c r="G82" s="625"/>
      <c r="H82" s="625"/>
      <c r="I82" s="625"/>
      <c r="J82" s="625"/>
      <c r="K82" s="625"/>
      <c r="L82" s="530"/>
      <c r="M82" s="530"/>
    </row>
    <row r="83" spans="2:24" ht="12">
      <c r="B83" s="636" t="str">
        <f>B3</f>
        <v>(USD k)</v>
      </c>
      <c r="C83" s="402" t="e">
        <f t="shared" ref="C83:X83" si="1">C3</f>
        <v>#REF!</v>
      </c>
      <c r="D83" s="402" t="e">
        <f t="shared" si="1"/>
        <v>#REF!</v>
      </c>
      <c r="E83" s="402" t="e">
        <f t="shared" si="1"/>
        <v>#REF!</v>
      </c>
      <c r="F83" s="402" t="e">
        <f t="shared" si="1"/>
        <v>#REF!</v>
      </c>
      <c r="G83" s="402" t="e">
        <f t="shared" si="1"/>
        <v>#REF!</v>
      </c>
      <c r="H83" s="402" t="e">
        <f t="shared" si="1"/>
        <v>#REF!</v>
      </c>
      <c r="I83" s="402" t="str">
        <f t="shared" si="1"/>
        <v>FY21</v>
      </c>
      <c r="J83" s="402" t="str">
        <f t="shared" si="1"/>
        <v>FY22</v>
      </c>
      <c r="K83" s="402" t="str">
        <f t="shared" si="1"/>
        <v>FY23</v>
      </c>
      <c r="L83" s="402" t="str">
        <f t="shared" si="1"/>
        <v>FY24</v>
      </c>
      <c r="M83" s="402" t="str">
        <f t="shared" si="1"/>
        <v>FY25</v>
      </c>
      <c r="N83" s="402" t="str">
        <f t="shared" si="1"/>
        <v>FY26F</v>
      </c>
      <c r="O83" s="402" t="str">
        <f t="shared" si="1"/>
        <v>FY27F</v>
      </c>
      <c r="P83" s="402" t="str">
        <f t="shared" si="1"/>
        <v>FY28F</v>
      </c>
      <c r="Q83" s="402" t="str">
        <f t="shared" si="1"/>
        <v>FY29F</v>
      </c>
      <c r="R83" s="402" t="str">
        <f t="shared" si="1"/>
        <v>FY30F</v>
      </c>
      <c r="S83" s="402" t="str">
        <f t="shared" si="1"/>
        <v>FY31F</v>
      </c>
      <c r="T83" s="402" t="str">
        <f t="shared" si="1"/>
        <v>FY32F</v>
      </c>
      <c r="U83" s="402" t="str">
        <f t="shared" si="1"/>
        <v>FY33F</v>
      </c>
      <c r="V83" s="402" t="str">
        <f t="shared" si="1"/>
        <v>FY34F</v>
      </c>
      <c r="W83" s="402" t="str">
        <f t="shared" si="1"/>
        <v>FY35F</v>
      </c>
      <c r="X83" s="402" t="e">
        <f t="shared" si="1"/>
        <v>#REF!</v>
      </c>
    </row>
    <row r="84" spans="2:24" ht="12">
      <c r="B84" s="625" t="s">
        <v>1522</v>
      </c>
      <c r="C84" s="403" t="e">
        <f>Historicals!#REF!</f>
        <v>#REF!</v>
      </c>
      <c r="D84" s="403" t="e">
        <f>Historicals!#REF!</f>
        <v>#REF!</v>
      </c>
      <c r="E84" s="403" t="e">
        <f>Historicals!#REF!</f>
        <v>#REF!</v>
      </c>
      <c r="F84" s="403" t="e">
        <f>Historicals!#REF!</f>
        <v>#REF!</v>
      </c>
      <c r="G84" s="403" t="e">
        <f>Historicals!#REF!</f>
        <v>#REF!</v>
      </c>
      <c r="H84" s="403" t="e">
        <f>Historicals!#REF!</f>
        <v>#REF!</v>
      </c>
      <c r="I84" s="403">
        <f>Historicals!D31</f>
        <v>-1166000</v>
      </c>
      <c r="J84" s="403">
        <f>Historicals!E31</f>
        <v>-629000</v>
      </c>
      <c r="K84" s="403">
        <f>Historicals!F31</f>
        <v>135000</v>
      </c>
      <c r="L84" s="403">
        <f>Historicals!G31</f>
        <v>503000</v>
      </c>
      <c r="M84" s="403">
        <f>Historicals!H31</f>
        <v>876000</v>
      </c>
    </row>
    <row r="85" spans="2:24" ht="12">
      <c r="B85" s="625" t="s">
        <v>1523</v>
      </c>
      <c r="C85" s="403"/>
      <c r="D85" s="403"/>
      <c r="E85" s="403"/>
      <c r="F85" s="403"/>
      <c r="G85" s="403"/>
      <c r="H85" s="403"/>
      <c r="I85" s="403"/>
      <c r="J85" s="403"/>
      <c r="K85" s="403"/>
      <c r="L85" s="403"/>
      <c r="M85" s="403"/>
      <c r="N85" s="404">
        <f>Forecast!D35</f>
        <v>526023.29999999993</v>
      </c>
      <c r="O85" s="404">
        <f>Forecast!E35</f>
        <v>727869.44999999984</v>
      </c>
      <c r="P85" s="404">
        <f>Forecast!F35</f>
        <v>965154.89069999999</v>
      </c>
      <c r="Q85" s="404">
        <f>Forecast!G35</f>
        <v>1220920.9367354999</v>
      </c>
      <c r="R85" s="404">
        <f>Forecast!H35</f>
        <v>1505062.5365575799</v>
      </c>
      <c r="S85" s="404">
        <f>Forecast!I35</f>
        <v>1712377.523210854</v>
      </c>
      <c r="T85" s="404">
        <f>Forecast!J35</f>
        <v>1972642.6756723332</v>
      </c>
      <c r="U85" s="404">
        <f>Forecast!K35</f>
        <v>2217674.9721571933</v>
      </c>
      <c r="V85" s="404">
        <f>Forecast!L35</f>
        <v>2530463.5638823211</v>
      </c>
      <c r="W85" s="404">
        <f>Forecast!M35</f>
        <v>2807877.3471820131</v>
      </c>
      <c r="X85" s="404" t="e">
        <f>Forecast!#REF!</f>
        <v>#REF!</v>
      </c>
    </row>
    <row r="86" spans="2:24" ht="12">
      <c r="B86" s="637" t="s">
        <v>1524</v>
      </c>
      <c r="C86" s="638" t="e">
        <f>Historicals!#REF!</f>
        <v>#REF!</v>
      </c>
      <c r="D86" s="638" t="e">
        <f>Historicals!#REF!</f>
        <v>#REF!</v>
      </c>
      <c r="E86" s="638" t="e">
        <f>Historicals!#REF!</f>
        <v>#REF!</v>
      </c>
      <c r="F86" s="638" t="e">
        <f>Historicals!#REF!</f>
        <v>#REF!</v>
      </c>
      <c r="G86" s="638" t="e">
        <f>Historicals!#REF!</f>
        <v>#REF!</v>
      </c>
      <c r="H86" s="638" t="e">
        <f>Historicals!#REF!</f>
        <v>#REF!</v>
      </c>
      <c r="I86" s="638">
        <f>Historicals!D60</f>
        <v>0</v>
      </c>
      <c r="J86" s="638">
        <f>Historicals!E60</f>
        <v>0</v>
      </c>
      <c r="K86" s="638">
        <f>Historicals!F60</f>
        <v>0</v>
      </c>
      <c r="L86" s="638">
        <f>Historicals!G60</f>
        <v>0</v>
      </c>
      <c r="M86" s="638">
        <f>Historicals!H60</f>
        <v>0</v>
      </c>
      <c r="N86" s="638">
        <f>Forecast!D54</f>
        <v>0</v>
      </c>
      <c r="O86" s="638">
        <f>Forecast!E54</f>
        <v>0</v>
      </c>
      <c r="P86" s="638">
        <f>Forecast!F54</f>
        <v>0</v>
      </c>
      <c r="Q86" s="638">
        <f>Forecast!G54</f>
        <v>0</v>
      </c>
      <c r="R86" s="638">
        <f>Forecast!H54</f>
        <v>0</v>
      </c>
      <c r="S86" s="638">
        <f>Forecast!I54</f>
        <v>0</v>
      </c>
      <c r="T86" s="638">
        <f>Forecast!J54</f>
        <v>0</v>
      </c>
      <c r="U86" s="638">
        <f>Forecast!K54</f>
        <v>0</v>
      </c>
      <c r="V86" s="638">
        <f>Forecast!L54</f>
        <v>0</v>
      </c>
      <c r="W86" s="638">
        <f>Forecast!M54</f>
        <v>0</v>
      </c>
      <c r="X86" s="638" t="e">
        <f>Forecast!#REF!</f>
        <v>#REF!</v>
      </c>
    </row>
    <row r="124" spans="2:24" ht="18.95">
      <c r="B124" s="191" t="s">
        <v>898</v>
      </c>
      <c r="C124" s="625"/>
      <c r="D124" s="625"/>
      <c r="E124" s="625"/>
      <c r="F124" s="625"/>
      <c r="G124" s="625"/>
      <c r="H124" s="625"/>
      <c r="I124" s="625"/>
      <c r="J124" s="625"/>
      <c r="K124" s="625"/>
      <c r="L124" s="530"/>
      <c r="M124" s="530"/>
    </row>
    <row r="125" spans="2:24" ht="12">
      <c r="B125" s="636" t="str">
        <f>B3</f>
        <v>(USD k)</v>
      </c>
      <c r="C125" s="402" t="e">
        <f t="shared" ref="C125:X125" si="2">C3</f>
        <v>#REF!</v>
      </c>
      <c r="D125" s="402" t="e">
        <f t="shared" si="2"/>
        <v>#REF!</v>
      </c>
      <c r="E125" s="402" t="e">
        <f t="shared" si="2"/>
        <v>#REF!</v>
      </c>
      <c r="F125" s="402" t="e">
        <f t="shared" si="2"/>
        <v>#REF!</v>
      </c>
      <c r="G125" s="402" t="e">
        <f t="shared" si="2"/>
        <v>#REF!</v>
      </c>
      <c r="H125" s="402" t="e">
        <f t="shared" si="2"/>
        <v>#REF!</v>
      </c>
      <c r="I125" s="402" t="str">
        <f t="shared" si="2"/>
        <v>FY21</v>
      </c>
      <c r="J125" s="402" t="str">
        <f t="shared" si="2"/>
        <v>FY22</v>
      </c>
      <c r="K125" s="402" t="str">
        <f t="shared" si="2"/>
        <v>FY23</v>
      </c>
      <c r="L125" s="402" t="str">
        <f t="shared" si="2"/>
        <v>FY24</v>
      </c>
      <c r="M125" s="402" t="str">
        <f t="shared" si="2"/>
        <v>FY25</v>
      </c>
      <c r="N125" s="402" t="str">
        <f t="shared" si="2"/>
        <v>FY26F</v>
      </c>
      <c r="O125" s="402" t="str">
        <f t="shared" si="2"/>
        <v>FY27F</v>
      </c>
      <c r="P125" s="402" t="str">
        <f t="shared" si="2"/>
        <v>FY28F</v>
      </c>
      <c r="Q125" s="402" t="str">
        <f t="shared" si="2"/>
        <v>FY29F</v>
      </c>
      <c r="R125" s="402" t="str">
        <f t="shared" si="2"/>
        <v>FY30F</v>
      </c>
      <c r="S125" s="402" t="str">
        <f t="shared" si="2"/>
        <v>FY31F</v>
      </c>
      <c r="T125" s="402" t="str">
        <f t="shared" si="2"/>
        <v>FY32F</v>
      </c>
      <c r="U125" s="402" t="str">
        <f t="shared" si="2"/>
        <v>FY33F</v>
      </c>
      <c r="V125" s="402" t="str">
        <f t="shared" si="2"/>
        <v>FY34F</v>
      </c>
      <c r="W125" s="402" t="str">
        <f t="shared" si="2"/>
        <v>FY35F</v>
      </c>
      <c r="X125" s="402" t="e">
        <f t="shared" si="2"/>
        <v>#REF!</v>
      </c>
    </row>
    <row r="126" spans="2:24" ht="12">
      <c r="B126" s="625" t="s">
        <v>1525</v>
      </c>
      <c r="C126" s="403" t="e">
        <f>Historicals!#REF!</f>
        <v>#REF!</v>
      </c>
      <c r="D126" s="403" t="e">
        <f>Historicals!#REF!</f>
        <v>#REF!</v>
      </c>
      <c r="E126" s="403" t="e">
        <f>Historicals!#REF!</f>
        <v>#REF!</v>
      </c>
      <c r="F126" s="403" t="e">
        <f>Historicals!#REF!</f>
        <v>#REF!</v>
      </c>
      <c r="G126" s="403" t="e">
        <f>Historicals!#REF!</f>
        <v>#REF!</v>
      </c>
      <c r="H126" s="403" t="e">
        <f>Historicals!#REF!</f>
        <v>#REF!</v>
      </c>
      <c r="I126" s="403">
        <f>Historicals!D141</f>
        <v>4838000</v>
      </c>
      <c r="J126" s="403">
        <f>Historicals!E141</f>
        <v>1952000</v>
      </c>
      <c r="K126" s="403">
        <f>Historicals!F141</f>
        <v>3138000</v>
      </c>
      <c r="L126" s="403">
        <f>Historicals!G141</f>
        <v>2964000</v>
      </c>
      <c r="M126" s="403">
        <f>Historicals!H141</f>
        <v>3433000</v>
      </c>
    </row>
    <row r="127" spans="2:24" ht="12">
      <c r="B127" s="625" t="s">
        <v>1526</v>
      </c>
      <c r="C127" s="403"/>
      <c r="D127" s="403"/>
      <c r="E127" s="403"/>
      <c r="F127" s="403"/>
      <c r="G127" s="403"/>
      <c r="H127" s="403"/>
      <c r="I127" s="403"/>
      <c r="J127" s="403"/>
      <c r="K127" s="403"/>
      <c r="L127" s="403"/>
      <c r="M127" s="403"/>
      <c r="N127" s="404">
        <f>M126-Forecast!D58</f>
        <v>3433000</v>
      </c>
      <c r="O127" s="404">
        <f>N127-Forecast!E58</f>
        <v>3433000</v>
      </c>
      <c r="P127" s="404">
        <f>O127-Forecast!F58</f>
        <v>3433000</v>
      </c>
      <c r="Q127" s="404">
        <f>P127-Forecast!G58</f>
        <v>3433000</v>
      </c>
      <c r="R127" s="404">
        <f>Q127-Forecast!H58</f>
        <v>3433000</v>
      </c>
      <c r="S127" s="404">
        <f>R127-Forecast!I58</f>
        <v>3433000</v>
      </c>
      <c r="T127" s="404">
        <f>S127-Forecast!J58</f>
        <v>3433000</v>
      </c>
      <c r="U127" s="404">
        <f>T127-Forecast!K58</f>
        <v>3433000</v>
      </c>
      <c r="V127" s="404">
        <f>U127-Forecast!L58</f>
        <v>3433000</v>
      </c>
      <c r="W127" s="404">
        <f>V127-Forecast!M58</f>
        <v>3433000</v>
      </c>
      <c r="X127" s="404" t="e">
        <f>W127-Forecast!#REF!</f>
        <v>#REF!</v>
      </c>
    </row>
    <row r="128" spans="2:24" ht="12">
      <c r="B128" s="637" t="s">
        <v>1527</v>
      </c>
      <c r="C128" s="638" t="e">
        <f>Historicals!#REF!</f>
        <v>#REF!</v>
      </c>
      <c r="D128" s="638" t="e">
        <f>Historicals!#REF!</f>
        <v>#REF!</v>
      </c>
      <c r="E128" s="638" t="e">
        <f>Historicals!#REF!</f>
        <v>#REF!</v>
      </c>
      <c r="F128" s="638" t="e">
        <f>Historicals!#REF!</f>
        <v>#REF!</v>
      </c>
      <c r="G128" s="638" t="e">
        <f>Historicals!#REF!</f>
        <v>#REF!</v>
      </c>
      <c r="H128" s="638" t="e">
        <f>Historicals!#REF!</f>
        <v>#REF!</v>
      </c>
      <c r="I128" s="638">
        <f>Historicals!D143</f>
        <v>0</v>
      </c>
      <c r="J128" s="638">
        <f>Historicals!E143</f>
        <v>0</v>
      </c>
      <c r="K128" s="638">
        <f>Historicals!F143</f>
        <v>0</v>
      </c>
      <c r="L128" s="638">
        <f>Historicals!G143</f>
        <v>0</v>
      </c>
      <c r="M128" s="638">
        <f>Historicals!H143</f>
        <v>0</v>
      </c>
      <c r="N128" s="638">
        <f>IFERROR(N127/N5,"")</f>
        <v>0.84189616695686298</v>
      </c>
      <c r="O128" s="638">
        <f t="shared" ref="O128:X128" si="3">IFERROR(O127/O5,"")</f>
        <v>0.70747577055198552</v>
      </c>
      <c r="P128" s="638">
        <f t="shared" si="3"/>
        <v>0.60468014577092777</v>
      </c>
      <c r="Q128" s="638">
        <f t="shared" si="3"/>
        <v>0.52580882240950244</v>
      </c>
      <c r="R128" s="638">
        <f t="shared" si="3"/>
        <v>0.46531754195531194</v>
      </c>
      <c r="S128" s="638">
        <f t="shared" si="3"/>
        <v>0.42301594723210173</v>
      </c>
      <c r="T128" s="638">
        <f t="shared" si="3"/>
        <v>0.38808802498357964</v>
      </c>
      <c r="U128" s="638">
        <f t="shared" si="3"/>
        <v>0.35604405961796293</v>
      </c>
      <c r="V128" s="638">
        <f t="shared" si="3"/>
        <v>0.32967042557218784</v>
      </c>
      <c r="W128" s="638">
        <f t="shared" si="3"/>
        <v>0.30810320146933434</v>
      </c>
      <c r="X128" s="638" t="str">
        <f t="shared" si="3"/>
        <v/>
      </c>
    </row>
    <row r="166" spans="2:24" ht="18.95">
      <c r="B166" s="191" t="s">
        <v>1452</v>
      </c>
      <c r="C166" s="625"/>
      <c r="D166" s="625"/>
      <c r="E166" s="625"/>
      <c r="F166" s="625"/>
      <c r="G166" s="625"/>
      <c r="H166" s="625"/>
      <c r="I166" s="625"/>
      <c r="J166" s="625"/>
      <c r="K166" s="625"/>
      <c r="L166" s="530"/>
      <c r="M166" s="530"/>
    </row>
    <row r="167" spans="2:24" ht="12">
      <c r="B167" s="636" t="str">
        <f>B3</f>
        <v>(USD k)</v>
      </c>
      <c r="C167" s="402" t="e">
        <f t="shared" ref="C167:X167" si="4">C3</f>
        <v>#REF!</v>
      </c>
      <c r="D167" s="402" t="e">
        <f t="shared" si="4"/>
        <v>#REF!</v>
      </c>
      <c r="E167" s="402" t="e">
        <f t="shared" si="4"/>
        <v>#REF!</v>
      </c>
      <c r="F167" s="402" t="e">
        <f t="shared" si="4"/>
        <v>#REF!</v>
      </c>
      <c r="G167" s="402" t="e">
        <f t="shared" si="4"/>
        <v>#REF!</v>
      </c>
      <c r="H167" s="402" t="e">
        <f t="shared" si="4"/>
        <v>#REF!</v>
      </c>
      <c r="I167" s="402" t="str">
        <f t="shared" si="4"/>
        <v>FY21</v>
      </c>
      <c r="J167" s="402" t="str">
        <f t="shared" si="4"/>
        <v>FY22</v>
      </c>
      <c r="K167" s="402" t="str">
        <f t="shared" si="4"/>
        <v>FY23</v>
      </c>
      <c r="L167" s="402" t="str">
        <f t="shared" si="4"/>
        <v>FY24</v>
      </c>
      <c r="M167" s="402" t="str">
        <f t="shared" si="4"/>
        <v>FY25</v>
      </c>
      <c r="N167" s="402" t="str">
        <f t="shared" si="4"/>
        <v>FY26F</v>
      </c>
      <c r="O167" s="402" t="str">
        <f t="shared" si="4"/>
        <v>FY27F</v>
      </c>
      <c r="P167" s="402" t="str">
        <f t="shared" si="4"/>
        <v>FY28F</v>
      </c>
      <c r="Q167" s="402" t="str">
        <f t="shared" si="4"/>
        <v>FY29F</v>
      </c>
      <c r="R167" s="402" t="str">
        <f t="shared" si="4"/>
        <v>FY30F</v>
      </c>
      <c r="S167" s="402" t="str">
        <f t="shared" si="4"/>
        <v>FY31F</v>
      </c>
      <c r="T167" s="402" t="str">
        <f t="shared" si="4"/>
        <v>FY32F</v>
      </c>
      <c r="U167" s="402" t="str">
        <f t="shared" si="4"/>
        <v>FY33F</v>
      </c>
      <c r="V167" s="402" t="str">
        <f t="shared" si="4"/>
        <v>FY34F</v>
      </c>
      <c r="W167" s="402" t="str">
        <f t="shared" si="4"/>
        <v>FY35F</v>
      </c>
      <c r="X167" s="402" t="e">
        <f t="shared" si="4"/>
        <v>#REF!</v>
      </c>
    </row>
    <row r="168" spans="2:24" ht="12">
      <c r="B168" s="625" t="s">
        <v>1528</v>
      </c>
      <c r="C168" s="403" t="e">
        <f>-Historicals!#REF!</f>
        <v>#REF!</v>
      </c>
      <c r="D168" s="403" t="e">
        <f>-Historicals!#REF!</f>
        <v>#REF!</v>
      </c>
      <c r="E168" s="403" t="e">
        <f>-Historicals!#REF!</f>
        <v>#REF!</v>
      </c>
      <c r="F168" s="403" t="e">
        <f>-Historicals!#REF!</f>
        <v>#REF!</v>
      </c>
      <c r="G168" s="403" t="e">
        <f>-Historicals!#REF!</f>
        <v>#REF!</v>
      </c>
      <c r="H168" s="403" t="e">
        <f>-Historicals!#REF!</f>
        <v>#REF!</v>
      </c>
      <c r="I168" s="403">
        <f>-Historicals!D131</f>
        <v>433000</v>
      </c>
      <c r="J168" s="403">
        <f>-Historicals!E131</f>
        <v>358000</v>
      </c>
      <c r="K168" s="403">
        <f>-Historicals!F131</f>
        <v>572000</v>
      </c>
      <c r="L168" s="403">
        <f>-Historicals!G131</f>
        <v>1367000</v>
      </c>
      <c r="M168" s="403">
        <f>-Historicals!H131</f>
        <v>1586000</v>
      </c>
    </row>
    <row r="169" spans="2:24" ht="12">
      <c r="B169" s="625" t="s">
        <v>1529</v>
      </c>
      <c r="C169" s="403"/>
      <c r="D169" s="403"/>
      <c r="E169" s="403"/>
      <c r="F169" s="403"/>
      <c r="G169" s="403"/>
      <c r="H169" s="403"/>
      <c r="I169" s="403"/>
      <c r="J169" s="403"/>
      <c r="K169" s="403"/>
      <c r="L169" s="403"/>
      <c r="M169" s="403"/>
      <c r="N169" s="404">
        <f>-Forecast!D57</f>
        <v>353700.44520547963</v>
      </c>
      <c r="O169" s="404">
        <f>-Forecast!E57</f>
        <v>330919.87831506901</v>
      </c>
      <c r="P169" s="404">
        <f>-Forecast!F57</f>
        <v>348596.95359424688</v>
      </c>
      <c r="Q169" s="404">
        <f>-Forecast!G57</f>
        <v>349683.93854229432</v>
      </c>
      <c r="R169" s="404">
        <f>-Forecast!H57</f>
        <v>316727.51543926587</v>
      </c>
      <c r="S169" s="404">
        <f>-Forecast!I57</f>
        <v>239069.66359300027</v>
      </c>
      <c r="T169" s="404">
        <f>-Forecast!J57</f>
        <v>251544.84518882632</v>
      </c>
      <c r="U169" s="404">
        <f>-Forecast!K57</f>
        <v>341975.22092522029</v>
      </c>
      <c r="V169" s="404">
        <f>-Forecast!L57</f>
        <v>288659.65402925666</v>
      </c>
      <c r="W169" s="404">
        <f>-Forecast!M57</f>
        <v>282533.48211629782</v>
      </c>
      <c r="X169" s="404" t="e">
        <f>-Forecast!#REF!</f>
        <v>#REF!</v>
      </c>
    </row>
    <row r="170" spans="2:24" ht="12">
      <c r="B170" s="637" t="s">
        <v>1530</v>
      </c>
      <c r="C170" s="638" t="str">
        <f>IFERROR(C168/C4,"")</f>
        <v/>
      </c>
      <c r="D170" s="638" t="str">
        <f t="shared" ref="D170:M170" si="5">IFERROR(D168/D4,"")</f>
        <v/>
      </c>
      <c r="E170" s="638" t="str">
        <f t="shared" si="5"/>
        <v/>
      </c>
      <c r="F170" s="638" t="str">
        <f t="shared" si="5"/>
        <v/>
      </c>
      <c r="G170" s="638" t="str">
        <f t="shared" si="5"/>
        <v/>
      </c>
      <c r="H170" s="638" t="str">
        <f t="shared" si="5"/>
        <v/>
      </c>
      <c r="I170" s="638">
        <f t="shared" si="5"/>
        <v>0.64148148148148143</v>
      </c>
      <c r="J170" s="638">
        <f t="shared" si="5"/>
        <v>0.24982554082344732</v>
      </c>
      <c r="K170" s="638">
        <f t="shared" si="5"/>
        <v>0.24247562526494276</v>
      </c>
      <c r="L170" s="638">
        <f t="shared" si="5"/>
        <v>0.48873793350017875</v>
      </c>
      <c r="M170" s="638">
        <f t="shared" si="5"/>
        <v>0.47062314540059347</v>
      </c>
      <c r="N170" s="638">
        <f>IFERROR(N169/N5,"")</f>
        <v>8.6740183241896071E-2</v>
      </c>
      <c r="O170" s="638">
        <f t="shared" ref="O170:X170" si="6">IFERROR(O169/O5,"")</f>
        <v>6.8196270288937585E-2</v>
      </c>
      <c r="P170" s="638">
        <f t="shared" si="6"/>
        <v>6.1401006907856263E-2</v>
      </c>
      <c r="Q170" s="638">
        <f t="shared" si="6"/>
        <v>5.355866587254314E-2</v>
      </c>
      <c r="R170" s="638">
        <f t="shared" si="6"/>
        <v>4.2930052127530524E-2</v>
      </c>
      <c r="S170" s="638">
        <f t="shared" si="6"/>
        <v>2.9458281444582849E-2</v>
      </c>
      <c r="T170" s="638">
        <f t="shared" si="6"/>
        <v>2.8436219680784126E-2</v>
      </c>
      <c r="U170" s="638">
        <f t="shared" si="6"/>
        <v>3.5467010179716041E-2</v>
      </c>
      <c r="V170" s="638">
        <f t="shared" si="6"/>
        <v>2.7719939117199402E-2</v>
      </c>
      <c r="W170" s="638">
        <f t="shared" si="6"/>
        <v>2.5356676481884728E-2</v>
      </c>
      <c r="X170" s="638" t="str">
        <f t="shared" si="6"/>
        <v/>
      </c>
    </row>
  </sheetData>
  <conditionalFormatting sqref="C3:M3">
    <cfRule type="cellIs" dxfId="71" priority="16" operator="equal">
      <formula>"FYTE"</formula>
    </cfRule>
  </conditionalFormatting>
  <conditionalFormatting sqref="C43:M43">
    <cfRule type="cellIs" dxfId="70" priority="12" operator="equal">
      <formula>"FYTE"</formula>
    </cfRule>
  </conditionalFormatting>
  <conditionalFormatting sqref="C83:M83">
    <cfRule type="cellIs" dxfId="69" priority="9" operator="equal">
      <formula>"FYTE"</formula>
    </cfRule>
  </conditionalFormatting>
  <conditionalFormatting sqref="C125:M125">
    <cfRule type="cellIs" dxfId="68" priority="6" operator="equal">
      <formula>"FYTE"</formula>
    </cfRule>
  </conditionalFormatting>
  <conditionalFormatting sqref="C167:M167">
    <cfRule type="cellIs" dxfId="67" priority="3" operator="equal">
      <formula>"FYTE"</formula>
    </cfRule>
  </conditionalFormatting>
  <conditionalFormatting sqref="N3:X3">
    <cfRule type="cellIs" dxfId="66" priority="14" operator="equal">
      <formula>0</formula>
    </cfRule>
    <cfRule type="cellIs" dxfId="65" priority="15" operator="equal">
      <formula>"FYTEF"</formula>
    </cfRule>
  </conditionalFormatting>
  <conditionalFormatting sqref="N43:X43">
    <cfRule type="cellIs" dxfId="64" priority="10" operator="equal">
      <formula>0</formula>
    </cfRule>
    <cfRule type="cellIs" dxfId="63" priority="11" operator="equal">
      <formula>"FYTEF"</formula>
    </cfRule>
  </conditionalFormatting>
  <conditionalFormatting sqref="N83:X83">
    <cfRule type="cellIs" dxfId="62" priority="7" operator="equal">
      <formula>0</formula>
    </cfRule>
    <cfRule type="cellIs" dxfId="61" priority="8" operator="equal">
      <formula>"FYTEF"</formula>
    </cfRule>
  </conditionalFormatting>
  <conditionalFormatting sqref="N125:X125">
    <cfRule type="cellIs" dxfId="60" priority="4" operator="equal">
      <formula>0</formula>
    </cfRule>
    <cfRule type="cellIs" dxfId="59" priority="5" operator="equal">
      <formula>"FYTEF"</formula>
    </cfRule>
  </conditionalFormatting>
  <conditionalFormatting sqref="N167:X167">
    <cfRule type="cellIs" dxfId="58" priority="1" operator="equal">
      <formula>0</formula>
    </cfRule>
    <cfRule type="cellIs" dxfId="57" priority="2" operator="equal">
      <formula>"FYTEF"</formula>
    </cfRule>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1B3BD-69DA-4196-8E1B-85F3C97C0EC2}">
  <sheetPr>
    <tabColor rgb="FF0A1F8F"/>
  </sheetPr>
  <dimension ref="B3:V76"/>
  <sheetViews>
    <sheetView showGridLines="0" topLeftCell="B4" zoomScale="55" zoomScaleNormal="55" workbookViewId="0">
      <selection activeCell="H13" sqref="H13"/>
    </sheetView>
  </sheetViews>
  <sheetFormatPr defaultRowHeight="9.9499999999999993"/>
  <cols>
    <col min="2" max="2" width="40" customWidth="1"/>
    <col min="3" max="3" width="12.1640625" bestFit="1" customWidth="1"/>
    <col min="4" max="4" width="22.6640625" customWidth="1"/>
    <col min="5" max="7" width="12.1640625" bestFit="1" customWidth="1"/>
    <col min="8" max="8" width="40" bestFit="1" customWidth="1"/>
    <col min="9" max="9" width="9.6640625" bestFit="1" customWidth="1"/>
    <col min="10" max="10" width="22.5" customWidth="1"/>
    <col min="11" max="11" width="15.83203125" customWidth="1"/>
    <col min="12" max="12" width="12.5" bestFit="1" customWidth="1"/>
    <col min="13" max="13" width="32.1640625" bestFit="1" customWidth="1"/>
    <col min="14" max="14" width="15.6640625" customWidth="1"/>
    <col min="15" max="15" width="16.5" customWidth="1"/>
    <col min="16" max="16" width="15.6640625" customWidth="1"/>
    <col min="17" max="18" width="9" bestFit="1" customWidth="1"/>
    <col min="19" max="19" width="41.5" bestFit="1" customWidth="1"/>
    <col min="20" max="20" width="9" bestFit="1" customWidth="1"/>
    <col min="21" max="21" width="19.5" customWidth="1"/>
    <col min="22" max="22" width="15.1640625" customWidth="1"/>
    <col min="23" max="24" width="9" bestFit="1" customWidth="1"/>
  </cols>
  <sheetData>
    <row r="3" spans="2:22" ht="27.6">
      <c r="B3" s="18" t="s">
        <v>1531</v>
      </c>
    </row>
    <row r="4" spans="2:22" ht="18.95">
      <c r="B4" s="191" t="s">
        <v>1532</v>
      </c>
      <c r="H4" s="191" t="s">
        <v>1533</v>
      </c>
      <c r="M4" s="191" t="s">
        <v>1534</v>
      </c>
      <c r="S4" s="191" t="s">
        <v>1535</v>
      </c>
    </row>
    <row r="5" spans="2:22" s="625" customFormat="1" ht="18.95">
      <c r="M5" s="191"/>
      <c r="N5"/>
      <c r="O5"/>
      <c r="P5"/>
      <c r="S5" s="191"/>
      <c r="T5"/>
      <c r="U5"/>
      <c r="V5"/>
    </row>
    <row r="6" spans="2:22" s="625" customFormat="1" ht="24">
      <c r="B6" s="640" t="s">
        <v>775</v>
      </c>
      <c r="C6" s="640" t="s">
        <v>179</v>
      </c>
      <c r="D6" s="640" t="s">
        <v>1037</v>
      </c>
      <c r="E6" s="641" t="s">
        <v>1536</v>
      </c>
      <c r="H6" s="640" t="s">
        <v>775</v>
      </c>
      <c r="I6" s="640" t="s">
        <v>179</v>
      </c>
      <c r="J6" s="643" t="s">
        <v>108</v>
      </c>
      <c r="K6" s="641" t="s">
        <v>1536</v>
      </c>
      <c r="M6" s="640" t="s">
        <v>775</v>
      </c>
      <c r="N6" s="640" t="s">
        <v>179</v>
      </c>
      <c r="O6" s="646" t="s">
        <v>1537</v>
      </c>
      <c r="P6" s="641" t="s">
        <v>1536</v>
      </c>
      <c r="S6" s="640" t="s">
        <v>775</v>
      </c>
      <c r="T6" s="640" t="s">
        <v>179</v>
      </c>
      <c r="U6" s="646" t="s">
        <v>1039</v>
      </c>
      <c r="V6" s="641" t="s">
        <v>1536</v>
      </c>
    </row>
    <row r="7" spans="2:22" s="625" customFormat="1" ht="12">
      <c r="B7" s="647" t="str">
        <f>'Market '!B9</f>
        <v>Grab Holdings</v>
      </c>
      <c r="C7" s="647" t="s">
        <v>1050</v>
      </c>
      <c r="D7" s="648">
        <f ca="1">'Market '!D9</f>
        <v>15424.531416916907</v>
      </c>
      <c r="E7" s="647">
        <f ca="1">RANK(D7,$D$7:$D$17,0)</f>
        <v>7</v>
      </c>
      <c r="H7" s="647" t="str">
        <f>'Market '!B9</f>
        <v>Grab Holdings</v>
      </c>
      <c r="I7" s="647" t="s">
        <v>1050</v>
      </c>
      <c r="J7" s="649" t="str">
        <f>'Market '!E9</f>
        <v>3-YR CAGR</v>
      </c>
      <c r="K7" s="647" t="str">
        <f t="shared" ref="K7:K17" si="0">IFERROR(RANK(J7,$J$7:$J$17,0),"")</f>
        <v/>
      </c>
      <c r="M7" s="647" t="str">
        <f>'Market '!B9</f>
        <v>Grab Holdings</v>
      </c>
      <c r="N7" s="647" t="s">
        <v>1050</v>
      </c>
      <c r="O7" s="649">
        <f>'Market '!F9</f>
        <v>0.11600000000000001</v>
      </c>
      <c r="P7" s="647">
        <f t="shared" ref="P7:P17" si="1">IFERROR(RANK(O7,$O$7:$O$17,0),"")</f>
        <v>9</v>
      </c>
      <c r="S7" s="647" t="str">
        <f>'Market '!B9</f>
        <v>Grab Holdings</v>
      </c>
      <c r="T7" s="647" t="s">
        <v>1050</v>
      </c>
      <c r="U7" s="651">
        <f>IFERROR('Market '!G9,"")</f>
        <v>0</v>
      </c>
      <c r="V7" s="647">
        <f t="shared" ref="V7:V17" si="2">IFERROR(RANK(U7,$U$7:$U$17,0),"0")</f>
        <v>11</v>
      </c>
    </row>
    <row r="8" spans="2:22" s="625" customFormat="1" ht="12">
      <c r="B8" s="625" t="str">
        <f>'Market '!B11</f>
        <v>Pt Goto Gojek Tokopedia Tbk</v>
      </c>
      <c r="C8" s="625" t="e">
        <f>'Market '!C11</f>
        <v>#REF!</v>
      </c>
      <c r="D8" s="639">
        <f>'Market '!D11</f>
        <v>5215.9345800000001</v>
      </c>
      <c r="E8" s="625">
        <f t="shared" ref="E8:E17" ca="1" si="3">IFERROR(RANK(D8,$D$7:$D$17,0),"")</f>
        <v>11</v>
      </c>
      <c r="H8" s="625" t="str">
        <f>'Market '!B16</f>
        <v>Meituan</v>
      </c>
      <c r="I8" s="625" t="str">
        <f>'Market '!C16</f>
        <v>SEHK:3690</v>
      </c>
      <c r="J8" s="642">
        <f>'Market '!E16</f>
        <v>-8.5064000000000001E-2</v>
      </c>
      <c r="K8" s="625">
        <f t="shared" si="0"/>
        <v>10</v>
      </c>
      <c r="M8" s="625" t="str">
        <f>'Market '!B19</f>
        <v>Talabat Holding Plc</v>
      </c>
      <c r="N8" s="625" t="str">
        <f>'Market '!C19</f>
        <v>DFM:TALABAT</v>
      </c>
      <c r="O8" s="642" t="str">
        <f>'Market '!F19</f>
        <v>NA</v>
      </c>
      <c r="P8" s="625" t="str">
        <f t="shared" si="1"/>
        <v/>
      </c>
      <c r="S8" s="625" t="str">
        <f>'Market '!B15</f>
        <v>Didi Global Inc.</v>
      </c>
      <c r="T8" s="625" t="str">
        <f>'Market '!C15</f>
        <v>OTCPK:DIDI.Y</v>
      </c>
      <c r="U8" s="650">
        <f>'Market '!G15</f>
        <v>0.62453999999999998</v>
      </c>
      <c r="V8" s="625">
        <f t="shared" si="2"/>
        <v>10</v>
      </c>
    </row>
    <row r="9" spans="2:22" s="625" customFormat="1" ht="12">
      <c r="B9" s="625" t="str">
        <f>'Market '!B19</f>
        <v>Talabat Holding Plc</v>
      </c>
      <c r="C9" s="625" t="str">
        <f>'Market '!C19</f>
        <v>DFM:TALABAT</v>
      </c>
      <c r="D9" s="639">
        <f>'Market '!D19</f>
        <v>7665.4665500000001</v>
      </c>
      <c r="E9" s="625">
        <f t="shared" ca="1" si="3"/>
        <v>10</v>
      </c>
      <c r="H9" s="625" t="str">
        <f>'Market '!B14</f>
        <v>Lyft, Inc.</v>
      </c>
      <c r="I9" s="625" t="str">
        <f>'Market '!C14</f>
        <v>NASDAQGS:LYFT</v>
      </c>
      <c r="J9" s="642">
        <f>'Market '!E14</f>
        <v>-2.6672999999999999E-2</v>
      </c>
      <c r="K9" s="625">
        <f t="shared" si="0"/>
        <v>9</v>
      </c>
      <c r="M9" s="625" t="str">
        <f>'Market '!B15</f>
        <v>Didi Global Inc.</v>
      </c>
      <c r="N9" s="625" t="str">
        <f>'Market '!C15</f>
        <v>OTCPK:DIDI.Y</v>
      </c>
      <c r="O9" s="642">
        <f>'Market '!F15</f>
        <v>1.5793969166853383E-2</v>
      </c>
      <c r="P9" s="625">
        <f t="shared" si="1"/>
        <v>10</v>
      </c>
      <c r="S9" s="625" t="str">
        <f>'Market '!B17</f>
        <v>Delivery Hero Se</v>
      </c>
      <c r="T9" s="625" t="str">
        <f>'Market '!C17</f>
        <v>XTRA:DHER</v>
      </c>
      <c r="U9" s="650">
        <f>'Market '!G17</f>
        <v>0.65244999999999997</v>
      </c>
      <c r="V9" s="625">
        <f t="shared" si="2"/>
        <v>9</v>
      </c>
    </row>
    <row r="10" spans="2:22" s="625" customFormat="1" ht="12">
      <c r="B10" s="625" t="str">
        <f>'Market '!B14</f>
        <v>Lyft, Inc.</v>
      </c>
      <c r="C10" s="625" t="str">
        <f>'Market '!C14</f>
        <v>NASDAQGS:LYFT</v>
      </c>
      <c r="D10" s="639">
        <f>'Market '!D14</f>
        <v>9949.6004200000007</v>
      </c>
      <c r="E10" s="625">
        <f t="shared" ca="1" si="3"/>
        <v>9</v>
      </c>
      <c r="H10" s="625" t="str">
        <f>'Market '!B11</f>
        <v>Pt Goto Gojek Tokopedia Tbk</v>
      </c>
      <c r="I10" s="625" t="e">
        <f>'Market '!C11</f>
        <v>#REF!</v>
      </c>
      <c r="J10" s="642">
        <f>'Market '!E11</f>
        <v>-2.0643999999999999E-2</v>
      </c>
      <c r="K10" s="625">
        <f t="shared" si="0"/>
        <v>8</v>
      </c>
      <c r="M10" s="625" t="str">
        <f>'Market '!B16</f>
        <v>Meituan</v>
      </c>
      <c r="N10" s="625" t="str">
        <f>'Market '!C16</f>
        <v>SEHK:3690</v>
      </c>
      <c r="O10" s="642">
        <f>'Market '!F16</f>
        <v>0.18414581328815327</v>
      </c>
      <c r="P10" s="625">
        <f t="shared" si="1"/>
        <v>8</v>
      </c>
      <c r="S10" s="625" t="str">
        <f>'Market '!B14</f>
        <v>Lyft, Inc.</v>
      </c>
      <c r="T10" s="625" t="str">
        <f>'Market '!C14</f>
        <v>NASDAQGS:LYFT</v>
      </c>
      <c r="U10" s="650">
        <f>'Market '!G14</f>
        <v>1.1255999999999999</v>
      </c>
      <c r="V10" s="625">
        <f t="shared" si="2"/>
        <v>8</v>
      </c>
    </row>
    <row r="11" spans="2:22" s="625" customFormat="1" ht="12">
      <c r="B11" s="625" t="str">
        <f>'Market '!B17</f>
        <v>Delivery Hero Se</v>
      </c>
      <c r="C11" s="625" t="str">
        <f>'Market '!C17</f>
        <v>XTRA:DHER</v>
      </c>
      <c r="D11" s="639">
        <f>'Market '!D17</f>
        <v>10232.01735</v>
      </c>
      <c r="E11" s="625">
        <f t="shared" ca="1" si="3"/>
        <v>8</v>
      </c>
      <c r="H11" s="625" t="str">
        <f>'Market '!B15</f>
        <v>Didi Global Inc.</v>
      </c>
      <c r="I11" s="625" t="str">
        <f>'Market '!C15</f>
        <v>OTCPK:DIDI.Y</v>
      </c>
      <c r="J11" s="642">
        <f>'Market '!E15</f>
        <v>-1.6008999999999999E-2</v>
      </c>
      <c r="K11" s="625">
        <f t="shared" si="0"/>
        <v>7</v>
      </c>
      <c r="M11" s="625" t="str">
        <f>'Market '!B12</f>
        <v>Sea Limited</v>
      </c>
      <c r="N11" s="625" t="str">
        <f>'Market '!C12</f>
        <v>NYSE: SE</v>
      </c>
      <c r="O11" s="642">
        <f>'Market '!F12</f>
        <v>0.19589412882933632</v>
      </c>
      <c r="P11" s="625">
        <f t="shared" si="1"/>
        <v>7</v>
      </c>
      <c r="S11" s="625" t="str">
        <f>'Market '!B16</f>
        <v>Meituan</v>
      </c>
      <c r="T11" s="625" t="str">
        <f>'Market '!C16</f>
        <v>SEHK:3690</v>
      </c>
      <c r="U11" s="650">
        <f>'Market '!G16</f>
        <v>1.34459</v>
      </c>
      <c r="V11" s="625">
        <f t="shared" si="2"/>
        <v>7</v>
      </c>
    </row>
    <row r="12" spans="2:22" s="625" customFormat="1" ht="12">
      <c r="B12" s="625" t="str">
        <f>'Market '!B10</f>
        <v>Grab Holdings Limited</v>
      </c>
      <c r="C12" s="625" t="str">
        <f>'Market '!C10</f>
        <v>NASDAQGS:GRAB</v>
      </c>
      <c r="D12" s="639">
        <f>'Market '!D10</f>
        <v>26231.541829999998</v>
      </c>
      <c r="E12" s="625">
        <f t="shared" ca="1" si="3"/>
        <v>6</v>
      </c>
      <c r="H12" s="625" t="str">
        <f>'Market '!B17</f>
        <v>Delivery Hero Se</v>
      </c>
      <c r="I12" s="625" t="str">
        <f>'Market '!C17</f>
        <v>XTRA:DHER</v>
      </c>
      <c r="J12" s="642">
        <f>'Market '!E17</f>
        <v>6.6639999999999998E-3</v>
      </c>
      <c r="K12" s="625">
        <f t="shared" si="0"/>
        <v>6</v>
      </c>
      <c r="M12" s="625" t="str">
        <f>'Market '!B14</f>
        <v>Lyft, Inc.</v>
      </c>
      <c r="N12" s="625" t="str">
        <f>'Market '!C14</f>
        <v>NASDAQGS:LYFT</v>
      </c>
      <c r="O12" s="642">
        <f>'Market '!F14</f>
        <v>0.22218117363548462</v>
      </c>
      <c r="P12" s="625">
        <f t="shared" si="1"/>
        <v>6</v>
      </c>
      <c r="S12" s="625" t="str">
        <f>'Market '!B19</f>
        <v>Talabat Holding Plc</v>
      </c>
      <c r="T12" s="625" t="str">
        <f>'Market '!C19</f>
        <v>DFM:TALABAT</v>
      </c>
      <c r="U12" s="650">
        <f>'Market '!G19</f>
        <v>1.4474199999999999</v>
      </c>
      <c r="V12" s="625">
        <f t="shared" si="2"/>
        <v>6</v>
      </c>
    </row>
    <row r="13" spans="2:22" s="625" customFormat="1" ht="12">
      <c r="B13" s="625" t="str">
        <f>'Market '!B15</f>
        <v>Didi Global Inc.</v>
      </c>
      <c r="C13" s="625" t="str">
        <f>'Market '!C15</f>
        <v>OTCPK:DIDI.Y</v>
      </c>
      <c r="D13" s="639">
        <f>'Market '!D15</f>
        <v>31622.724630000001</v>
      </c>
      <c r="E13" s="625">
        <f t="shared" ca="1" si="3"/>
        <v>5</v>
      </c>
      <c r="H13" s="625" t="str">
        <f>'Market '!B10</f>
        <v>Grab Holdings Limited</v>
      </c>
      <c r="I13" s="625" t="str">
        <f>'Market '!C10</f>
        <v>NASDAQGS:GRAB</v>
      </c>
      <c r="J13" s="642">
        <f>'Market '!E10</f>
        <v>2.3737999999999999E-2</v>
      </c>
      <c r="K13" s="625">
        <f t="shared" si="0"/>
        <v>5</v>
      </c>
      <c r="M13" s="625" t="str">
        <f>'Market '!B17</f>
        <v>Delivery Hero Se</v>
      </c>
      <c r="N13" s="625" t="str">
        <f>'Market '!C17</f>
        <v>XTRA:DHER</v>
      </c>
      <c r="O13" s="642">
        <f>'Market '!F17</f>
        <v>0.2460980637762229</v>
      </c>
      <c r="P13" s="625">
        <f t="shared" si="1"/>
        <v>5</v>
      </c>
      <c r="S13" s="625" t="str">
        <f>'Market '!B11</f>
        <v>Pt Goto Gojek Tokopedia Tbk</v>
      </c>
      <c r="T13" s="625" t="e">
        <f>'Market '!C11</f>
        <v>#REF!</v>
      </c>
      <c r="U13" s="650">
        <f>'Market '!G11</f>
        <v>2.89941</v>
      </c>
      <c r="V13" s="625">
        <f t="shared" si="2"/>
        <v>5</v>
      </c>
    </row>
    <row r="14" spans="2:22" s="625" customFormat="1" ht="12">
      <c r="B14" s="625" t="str">
        <f>'Market '!B12</f>
        <v>Sea Limited</v>
      </c>
      <c r="C14" s="625" t="str">
        <f>'Market '!C12</f>
        <v>NYSE: SE</v>
      </c>
      <c r="D14" s="639">
        <f>'Market '!D12</f>
        <v>97141.212629999995</v>
      </c>
      <c r="E14" s="625">
        <f t="shared" ca="1" si="3"/>
        <v>4</v>
      </c>
      <c r="H14" s="625" t="str">
        <f>'Market '!B18</f>
        <v>Doordash, Inc.</v>
      </c>
      <c r="I14" s="625" t="str">
        <f>'Market '!C18</f>
        <v>NASDAQGS:DASH</v>
      </c>
      <c r="J14" s="642">
        <f>'Market '!E18</f>
        <v>6.1310000000000003E-2</v>
      </c>
      <c r="K14" s="625">
        <f t="shared" si="0"/>
        <v>4</v>
      </c>
      <c r="M14" s="625" t="str">
        <f>'Market '!B18</f>
        <v>Doordash, Inc.</v>
      </c>
      <c r="N14" s="625" t="str">
        <f>'Market '!C18</f>
        <v>NASDAQGS:DASH</v>
      </c>
      <c r="O14" s="642">
        <f>'Market '!F18</f>
        <v>0.30461772934889697</v>
      </c>
      <c r="P14" s="625">
        <f t="shared" si="1"/>
        <v>4</v>
      </c>
      <c r="S14" s="625" t="str">
        <f>'Market '!B12</f>
        <v>Sea Limited</v>
      </c>
      <c r="T14" s="625" t="str">
        <f>'Market '!C12</f>
        <v>NYSE: SE</v>
      </c>
      <c r="U14" s="650">
        <f>'Market '!G12</f>
        <v>3.3262200000000002</v>
      </c>
      <c r="V14" s="625">
        <f t="shared" si="2"/>
        <v>4</v>
      </c>
    </row>
    <row r="15" spans="2:22" s="625" customFormat="1" ht="12">
      <c r="B15" s="625" t="str">
        <f>'Market '!B16</f>
        <v>Meituan</v>
      </c>
      <c r="C15" s="625" t="str">
        <f>'Market '!C16</f>
        <v>SEHK:3690</v>
      </c>
      <c r="D15" s="639">
        <f>'Market '!D16</f>
        <v>104268.16804999999</v>
      </c>
      <c r="E15" s="625">
        <f t="shared" ca="1" si="3"/>
        <v>3</v>
      </c>
      <c r="H15" s="625" t="str">
        <f>'Market '!B12</f>
        <v>Sea Limited</v>
      </c>
      <c r="I15" s="625" t="str">
        <f>'Market '!C12</f>
        <v>NYSE: SE</v>
      </c>
      <c r="J15" s="642">
        <f>'Market '!E12</f>
        <v>8.6549000000000001E-2</v>
      </c>
      <c r="K15" s="625">
        <f t="shared" si="0"/>
        <v>3</v>
      </c>
      <c r="M15" s="625" t="str">
        <f>'Market '!B13</f>
        <v>Uber Technologies, Inc.</v>
      </c>
      <c r="N15" s="625" t="str">
        <f>'Market '!C13</f>
        <v>NYSE:UBER</v>
      </c>
      <c r="O15" s="642">
        <f>'Market '!F13</f>
        <v>0.36628179471097311</v>
      </c>
      <c r="P15" s="625">
        <f t="shared" si="1"/>
        <v>3</v>
      </c>
      <c r="S15" s="625" t="str">
        <f>'Market '!B13</f>
        <v>Uber Technologies, Inc.</v>
      </c>
      <c r="T15" s="625" t="str">
        <f>'Market '!C13</f>
        <v>NYSE:UBER</v>
      </c>
      <c r="U15" s="650">
        <f>'Market '!G13</f>
        <v>3.4129700000000001</v>
      </c>
      <c r="V15" s="625">
        <f t="shared" si="2"/>
        <v>3</v>
      </c>
    </row>
    <row r="16" spans="2:22" s="625" customFormat="1" ht="12">
      <c r="B16" s="625" t="str">
        <f>'Market '!B18</f>
        <v>Doordash, Inc.</v>
      </c>
      <c r="C16" s="625" t="str">
        <f>'Market '!C18</f>
        <v>NASDAQGS:DASH</v>
      </c>
      <c r="D16" s="639">
        <f>'Market '!D18</f>
        <v>125552.18322000001</v>
      </c>
      <c r="E16" s="625">
        <f t="shared" ca="1" si="3"/>
        <v>2</v>
      </c>
      <c r="H16" s="625" t="str">
        <f>'Market '!B13</f>
        <v>Uber Technologies, Inc.</v>
      </c>
      <c r="I16" s="625" t="str">
        <f>'Market '!C13</f>
        <v>NYSE:UBER</v>
      </c>
      <c r="J16" s="642">
        <f>'Market '!E13</f>
        <v>0.106984</v>
      </c>
      <c r="K16" s="625">
        <f t="shared" si="0"/>
        <v>2</v>
      </c>
      <c r="M16" s="625" t="str">
        <f>'Market '!B11</f>
        <v>Pt Goto Gojek Tokopedia Tbk</v>
      </c>
      <c r="N16" s="625" t="e">
        <f>'Market '!C11</f>
        <v>#REF!</v>
      </c>
      <c r="O16" s="642">
        <f>'Market '!F11</f>
        <v>0.46425966802624963</v>
      </c>
      <c r="P16" s="625">
        <f t="shared" si="1"/>
        <v>2</v>
      </c>
      <c r="S16" s="625" t="str">
        <f>'Market '!B10</f>
        <v>Grab Holdings Limited</v>
      </c>
      <c r="T16" s="625" t="str">
        <f>'Market '!C10</f>
        <v>NASDAQGS:GRAB</v>
      </c>
      <c r="U16" s="650">
        <f>'Market '!G10</f>
        <v>4.7903099999999998</v>
      </c>
      <c r="V16" s="625">
        <f t="shared" si="2"/>
        <v>2</v>
      </c>
    </row>
    <row r="17" spans="2:22" s="625" customFormat="1" ht="12">
      <c r="B17" s="625" t="str">
        <f>'Market '!B13</f>
        <v>Uber Technologies, Inc.</v>
      </c>
      <c r="C17" s="625" t="str">
        <f>'Market '!C13</f>
        <v>NYSE:UBER</v>
      </c>
      <c r="D17" s="639">
        <f>'Market '!D13</f>
        <v>218375.51256999999</v>
      </c>
      <c r="E17" s="625">
        <f t="shared" ca="1" si="3"/>
        <v>1</v>
      </c>
      <c r="H17" s="625" t="str">
        <f>'Market '!B19</f>
        <v>Talabat Holding Plc</v>
      </c>
      <c r="I17" s="625" t="str">
        <f>'Market '!C19</f>
        <v>DFM:TALABAT</v>
      </c>
      <c r="J17" s="642">
        <f>'Market '!E19</f>
        <v>0.14419599999999999</v>
      </c>
      <c r="K17" s="625">
        <f t="shared" si="0"/>
        <v>1</v>
      </c>
      <c r="M17" s="625" t="str">
        <f>'Market '!B10</f>
        <v>Grab Holdings Limited</v>
      </c>
      <c r="N17" s="625" t="str">
        <f>'Market '!C10</f>
        <v>NASDAQGS:GRAB</v>
      </c>
      <c r="O17" s="642">
        <f>'Market '!F10</f>
        <v>0.61274104387880657</v>
      </c>
      <c r="P17" s="625">
        <f t="shared" si="1"/>
        <v>1</v>
      </c>
      <c r="S17" s="625" t="str">
        <f>'Market '!B18</f>
        <v>Doordash, Inc.</v>
      </c>
      <c r="T17" s="625" t="str">
        <f>'Market '!C18</f>
        <v>NASDAQGS:DASH</v>
      </c>
      <c r="U17" s="650">
        <f>'Market '!G18</f>
        <v>7.5813600000000001</v>
      </c>
      <c r="V17" s="625">
        <f t="shared" si="2"/>
        <v>1</v>
      </c>
    </row>
    <row r="18" spans="2:22" s="625" customFormat="1" ht="12">
      <c r="B18" s="626" t="s">
        <v>1149</v>
      </c>
      <c r="C18" s="626"/>
      <c r="D18" s="644">
        <f ca="1">AVERAGE(D7:D17)</f>
        <v>59243.535749719718</v>
      </c>
      <c r="E18" s="626"/>
      <c r="H18" s="626" t="s">
        <v>1149</v>
      </c>
      <c r="I18" s="626"/>
      <c r="J18" s="645">
        <f>AVERAGE(J7:J17)</f>
        <v>2.8105100000000001E-2</v>
      </c>
      <c r="K18" s="626"/>
      <c r="M18" s="626" t="s">
        <v>1149</v>
      </c>
      <c r="N18" s="626"/>
      <c r="O18" s="645">
        <f>AVERAGE(O7:O17)</f>
        <v>0.27280133846609772</v>
      </c>
      <c r="P18" s="626"/>
      <c r="S18" s="626" t="s">
        <v>1149</v>
      </c>
      <c r="T18" s="626"/>
      <c r="U18" s="660">
        <f>AVERAGE(U7:U17)</f>
        <v>2.4731700000000001</v>
      </c>
      <c r="V18" s="626"/>
    </row>
    <row r="19" spans="2:22" s="625" customFormat="1" ht="12">
      <c r="B19" s="626" t="s">
        <v>288</v>
      </c>
      <c r="C19" s="626"/>
      <c r="D19" s="644">
        <f ca="1">MEDIAN(D7:D17)</f>
        <v>26231.541829999998</v>
      </c>
      <c r="E19" s="626"/>
      <c r="H19" s="626" t="s">
        <v>288</v>
      </c>
      <c r="I19" s="626"/>
      <c r="J19" s="645">
        <f>MEDIAN(J7:J17)</f>
        <v>1.5200999999999999E-2</v>
      </c>
      <c r="K19" s="626"/>
      <c r="M19" s="626" t="s">
        <v>288</v>
      </c>
      <c r="N19" s="626"/>
      <c r="O19" s="645">
        <f>MEDIAN(O7:O17)</f>
        <v>0.23413961870585376</v>
      </c>
      <c r="P19" s="626"/>
      <c r="S19" s="626" t="s">
        <v>288</v>
      </c>
      <c r="T19" s="626"/>
      <c r="U19" s="660">
        <f>MEDIAN(U7:U17)</f>
        <v>1.4474199999999999</v>
      </c>
      <c r="V19" s="626"/>
    </row>
    <row r="22" spans="2:22" ht="32.450000000000003" customHeight="1"/>
    <row r="76" ht="26.45" customHeight="1"/>
  </sheetData>
  <autoFilter ref="B6:E6" xr:uid="{E8B1B3BD-69DA-4196-8E1B-85F3C97C0EC2}">
    <sortState xmlns:xlrd2="http://schemas.microsoft.com/office/spreadsheetml/2017/richdata2" ref="B7:E19">
      <sortCondition descending="1" ref="E6"/>
    </sortState>
  </autoFilter>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2E1B1-20EB-49E4-A761-674897B5844C}">
  <sheetPr>
    <tabColor rgb="FF0A1F8F"/>
  </sheetPr>
  <dimension ref="A1"/>
  <sheetViews>
    <sheetView workbookViewId="0">
      <selection activeCell="F9" sqref="F9"/>
    </sheetView>
  </sheetViews>
  <sheetFormatPr defaultRowHeight="9.9499999999999993"/>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rgb="FF00B0F0"/>
  </sheetPr>
  <dimension ref="A1:Q37"/>
  <sheetViews>
    <sheetView showGridLines="0" zoomScale="90" zoomScaleNormal="90" workbookViewId="0">
      <selection activeCell="V31" sqref="V31"/>
    </sheetView>
  </sheetViews>
  <sheetFormatPr defaultColWidth="9.1640625" defaultRowHeight="11.25" customHeight="1" outlineLevelRow="1"/>
  <cols>
    <col min="1" max="1" width="15.6640625" style="59" customWidth="1"/>
    <col min="2" max="2" width="5.5" style="59" bestFit="1" customWidth="1"/>
    <col min="3" max="3" width="0.1640625" style="59" customWidth="1"/>
    <col min="4" max="4" width="22.33203125" style="59" bestFit="1" customWidth="1"/>
    <col min="5" max="5" width="23.6640625" style="59" customWidth="1"/>
    <col min="6" max="6" width="27.5" style="59" customWidth="1"/>
    <col min="7" max="7" width="3.6640625" style="59" customWidth="1"/>
    <col min="8" max="9" width="9.1640625" style="59"/>
    <col min="10" max="10" width="14.6640625" style="59" bestFit="1" customWidth="1"/>
    <col min="11" max="11" width="16.1640625" style="59" bestFit="1" customWidth="1"/>
    <col min="12" max="12" width="9.33203125" style="59" bestFit="1" customWidth="1"/>
    <col min="13" max="13" width="9.1640625" style="59"/>
    <col min="14" max="14" width="12" style="59" bestFit="1" customWidth="1"/>
    <col min="15" max="15" width="13.6640625" style="59" bestFit="1" customWidth="1"/>
    <col min="16" max="16" width="15" style="59" bestFit="1" customWidth="1"/>
    <col min="17" max="16384" width="9.1640625" style="59"/>
  </cols>
  <sheetData>
    <row r="1" spans="1:17" ht="11.25" customHeight="1">
      <c r="A1" s="591" t="s">
        <v>1538</v>
      </c>
      <c r="B1" s="63" t="s">
        <v>134</v>
      </c>
      <c r="C1" s="346"/>
      <c r="D1" s="346"/>
    </row>
    <row r="2" spans="1:17" ht="11.25" customHeight="1">
      <c r="A2" s="591" t="s">
        <v>1539</v>
      </c>
      <c r="B2" s="63" t="s">
        <v>1540</v>
      </c>
      <c r="C2" s="346"/>
      <c r="D2" s="346"/>
    </row>
    <row r="3" spans="1:17" ht="12.95">
      <c r="A3" s="621" t="s">
        <v>1541</v>
      </c>
      <c r="B3" s="66" t="s">
        <v>1542</v>
      </c>
      <c r="C3" s="346"/>
      <c r="D3" s="346"/>
    </row>
    <row r="4" spans="1:17" s="71" customFormat="1" ht="11.25" customHeight="1">
      <c r="A4" s="69"/>
      <c r="B4" s="69"/>
      <c r="C4" s="69"/>
      <c r="D4" s="69"/>
      <c r="E4" s="69"/>
      <c r="F4" s="70"/>
    </row>
    <row r="5" spans="1:17" ht="11.25" customHeight="1">
      <c r="A5" s="920" t="s">
        <v>1543</v>
      </c>
      <c r="B5" s="920"/>
      <c r="C5" s="920"/>
      <c r="D5" s="920"/>
      <c r="E5" s="920"/>
      <c r="F5" s="920"/>
    </row>
    <row r="6" spans="1:17" ht="11.25" customHeight="1">
      <c r="A6" s="921" t="s">
        <v>1544</v>
      </c>
      <c r="B6" s="921"/>
      <c r="C6" s="921"/>
      <c r="D6" s="921"/>
      <c r="E6" s="921"/>
      <c r="F6" s="921"/>
      <c r="L6" s="399"/>
      <c r="M6" s="400"/>
    </row>
    <row r="7" spans="1:17" ht="23.1" customHeight="1">
      <c r="A7" s="922" t="s">
        <v>1545</v>
      </c>
      <c r="B7" s="922"/>
      <c r="C7" s="344"/>
      <c r="D7" s="344" t="s">
        <v>1546</v>
      </c>
      <c r="E7" s="344" t="s">
        <v>1547</v>
      </c>
      <c r="F7" s="344" t="s">
        <v>1548</v>
      </c>
    </row>
    <row r="8" spans="1:17" ht="10.5">
      <c r="A8" s="345"/>
      <c r="B8" s="345"/>
      <c r="C8" s="345"/>
      <c r="D8" s="344" t="s">
        <v>1549</v>
      </c>
      <c r="E8" s="344" t="s">
        <v>1549</v>
      </c>
      <c r="F8" s="344" t="s">
        <v>1550</v>
      </c>
    </row>
    <row r="9" spans="1:17" ht="11.25" customHeight="1">
      <c r="A9" s="346" t="s">
        <v>1551</v>
      </c>
      <c r="B9" s="346"/>
      <c r="C9" s="347"/>
      <c r="D9" s="348">
        <v>2688.8890000000001</v>
      </c>
      <c r="E9" s="348">
        <v>13100.225</v>
      </c>
      <c r="F9" s="349">
        <v>8.0000000000000002E-3</v>
      </c>
      <c r="J9" s="59" t="s">
        <v>1151</v>
      </c>
      <c r="K9" s="59" t="s">
        <v>1150</v>
      </c>
      <c r="L9" s="59" t="s">
        <v>1552</v>
      </c>
      <c r="O9" s="59" t="s">
        <v>1151</v>
      </c>
      <c r="P9" s="59" t="s">
        <v>1150</v>
      </c>
      <c r="Q9" s="59" t="s">
        <v>1552</v>
      </c>
    </row>
    <row r="10" spans="1:17" ht="11.25" customHeight="1">
      <c r="A10" s="346" t="s">
        <v>1553</v>
      </c>
      <c r="B10" s="346"/>
      <c r="C10" s="347"/>
      <c r="D10" s="348">
        <v>515.62099999999998</v>
      </c>
      <c r="E10" s="348">
        <v>2685.8649999999998</v>
      </c>
      <c r="F10" s="349">
        <v>1.4200000000000001E-2</v>
      </c>
    </row>
    <row r="11" spans="1:17" ht="11.25" customHeight="1">
      <c r="A11" s="350" t="s">
        <v>1554</v>
      </c>
      <c r="B11" s="350"/>
      <c r="C11" s="351"/>
      <c r="D11" s="352">
        <v>1.9730000000000001</v>
      </c>
      <c r="E11" s="352">
        <v>515.60199999999998</v>
      </c>
      <c r="F11" s="353">
        <v>3.1600000000000003E-2</v>
      </c>
      <c r="I11" s="72" t="s">
        <v>1555</v>
      </c>
      <c r="J11" s="73">
        <f>D31</f>
        <v>1.9730000000000001</v>
      </c>
      <c r="K11" s="73">
        <f>J12</f>
        <v>62.612000000000002</v>
      </c>
      <c r="L11" s="74">
        <f>F31</f>
        <v>0.1091</v>
      </c>
      <c r="N11" s="72"/>
      <c r="O11" s="73"/>
      <c r="P11" s="73"/>
      <c r="Q11" s="74"/>
    </row>
    <row r="12" spans="1:17" ht="11.25" customHeight="1">
      <c r="A12" s="346"/>
      <c r="B12" s="346"/>
      <c r="C12" s="347"/>
      <c r="D12" s="348"/>
      <c r="E12" s="348"/>
      <c r="F12" s="354"/>
      <c r="I12" s="72" t="s">
        <v>1556</v>
      </c>
      <c r="J12" s="73">
        <f>D30</f>
        <v>62.612000000000002</v>
      </c>
      <c r="K12" s="73">
        <f>E30</f>
        <v>120.178</v>
      </c>
      <c r="L12" s="74">
        <f>F30</f>
        <v>6.6199999999999995E-2</v>
      </c>
      <c r="N12" s="72"/>
      <c r="O12" s="73"/>
      <c r="P12" s="73"/>
      <c r="Q12" s="74"/>
    </row>
    <row r="13" spans="1:17" ht="11.25" customHeight="1">
      <c r="A13" s="350" t="s">
        <v>1557</v>
      </c>
      <c r="B13" s="350"/>
      <c r="C13" s="351"/>
      <c r="D13" s="352"/>
      <c r="E13" s="352"/>
      <c r="F13" s="355"/>
      <c r="I13" s="72" t="s">
        <v>1558</v>
      </c>
      <c r="J13" s="73">
        <f>D28</f>
        <v>120.51900000000001</v>
      </c>
      <c r="K13" s="73">
        <f>E28</f>
        <v>181.17</v>
      </c>
      <c r="L13" s="74">
        <f>F28</f>
        <v>4.4200000000000003E-2</v>
      </c>
      <c r="N13" s="72"/>
      <c r="O13" s="73"/>
      <c r="P13" s="73"/>
      <c r="Q13" s="74"/>
    </row>
    <row r="14" spans="1:17" ht="11.25" customHeight="1">
      <c r="A14" s="356" t="s">
        <v>1559</v>
      </c>
      <c r="B14" s="356"/>
      <c r="C14" s="357"/>
      <c r="D14" s="348">
        <v>31090.379000000001</v>
      </c>
      <c r="E14" s="348">
        <v>1061355.0109999999</v>
      </c>
      <c r="F14" s="349">
        <v>-2.8E-3</v>
      </c>
      <c r="I14" s="72" t="s">
        <v>1560</v>
      </c>
      <c r="J14" s="73">
        <f>D27</f>
        <v>181.40799999999999</v>
      </c>
      <c r="K14" s="73">
        <f>E27</f>
        <v>229.74799999999999</v>
      </c>
      <c r="L14" s="74">
        <f>F27</f>
        <v>2.69E-2</v>
      </c>
      <c r="N14" s="72" t="str">
        <f>A23</f>
        <v>10 - Smallest</v>
      </c>
      <c r="O14" s="73">
        <f t="shared" ref="O14:O23" si="0">VLOOKUP(N14,$A$14:$D$23,4,FALSE)</f>
        <v>1.9730000000000001</v>
      </c>
      <c r="P14" s="73">
        <f t="shared" ref="P14:P23" si="1">VLOOKUP(N14,$A$14:$E$23,5,FALSE)</f>
        <v>229.74799999999999</v>
      </c>
      <c r="Q14" s="74">
        <f t="shared" ref="Q14:Q23" si="2">VLOOKUP(N14,$A$14:$F$23,6,FALSE)</f>
        <v>4.99E-2</v>
      </c>
    </row>
    <row r="15" spans="1:17" ht="11.25" customHeight="1">
      <c r="A15" s="356">
        <v>2</v>
      </c>
      <c r="B15" s="356"/>
      <c r="C15" s="357"/>
      <c r="D15" s="348">
        <v>13142.606</v>
      </c>
      <c r="E15" s="348">
        <v>30542.936000000002</v>
      </c>
      <c r="F15" s="349">
        <v>5.0000000000000001E-3</v>
      </c>
      <c r="I15" s="59">
        <v>9</v>
      </c>
      <c r="J15" s="73">
        <f t="shared" ref="J15:J23" si="3">VLOOKUP(I15,$A$14:$D$23,4,FALSE)</f>
        <v>230.024</v>
      </c>
      <c r="K15" s="73">
        <f t="shared" ref="K15:K23" si="4">VLOOKUP(I15,$A$14:$E$23,5,FALSE)</f>
        <v>515.60199999999998</v>
      </c>
      <c r="L15" s="74">
        <f t="shared" ref="L15:L23" si="5">VLOOKUP(I15,$A$14:$F$23,6,FALSE)</f>
        <v>2.2200000000000001E-2</v>
      </c>
      <c r="N15" s="59">
        <v>9</v>
      </c>
      <c r="O15" s="73">
        <f t="shared" si="0"/>
        <v>230.024</v>
      </c>
      <c r="P15" s="73">
        <f t="shared" si="1"/>
        <v>515.60199999999998</v>
      </c>
      <c r="Q15" s="74">
        <f t="shared" si="2"/>
        <v>2.2200000000000001E-2</v>
      </c>
    </row>
    <row r="16" spans="1:17" ht="11.25" customHeight="1">
      <c r="A16" s="356">
        <v>3</v>
      </c>
      <c r="B16" s="356"/>
      <c r="C16" s="357"/>
      <c r="D16" s="348">
        <v>6618.6040000000003</v>
      </c>
      <c r="E16" s="348">
        <v>13100.225</v>
      </c>
      <c r="F16" s="349">
        <v>7.3000000000000001E-3</v>
      </c>
      <c r="I16" s="59">
        <v>8</v>
      </c>
      <c r="J16" s="73">
        <f t="shared" si="3"/>
        <v>515.62099999999998</v>
      </c>
      <c r="K16" s="73">
        <f t="shared" si="4"/>
        <v>993.84699999999998</v>
      </c>
      <c r="L16" s="74">
        <f t="shared" si="5"/>
        <v>1.5900000000000001E-2</v>
      </c>
      <c r="N16" s="59">
        <v>8</v>
      </c>
      <c r="O16" s="73">
        <f t="shared" si="0"/>
        <v>515.62099999999998</v>
      </c>
      <c r="P16" s="73">
        <f t="shared" si="1"/>
        <v>993.84699999999998</v>
      </c>
      <c r="Q16" s="74">
        <f t="shared" si="2"/>
        <v>1.5900000000000001E-2</v>
      </c>
    </row>
    <row r="17" spans="1:17" ht="11.25" customHeight="1">
      <c r="A17" s="356">
        <v>4</v>
      </c>
      <c r="B17" s="356"/>
      <c r="C17" s="357"/>
      <c r="D17" s="348">
        <v>4312.5460000000003</v>
      </c>
      <c r="E17" s="348">
        <v>6614.9620000000004</v>
      </c>
      <c r="F17" s="349">
        <v>7.9000000000000008E-3</v>
      </c>
      <c r="I17" s="59">
        <v>7</v>
      </c>
      <c r="J17" s="73">
        <f t="shared" si="3"/>
        <v>993.85500000000002</v>
      </c>
      <c r="K17" s="73">
        <f t="shared" si="4"/>
        <v>1668.2819999999999</v>
      </c>
      <c r="L17" s="74">
        <f t="shared" si="5"/>
        <v>1.47E-2</v>
      </c>
      <c r="N17" s="59">
        <v>7</v>
      </c>
      <c r="O17" s="73">
        <f t="shared" si="0"/>
        <v>993.85500000000002</v>
      </c>
      <c r="P17" s="73">
        <f t="shared" si="1"/>
        <v>1668.2819999999999</v>
      </c>
      <c r="Q17" s="74">
        <f t="shared" si="2"/>
        <v>1.47E-2</v>
      </c>
    </row>
    <row r="18" spans="1:17" ht="11.25" customHeight="1">
      <c r="A18" s="356">
        <v>5</v>
      </c>
      <c r="B18" s="356"/>
      <c r="C18" s="357"/>
      <c r="D18" s="348">
        <v>2688.8890000000001</v>
      </c>
      <c r="E18" s="348">
        <v>4311.2520000000004</v>
      </c>
      <c r="F18" s="349">
        <v>1.0999999999999999E-2</v>
      </c>
      <c r="I18" s="59">
        <v>6</v>
      </c>
      <c r="J18" s="73">
        <f t="shared" si="3"/>
        <v>1669.856</v>
      </c>
      <c r="K18" s="73">
        <f t="shared" si="4"/>
        <v>2685.8649999999998</v>
      </c>
      <c r="L18" s="74">
        <f t="shared" si="5"/>
        <v>1.34E-2</v>
      </c>
      <c r="N18" s="59">
        <v>6</v>
      </c>
      <c r="O18" s="73">
        <f t="shared" si="0"/>
        <v>1669.856</v>
      </c>
      <c r="P18" s="73">
        <f t="shared" si="1"/>
        <v>2685.8649999999998</v>
      </c>
      <c r="Q18" s="74">
        <f t="shared" si="2"/>
        <v>1.34E-2</v>
      </c>
    </row>
    <row r="19" spans="1:17" ht="11.25" customHeight="1">
      <c r="A19" s="356">
        <v>6</v>
      </c>
      <c r="B19" s="356"/>
      <c r="C19" s="357"/>
      <c r="D19" s="348">
        <v>1669.856</v>
      </c>
      <c r="E19" s="348">
        <v>2685.8649999999998</v>
      </c>
      <c r="F19" s="349">
        <v>1.34E-2</v>
      </c>
      <c r="I19" s="59">
        <v>5</v>
      </c>
      <c r="J19" s="73">
        <f t="shared" si="3"/>
        <v>2688.8890000000001</v>
      </c>
      <c r="K19" s="73">
        <f t="shared" si="4"/>
        <v>4311.2520000000004</v>
      </c>
      <c r="L19" s="74">
        <f t="shared" si="5"/>
        <v>1.0999999999999999E-2</v>
      </c>
      <c r="N19" s="59">
        <v>5</v>
      </c>
      <c r="O19" s="73">
        <f t="shared" si="0"/>
        <v>2688.8890000000001</v>
      </c>
      <c r="P19" s="73">
        <f t="shared" si="1"/>
        <v>4311.2520000000004</v>
      </c>
      <c r="Q19" s="74">
        <f t="shared" si="2"/>
        <v>1.0999999999999999E-2</v>
      </c>
    </row>
    <row r="20" spans="1:17" ht="11.25" customHeight="1">
      <c r="A20" s="356">
        <v>7</v>
      </c>
      <c r="B20" s="356"/>
      <c r="C20" s="357"/>
      <c r="D20" s="348">
        <v>993.85500000000002</v>
      </c>
      <c r="E20" s="348">
        <v>1668.2819999999999</v>
      </c>
      <c r="F20" s="349">
        <v>1.47E-2</v>
      </c>
      <c r="I20" s="59">
        <v>4</v>
      </c>
      <c r="J20" s="73">
        <f t="shared" si="3"/>
        <v>4312.5460000000003</v>
      </c>
      <c r="K20" s="73">
        <f t="shared" si="4"/>
        <v>6614.9620000000004</v>
      </c>
      <c r="L20" s="74">
        <f t="shared" si="5"/>
        <v>7.9000000000000008E-3</v>
      </c>
      <c r="N20" s="59">
        <v>4</v>
      </c>
      <c r="O20" s="73">
        <f t="shared" si="0"/>
        <v>4312.5460000000003</v>
      </c>
      <c r="P20" s="73">
        <f t="shared" si="1"/>
        <v>6614.9620000000004</v>
      </c>
      <c r="Q20" s="74">
        <f t="shared" si="2"/>
        <v>7.9000000000000008E-3</v>
      </c>
    </row>
    <row r="21" spans="1:17" ht="11.25" customHeight="1">
      <c r="A21" s="356">
        <v>8</v>
      </c>
      <c r="B21" s="356"/>
      <c r="C21" s="357"/>
      <c r="D21" s="348">
        <v>515.62099999999998</v>
      </c>
      <c r="E21" s="348">
        <v>993.84699999999998</v>
      </c>
      <c r="F21" s="349">
        <v>1.5900000000000001E-2</v>
      </c>
      <c r="I21" s="59">
        <v>3</v>
      </c>
      <c r="J21" s="73">
        <f t="shared" si="3"/>
        <v>6618.6040000000003</v>
      </c>
      <c r="K21" s="73">
        <f t="shared" si="4"/>
        <v>13100.225</v>
      </c>
      <c r="L21" s="74">
        <f t="shared" si="5"/>
        <v>7.3000000000000001E-3</v>
      </c>
      <c r="N21" s="59">
        <v>3</v>
      </c>
      <c r="O21" s="73">
        <f t="shared" si="0"/>
        <v>6618.6040000000003</v>
      </c>
      <c r="P21" s="73">
        <f t="shared" si="1"/>
        <v>13100.225</v>
      </c>
      <c r="Q21" s="74">
        <f t="shared" si="2"/>
        <v>7.3000000000000001E-3</v>
      </c>
    </row>
    <row r="22" spans="1:17" ht="11.25" customHeight="1">
      <c r="A22" s="356">
        <v>9</v>
      </c>
      <c r="B22" s="356"/>
      <c r="C22" s="357"/>
      <c r="D22" s="348">
        <v>230.024</v>
      </c>
      <c r="E22" s="348">
        <v>515.60199999999998</v>
      </c>
      <c r="F22" s="349">
        <v>2.2200000000000001E-2</v>
      </c>
      <c r="I22" s="59">
        <v>2</v>
      </c>
      <c r="J22" s="73">
        <f t="shared" si="3"/>
        <v>13142.606</v>
      </c>
      <c r="K22" s="73">
        <f t="shared" si="4"/>
        <v>30542.936000000002</v>
      </c>
      <c r="L22" s="74">
        <f t="shared" si="5"/>
        <v>5.0000000000000001E-3</v>
      </c>
      <c r="N22" s="59">
        <v>2</v>
      </c>
      <c r="O22" s="73">
        <f t="shared" si="0"/>
        <v>13142.606</v>
      </c>
      <c r="P22" s="73">
        <f t="shared" si="1"/>
        <v>30542.936000000002</v>
      </c>
      <c r="Q22" s="74">
        <f t="shared" si="2"/>
        <v>5.0000000000000001E-3</v>
      </c>
    </row>
    <row r="23" spans="1:17" ht="11.25" customHeight="1">
      <c r="A23" s="358" t="s">
        <v>1561</v>
      </c>
      <c r="B23" s="358"/>
      <c r="C23" s="359"/>
      <c r="D23" s="352">
        <v>1.9730000000000001</v>
      </c>
      <c r="E23" s="352">
        <v>229.74799999999999</v>
      </c>
      <c r="F23" s="360">
        <v>4.99E-2</v>
      </c>
      <c r="I23" s="72" t="s">
        <v>1559</v>
      </c>
      <c r="J23" s="73">
        <f t="shared" si="3"/>
        <v>31090.379000000001</v>
      </c>
      <c r="K23" s="73">
        <f t="shared" si="4"/>
        <v>1061355.0109999999</v>
      </c>
      <c r="L23" s="74">
        <f t="shared" si="5"/>
        <v>-2.8E-3</v>
      </c>
      <c r="N23" s="72" t="s">
        <v>1559</v>
      </c>
      <c r="O23" s="73">
        <f t="shared" si="0"/>
        <v>31090.379000000001</v>
      </c>
      <c r="P23" s="73">
        <f t="shared" si="1"/>
        <v>1061355.0109999999</v>
      </c>
      <c r="Q23" s="74">
        <f t="shared" si="2"/>
        <v>-2.8E-3</v>
      </c>
    </row>
    <row r="24" spans="1:17" ht="11.25" customHeight="1" outlineLevel="1">
      <c r="A24" s="356"/>
      <c r="B24" s="356"/>
      <c r="C24" s="357"/>
      <c r="D24" s="348"/>
      <c r="E24" s="348"/>
      <c r="F24" s="349"/>
    </row>
    <row r="25" spans="1:17" ht="11.25" customHeight="1" outlineLevel="1">
      <c r="A25" s="358" t="s">
        <v>1562</v>
      </c>
      <c r="B25" s="358"/>
      <c r="C25" s="359"/>
      <c r="D25" s="352"/>
      <c r="E25" s="352"/>
      <c r="F25" s="353"/>
      <c r="N25" s="59" t="str">
        <f>N23</f>
        <v>1 - Largest</v>
      </c>
      <c r="Q25" s="287">
        <f>Q23</f>
        <v>-2.8E-3</v>
      </c>
    </row>
    <row r="26" spans="1:17" ht="11.25" customHeight="1" outlineLevel="1">
      <c r="A26" s="346" t="s">
        <v>1563</v>
      </c>
      <c r="B26" s="346"/>
      <c r="C26" s="346"/>
      <c r="D26" s="348">
        <v>120.51900000000001</v>
      </c>
      <c r="E26" s="348">
        <v>229.74799999999999</v>
      </c>
      <c r="F26" s="349">
        <v>3.49E-2</v>
      </c>
      <c r="G26" s="75"/>
      <c r="K26" s="288"/>
      <c r="N26" s="59">
        <f>N22</f>
        <v>2</v>
      </c>
      <c r="Q26" s="287">
        <f>Q22</f>
        <v>5.0000000000000001E-3</v>
      </c>
    </row>
    <row r="27" spans="1:17" ht="11.25" customHeight="1" outlineLevel="1">
      <c r="A27" s="346"/>
      <c r="B27" s="346" t="s">
        <v>1560</v>
      </c>
      <c r="C27" s="346"/>
      <c r="D27" s="348">
        <v>181.40799999999999</v>
      </c>
      <c r="E27" s="348">
        <v>229.74799999999999</v>
      </c>
      <c r="F27" s="349">
        <v>2.69E-2</v>
      </c>
      <c r="K27" s="289"/>
      <c r="N27" s="59">
        <f>N21</f>
        <v>3</v>
      </c>
      <c r="Q27" s="287">
        <f>Q21</f>
        <v>7.3000000000000001E-3</v>
      </c>
    </row>
    <row r="28" spans="1:17" ht="11.25" customHeight="1" outlineLevel="1">
      <c r="A28" s="346"/>
      <c r="B28" s="346" t="s">
        <v>1558</v>
      </c>
      <c r="C28" s="346"/>
      <c r="D28" s="348">
        <v>120.51900000000001</v>
      </c>
      <c r="E28" s="348">
        <v>181.17</v>
      </c>
      <c r="F28" s="349">
        <v>4.4200000000000003E-2</v>
      </c>
      <c r="J28" s="72"/>
      <c r="K28" s="74"/>
      <c r="N28" s="59">
        <f>N20</f>
        <v>4</v>
      </c>
      <c r="Q28" s="287">
        <f>Q20</f>
        <v>7.9000000000000008E-3</v>
      </c>
    </row>
    <row r="29" spans="1:17" ht="11.25" customHeight="1" outlineLevel="1">
      <c r="A29" s="346" t="s">
        <v>1564</v>
      </c>
      <c r="B29" s="346"/>
      <c r="C29" s="346"/>
      <c r="D29" s="348">
        <v>1.9730000000000001</v>
      </c>
      <c r="E29" s="348">
        <v>120.178</v>
      </c>
      <c r="F29" s="349">
        <v>8.0199999999999994E-2</v>
      </c>
      <c r="J29" s="72"/>
      <c r="K29" s="74"/>
      <c r="N29" s="59">
        <f>N19</f>
        <v>5</v>
      </c>
      <c r="Q29" s="287">
        <f>Q19</f>
        <v>1.0999999999999999E-2</v>
      </c>
    </row>
    <row r="30" spans="1:17" ht="11.25" customHeight="1" outlineLevel="1">
      <c r="A30" s="346"/>
      <c r="B30" s="346" t="s">
        <v>1556</v>
      </c>
      <c r="C30" s="346"/>
      <c r="D30" s="362">
        <v>62.612000000000002</v>
      </c>
      <c r="E30" s="362">
        <v>120.178</v>
      </c>
      <c r="F30" s="363">
        <v>6.6199999999999995E-2</v>
      </c>
      <c r="J30" s="72"/>
      <c r="K30" s="74"/>
      <c r="N30" s="59">
        <f>N18</f>
        <v>6</v>
      </c>
      <c r="Q30" s="287">
        <f>Q18</f>
        <v>1.34E-2</v>
      </c>
    </row>
    <row r="31" spans="1:17" ht="10.5" outlineLevel="1" thickBot="1">
      <c r="A31" s="365"/>
      <c r="B31" s="364" t="s">
        <v>1555</v>
      </c>
      <c r="C31" s="365"/>
      <c r="D31" s="366">
        <v>1.9730000000000001</v>
      </c>
      <c r="E31" s="366">
        <v>62.198999999999998</v>
      </c>
      <c r="F31" s="367">
        <v>0.1091</v>
      </c>
      <c r="J31" s="72"/>
      <c r="K31" s="74"/>
      <c r="N31" s="59">
        <f>N17</f>
        <v>7</v>
      </c>
      <c r="Q31" s="287">
        <f>Q17</f>
        <v>1.47E-2</v>
      </c>
    </row>
    <row r="32" spans="1:17" ht="11.25" customHeight="1">
      <c r="A32" s="76"/>
      <c r="B32" s="76"/>
      <c r="C32" s="76"/>
      <c r="J32" s="72"/>
      <c r="K32" s="74"/>
      <c r="N32" s="59">
        <f>N16</f>
        <v>8</v>
      </c>
      <c r="Q32" s="287">
        <f>Q16</f>
        <v>1.5900000000000001E-2</v>
      </c>
    </row>
    <row r="33" spans="10:17" ht="11.25" customHeight="1">
      <c r="J33" s="72"/>
      <c r="K33" s="74"/>
      <c r="N33" s="59">
        <f>N15</f>
        <v>9</v>
      </c>
      <c r="Q33" s="287">
        <f>Q15</f>
        <v>2.2200000000000001E-2</v>
      </c>
    </row>
    <row r="34" spans="10:17" ht="11.25" customHeight="1">
      <c r="J34" s="72"/>
      <c r="K34" s="74"/>
      <c r="N34" s="59" t="str">
        <f>N14</f>
        <v>10 - Smallest</v>
      </c>
      <c r="Q34" s="287">
        <f>Q14</f>
        <v>4.99E-2</v>
      </c>
    </row>
    <row r="35" spans="10:17" ht="11.25" customHeight="1">
      <c r="J35" s="72"/>
      <c r="K35" s="74"/>
    </row>
    <row r="36" spans="10:17" ht="11.25" customHeight="1">
      <c r="J36" s="72"/>
      <c r="K36" s="74"/>
    </row>
    <row r="37" spans="10:17" ht="11.25" customHeight="1">
      <c r="J37" s="72"/>
      <c r="K37" s="74"/>
    </row>
  </sheetData>
  <mergeCells count="3">
    <mergeCell ref="A5:F5"/>
    <mergeCell ref="A6:F6"/>
    <mergeCell ref="A7:B7"/>
  </mergeCells>
  <pageMargins left="0.7" right="0.7" top="0.75" bottom="0.75" header="0.3" footer="0.3"/>
  <pageSetup orientation="portrait" horizontalDpi="90" verticalDpi="90" r:id="rId1"/>
  <ignoredErrors>
    <ignoredError sqref="K11" formula="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FE342-5FBB-4F2E-A9D9-98C525FA7A68}">
  <sheetPr codeName="Sheet23">
    <tabColor rgb="FF00B0F0"/>
  </sheetPr>
  <dimension ref="M7"/>
  <sheetViews>
    <sheetView workbookViewId="0">
      <selection activeCell="M7" sqref="M7"/>
    </sheetView>
  </sheetViews>
  <sheetFormatPr defaultRowHeight="9.9499999999999993"/>
  <sheetData>
    <row r="7" spans="13:13">
      <c r="M7" s="59"/>
    </row>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B6:I33"/>
  <sheetViews>
    <sheetView showGridLines="0" zoomScale="70" zoomScaleNormal="70" workbookViewId="0">
      <selection activeCell="J24" sqref="J24"/>
    </sheetView>
  </sheetViews>
  <sheetFormatPr defaultColWidth="9.1640625" defaultRowHeight="11.45"/>
  <cols>
    <col min="1" max="1" width="9.1640625" style="60"/>
    <col min="2" max="2" width="34.1640625" style="60" customWidth="1"/>
    <col min="3" max="3" width="15.33203125" style="60" bestFit="1" customWidth="1"/>
    <col min="4" max="4" width="23.5" style="60" customWidth="1"/>
    <col min="5" max="5" width="9.1640625" style="60"/>
    <col min="6" max="6" width="36.33203125" style="60" bestFit="1" customWidth="1"/>
    <col min="7" max="7" width="11.6640625" style="60" customWidth="1"/>
    <col min="8" max="8" width="28.6640625" style="60" customWidth="1"/>
    <col min="9" max="16384" width="9.1640625" style="60"/>
  </cols>
  <sheetData>
    <row r="6" spans="2:4">
      <c r="B6" s="594" t="s">
        <v>1565</v>
      </c>
      <c r="C6" s="594"/>
      <c r="D6" s="594"/>
    </row>
    <row r="7" spans="2:4" ht="21">
      <c r="B7" s="368" t="s">
        <v>1566</v>
      </c>
      <c r="C7" s="369" t="s">
        <v>1567</v>
      </c>
      <c r="D7" s="370" t="s">
        <v>1568</v>
      </c>
    </row>
    <row r="8" spans="2:4">
      <c r="B8" s="336" t="s">
        <v>1569</v>
      </c>
      <c r="C8" s="335" t="s">
        <v>1570</v>
      </c>
      <c r="D8" s="371">
        <v>0.13</v>
      </c>
    </row>
    <row r="9" spans="2:4">
      <c r="B9" s="336" t="s">
        <v>1571</v>
      </c>
      <c r="C9" s="335" t="s">
        <v>1572</v>
      </c>
      <c r="D9" s="371">
        <v>0.14599999999999999</v>
      </c>
    </row>
    <row r="10" spans="2:4">
      <c r="B10" s="336" t="s">
        <v>1573</v>
      </c>
      <c r="C10" s="335" t="s">
        <v>1574</v>
      </c>
      <c r="D10" s="371">
        <v>0.32800000000000001</v>
      </c>
    </row>
    <row r="11" spans="2:4">
      <c r="B11" s="336" t="s">
        <v>1575</v>
      </c>
      <c r="C11" s="335" t="s">
        <v>1576</v>
      </c>
      <c r="D11" s="371">
        <v>0.14599999999999999</v>
      </c>
    </row>
    <row r="12" spans="2:4">
      <c r="B12" s="336" t="s">
        <v>1575</v>
      </c>
      <c r="C12" s="335" t="s">
        <v>1577</v>
      </c>
      <c r="D12" s="371">
        <v>0.216</v>
      </c>
    </row>
    <row r="13" spans="2:4">
      <c r="B13" s="336" t="s">
        <v>1578</v>
      </c>
      <c r="C13" s="335" t="s">
        <v>1579</v>
      </c>
      <c r="D13" s="371">
        <v>0.18099999999999999</v>
      </c>
    </row>
    <row r="14" spans="2:4" ht="12" thickBot="1">
      <c r="B14" s="622" t="s">
        <v>288</v>
      </c>
      <c r="C14" s="624"/>
      <c r="D14" s="623">
        <f>MEDIAN(D8:D13)</f>
        <v>0.16349999999999998</v>
      </c>
    </row>
    <row r="15" spans="2:4">
      <c r="B15" s="605" t="s">
        <v>1580</v>
      </c>
      <c r="C15" s="372"/>
      <c r="D15" s="372"/>
    </row>
    <row r="18" spans="6:9">
      <c r="G18" s="594" t="s">
        <v>1581</v>
      </c>
      <c r="H18" s="594"/>
    </row>
    <row r="19" spans="6:9">
      <c r="G19" s="373" t="s">
        <v>1162</v>
      </c>
      <c r="H19" s="369" t="s">
        <v>1495</v>
      </c>
    </row>
    <row r="20" spans="6:9">
      <c r="G20" s="336">
        <v>2015</v>
      </c>
      <c r="H20" s="375">
        <v>0.34399999999999997</v>
      </c>
      <c r="I20" s="81"/>
    </row>
    <row r="21" spans="6:9">
      <c r="G21" s="336">
        <v>2016</v>
      </c>
      <c r="H21" s="375">
        <v>0.39300000000000002</v>
      </c>
      <c r="I21" s="81"/>
    </row>
    <row r="22" spans="6:9">
      <c r="G22" s="336">
        <v>2017</v>
      </c>
      <c r="H22" s="375">
        <v>0.26800000000000002</v>
      </c>
      <c r="I22" s="81"/>
    </row>
    <row r="23" spans="6:9">
      <c r="G23" s="336">
        <v>2018</v>
      </c>
      <c r="H23" s="375">
        <v>0.25800000000000001</v>
      </c>
      <c r="I23" s="81"/>
    </row>
    <row r="24" spans="6:9">
      <c r="G24" s="336">
        <v>2019</v>
      </c>
      <c r="H24" s="375">
        <v>0.29499999999999998</v>
      </c>
      <c r="I24" s="81"/>
    </row>
    <row r="25" spans="6:9">
      <c r="G25" s="374">
        <v>2020</v>
      </c>
      <c r="H25" s="375">
        <v>0.248</v>
      </c>
      <c r="I25" s="81"/>
    </row>
    <row r="26" spans="6:9">
      <c r="G26" s="374">
        <v>2021</v>
      </c>
      <c r="H26" s="375">
        <v>0.35399999999999998</v>
      </c>
      <c r="I26" s="81"/>
    </row>
    <row r="27" spans="6:9">
      <c r="G27" s="374">
        <v>2022</v>
      </c>
      <c r="H27" s="375">
        <v>0.39200000000000002</v>
      </c>
      <c r="I27" s="81"/>
    </row>
    <row r="28" spans="6:9">
      <c r="G28" s="374">
        <v>2023</v>
      </c>
      <c r="H28" s="375">
        <v>0.435</v>
      </c>
      <c r="I28" s="81"/>
    </row>
    <row r="29" spans="6:9" ht="12" thickBot="1">
      <c r="G29" s="622" t="s">
        <v>288</v>
      </c>
      <c r="H29" s="623">
        <f>MEDIAN(H20:H28)</f>
        <v>0.34399999999999997</v>
      </c>
    </row>
    <row r="30" spans="6:9">
      <c r="G30" s="607" t="s">
        <v>1582</v>
      </c>
      <c r="H30" s="372"/>
    </row>
    <row r="31" spans="6:9">
      <c r="H31" s="61"/>
    </row>
    <row r="32" spans="6:9">
      <c r="F32" s="61"/>
      <c r="G32" s="64"/>
      <c r="H32" s="61"/>
    </row>
    <row r="33" spans="6:8">
      <c r="F33" s="61"/>
      <c r="G33" s="64"/>
      <c r="H33" s="61"/>
    </row>
  </sheetData>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A12D7-9DDF-4713-B3C1-EAB5AA9CB663}">
  <sheetPr codeName="Sheet29">
    <tabColor theme="5" tint="0.59999389629810485"/>
  </sheetPr>
  <dimension ref="A1:AB200"/>
  <sheetViews>
    <sheetView workbookViewId="0">
      <selection activeCell="B172" sqref="B172:E172"/>
    </sheetView>
  </sheetViews>
  <sheetFormatPr defaultRowHeight="9.9499999999999993"/>
  <cols>
    <col min="1" max="1" width="22.6640625" customWidth="1"/>
    <col min="2" max="2" width="31.5" customWidth="1"/>
    <col min="3" max="10" width="15.6640625" customWidth="1"/>
    <col min="11" max="14" width="10.6640625" customWidth="1"/>
    <col min="15" max="18" width="12.6640625" customWidth="1"/>
    <col min="19" max="19" width="11.1640625" customWidth="1"/>
    <col min="20" max="20" width="11.5" customWidth="1"/>
    <col min="22" max="24" width="13.1640625" customWidth="1"/>
  </cols>
  <sheetData>
    <row r="1" spans="1:28" ht="10.5">
      <c r="A1" s="62">
        <v>200</v>
      </c>
      <c r="B1" s="63">
        <v>28</v>
      </c>
      <c r="C1" s="59"/>
      <c r="D1" s="59"/>
    </row>
    <row r="2" spans="1:28" ht="10.5">
      <c r="A2" s="62"/>
      <c r="B2" s="63"/>
      <c r="C2" s="59"/>
      <c r="D2" s="59"/>
    </row>
    <row r="3" spans="1:28" ht="10.5">
      <c r="A3" s="65"/>
      <c r="B3" s="63"/>
      <c r="C3" s="59"/>
      <c r="D3" s="59"/>
    </row>
    <row r="4" spans="1:28" ht="12.95">
      <c r="A4" s="65"/>
      <c r="B4" s="66"/>
      <c r="C4" s="59"/>
      <c r="D4" s="59"/>
      <c r="I4" s="170"/>
      <c r="J4" s="170"/>
    </row>
    <row r="6" spans="1:28" ht="10.5">
      <c r="A6" s="79"/>
      <c r="B6" s="79"/>
      <c r="C6" s="79"/>
      <c r="D6" s="79"/>
      <c r="E6" s="79"/>
      <c r="F6" s="79"/>
      <c r="G6" s="38"/>
      <c r="H6" s="38"/>
      <c r="I6" s="177"/>
      <c r="J6" s="178"/>
      <c r="R6" s="77"/>
      <c r="S6" s="78"/>
      <c r="U6" s="79"/>
      <c r="V6" s="79"/>
      <c r="W6" s="79"/>
      <c r="X6" s="79"/>
      <c r="Y6" s="79"/>
      <c r="Z6" s="79"/>
      <c r="AA6" s="79"/>
      <c r="AB6" s="79"/>
    </row>
    <row r="7" spans="1:28" ht="10.5">
      <c r="A7" s="923"/>
      <c r="B7" s="923"/>
      <c r="C7" s="923"/>
      <c r="D7" s="923"/>
      <c r="E7" s="923"/>
      <c r="F7" s="923"/>
      <c r="G7" s="93"/>
      <c r="H7" s="93"/>
      <c r="I7" s="177"/>
      <c r="J7" s="178"/>
      <c r="K7" s="93"/>
      <c r="L7" s="93"/>
      <c r="M7" s="93"/>
      <c r="N7" s="93"/>
      <c r="O7" s="93"/>
    </row>
    <row r="8" spans="1:28">
      <c r="B8" s="279"/>
      <c r="C8" s="61"/>
      <c r="D8" s="133"/>
      <c r="I8" s="177"/>
      <c r="J8" s="178"/>
    </row>
    <row r="9" spans="1:28">
      <c r="B9" s="279"/>
      <c r="C9" s="61"/>
      <c r="D9" s="133"/>
      <c r="I9" s="177"/>
      <c r="J9" s="178"/>
    </row>
    <row r="10" spans="1:28" ht="10.5">
      <c r="B10" s="279"/>
      <c r="C10" s="61"/>
      <c r="D10" s="133"/>
      <c r="E10" s="29"/>
      <c r="F10" s="29"/>
      <c r="G10" s="29"/>
      <c r="H10" s="29"/>
      <c r="I10" s="177"/>
      <c r="J10" s="178"/>
      <c r="K10" s="29"/>
      <c r="L10" s="29"/>
      <c r="M10" s="29"/>
      <c r="N10" s="29"/>
    </row>
    <row r="11" spans="1:28" ht="10.5">
      <c r="B11" s="377"/>
      <c r="C11" s="377"/>
      <c r="D11" s="377"/>
      <c r="E11" s="377"/>
      <c r="F11" s="377"/>
      <c r="G11" s="377"/>
      <c r="H11" s="377"/>
      <c r="I11" s="377"/>
      <c r="J11" s="377"/>
      <c r="K11" s="377"/>
      <c r="L11" s="377"/>
      <c r="M11" s="377"/>
      <c r="N11" s="377"/>
    </row>
    <row r="12" spans="1:28" ht="10.5">
      <c r="B12" s="279"/>
      <c r="C12" s="61"/>
      <c r="D12" s="268"/>
      <c r="E12" s="269"/>
      <c r="F12" s="269"/>
      <c r="G12" s="269"/>
      <c r="H12" s="269"/>
      <c r="I12" s="177"/>
      <c r="J12" s="178"/>
    </row>
    <row r="13" spans="1:28">
      <c r="B13" s="279"/>
      <c r="C13" s="61"/>
      <c r="D13" s="133"/>
      <c r="I13" s="177"/>
      <c r="J13" s="178"/>
    </row>
    <row r="14" spans="1:28" ht="10.5">
      <c r="B14" s="170"/>
      <c r="C14" s="170"/>
      <c r="D14" s="170"/>
      <c r="E14" s="170"/>
      <c r="F14" s="170"/>
      <c r="G14" s="170"/>
      <c r="H14" s="29"/>
      <c r="I14" s="177"/>
      <c r="J14" s="178"/>
      <c r="K14" s="29"/>
      <c r="L14" s="29"/>
      <c r="M14" s="29"/>
      <c r="N14" s="29"/>
      <c r="O14" s="87"/>
    </row>
    <row r="15" spans="1:28" ht="10.5">
      <c r="B15" s="29"/>
      <c r="C15" s="29"/>
      <c r="D15" s="29"/>
      <c r="E15" s="29"/>
      <c r="F15" s="29"/>
      <c r="G15" s="29"/>
      <c r="H15" s="29"/>
      <c r="I15" s="177"/>
      <c r="J15" s="178"/>
      <c r="K15" s="29"/>
      <c r="L15" s="29"/>
      <c r="M15" s="29"/>
      <c r="N15" s="29"/>
    </row>
    <row r="16" spans="1:28" ht="10.5">
      <c r="B16" s="29"/>
      <c r="C16" s="41"/>
      <c r="D16" s="41"/>
      <c r="E16" s="41"/>
      <c r="F16" s="41"/>
      <c r="G16" s="41"/>
      <c r="H16" s="92"/>
      <c r="I16" s="177"/>
      <c r="J16" s="178"/>
      <c r="K16" s="97"/>
      <c r="L16" s="97"/>
      <c r="M16" s="97"/>
      <c r="N16" s="97"/>
      <c r="O16" s="316"/>
    </row>
    <row r="17" spans="2:24" ht="10.5">
      <c r="B17" s="184"/>
      <c r="C17" s="184"/>
      <c r="D17" s="265"/>
      <c r="E17" s="265"/>
      <c r="F17" s="265"/>
      <c r="G17" s="265"/>
      <c r="H17" s="265"/>
      <c r="I17" s="265"/>
      <c r="J17" s="265"/>
      <c r="K17" s="265"/>
      <c r="L17" s="265"/>
      <c r="M17" s="265"/>
      <c r="N17" s="265"/>
      <c r="O17" s="265"/>
      <c r="P17" s="265"/>
      <c r="Q17" s="265"/>
      <c r="R17" s="265"/>
    </row>
    <row r="18" spans="2:24" ht="10.5">
      <c r="B18" s="135"/>
      <c r="C18" s="262"/>
      <c r="D18" s="128"/>
      <c r="E18" s="129"/>
      <c r="F18" s="130"/>
      <c r="G18" s="130"/>
      <c r="H18" s="131"/>
      <c r="I18" s="177"/>
      <c r="J18" s="178"/>
      <c r="K18" s="329"/>
      <c r="L18" s="330"/>
      <c r="M18" s="330"/>
      <c r="N18" s="331"/>
      <c r="O18" s="262"/>
      <c r="P18" s="262"/>
      <c r="Q18" s="262"/>
      <c r="R18" s="262"/>
      <c r="S18" s="332"/>
      <c r="T18" s="333"/>
    </row>
    <row r="19" spans="2:24" ht="10.5">
      <c r="B19" s="47"/>
      <c r="C19" s="42"/>
      <c r="D19" s="48"/>
      <c r="E19" s="49"/>
      <c r="F19" s="49"/>
      <c r="G19" s="79"/>
      <c r="H19" s="79"/>
      <c r="I19" s="177"/>
      <c r="J19" s="178"/>
      <c r="K19" s="51"/>
      <c r="L19" s="52"/>
      <c r="M19" s="52"/>
      <c r="N19" s="53"/>
      <c r="O19" s="42"/>
      <c r="P19" s="42"/>
      <c r="Q19" s="42"/>
      <c r="R19" s="42"/>
      <c r="S19" s="54"/>
      <c r="T19" s="50"/>
      <c r="U19" s="13"/>
    </row>
    <row r="20" spans="2:24">
      <c r="B20" s="290"/>
      <c r="C20" s="291"/>
      <c r="D20" s="292"/>
      <c r="E20" s="293"/>
      <c r="F20" s="294"/>
      <c r="G20" s="294"/>
      <c r="H20" s="187"/>
      <c r="I20" s="177"/>
      <c r="J20" s="178"/>
      <c r="K20" s="297"/>
      <c r="L20" s="298"/>
      <c r="M20" s="298"/>
      <c r="N20" s="53"/>
      <c r="O20" s="291"/>
      <c r="P20" s="291"/>
      <c r="Q20" s="291"/>
      <c r="R20" s="291"/>
      <c r="S20" s="54"/>
      <c r="T20" s="299"/>
      <c r="U20" s="699"/>
      <c r="V20" s="310"/>
      <c r="W20" s="312"/>
      <c r="X20" s="311"/>
    </row>
    <row r="21" spans="2:24" ht="10.5">
      <c r="B21" s="106"/>
      <c r="C21" s="132"/>
      <c r="D21" s="292"/>
      <c r="E21" s="293"/>
      <c r="F21" s="294"/>
      <c r="G21" s="283"/>
      <c r="H21" s="273"/>
      <c r="I21" s="177"/>
      <c r="J21" s="178"/>
      <c r="K21" s="297"/>
      <c r="L21" s="298"/>
      <c r="M21" s="298"/>
      <c r="N21" s="53"/>
      <c r="O21" s="291"/>
      <c r="P21" s="291"/>
      <c r="Q21" s="291"/>
      <c r="R21" s="291"/>
      <c r="S21" s="54"/>
      <c r="T21" s="299"/>
      <c r="U21" s="699"/>
      <c r="V21" s="310"/>
      <c r="W21" s="312"/>
      <c r="X21" s="311"/>
    </row>
    <row r="22" spans="2:24">
      <c r="B22" s="290"/>
      <c r="C22" s="291"/>
      <c r="D22" s="292"/>
      <c r="E22" s="293"/>
      <c r="F22" s="294"/>
      <c r="G22" s="283"/>
      <c r="H22" s="273"/>
      <c r="I22" s="177"/>
      <c r="J22" s="178"/>
      <c r="K22" s="297"/>
      <c r="L22" s="298"/>
      <c r="M22" s="298"/>
      <c r="N22" s="53"/>
      <c r="O22" s="291"/>
      <c r="P22" s="291"/>
      <c r="Q22" s="291"/>
      <c r="R22" s="291"/>
      <c r="S22" s="54"/>
      <c r="T22" s="299"/>
      <c r="U22" s="699"/>
      <c r="V22" s="310"/>
      <c r="W22" s="312"/>
      <c r="X22" s="311"/>
    </row>
    <row r="23" spans="2:24">
      <c r="B23" s="290"/>
      <c r="C23" s="291"/>
      <c r="D23" s="292"/>
      <c r="E23" s="293"/>
      <c r="F23" s="294"/>
      <c r="G23" s="283"/>
      <c r="H23" s="273"/>
      <c r="I23" s="177"/>
      <c r="J23" s="178"/>
      <c r="K23" s="297"/>
      <c r="L23" s="298"/>
      <c r="M23" s="298"/>
      <c r="N23" s="53"/>
      <c r="O23" s="291"/>
      <c r="P23" s="291"/>
      <c r="Q23" s="291"/>
      <c r="R23" s="291"/>
      <c r="S23" s="54"/>
      <c r="T23" s="299"/>
      <c r="U23" s="699"/>
      <c r="V23" s="310"/>
      <c r="W23" s="312"/>
      <c r="X23" s="311"/>
    </row>
    <row r="24" spans="2:24" ht="10.5">
      <c r="B24" s="243"/>
      <c r="C24" s="245"/>
      <c r="D24" s="243"/>
      <c r="E24" s="243"/>
      <c r="F24" s="243"/>
      <c r="G24" s="243"/>
      <c r="H24" s="243"/>
      <c r="I24" s="243"/>
      <c r="J24" s="243"/>
      <c r="K24" s="243"/>
      <c r="L24" s="243"/>
      <c r="M24" s="243"/>
      <c r="N24" s="243"/>
      <c r="O24" s="267"/>
      <c r="P24" s="267"/>
      <c r="Q24" s="267"/>
      <c r="R24" s="267"/>
      <c r="S24" s="54"/>
      <c r="T24" s="299"/>
      <c r="U24" s="699"/>
      <c r="V24" s="310"/>
      <c r="W24" s="312"/>
      <c r="X24" s="311"/>
    </row>
    <row r="25" spans="2:24" ht="10.5" thickBot="1">
      <c r="B25" s="290"/>
      <c r="C25" s="291"/>
      <c r="D25" s="292"/>
      <c r="E25" s="293"/>
      <c r="F25" s="294"/>
      <c r="G25" s="283"/>
      <c r="H25" s="273"/>
      <c r="I25" s="179"/>
      <c r="J25" s="180"/>
      <c r="K25" s="297"/>
      <c r="L25" s="298"/>
      <c r="M25" s="298"/>
      <c r="N25" s="53"/>
      <c r="O25" s="291"/>
      <c r="P25" s="291"/>
      <c r="Q25" s="291"/>
      <c r="R25" s="291"/>
      <c r="S25" s="54"/>
      <c r="T25" s="299"/>
      <c r="U25" s="699"/>
      <c r="V25" s="310"/>
      <c r="W25" s="312"/>
      <c r="X25" s="311"/>
    </row>
    <row r="26" spans="2:24">
      <c r="B26" s="290"/>
      <c r="C26" s="291"/>
      <c r="D26" s="292"/>
      <c r="E26" s="293"/>
      <c r="F26" s="294"/>
      <c r="G26" s="194"/>
      <c r="H26" s="273"/>
      <c r="I26" s="277"/>
      <c r="J26" s="296"/>
      <c r="K26" s="297"/>
      <c r="L26" s="298"/>
      <c r="M26" s="298"/>
      <c r="N26" s="53"/>
      <c r="O26" s="291"/>
      <c r="P26" s="291"/>
      <c r="Q26" s="291"/>
      <c r="R26" s="291"/>
      <c r="S26" s="54"/>
      <c r="T26" s="299"/>
      <c r="U26" s="699"/>
      <c r="V26" s="310"/>
      <c r="W26" s="312"/>
      <c r="X26" s="311"/>
    </row>
    <row r="27" spans="2:24" ht="10.5">
      <c r="B27" s="93"/>
      <c r="C27" s="93"/>
      <c r="D27" s="93"/>
      <c r="E27" s="93"/>
      <c r="F27" s="93"/>
      <c r="G27" s="93"/>
      <c r="H27" s="93"/>
      <c r="I27" s="93"/>
      <c r="J27" s="93"/>
      <c r="K27" s="93"/>
      <c r="L27" s="93"/>
      <c r="M27" s="93"/>
      <c r="N27" s="93"/>
      <c r="O27" s="291"/>
      <c r="P27" s="291"/>
      <c r="Q27" s="291"/>
      <c r="R27" s="291"/>
      <c r="S27" s="54"/>
      <c r="T27" s="299"/>
      <c r="U27" s="699"/>
      <c r="V27" s="310"/>
      <c r="W27" s="312"/>
      <c r="X27" s="311"/>
    </row>
    <row r="28" spans="2:24" ht="10.5">
      <c r="B28" s="196"/>
      <c r="C28" s="248"/>
      <c r="D28" s="197"/>
      <c r="E28" s="197"/>
      <c r="F28" s="197"/>
      <c r="G28" s="197"/>
      <c r="H28" s="197"/>
      <c r="I28" s="197"/>
      <c r="J28" s="197"/>
      <c r="K28" s="197"/>
      <c r="L28" s="197"/>
      <c r="M28" s="197"/>
      <c r="N28" s="197"/>
      <c r="O28" s="267"/>
      <c r="P28" s="267"/>
      <c r="Q28" s="267"/>
      <c r="R28" s="267"/>
      <c r="S28" s="54"/>
      <c r="T28" s="299"/>
      <c r="U28" s="699"/>
      <c r="V28" s="310"/>
      <c r="W28" s="312"/>
      <c r="X28" s="311"/>
    </row>
    <row r="29" spans="2:24" ht="10.5">
      <c r="B29" s="106"/>
      <c r="C29" s="134"/>
      <c r="D29" s="292"/>
      <c r="E29" s="293"/>
      <c r="F29" s="294"/>
      <c r="G29" s="294"/>
      <c r="H29" s="187"/>
      <c r="I29" s="295"/>
      <c r="J29" s="296"/>
      <c r="K29" s="297"/>
      <c r="L29" s="298"/>
      <c r="M29" s="298"/>
      <c r="N29" s="53"/>
      <c r="O29" s="291"/>
      <c r="P29" s="291"/>
      <c r="Q29" s="291"/>
      <c r="R29" s="291"/>
      <c r="S29" s="54"/>
      <c r="T29" s="299"/>
      <c r="U29" s="699"/>
      <c r="V29" s="310"/>
      <c r="W29" s="312"/>
      <c r="X29" s="311"/>
    </row>
    <row r="30" spans="2:24">
      <c r="B30" s="290"/>
      <c r="C30" s="291"/>
      <c r="D30" s="292"/>
      <c r="E30" s="293"/>
      <c r="F30" s="294"/>
      <c r="G30" s="294"/>
      <c r="H30" s="187"/>
      <c r="I30" s="295"/>
      <c r="J30" s="296"/>
      <c r="K30" s="297"/>
      <c r="L30" s="298"/>
      <c r="M30" s="298"/>
      <c r="N30" s="53"/>
      <c r="O30" s="291"/>
      <c r="P30" s="291"/>
      <c r="Q30" s="291"/>
      <c r="R30" s="291"/>
      <c r="S30" s="54"/>
      <c r="T30" s="299"/>
      <c r="U30" s="699"/>
      <c r="V30" s="310"/>
      <c r="W30" s="312"/>
      <c r="X30" s="311"/>
    </row>
    <row r="31" spans="2:24" ht="10.5">
      <c r="B31" s="196"/>
      <c r="C31" s="248"/>
      <c r="D31" s="267"/>
      <c r="E31" s="267"/>
      <c r="F31" s="267"/>
      <c r="G31" s="267"/>
      <c r="H31" s="267"/>
      <c r="I31" s="267"/>
      <c r="J31" s="267"/>
      <c r="K31" s="267"/>
      <c r="L31" s="267"/>
      <c r="M31" s="267"/>
      <c r="N31" s="267"/>
      <c r="O31" s="267"/>
      <c r="P31" s="267"/>
      <c r="Q31" s="267"/>
      <c r="R31" s="267"/>
      <c r="S31" s="54"/>
      <c r="T31" s="299"/>
      <c r="U31" s="699"/>
      <c r="V31" s="310"/>
      <c r="W31" s="312"/>
      <c r="X31" s="311"/>
    </row>
    <row r="32" spans="2:24" ht="10.5">
      <c r="B32" s="196"/>
      <c r="C32" s="248"/>
      <c r="D32" s="197"/>
      <c r="E32" s="197"/>
      <c r="F32" s="197"/>
      <c r="G32" s="197"/>
      <c r="H32" s="197"/>
      <c r="I32" s="197"/>
      <c r="J32" s="197"/>
      <c r="K32" s="197"/>
      <c r="L32" s="197"/>
      <c r="M32" s="197"/>
      <c r="N32" s="197"/>
      <c r="O32" s="291"/>
      <c r="P32" s="291"/>
      <c r="Q32" s="291"/>
      <c r="R32" s="291"/>
      <c r="S32" s="54"/>
      <c r="T32" s="299"/>
      <c r="U32" s="699"/>
      <c r="V32" s="310"/>
      <c r="W32" s="312"/>
      <c r="X32" s="311"/>
    </row>
    <row r="33" spans="2:24">
      <c r="B33" s="290"/>
      <c r="C33" s="291"/>
      <c r="D33" s="292"/>
      <c r="E33" s="293"/>
      <c r="F33" s="294"/>
      <c r="G33" s="294"/>
      <c r="H33" s="187"/>
      <c r="I33" s="295"/>
      <c r="J33" s="296"/>
      <c r="K33" s="297"/>
      <c r="L33" s="298"/>
      <c r="M33" s="298"/>
      <c r="N33" s="53"/>
      <c r="O33" s="291"/>
      <c r="P33" s="291"/>
      <c r="Q33" s="291"/>
      <c r="R33" s="291"/>
      <c r="S33" s="54"/>
      <c r="T33" s="299"/>
      <c r="U33" s="699"/>
      <c r="V33" s="310"/>
      <c r="W33" s="312"/>
      <c r="X33" s="311"/>
    </row>
    <row r="34" spans="2:24" ht="10.5" thickBot="1">
      <c r="B34" s="300"/>
      <c r="C34" s="301"/>
      <c r="D34" s="302"/>
      <c r="E34" s="303"/>
      <c r="F34" s="304"/>
      <c r="G34" s="304"/>
      <c r="H34" s="257"/>
      <c r="I34" s="305"/>
      <c r="J34" s="306"/>
      <c r="K34" s="307"/>
      <c r="L34" s="308"/>
      <c r="M34" s="308"/>
      <c r="N34" s="258"/>
      <c r="O34" s="301"/>
      <c r="P34" s="301"/>
      <c r="Q34" s="301"/>
      <c r="R34" s="301"/>
      <c r="S34" s="259"/>
      <c r="T34" s="309"/>
      <c r="U34" s="699"/>
      <c r="V34" s="310"/>
      <c r="W34" s="312"/>
      <c r="X34" s="311"/>
    </row>
    <row r="35" spans="2:24" ht="11.1" thickBot="1">
      <c r="B35" s="107"/>
      <c r="C35" s="240"/>
      <c r="D35" s="108"/>
      <c r="E35" s="85"/>
      <c r="F35" s="34"/>
      <c r="G35" s="34"/>
      <c r="H35" s="155"/>
      <c r="I35" s="34"/>
      <c r="J35" s="157"/>
      <c r="K35" s="29"/>
      <c r="L35" s="29"/>
      <c r="M35" s="29"/>
      <c r="N35" s="29"/>
      <c r="O35" s="123"/>
    </row>
    <row r="36" spans="2:24" ht="10.5">
      <c r="B36" s="114"/>
      <c r="D36" s="147"/>
      <c r="E36" s="148"/>
      <c r="F36" s="149"/>
      <c r="G36" s="149"/>
      <c r="H36" s="155"/>
      <c r="I36" s="149"/>
      <c r="J36" s="158"/>
      <c r="K36" s="97"/>
      <c r="L36" s="38"/>
      <c r="M36" s="38"/>
      <c r="N36" s="38"/>
      <c r="O36" s="38"/>
    </row>
    <row r="37" spans="2:24" ht="11.1" thickBot="1">
      <c r="B37" s="115"/>
      <c r="C37" s="98"/>
      <c r="D37" s="146"/>
      <c r="E37" s="85"/>
      <c r="F37" s="34"/>
      <c r="G37" s="34"/>
      <c r="H37" s="155"/>
      <c r="I37" s="34"/>
      <c r="J37" s="157"/>
      <c r="K37" s="116"/>
      <c r="L37" s="116"/>
      <c r="M37" s="116"/>
      <c r="N37" s="116"/>
      <c r="O37" s="324"/>
    </row>
    <row r="38" spans="2:24" ht="10.5">
      <c r="B38" s="196"/>
      <c r="C38" s="248"/>
      <c r="D38" s="197"/>
      <c r="E38" s="116"/>
      <c r="F38" s="116"/>
      <c r="G38" s="116"/>
      <c r="H38" s="116"/>
      <c r="I38" s="116"/>
      <c r="J38" s="116"/>
      <c r="K38" s="116"/>
      <c r="L38" s="116"/>
      <c r="M38" s="116"/>
      <c r="N38" s="116"/>
    </row>
    <row r="39" spans="2:24">
      <c r="B39" s="115"/>
      <c r="C39" s="98"/>
      <c r="D39" s="116"/>
      <c r="E39" s="116"/>
      <c r="F39" s="116"/>
      <c r="G39" s="116"/>
      <c r="H39" s="116"/>
      <c r="I39" s="116"/>
      <c r="J39" s="116"/>
      <c r="K39" s="116"/>
      <c r="L39" s="116"/>
      <c r="M39" s="116"/>
      <c r="N39" s="116"/>
    </row>
    <row r="40" spans="2:24" ht="10.5">
      <c r="B40" s="243"/>
      <c r="C40" s="243"/>
      <c r="D40" s="243"/>
      <c r="E40" s="243"/>
      <c r="F40" s="243"/>
      <c r="G40" s="243"/>
      <c r="H40" s="243"/>
      <c r="I40" s="243"/>
      <c r="J40" s="243"/>
      <c r="K40" s="243"/>
      <c r="L40" s="243"/>
      <c r="M40" s="243"/>
      <c r="N40" s="243"/>
    </row>
    <row r="42" spans="2:24" ht="10.5">
      <c r="B42" s="196"/>
      <c r="C42" s="248"/>
      <c r="D42" s="197"/>
      <c r="E42" s="243"/>
      <c r="G42" s="243"/>
      <c r="H42" s="243"/>
      <c r="I42" s="243"/>
      <c r="J42" s="243"/>
    </row>
    <row r="43" spans="2:24" ht="10.5">
      <c r="B43" s="90"/>
      <c r="C43" s="29"/>
      <c r="D43" s="29"/>
      <c r="E43" s="29"/>
      <c r="F43" s="29"/>
      <c r="G43" s="29"/>
      <c r="H43" s="29"/>
      <c r="I43" s="29"/>
      <c r="J43" s="29"/>
      <c r="K43" s="29"/>
      <c r="L43" s="29"/>
      <c r="M43" s="29"/>
      <c r="N43" s="29"/>
    </row>
    <row r="44" spans="2:24">
      <c r="B44" s="271"/>
      <c r="C44" s="272"/>
      <c r="D44" s="272"/>
      <c r="E44" s="272"/>
      <c r="F44" s="116"/>
      <c r="G44" s="271"/>
      <c r="H44" s="186"/>
      <c r="I44" s="186"/>
      <c r="J44" s="186"/>
      <c r="K44" s="116"/>
      <c r="L44" s="116"/>
      <c r="M44" s="116"/>
      <c r="N44" s="116"/>
    </row>
    <row r="45" spans="2:24">
      <c r="B45" s="271"/>
      <c r="C45" s="272"/>
      <c r="D45" s="272"/>
      <c r="E45" s="272"/>
      <c r="F45" s="116"/>
      <c r="G45" s="271"/>
      <c r="H45" s="186"/>
      <c r="I45" s="186"/>
      <c r="J45" s="186"/>
      <c r="K45" s="116"/>
      <c r="L45" s="116"/>
      <c r="M45" s="116"/>
      <c r="N45" s="116"/>
    </row>
    <row r="46" spans="2:24" ht="10.5" thickBot="1">
      <c r="B46" s="271"/>
      <c r="C46" s="272"/>
      <c r="D46" s="272"/>
      <c r="E46" s="272"/>
      <c r="F46" s="117"/>
      <c r="G46" s="271"/>
      <c r="H46" s="186"/>
      <c r="I46" s="186"/>
      <c r="J46" s="186"/>
      <c r="K46" s="117"/>
      <c r="L46" s="117"/>
      <c r="M46" s="117"/>
      <c r="N46" s="117"/>
    </row>
    <row r="47" spans="2:24" ht="10.5">
      <c r="B47" s="271"/>
      <c r="C47" s="272"/>
      <c r="D47" s="272"/>
      <c r="E47" s="272"/>
      <c r="F47" s="93"/>
      <c r="G47" s="271"/>
      <c r="H47" s="186"/>
      <c r="I47" s="186"/>
      <c r="J47" s="186"/>
      <c r="K47" s="93"/>
      <c r="L47" s="93"/>
      <c r="M47" s="93"/>
      <c r="N47" s="93"/>
    </row>
    <row r="48" spans="2:24" ht="10.5">
      <c r="B48" s="253"/>
      <c r="C48" s="272"/>
      <c r="D48" s="272"/>
      <c r="E48" s="272"/>
      <c r="G48" s="271"/>
      <c r="H48" s="186"/>
      <c r="I48" s="186"/>
      <c r="J48" s="186"/>
    </row>
    <row r="49" spans="2:15">
      <c r="B49" s="247"/>
      <c r="C49" s="272"/>
      <c r="D49" s="272"/>
      <c r="E49" s="272"/>
      <c r="G49" s="247"/>
      <c r="H49" s="186"/>
      <c r="I49" s="186"/>
      <c r="J49" s="186"/>
    </row>
    <row r="51" spans="2:15" ht="10.5">
      <c r="B51" s="90"/>
      <c r="C51" s="29"/>
      <c r="D51" s="29"/>
      <c r="E51" s="29"/>
      <c r="F51" s="29"/>
      <c r="G51" s="29"/>
      <c r="H51" s="29"/>
      <c r="I51" s="29"/>
      <c r="J51" s="29"/>
      <c r="K51" s="29"/>
      <c r="L51" s="29"/>
      <c r="M51" s="29"/>
      <c r="N51" s="29"/>
    </row>
    <row r="54" spans="2:15" ht="10.5">
      <c r="B54" s="243"/>
      <c r="C54" s="243"/>
      <c r="D54" s="243"/>
      <c r="E54" s="243"/>
      <c r="F54" s="243"/>
      <c r="G54" s="243"/>
      <c r="H54" s="243"/>
      <c r="I54" s="243"/>
      <c r="J54" s="243"/>
      <c r="K54" s="243"/>
      <c r="L54" s="243"/>
      <c r="M54" s="243"/>
      <c r="N54" s="243"/>
    </row>
    <row r="61" spans="2:15" ht="10.5">
      <c r="B61" s="29"/>
      <c r="C61" s="29"/>
      <c r="D61" s="29"/>
      <c r="E61" s="29"/>
      <c r="F61" s="29"/>
      <c r="G61" s="29"/>
      <c r="H61" s="29"/>
      <c r="I61" s="29"/>
      <c r="J61" s="29"/>
      <c r="K61" s="29"/>
      <c r="L61" s="29"/>
      <c r="M61" s="29"/>
      <c r="N61" s="29"/>
      <c r="O61" s="29"/>
    </row>
    <row r="63" spans="2:15" ht="10.5">
      <c r="B63" s="120"/>
      <c r="O63" s="125"/>
    </row>
    <row r="64" spans="2:15">
      <c r="B64" s="118"/>
      <c r="D64" s="97"/>
      <c r="E64" s="97"/>
      <c r="F64" s="97"/>
      <c r="G64" s="97"/>
      <c r="H64" s="97"/>
      <c r="I64" s="97"/>
      <c r="J64" s="97"/>
      <c r="K64" s="97"/>
      <c r="L64" s="97"/>
      <c r="M64" s="97"/>
      <c r="N64" s="97"/>
      <c r="O64" s="126"/>
    </row>
    <row r="65" spans="2:15">
      <c r="B65" s="118"/>
      <c r="D65" s="97"/>
      <c r="E65" s="97"/>
      <c r="F65" s="97"/>
      <c r="G65" s="97"/>
      <c r="H65" s="97"/>
      <c r="I65" s="97"/>
      <c r="J65" s="97"/>
      <c r="K65" s="97"/>
      <c r="L65" s="97"/>
      <c r="M65" s="97"/>
      <c r="N65" s="97"/>
      <c r="O65" s="126"/>
    </row>
    <row r="66" spans="2:15">
      <c r="B66" s="118"/>
      <c r="D66" s="97"/>
      <c r="E66" s="97"/>
      <c r="F66" s="97"/>
      <c r="G66" s="97"/>
      <c r="H66" s="97"/>
      <c r="I66" s="97"/>
      <c r="J66" s="97"/>
      <c r="K66" s="97"/>
      <c r="L66" s="97"/>
      <c r="M66" s="97"/>
      <c r="N66" s="97"/>
      <c r="O66" s="80"/>
    </row>
    <row r="67" spans="2:15" ht="10.5">
      <c r="B67" s="93"/>
      <c r="C67" s="93"/>
      <c r="D67" s="93"/>
      <c r="E67" s="93"/>
      <c r="F67" s="93"/>
      <c r="G67" s="93"/>
      <c r="H67" s="93"/>
      <c r="I67" s="93"/>
      <c r="J67" s="93"/>
      <c r="K67" s="93"/>
      <c r="L67" s="93"/>
      <c r="M67" s="93"/>
      <c r="N67" s="93"/>
      <c r="O67" s="125"/>
    </row>
    <row r="68" spans="2:15">
      <c r="B68" s="105"/>
      <c r="D68" s="97"/>
      <c r="E68" s="97"/>
      <c r="F68" s="97"/>
      <c r="G68" s="97"/>
      <c r="H68" s="97"/>
      <c r="I68" s="97"/>
      <c r="J68" s="97"/>
      <c r="K68" s="97"/>
      <c r="L68" s="97"/>
      <c r="M68" s="97"/>
      <c r="N68" s="97"/>
      <c r="O68" s="126"/>
    </row>
    <row r="69" spans="2:15">
      <c r="B69" s="105"/>
      <c r="D69" s="97"/>
      <c r="E69" s="97"/>
      <c r="F69" s="97"/>
      <c r="G69" s="97"/>
      <c r="H69" s="97"/>
      <c r="I69" s="97"/>
      <c r="J69" s="97"/>
      <c r="K69" s="97"/>
      <c r="L69" s="97"/>
      <c r="M69" s="97"/>
      <c r="N69" s="97"/>
      <c r="O69" s="126"/>
    </row>
    <row r="70" spans="2:15">
      <c r="B70" s="105"/>
      <c r="D70" s="97"/>
      <c r="E70" s="97"/>
      <c r="F70" s="97"/>
      <c r="G70" s="97"/>
      <c r="H70" s="97"/>
      <c r="I70" s="97"/>
      <c r="J70" s="97"/>
      <c r="K70" s="97"/>
      <c r="L70" s="97"/>
      <c r="M70" s="97"/>
      <c r="N70" s="97"/>
      <c r="O70" s="126"/>
    </row>
    <row r="71" spans="2:15" ht="10.5">
      <c r="B71" s="184"/>
      <c r="C71" s="184"/>
      <c r="D71" s="184"/>
      <c r="E71" s="184"/>
      <c r="F71" s="184"/>
      <c r="G71" s="184"/>
      <c r="H71" s="184"/>
      <c r="I71" s="184"/>
      <c r="J71" s="184"/>
      <c r="K71" s="97"/>
      <c r="L71" s="97"/>
      <c r="M71" s="97"/>
      <c r="N71" s="97"/>
      <c r="O71" s="126"/>
    </row>
    <row r="72" spans="2:15">
      <c r="B72" s="320"/>
      <c r="C72" s="318"/>
      <c r="D72" s="319"/>
      <c r="E72" s="319"/>
      <c r="F72" s="319"/>
      <c r="G72" s="319"/>
      <c r="H72" s="319"/>
      <c r="I72" s="319"/>
      <c r="J72" s="319"/>
      <c r="K72" s="319"/>
      <c r="L72" s="319"/>
      <c r="M72" s="319"/>
      <c r="N72" s="319"/>
      <c r="O72" s="328"/>
    </row>
    <row r="73" spans="2:15">
      <c r="B73" s="118"/>
      <c r="D73" s="97"/>
      <c r="E73" s="97"/>
      <c r="F73" s="97"/>
      <c r="G73" s="97"/>
      <c r="H73" s="97"/>
      <c r="I73" s="97"/>
      <c r="J73" s="97"/>
      <c r="K73" s="97"/>
      <c r="L73" s="97"/>
      <c r="M73" s="97"/>
      <c r="N73" s="97"/>
      <c r="O73" s="127"/>
    </row>
    <row r="74" spans="2:15">
      <c r="B74" s="247"/>
      <c r="C74" s="185"/>
      <c r="D74" s="222"/>
      <c r="E74" s="273"/>
      <c r="F74" s="223"/>
      <c r="G74" s="186"/>
      <c r="H74" s="223"/>
      <c r="I74" s="274"/>
      <c r="J74" s="186"/>
      <c r="K74" s="97"/>
      <c r="L74" s="97"/>
      <c r="M74" s="97"/>
      <c r="N74" s="97"/>
      <c r="O74" s="126"/>
    </row>
    <row r="75" spans="2:15">
      <c r="B75" s="247"/>
      <c r="C75" s="185"/>
      <c r="D75" s="222"/>
      <c r="E75" s="273"/>
      <c r="F75" s="223"/>
      <c r="G75" s="186"/>
      <c r="H75" s="223"/>
      <c r="I75" s="274"/>
      <c r="J75" s="186"/>
      <c r="K75" s="97"/>
      <c r="L75" s="97"/>
      <c r="M75" s="97"/>
      <c r="N75" s="97"/>
      <c r="O75" s="127"/>
    </row>
    <row r="76" spans="2:15">
      <c r="B76" s="247"/>
      <c r="C76" s="185"/>
      <c r="D76" s="222"/>
      <c r="E76" s="273"/>
      <c r="F76" s="223"/>
      <c r="G76" s="186"/>
      <c r="H76" s="223"/>
      <c r="I76" s="274"/>
      <c r="J76" s="186"/>
      <c r="K76" s="97"/>
      <c r="L76" s="97"/>
      <c r="M76" s="97"/>
      <c r="N76" s="97"/>
      <c r="O76" s="126"/>
    </row>
    <row r="77" spans="2:15">
      <c r="B77" s="247"/>
      <c r="C77" s="185"/>
      <c r="D77" s="222"/>
      <c r="E77" s="273"/>
      <c r="F77" s="223"/>
      <c r="G77" s="186"/>
      <c r="H77" s="223"/>
      <c r="I77" s="274"/>
      <c r="J77" s="186"/>
      <c r="K77" s="97"/>
      <c r="L77" s="97"/>
      <c r="M77" s="97"/>
      <c r="N77" s="97"/>
      <c r="O77" s="80"/>
    </row>
    <row r="78" spans="2:15">
      <c r="B78" s="247"/>
      <c r="C78" s="185"/>
      <c r="D78" s="222"/>
      <c r="E78" s="273"/>
      <c r="F78" s="223"/>
      <c r="G78" s="186"/>
      <c r="H78" s="223"/>
      <c r="I78" s="274"/>
      <c r="J78" s="186"/>
    </row>
    <row r="79" spans="2:15">
      <c r="B79" s="247"/>
      <c r="C79" s="185"/>
      <c r="D79" s="222"/>
      <c r="E79" s="273"/>
      <c r="F79" s="223"/>
      <c r="G79" s="186"/>
      <c r="H79" s="223"/>
      <c r="I79" s="274"/>
      <c r="J79" s="186"/>
    </row>
    <row r="80" spans="2:15">
      <c r="B80" s="247"/>
      <c r="C80" s="185"/>
      <c r="D80" s="222"/>
      <c r="E80" s="273"/>
      <c r="F80" s="223"/>
      <c r="G80" s="186"/>
      <c r="H80" s="223"/>
      <c r="I80" s="274"/>
      <c r="J80" s="186"/>
    </row>
    <row r="81" spans="2:15">
      <c r="B81" s="247"/>
      <c r="C81" s="185"/>
      <c r="D81" s="222"/>
      <c r="E81" s="273"/>
      <c r="F81" s="223"/>
      <c r="G81" s="186"/>
      <c r="H81" s="223"/>
      <c r="I81" s="274"/>
      <c r="J81" s="186"/>
    </row>
    <row r="82" spans="2:15">
      <c r="B82" s="247"/>
      <c r="C82" s="185"/>
      <c r="D82" s="222"/>
      <c r="E82" s="273"/>
      <c r="F82" s="223"/>
      <c r="G82" s="186"/>
      <c r="H82" s="223"/>
      <c r="I82" s="274"/>
      <c r="J82" s="186"/>
    </row>
    <row r="83" spans="2:15">
      <c r="B83" s="247"/>
      <c r="C83" s="185"/>
      <c r="D83" s="222"/>
      <c r="E83" s="273"/>
      <c r="F83" s="223"/>
      <c r="G83" s="186"/>
      <c r="H83" s="223"/>
      <c r="I83" s="274"/>
      <c r="J83" s="186"/>
    </row>
    <row r="84" spans="2:15">
      <c r="B84" s="247"/>
      <c r="C84" s="185"/>
      <c r="D84" s="222"/>
      <c r="E84" s="273"/>
      <c r="F84" s="223"/>
      <c r="G84" s="186"/>
      <c r="H84" s="223"/>
      <c r="I84" s="274"/>
      <c r="J84" s="186"/>
    </row>
    <row r="85" spans="2:15">
      <c r="B85" s="247"/>
      <c r="C85" s="185"/>
      <c r="D85" s="222"/>
      <c r="E85" s="273"/>
      <c r="F85" s="223"/>
      <c r="G85" s="186"/>
      <c r="H85" s="223"/>
      <c r="I85" s="274"/>
      <c r="J85" s="186"/>
    </row>
    <row r="86" spans="2:15">
      <c r="B86" s="247"/>
      <c r="C86" s="185"/>
      <c r="D86" s="222"/>
      <c r="E86" s="275"/>
      <c r="F86" s="223"/>
      <c r="G86" s="186"/>
      <c r="H86" s="223"/>
      <c r="I86" s="276"/>
      <c r="J86" s="186"/>
    </row>
    <row r="87" spans="2:15" ht="10.5">
      <c r="B87" s="247"/>
      <c r="C87" s="185"/>
      <c r="D87" s="222"/>
      <c r="E87" s="275"/>
      <c r="F87" s="223"/>
      <c r="G87" s="186"/>
      <c r="H87" s="223"/>
      <c r="I87" s="276"/>
      <c r="J87" s="186"/>
      <c r="K87" s="93"/>
      <c r="L87" s="93"/>
      <c r="M87" s="93"/>
      <c r="N87" s="93"/>
      <c r="O87" s="93"/>
    </row>
    <row r="88" spans="2:15">
      <c r="B88" s="247"/>
      <c r="C88" s="185"/>
      <c r="D88" s="222"/>
      <c r="E88" s="275"/>
      <c r="F88" s="223"/>
      <c r="G88" s="186"/>
      <c r="H88" s="223"/>
      <c r="I88" s="276"/>
      <c r="J88" s="186"/>
    </row>
    <row r="97" spans="2:15" ht="10.5">
      <c r="B97" s="184"/>
      <c r="C97" s="184"/>
      <c r="D97" s="184"/>
      <c r="E97" s="184"/>
      <c r="F97" s="184"/>
      <c r="G97" s="184"/>
      <c r="H97" s="184"/>
      <c r="I97" s="184"/>
      <c r="J97" s="184"/>
    </row>
    <row r="99" spans="2:15">
      <c r="B99" s="247"/>
      <c r="C99" s="185"/>
      <c r="D99" s="222"/>
      <c r="E99" s="277"/>
      <c r="F99" s="223"/>
      <c r="G99" s="223"/>
      <c r="H99" s="223"/>
      <c r="I99" s="238"/>
      <c r="J99" s="186"/>
    </row>
    <row r="100" spans="2:15">
      <c r="B100" s="247"/>
      <c r="C100" s="185"/>
      <c r="D100" s="222"/>
      <c r="E100" s="277"/>
      <c r="F100" s="223"/>
      <c r="G100" s="223"/>
      <c r="H100" s="223"/>
      <c r="I100" s="238"/>
      <c r="J100" s="186"/>
    </row>
    <row r="101" spans="2:15">
      <c r="B101" s="247"/>
      <c r="C101" s="185"/>
      <c r="D101" s="222"/>
      <c r="E101" s="277"/>
      <c r="F101" s="223"/>
      <c r="G101" s="223"/>
      <c r="H101" s="223"/>
      <c r="I101" s="238"/>
      <c r="J101" s="186"/>
    </row>
    <row r="102" spans="2:15">
      <c r="B102" s="247"/>
      <c r="C102" s="185"/>
      <c r="D102" s="222"/>
      <c r="E102" s="277"/>
      <c r="F102" s="223"/>
      <c r="G102" s="223"/>
      <c r="H102" s="223"/>
      <c r="I102" s="238"/>
      <c r="J102" s="186"/>
    </row>
    <row r="103" spans="2:15">
      <c r="B103" s="247"/>
      <c r="C103" s="185"/>
      <c r="D103" s="222"/>
      <c r="E103" s="277"/>
      <c r="F103" s="223"/>
      <c r="G103" s="223"/>
      <c r="H103" s="223"/>
      <c r="I103" s="238"/>
      <c r="J103" s="186"/>
    </row>
    <row r="104" spans="2:15">
      <c r="B104" s="247"/>
      <c r="C104" s="185"/>
      <c r="D104" s="222"/>
      <c r="E104" s="277"/>
      <c r="F104" s="223"/>
      <c r="G104" s="223"/>
      <c r="H104" s="223"/>
      <c r="I104" s="238"/>
      <c r="J104" s="186"/>
    </row>
    <row r="105" spans="2:15">
      <c r="B105" s="247"/>
      <c r="C105" s="185"/>
      <c r="D105" s="222"/>
      <c r="E105" s="277"/>
      <c r="F105" s="223"/>
      <c r="G105" s="223"/>
      <c r="H105" s="223"/>
      <c r="I105" s="238"/>
      <c r="J105" s="186"/>
    </row>
    <row r="106" spans="2:15">
      <c r="B106" s="247"/>
      <c r="C106" s="185"/>
      <c r="D106" s="222"/>
      <c r="E106" s="277"/>
      <c r="F106" s="223"/>
      <c r="G106" s="223"/>
      <c r="H106" s="223"/>
      <c r="I106" s="238"/>
      <c r="J106" s="186"/>
    </row>
    <row r="107" spans="2:15">
      <c r="B107" s="247"/>
      <c r="C107" s="185"/>
      <c r="D107" s="222"/>
      <c r="E107" s="277"/>
      <c r="F107" s="223"/>
      <c r="G107" s="223"/>
      <c r="H107" s="223"/>
      <c r="I107" s="238"/>
      <c r="J107" s="186"/>
    </row>
    <row r="108" spans="2:15" ht="10.5">
      <c r="B108" s="247"/>
      <c r="C108" s="185"/>
      <c r="D108" s="222"/>
      <c r="E108" s="277"/>
      <c r="F108" s="223"/>
      <c r="G108" s="223"/>
      <c r="H108" s="223"/>
      <c r="I108" s="238"/>
      <c r="J108" s="186"/>
      <c r="K108" s="93"/>
      <c r="L108" s="93"/>
      <c r="M108" s="93"/>
      <c r="N108" s="93"/>
      <c r="O108" s="93"/>
    </row>
    <row r="109" spans="2:15">
      <c r="B109" s="247"/>
      <c r="C109" s="185"/>
      <c r="D109" s="222"/>
      <c r="E109" s="277"/>
      <c r="F109" s="223"/>
      <c r="G109" s="223"/>
      <c r="H109" s="223"/>
      <c r="I109" s="238"/>
      <c r="J109" s="186"/>
    </row>
    <row r="110" spans="2:15">
      <c r="B110" s="247"/>
      <c r="C110" s="185"/>
      <c r="D110" s="222"/>
      <c r="E110" s="277"/>
      <c r="F110" s="223"/>
      <c r="G110" s="223"/>
      <c r="H110" s="223"/>
      <c r="I110" s="238"/>
      <c r="J110" s="186"/>
    </row>
    <row r="111" spans="2:15">
      <c r="B111" s="247"/>
      <c r="C111" s="185"/>
      <c r="D111" s="222"/>
      <c r="E111" s="278"/>
      <c r="F111" s="223"/>
      <c r="G111" s="223"/>
      <c r="H111" s="223"/>
      <c r="I111" s="239"/>
      <c r="J111" s="186"/>
    </row>
    <row r="112" spans="2:15">
      <c r="B112" s="247"/>
      <c r="C112" s="185"/>
      <c r="D112" s="222"/>
      <c r="E112" s="278"/>
      <c r="F112" s="223"/>
      <c r="G112" s="223"/>
      <c r="H112" s="223"/>
      <c r="I112" s="239"/>
      <c r="J112" s="186"/>
    </row>
    <row r="113" spans="2:10">
      <c r="B113" s="247"/>
      <c r="C113" s="185"/>
      <c r="D113" s="222"/>
      <c r="E113" s="278"/>
      <c r="F113" s="223"/>
      <c r="G113" s="223"/>
      <c r="H113" s="223"/>
      <c r="I113" s="239"/>
      <c r="J113" s="186"/>
    </row>
    <row r="119" spans="2:10" ht="10.5">
      <c r="B119" s="184"/>
      <c r="C119" s="184"/>
      <c r="D119" s="184"/>
      <c r="E119" s="184"/>
      <c r="F119" s="184"/>
      <c r="G119" s="184"/>
      <c r="H119" s="184"/>
      <c r="I119" s="184"/>
    </row>
    <row r="121" spans="2:10">
      <c r="B121" s="182"/>
      <c r="C121" s="185"/>
      <c r="D121" s="186"/>
      <c r="E121" s="223"/>
      <c r="F121" s="224"/>
      <c r="G121" s="222"/>
      <c r="H121" s="186"/>
      <c r="I121" s="186"/>
    </row>
    <row r="122" spans="2:10">
      <c r="B122" s="182"/>
      <c r="C122" s="185"/>
      <c r="D122" s="186"/>
      <c r="E122" s="223"/>
      <c r="F122" s="224"/>
      <c r="G122" s="222"/>
      <c r="H122" s="186"/>
      <c r="I122" s="186"/>
    </row>
    <row r="123" spans="2:10">
      <c r="B123" s="182"/>
      <c r="C123" s="185"/>
      <c r="D123" s="186"/>
      <c r="E123" s="223"/>
      <c r="F123" s="224"/>
      <c r="G123" s="222"/>
      <c r="H123" s="186"/>
      <c r="I123" s="186"/>
    </row>
    <row r="124" spans="2:10">
      <c r="B124" s="182"/>
      <c r="C124" s="185"/>
      <c r="D124" s="186"/>
      <c r="E124" s="223"/>
      <c r="F124" s="224"/>
      <c r="G124" s="222"/>
      <c r="H124" s="186"/>
      <c r="I124" s="186"/>
    </row>
    <row r="125" spans="2:10">
      <c r="B125" s="182"/>
      <c r="C125" s="185"/>
      <c r="D125" s="186"/>
      <c r="E125" s="223"/>
      <c r="F125" s="224"/>
      <c r="G125" s="222"/>
      <c r="H125" s="186"/>
      <c r="I125" s="186"/>
    </row>
    <row r="126" spans="2:10">
      <c r="B126" s="182"/>
      <c r="C126" s="185"/>
      <c r="D126" s="186"/>
      <c r="E126" s="223"/>
      <c r="F126" s="224"/>
      <c r="G126" s="222"/>
      <c r="H126" s="186"/>
      <c r="I126" s="186"/>
    </row>
    <row r="127" spans="2:10">
      <c r="B127" s="182"/>
      <c r="C127" s="185"/>
      <c r="D127" s="186"/>
      <c r="E127" s="223"/>
      <c r="F127" s="224"/>
      <c r="G127" s="222"/>
      <c r="H127" s="186"/>
      <c r="I127" s="186"/>
    </row>
    <row r="128" spans="2:10">
      <c r="B128" s="182"/>
      <c r="C128" s="185"/>
      <c r="D128" s="186"/>
      <c r="E128" s="223"/>
      <c r="F128" s="224"/>
      <c r="G128" s="222"/>
      <c r="H128" s="186"/>
      <c r="I128" s="186"/>
    </row>
    <row r="129" spans="2:15">
      <c r="B129" s="182"/>
      <c r="C129" s="185"/>
      <c r="D129" s="186"/>
      <c r="E129" s="223"/>
      <c r="F129" s="224"/>
      <c r="G129" s="222"/>
      <c r="H129" s="186"/>
      <c r="I129" s="186"/>
    </row>
    <row r="130" spans="2:15">
      <c r="B130" s="182"/>
      <c r="C130" s="185"/>
      <c r="D130" s="186"/>
      <c r="E130" s="223"/>
      <c r="F130" s="224"/>
      <c r="G130" s="222"/>
      <c r="H130" s="186"/>
      <c r="I130" s="186"/>
    </row>
    <row r="131" spans="2:15" ht="10.5">
      <c r="B131" s="182"/>
      <c r="C131" s="185"/>
      <c r="D131" s="186"/>
      <c r="E131" s="223"/>
      <c r="F131" s="224"/>
      <c r="G131" s="222"/>
      <c r="H131" s="186"/>
      <c r="I131" s="186"/>
      <c r="J131" s="93"/>
      <c r="K131" s="93"/>
      <c r="L131" s="93"/>
      <c r="M131" s="93"/>
      <c r="N131" s="93"/>
      <c r="O131" s="93"/>
    </row>
    <row r="132" spans="2:15">
      <c r="B132" s="182"/>
      <c r="C132" s="185"/>
      <c r="D132" s="186"/>
      <c r="E132" s="223"/>
      <c r="F132" s="224"/>
      <c r="G132" s="222"/>
      <c r="H132" s="186"/>
      <c r="I132" s="186"/>
    </row>
    <row r="133" spans="2:15">
      <c r="B133" s="182"/>
      <c r="C133" s="185"/>
      <c r="D133" s="186"/>
      <c r="E133" s="223"/>
      <c r="F133" s="224"/>
      <c r="G133" s="222"/>
      <c r="H133" s="186"/>
      <c r="I133" s="186"/>
    </row>
    <row r="134" spans="2:15">
      <c r="B134" s="182"/>
      <c r="C134" s="185"/>
      <c r="D134" s="186"/>
      <c r="E134" s="223"/>
      <c r="F134" s="224"/>
      <c r="G134" s="222"/>
      <c r="H134" s="186"/>
      <c r="I134" s="186"/>
    </row>
    <row r="135" spans="2:15">
      <c r="B135" s="182"/>
      <c r="C135" s="185"/>
      <c r="D135" s="186"/>
      <c r="E135" s="223"/>
      <c r="F135" s="224"/>
      <c r="G135" s="222"/>
      <c r="H135" s="186"/>
      <c r="I135" s="186"/>
    </row>
    <row r="138" spans="2:15" ht="10.5">
      <c r="C138" s="154"/>
      <c r="D138" s="38"/>
      <c r="E138" s="38"/>
      <c r="F138" s="38"/>
    </row>
    <row r="146" spans="2:15" ht="10.5">
      <c r="B146" s="184"/>
      <c r="C146" s="184"/>
      <c r="D146" s="184"/>
    </row>
    <row r="148" spans="2:15">
      <c r="B148" s="194"/>
      <c r="C148" s="226"/>
      <c r="D148" s="226"/>
    </row>
    <row r="149" spans="2:15">
      <c r="B149" s="194"/>
      <c r="C149" s="226"/>
      <c r="D149" s="226"/>
    </row>
    <row r="150" spans="2:15">
      <c r="B150" s="194"/>
      <c r="C150" s="226"/>
      <c r="D150" s="226"/>
    </row>
    <row r="151" spans="2:15">
      <c r="B151" s="194"/>
      <c r="C151" s="226"/>
      <c r="D151" s="226"/>
    </row>
    <row r="152" spans="2:15">
      <c r="B152" s="194"/>
      <c r="C152" s="226"/>
      <c r="D152" s="226"/>
    </row>
    <row r="154" spans="2:15" ht="10.5">
      <c r="B154" s="93"/>
      <c r="C154" s="93"/>
      <c r="D154" s="93"/>
      <c r="E154" s="93"/>
      <c r="F154" s="93"/>
      <c r="G154" s="93"/>
      <c r="H154" s="93"/>
      <c r="I154" s="93"/>
      <c r="J154" s="93"/>
      <c r="K154" s="93"/>
      <c r="L154" s="93"/>
      <c r="M154" s="93"/>
      <c r="N154" s="93"/>
      <c r="O154" s="93"/>
    </row>
    <row r="161" spans="2:5" ht="10.5">
      <c r="B161" s="227"/>
      <c r="C161" s="227"/>
      <c r="D161" s="227"/>
      <c r="E161" s="227"/>
    </row>
    <row r="163" spans="2:5">
      <c r="B163" s="231"/>
      <c r="C163" s="186"/>
      <c r="D163" s="186"/>
      <c r="E163" s="186"/>
    </row>
    <row r="164" spans="2:5">
      <c r="B164" s="231"/>
      <c r="C164" s="186"/>
      <c r="D164" s="186"/>
      <c r="E164" s="186"/>
    </row>
    <row r="165" spans="2:5">
      <c r="B165" s="232"/>
      <c r="C165" s="198"/>
      <c r="D165" s="182"/>
      <c r="E165" s="182"/>
    </row>
    <row r="166" spans="2:5">
      <c r="B166" s="232"/>
      <c r="C166" s="198"/>
      <c r="D166" s="182"/>
      <c r="E166" s="182"/>
    </row>
    <row r="167" spans="2:5" ht="10.5">
      <c r="B167" s="396"/>
      <c r="C167" s="397"/>
      <c r="D167" s="397"/>
      <c r="E167" s="397"/>
    </row>
    <row r="168" spans="2:5">
      <c r="B168" s="194"/>
      <c r="C168" s="233"/>
      <c r="D168" s="198"/>
      <c r="E168" s="182"/>
    </row>
    <row r="169" spans="2:5">
      <c r="B169" s="194"/>
      <c r="C169" s="233"/>
      <c r="D169" s="198"/>
      <c r="E169" s="182"/>
    </row>
    <row r="170" spans="2:5">
      <c r="B170" s="194"/>
      <c r="C170" s="233"/>
      <c r="D170" s="198"/>
      <c r="E170" s="182"/>
    </row>
    <row r="171" spans="2:5">
      <c r="B171" s="194"/>
      <c r="C171" s="233"/>
      <c r="D171" s="198"/>
      <c r="E171" s="182"/>
    </row>
    <row r="172" spans="2:5" ht="10.5">
      <c r="B172" s="396"/>
      <c r="C172" s="398"/>
      <c r="D172" s="398"/>
      <c r="E172" s="398"/>
    </row>
    <row r="173" spans="2:5">
      <c r="B173" s="234"/>
      <c r="C173" s="235"/>
      <c r="D173" s="182"/>
      <c r="E173" s="182"/>
    </row>
    <row r="174" spans="2:5">
      <c r="B174" s="234"/>
      <c r="C174" s="235"/>
      <c r="D174" s="182"/>
      <c r="E174" s="182"/>
    </row>
    <row r="175" spans="2:5">
      <c r="B175" s="234"/>
      <c r="C175" s="235"/>
      <c r="D175" s="182"/>
      <c r="E175" s="182"/>
    </row>
    <row r="177" spans="2:15" ht="10.5">
      <c r="B177" s="93"/>
      <c r="C177" s="93"/>
      <c r="D177" s="93"/>
      <c r="E177" s="93"/>
      <c r="F177" s="93"/>
      <c r="G177" s="93"/>
      <c r="H177" s="93"/>
      <c r="I177" s="93"/>
      <c r="J177" s="93"/>
      <c r="K177" s="93"/>
      <c r="L177" s="93"/>
      <c r="M177" s="93"/>
      <c r="N177" s="93"/>
      <c r="O177" s="93"/>
    </row>
    <row r="200" spans="2:15" ht="10.5">
      <c r="B200" s="93"/>
      <c r="C200" s="93"/>
      <c r="D200" s="93"/>
      <c r="E200" s="93"/>
      <c r="F200" s="93"/>
      <c r="G200" s="93"/>
      <c r="H200" s="93"/>
      <c r="I200" s="93"/>
      <c r="J200" s="93"/>
      <c r="K200" s="93"/>
      <c r="L200" s="93"/>
      <c r="M200" s="93"/>
      <c r="N200" s="93"/>
      <c r="O200" s="93"/>
    </row>
  </sheetData>
  <mergeCells count="1">
    <mergeCell ref="A7:F7"/>
  </mergeCells>
  <conditionalFormatting sqref="B44:B47">
    <cfRule type="cellIs" dxfId="56" priority="7" operator="equal">
      <formula>"not selected"</formula>
    </cfRule>
  </conditionalFormatting>
  <conditionalFormatting sqref="B121:I135">
    <cfRule type="expression" dxfId="55" priority="1">
      <formula>MOD(ROW(),2)=0</formula>
    </cfRule>
  </conditionalFormatting>
  <conditionalFormatting sqref="B74:J88">
    <cfRule type="expression" dxfId="54" priority="5">
      <formula>MOD(ROW(),2)=0</formula>
    </cfRule>
  </conditionalFormatting>
  <conditionalFormatting sqref="B99:J113">
    <cfRule type="expression" dxfId="53" priority="4">
      <formula>MOD(ROW(),2)=0</formula>
    </cfRule>
  </conditionalFormatting>
  <conditionalFormatting sqref="G44:G48">
    <cfRule type="cellIs" dxfId="52" priority="6" operator="equal">
      <formula>"not selected"</formula>
    </cfRule>
  </conditionalFormatting>
  <conditionalFormatting sqref="H18 T18">
    <cfRule type="cellIs" dxfId="51" priority="10" operator="equal">
      <formula>"Pass"</formula>
    </cfRule>
  </conditionalFormatting>
  <conditionalFormatting sqref="H18">
    <cfRule type="dataBar" priority="8">
      <dataBar>
        <cfvo type="min"/>
        <cfvo type="max"/>
        <color rgb="FF638EC6"/>
      </dataBar>
      <extLst>
        <ext xmlns:x14="http://schemas.microsoft.com/office/spreadsheetml/2009/9/main" uri="{B025F937-C7B1-47D3-B67F-A62EFF666E3E}">
          <x14:id>{2039160E-2EEB-42A2-AC43-BEA278961135}</x14:id>
        </ext>
      </extLst>
    </cfRule>
    <cfRule type="cellIs" dxfId="50" priority="9" operator="equal">
      <formula>"Fail"</formula>
    </cfRule>
  </conditionalFormatting>
  <conditionalFormatting sqref="I121:I135">
    <cfRule type="cellIs" dxfId="49" priority="2" operator="equal">
      <formula>"N"</formula>
    </cfRule>
    <cfRule type="cellIs" dxfId="48" priority="3" operator="equal">
      <formula>"Y"</formula>
    </cfRule>
  </conditionalFormatting>
  <conditionalFormatting sqref="O16">
    <cfRule type="iconSet" priority="14">
      <iconSet>
        <cfvo type="percent" val="0"/>
        <cfvo type="num" val="$O$11"/>
        <cfvo type="num" val="$O$11*1.1"/>
      </iconSet>
    </cfRule>
  </conditionalFormatting>
  <conditionalFormatting sqref="T18">
    <cfRule type="cellIs" dxfId="47" priority="11" operator="equal">
      <formula>"Fail"</formula>
    </cfRule>
  </conditionalFormatting>
  <conditionalFormatting sqref="T20:T34">
    <cfRule type="cellIs" dxfId="46" priority="12" operator="equal">
      <formula>"Pass"</formula>
    </cfRule>
    <cfRule type="cellIs" dxfId="45" priority="13" operator="equal">
      <formula>"Fail"</formula>
    </cfRule>
  </conditionalFormatting>
  <pageMargins left="0.7" right="0.7" top="0.75" bottom="0.75" header="0.3" footer="0.3"/>
  <pageSetup orientation="portrait" horizontalDpi="90" verticalDpi="90" r:id="rId1"/>
  <extLst>
    <ext xmlns:x14="http://schemas.microsoft.com/office/spreadsheetml/2009/9/main" uri="{78C0D931-6437-407d-A8EE-F0AAD7539E65}">
      <x14:conditionalFormattings>
        <x14:conditionalFormatting xmlns:xm="http://schemas.microsoft.com/office/excel/2006/main">
          <x14:cfRule type="dataBar" id="{2039160E-2EEB-42A2-AC43-BEA278961135}">
            <x14:dataBar minLength="0" maxLength="100" gradient="0">
              <x14:cfvo type="autoMin"/>
              <x14:cfvo type="autoMax"/>
              <x14:negativeFillColor rgb="FFFF0000"/>
              <x14:axisColor rgb="FF000000"/>
            </x14:dataBar>
          </x14:cfRule>
          <xm:sqref>H18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theme="5" tint="0.59999389629810485"/>
  </sheetPr>
  <dimension ref="A1:R137"/>
  <sheetViews>
    <sheetView workbookViewId="0">
      <selection activeCell="L35" sqref="L35:O35"/>
    </sheetView>
  </sheetViews>
  <sheetFormatPr defaultRowHeight="9.9499999999999993"/>
  <cols>
    <col min="2" max="2" width="34.1640625" customWidth="1"/>
    <col min="3" max="3" width="18.5" customWidth="1"/>
    <col min="4" max="4" width="51.33203125" customWidth="1"/>
    <col min="5" max="6" width="11.6640625" customWidth="1"/>
    <col min="7" max="11" width="10.6640625" customWidth="1"/>
    <col min="12" max="12" width="41.5" bestFit="1" customWidth="1"/>
    <col min="13" max="13" width="8.5" bestFit="1" customWidth="1"/>
    <col min="14" max="14" width="10.1640625" bestFit="1" customWidth="1"/>
    <col min="15" max="15" width="8.5" bestFit="1" customWidth="1"/>
  </cols>
  <sheetData>
    <row r="1" spans="1:18">
      <c r="A1" t="s">
        <v>1583</v>
      </c>
      <c r="B1" t="s">
        <v>1584</v>
      </c>
      <c r="C1" t="s">
        <v>1585</v>
      </c>
      <c r="D1" t="s">
        <v>1586</v>
      </c>
      <c r="E1" t="s">
        <v>1587</v>
      </c>
      <c r="F1" t="s">
        <v>1588</v>
      </c>
      <c r="G1" t="s">
        <v>1589</v>
      </c>
      <c r="H1" t="s">
        <v>1590</v>
      </c>
      <c r="I1" t="s">
        <v>1591</v>
      </c>
      <c r="J1" t="s">
        <v>1592</v>
      </c>
      <c r="K1" t="s">
        <v>1593</v>
      </c>
      <c r="L1" t="s">
        <v>1594</v>
      </c>
      <c r="M1" t="s">
        <v>1595</v>
      </c>
      <c r="N1" t="s">
        <v>1596</v>
      </c>
    </row>
    <row r="6" spans="1:18">
      <c r="D6" s="82"/>
      <c r="E6" s="83"/>
      <c r="F6" s="83"/>
      <c r="G6" s="83"/>
      <c r="H6" s="83"/>
      <c r="I6" s="83"/>
    </row>
    <row r="7" spans="1:18">
      <c r="C7" s="58"/>
    </row>
    <row r="10" spans="1:18">
      <c r="B10" s="33"/>
      <c r="C10" s="22"/>
      <c r="D10" s="36"/>
      <c r="E10" s="36"/>
      <c r="F10" s="36"/>
      <c r="G10" s="36"/>
      <c r="H10" s="36"/>
      <c r="I10" s="36"/>
      <c r="J10" s="36"/>
      <c r="K10" s="36"/>
      <c r="L10" s="36"/>
      <c r="M10" s="36"/>
      <c r="N10" s="36"/>
    </row>
    <row r="11" spans="1:18">
      <c r="B11" s="33"/>
      <c r="C11" s="22"/>
      <c r="D11" s="88"/>
      <c r="E11" s="88"/>
      <c r="F11" s="88"/>
      <c r="G11" s="88"/>
      <c r="H11" s="88"/>
      <c r="I11" s="88"/>
      <c r="J11" s="88"/>
      <c r="K11" s="88"/>
      <c r="L11" s="88"/>
      <c r="M11" s="88"/>
      <c r="N11" s="88"/>
    </row>
    <row r="12" spans="1:18">
      <c r="C12" s="58"/>
      <c r="D12" s="89"/>
      <c r="E12" s="89"/>
      <c r="F12" s="89"/>
      <c r="G12" s="89"/>
      <c r="H12" s="89"/>
      <c r="I12" s="89"/>
      <c r="J12" s="89"/>
      <c r="K12" s="89"/>
      <c r="L12" s="89"/>
      <c r="M12" s="89"/>
      <c r="N12" s="89"/>
      <c r="O12" s="89"/>
      <c r="P12" s="89"/>
      <c r="Q12" s="89"/>
      <c r="R12" s="89"/>
    </row>
    <row r="17" spans="3:18">
      <c r="C17" s="83"/>
      <c r="O17" s="89"/>
      <c r="P17" s="89"/>
      <c r="Q17" s="89"/>
      <c r="R17" s="89"/>
    </row>
    <row r="19" spans="3:18">
      <c r="C19" s="58"/>
      <c r="D19" s="89"/>
      <c r="E19" s="89"/>
      <c r="F19" s="89"/>
      <c r="G19" s="89"/>
      <c r="H19" s="89"/>
      <c r="I19" s="89"/>
      <c r="J19" s="89"/>
      <c r="K19" s="89"/>
      <c r="L19" s="89"/>
      <c r="M19" s="89"/>
      <c r="N19" s="89"/>
      <c r="O19" s="89"/>
      <c r="P19" s="89"/>
      <c r="Q19" s="89"/>
      <c r="R19" s="89"/>
    </row>
    <row r="21" spans="3:18">
      <c r="D21" s="89"/>
      <c r="E21" s="89"/>
      <c r="F21" s="89"/>
      <c r="G21" s="89"/>
      <c r="H21" s="89"/>
      <c r="I21" s="89"/>
      <c r="J21" s="89"/>
      <c r="K21" s="89"/>
      <c r="L21" s="89"/>
      <c r="M21" s="89"/>
      <c r="N21" s="89"/>
    </row>
    <row r="25" spans="3:18">
      <c r="D25" s="89"/>
      <c r="E25" s="89"/>
      <c r="F25" s="89"/>
      <c r="G25" s="89"/>
      <c r="H25" s="89"/>
      <c r="I25" s="89"/>
      <c r="J25" s="89"/>
      <c r="K25" s="89"/>
      <c r="L25" s="89"/>
      <c r="M25" s="89"/>
      <c r="N25" s="89"/>
    </row>
    <row r="26" spans="3:18">
      <c r="C26" s="58"/>
    </row>
    <row r="30" spans="3:18">
      <c r="C30" s="58"/>
    </row>
    <row r="33" spans="2:15" ht="10.5">
      <c r="B33" s="84"/>
    </row>
    <row r="36" spans="2:15">
      <c r="D36" s="104"/>
      <c r="E36" s="104"/>
      <c r="F36" s="104"/>
      <c r="G36" s="104"/>
      <c r="H36" s="104"/>
      <c r="I36" s="104"/>
      <c r="J36" s="104"/>
      <c r="K36" s="104"/>
      <c r="L36" s="104"/>
      <c r="M36" s="104"/>
      <c r="N36" s="104"/>
    </row>
    <row r="37" spans="2:15" ht="10.5" thickBot="1">
      <c r="B37" s="141"/>
      <c r="C37" s="136"/>
      <c r="D37" s="136"/>
      <c r="E37" s="136"/>
      <c r="M37" s="242"/>
      <c r="N37" s="242"/>
      <c r="O37" s="242"/>
    </row>
    <row r="38" spans="2:15">
      <c r="M38" s="242"/>
      <c r="N38" s="242"/>
      <c r="O38" s="242"/>
    </row>
    <row r="39" spans="2:15">
      <c r="M39" s="242"/>
      <c r="N39" s="242"/>
      <c r="O39" s="242"/>
    </row>
    <row r="41" spans="2:15" ht="18.95">
      <c r="B41" s="91"/>
    </row>
    <row r="43" spans="2:15" ht="10.5" thickBot="1">
      <c r="B43" s="35"/>
    </row>
    <row r="49" spans="2:14">
      <c r="B49" s="55"/>
    </row>
    <row r="50" spans="2:14">
      <c r="B50" s="55"/>
    </row>
    <row r="51" spans="2:14">
      <c r="B51" s="55"/>
    </row>
    <row r="55" spans="2:14">
      <c r="C55" s="32"/>
      <c r="D55" s="32"/>
      <c r="E55" s="32"/>
      <c r="F55" s="32"/>
      <c r="G55" s="32"/>
      <c r="H55" s="32"/>
      <c r="I55" s="32"/>
      <c r="J55" s="32"/>
      <c r="K55" s="32"/>
      <c r="L55" s="32"/>
      <c r="M55" s="32"/>
      <c r="N55" s="32"/>
    </row>
    <row r="57" spans="2:14">
      <c r="C57" s="32"/>
      <c r="D57" s="32"/>
      <c r="E57" s="32"/>
      <c r="F57" s="32"/>
      <c r="G57" s="32"/>
      <c r="H57" s="32"/>
      <c r="I57" s="32"/>
      <c r="J57" s="32"/>
      <c r="K57" s="32"/>
      <c r="L57" s="32"/>
      <c r="M57" s="32"/>
      <c r="N57" s="32"/>
    </row>
    <row r="58" spans="2:14" ht="10.5">
      <c r="B58" s="84"/>
    </row>
    <row r="70" spans="2:14">
      <c r="B70" s="33"/>
      <c r="C70" s="32"/>
      <c r="D70" s="94"/>
      <c r="E70" s="94"/>
      <c r="F70" s="94"/>
      <c r="G70" s="94"/>
      <c r="H70" s="94"/>
      <c r="I70" s="94"/>
      <c r="J70" s="94"/>
      <c r="K70" s="94"/>
      <c r="L70" s="94"/>
      <c r="M70" s="94"/>
      <c r="N70" s="94"/>
    </row>
    <row r="71" spans="2:14">
      <c r="B71" s="33"/>
      <c r="C71" s="32"/>
      <c r="D71" s="94"/>
      <c r="E71" s="94"/>
      <c r="F71" s="94"/>
      <c r="G71" s="94"/>
      <c r="H71" s="94"/>
      <c r="I71" s="94"/>
      <c r="J71" s="94"/>
      <c r="K71" s="94"/>
      <c r="L71" s="94"/>
      <c r="M71" s="94"/>
      <c r="N71" s="94"/>
    </row>
    <row r="72" spans="2:14">
      <c r="B72" s="32"/>
    </row>
    <row r="73" spans="2:14">
      <c r="B73" s="32"/>
    </row>
    <row r="97" spans="3:3">
      <c r="C97" s="58"/>
    </row>
    <row r="100" spans="3:3">
      <c r="C100" s="58"/>
    </row>
    <row r="137" spans="3:3">
      <c r="C137" s="152"/>
    </row>
  </sheetData>
  <conditionalFormatting sqref="B12:B18">
    <cfRule type="cellIs" dxfId="44" priority="1" operator="equal">
      <formula>"END"</formula>
    </cfRule>
  </conditionalFormatting>
  <pageMargins left="0.7" right="0.7" top="0.75" bottom="0.75" header="0.3" footer="0.3"/>
  <pageSetup orientation="portrait"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1">
    <tabColor theme="5" tint="0.59999389629810485"/>
  </sheetPr>
  <dimension ref="A1:AB201"/>
  <sheetViews>
    <sheetView workbookViewId="0">
      <selection activeCell="B81" sqref="B81"/>
    </sheetView>
  </sheetViews>
  <sheetFormatPr defaultRowHeight="9.9499999999999993"/>
  <cols>
    <col min="1" max="1" width="22.6640625" customWidth="1"/>
    <col min="2" max="2" width="37.5" customWidth="1"/>
    <col min="3" max="3" width="12.6640625" customWidth="1"/>
    <col min="4" max="14" width="10.6640625" customWidth="1"/>
    <col min="15" max="15" width="15.6640625" customWidth="1"/>
    <col min="16" max="18" width="12.6640625" customWidth="1"/>
    <col min="19" max="19" width="11.1640625" customWidth="1"/>
    <col min="20" max="20" width="11.5" customWidth="1"/>
    <col min="22" max="24" width="13.1640625" customWidth="1"/>
  </cols>
  <sheetData>
    <row r="1" spans="1:28" ht="10.5">
      <c r="A1" s="62">
        <v>201</v>
      </c>
      <c r="B1" s="63">
        <v>28</v>
      </c>
      <c r="C1" s="59"/>
      <c r="D1" s="59"/>
    </row>
    <row r="2" spans="1:28" ht="10.5">
      <c r="A2" s="62"/>
      <c r="B2" s="63"/>
      <c r="C2" s="59"/>
      <c r="D2" s="59"/>
    </row>
    <row r="3" spans="1:28" ht="10.5">
      <c r="A3" s="65"/>
      <c r="B3" s="63"/>
      <c r="C3" s="59"/>
      <c r="D3" s="59"/>
    </row>
    <row r="4" spans="1:28" ht="12.95">
      <c r="A4" s="65"/>
      <c r="B4" s="66"/>
      <c r="C4" s="59"/>
      <c r="D4" s="59"/>
      <c r="I4" s="170"/>
      <c r="J4" s="170"/>
    </row>
    <row r="5" spans="1:28" ht="10.5">
      <c r="D5" s="86"/>
      <c r="E5" s="86"/>
      <c r="F5" s="86"/>
      <c r="G5" s="86"/>
      <c r="H5" s="86"/>
      <c r="I5" s="171"/>
      <c r="J5" s="172"/>
      <c r="K5" s="86"/>
      <c r="L5" s="86"/>
      <c r="M5" s="86"/>
      <c r="N5" s="86"/>
    </row>
    <row r="6" spans="1:28" ht="10.5">
      <c r="A6" s="79"/>
      <c r="B6" s="79"/>
      <c r="C6" s="79"/>
      <c r="D6" s="79"/>
      <c r="E6" s="79"/>
      <c r="F6" s="79"/>
      <c r="G6" s="38"/>
      <c r="H6" s="38"/>
      <c r="I6" s="177"/>
      <c r="J6" s="178"/>
      <c r="R6" s="77"/>
      <c r="S6" s="78"/>
      <c r="U6" s="79"/>
      <c r="V6" s="79"/>
      <c r="W6" s="79"/>
      <c r="X6" s="79"/>
      <c r="Y6" s="79"/>
      <c r="Z6" s="79"/>
      <c r="AA6" s="79"/>
      <c r="AB6" s="79"/>
    </row>
    <row r="7" spans="1:28" ht="10.5">
      <c r="A7" s="280"/>
      <c r="B7" s="281"/>
      <c r="C7" s="282"/>
      <c r="D7" s="280"/>
      <c r="E7" s="281"/>
      <c r="F7" s="282"/>
      <c r="G7" s="93"/>
      <c r="H7" s="93"/>
      <c r="I7" s="177"/>
      <c r="J7" s="178"/>
      <c r="K7" s="93"/>
      <c r="L7" s="93"/>
      <c r="M7" s="93"/>
      <c r="N7" s="93"/>
      <c r="O7" s="93"/>
    </row>
    <row r="8" spans="1:28" ht="10.5">
      <c r="B8" s="279"/>
      <c r="C8" s="61"/>
      <c r="D8" s="133"/>
      <c r="E8" s="109"/>
      <c r="F8" s="109"/>
      <c r="G8" s="109"/>
      <c r="H8" s="109"/>
      <c r="I8" s="177"/>
      <c r="J8" s="178"/>
      <c r="K8" s="109"/>
      <c r="L8" s="109"/>
      <c r="M8" s="109"/>
      <c r="N8" s="109"/>
      <c r="O8" s="121"/>
      <c r="P8" s="86"/>
      <c r="Q8" s="86"/>
      <c r="R8" s="86"/>
    </row>
    <row r="9" spans="1:28" ht="10.5">
      <c r="B9" s="279"/>
      <c r="C9" s="61"/>
      <c r="D9" s="133"/>
      <c r="E9" s="46"/>
      <c r="F9" s="46"/>
      <c r="G9" s="46"/>
      <c r="H9" s="46"/>
      <c r="I9" s="177"/>
      <c r="J9" s="178"/>
      <c r="K9" s="46"/>
      <c r="L9" s="46"/>
      <c r="M9" s="46"/>
      <c r="N9" s="46"/>
    </row>
    <row r="10" spans="1:28" ht="10.5">
      <c r="B10" s="279"/>
      <c r="C10" s="61"/>
      <c r="D10" s="133"/>
      <c r="E10" s="29"/>
      <c r="F10" s="29"/>
      <c r="G10" s="29"/>
      <c r="H10" s="29"/>
      <c r="I10" s="177"/>
      <c r="J10" s="178"/>
      <c r="K10" s="29"/>
      <c r="L10" s="29"/>
      <c r="M10" s="29"/>
      <c r="N10" s="29"/>
    </row>
    <row r="11" spans="1:28" ht="10.5">
      <c r="B11" s="377"/>
      <c r="C11" s="377"/>
      <c r="D11" s="377"/>
      <c r="E11" s="377"/>
      <c r="F11" s="377"/>
      <c r="G11" s="377"/>
      <c r="H11" s="377"/>
      <c r="I11" s="377"/>
      <c r="J11" s="377"/>
      <c r="K11" s="377"/>
      <c r="L11" s="377"/>
      <c r="M11" s="377"/>
      <c r="N11" s="377"/>
    </row>
    <row r="12" spans="1:28" ht="10.5">
      <c r="B12" s="225"/>
      <c r="C12" s="244"/>
      <c r="D12" s="244"/>
      <c r="E12" s="244"/>
      <c r="F12" s="244"/>
      <c r="G12" s="244"/>
      <c r="H12" s="244"/>
      <c r="I12" s="244"/>
      <c r="J12" s="244"/>
      <c r="K12" s="244"/>
      <c r="L12" s="244"/>
      <c r="M12" s="244"/>
      <c r="N12" s="244"/>
      <c r="O12" s="89"/>
      <c r="P12" s="89"/>
      <c r="Q12" s="89"/>
      <c r="R12" s="89"/>
    </row>
    <row r="13" spans="1:28">
      <c r="B13" s="279"/>
      <c r="C13" s="61"/>
      <c r="D13" s="133"/>
      <c r="I13" s="177"/>
      <c r="J13" s="178"/>
    </row>
    <row r="14" spans="1:28" ht="10.5">
      <c r="B14" s="313"/>
      <c r="C14" s="313"/>
      <c r="D14" s="313"/>
      <c r="E14" s="313"/>
      <c r="F14" s="313"/>
      <c r="G14" s="313"/>
      <c r="H14" s="313"/>
      <c r="I14" s="313"/>
      <c r="J14" s="313"/>
      <c r="K14" s="313"/>
      <c r="L14" s="313"/>
      <c r="M14" s="313"/>
      <c r="N14" s="313"/>
      <c r="O14" s="313"/>
    </row>
    <row r="15" spans="1:28" ht="10.5">
      <c r="B15" s="314"/>
      <c r="C15" s="315"/>
      <c r="D15" s="315"/>
      <c r="E15" s="315"/>
      <c r="F15" s="315"/>
      <c r="G15" s="315"/>
      <c r="H15" s="315"/>
      <c r="I15" s="315"/>
      <c r="J15" s="315"/>
      <c r="K15" s="315"/>
      <c r="L15" s="315"/>
      <c r="M15" s="315"/>
      <c r="N15" s="315"/>
      <c r="O15" s="317"/>
    </row>
    <row r="16" spans="1:28" ht="10.5">
      <c r="B16" s="29"/>
      <c r="C16" s="41"/>
      <c r="D16" s="41"/>
      <c r="E16" s="41"/>
      <c r="F16" s="41"/>
      <c r="G16" s="41"/>
      <c r="H16" s="92"/>
      <c r="I16" s="177"/>
      <c r="J16" s="178"/>
      <c r="K16" s="103"/>
      <c r="L16" s="103"/>
      <c r="M16" s="103"/>
      <c r="N16" s="103"/>
      <c r="O16" s="316"/>
    </row>
    <row r="17" spans="1:24" ht="10.5">
      <c r="B17" s="184"/>
      <c r="C17" s="184"/>
      <c r="D17" s="265"/>
      <c r="E17" s="265"/>
      <c r="F17" s="265"/>
      <c r="G17" s="265"/>
      <c r="H17" s="265"/>
      <c r="I17" s="265"/>
      <c r="J17" s="265"/>
      <c r="K17" s="265"/>
      <c r="L17" s="265"/>
      <c r="M17" s="265"/>
      <c r="N17" s="265"/>
      <c r="O17" s="265"/>
      <c r="P17" s="265"/>
      <c r="Q17" s="265"/>
      <c r="R17" s="265"/>
      <c r="S17" s="56"/>
      <c r="T17" s="86"/>
      <c r="U17" s="111"/>
      <c r="V17" s="56"/>
      <c r="W17" s="111"/>
      <c r="X17" s="111"/>
    </row>
    <row r="18" spans="1:24" ht="10.5">
      <c r="B18" s="193"/>
      <c r="C18" s="246"/>
      <c r="D18" s="266"/>
      <c r="E18" s="266"/>
      <c r="F18" s="266"/>
      <c r="G18" s="266"/>
      <c r="H18" s="266"/>
      <c r="I18" s="266"/>
      <c r="J18" s="266"/>
      <c r="K18" s="266"/>
      <c r="L18" s="266"/>
      <c r="M18" s="266"/>
      <c r="N18" s="266"/>
      <c r="O18" s="266"/>
      <c r="P18" s="266"/>
      <c r="Q18" s="266"/>
      <c r="R18" s="266"/>
      <c r="S18" s="332"/>
      <c r="T18" s="333"/>
    </row>
    <row r="19" spans="1:24" ht="11.1" thickBot="1">
      <c r="B19" s="173"/>
      <c r="C19" s="174"/>
      <c r="D19" s="174"/>
      <c r="E19" s="174"/>
      <c r="F19" s="174"/>
      <c r="G19" s="174"/>
      <c r="H19" s="79"/>
      <c r="I19" s="177"/>
      <c r="J19" s="178"/>
      <c r="K19" s="51"/>
      <c r="L19" s="52"/>
      <c r="M19" s="52"/>
      <c r="N19" s="53"/>
      <c r="O19" s="42"/>
      <c r="P19" s="42"/>
      <c r="Q19" s="42"/>
      <c r="R19" s="42"/>
      <c r="S19" s="54"/>
      <c r="T19" s="50"/>
      <c r="U19" s="13"/>
    </row>
    <row r="20" spans="1:24" ht="10.5">
      <c r="B20" s="175"/>
      <c r="C20" s="176"/>
      <c r="D20" s="176"/>
      <c r="E20" s="176"/>
      <c r="F20" s="176"/>
      <c r="G20" s="176"/>
      <c r="H20" s="281"/>
      <c r="I20" s="177"/>
      <c r="J20" s="178"/>
      <c r="K20" s="297"/>
      <c r="L20" s="298"/>
      <c r="M20" s="298"/>
      <c r="N20" s="53"/>
      <c r="O20" s="291"/>
      <c r="P20" s="291"/>
      <c r="Q20" s="291"/>
      <c r="R20" s="291"/>
      <c r="S20" s="54"/>
      <c r="T20" s="299"/>
      <c r="U20" s="699"/>
      <c r="V20" s="310"/>
      <c r="W20" s="312"/>
      <c r="X20" s="311"/>
    </row>
    <row r="21" spans="1:24" ht="10.5">
      <c r="B21" s="106"/>
      <c r="C21" s="132"/>
      <c r="D21" s="292"/>
      <c r="E21" s="293"/>
      <c r="F21" s="294"/>
      <c r="G21" s="283"/>
      <c r="H21" s="273"/>
      <c r="I21" s="177"/>
      <c r="J21" s="178"/>
      <c r="K21" s="297"/>
      <c r="L21" s="298"/>
      <c r="M21" s="298"/>
      <c r="N21" s="53"/>
      <c r="O21" s="291"/>
      <c r="P21" s="291"/>
      <c r="Q21" s="291"/>
      <c r="R21" s="291"/>
      <c r="S21" s="54"/>
      <c r="T21" s="299"/>
      <c r="U21" s="699"/>
      <c r="V21" s="310"/>
      <c r="W21" s="312"/>
      <c r="X21" s="311"/>
    </row>
    <row r="22" spans="1:24">
      <c r="B22" s="290"/>
      <c r="C22" s="291"/>
      <c r="D22" s="292"/>
      <c r="E22" s="293"/>
      <c r="F22" s="294"/>
      <c r="G22" s="283"/>
      <c r="H22" s="273"/>
      <c r="I22" s="177"/>
      <c r="J22" s="178"/>
      <c r="K22" s="297"/>
      <c r="L22" s="298"/>
      <c r="M22" s="298"/>
      <c r="N22" s="53"/>
      <c r="O22" s="291"/>
      <c r="P22" s="291"/>
      <c r="Q22" s="291"/>
      <c r="R22" s="291"/>
      <c r="S22" s="54"/>
      <c r="T22" s="299"/>
      <c r="U22" s="699"/>
      <c r="V22" s="310"/>
      <c r="W22" s="312"/>
      <c r="X22" s="311"/>
    </row>
    <row r="23" spans="1:24">
      <c r="B23" s="290"/>
      <c r="C23" s="291"/>
      <c r="D23" s="292"/>
      <c r="E23" s="293"/>
      <c r="F23" s="294"/>
      <c r="G23" s="283"/>
      <c r="H23" s="273"/>
      <c r="I23" s="177"/>
      <c r="J23" s="178"/>
      <c r="K23" s="297"/>
      <c r="L23" s="298"/>
      <c r="M23" s="298"/>
      <c r="N23" s="53"/>
      <c r="O23" s="291"/>
      <c r="P23" s="291"/>
      <c r="Q23" s="291"/>
      <c r="R23" s="291"/>
      <c r="S23" s="54"/>
      <c r="T23" s="299"/>
      <c r="U23" s="699"/>
      <c r="V23" s="310"/>
      <c r="W23" s="312"/>
      <c r="X23" s="311"/>
    </row>
    <row r="24" spans="1:24" ht="10.5">
      <c r="B24" s="243"/>
      <c r="C24" s="245"/>
      <c r="D24" s="243"/>
      <c r="E24" s="243"/>
      <c r="F24" s="243"/>
      <c r="G24" s="243"/>
      <c r="H24" s="243"/>
      <c r="I24" s="243"/>
      <c r="J24" s="243"/>
      <c r="K24" s="243"/>
      <c r="L24" s="243"/>
      <c r="M24" s="243"/>
      <c r="N24" s="243"/>
      <c r="O24" s="267"/>
      <c r="P24" s="267"/>
      <c r="Q24" s="267"/>
      <c r="R24" s="267"/>
      <c r="S24" s="54"/>
      <c r="T24" s="299"/>
      <c r="U24" s="699"/>
      <c r="V24" s="310"/>
      <c r="W24" s="312"/>
      <c r="X24" s="311"/>
    </row>
    <row r="25" spans="1:24" ht="10.5">
      <c r="B25" s="225"/>
      <c r="C25" s="246"/>
      <c r="D25" s="244"/>
      <c r="E25" s="244"/>
      <c r="F25" s="244"/>
      <c r="G25" s="244"/>
      <c r="H25" s="244"/>
      <c r="I25" s="244"/>
      <c r="J25" s="244"/>
      <c r="K25" s="244"/>
      <c r="L25" s="244"/>
      <c r="M25" s="244"/>
      <c r="N25" s="244"/>
      <c r="O25" s="291"/>
      <c r="P25" s="291"/>
      <c r="Q25" s="291"/>
      <c r="R25" s="291"/>
      <c r="S25" s="54"/>
      <c r="T25" s="299"/>
      <c r="U25" s="699"/>
      <c r="V25" s="310"/>
      <c r="W25" s="312"/>
      <c r="X25" s="311"/>
    </row>
    <row r="26" spans="1:24">
      <c r="B26" s="290"/>
      <c r="C26" s="291"/>
      <c r="D26" s="292"/>
      <c r="E26" s="293"/>
      <c r="F26" s="294"/>
      <c r="G26" s="194"/>
      <c r="H26" s="273"/>
      <c r="I26" s="175"/>
      <c r="J26" s="296"/>
      <c r="K26" s="297"/>
      <c r="L26" s="298"/>
      <c r="M26" s="298"/>
      <c r="N26" s="53"/>
      <c r="O26" s="291"/>
      <c r="P26" s="291"/>
      <c r="Q26" s="291"/>
      <c r="R26" s="291"/>
      <c r="S26" s="54"/>
      <c r="T26" s="299"/>
      <c r="U26" s="699"/>
      <c r="V26" s="310"/>
      <c r="W26" s="312"/>
      <c r="X26" s="311"/>
    </row>
    <row r="27" spans="1:24" ht="11.1" thickBot="1">
      <c r="B27" s="254"/>
      <c r="C27" s="153"/>
      <c r="D27" s="153"/>
      <c r="E27" s="255"/>
      <c r="F27" s="153"/>
      <c r="G27" s="255"/>
      <c r="H27" s="255"/>
      <c r="I27" s="256"/>
      <c r="J27" s="93"/>
      <c r="K27" s="93"/>
      <c r="L27" s="93"/>
      <c r="M27" s="93"/>
      <c r="N27" s="93"/>
      <c r="O27" s="291"/>
      <c r="P27" s="291"/>
      <c r="Q27" s="291"/>
      <c r="R27" s="291"/>
      <c r="S27" s="54"/>
      <c r="T27" s="299"/>
      <c r="U27" s="699"/>
      <c r="V27" s="310"/>
      <c r="W27" s="312"/>
      <c r="X27" s="311"/>
    </row>
    <row r="28" spans="1:24" ht="10.5">
      <c r="B28" s="196"/>
      <c r="C28" s="248"/>
      <c r="D28" s="197"/>
      <c r="E28" s="197"/>
      <c r="F28" s="197"/>
      <c r="G28" s="197"/>
      <c r="H28" s="197"/>
      <c r="I28" s="197"/>
      <c r="J28" s="197"/>
      <c r="K28" s="197"/>
      <c r="L28" s="197"/>
      <c r="M28" s="197"/>
      <c r="N28" s="197"/>
      <c r="O28" s="267"/>
      <c r="P28" s="267"/>
      <c r="Q28" s="267"/>
      <c r="R28" s="267"/>
      <c r="S28" s="54"/>
      <c r="T28" s="299"/>
      <c r="U28" s="699"/>
      <c r="V28" s="310"/>
      <c r="W28" s="312"/>
      <c r="X28" s="311"/>
    </row>
    <row r="29" spans="1:24" ht="10.5">
      <c r="B29" s="106"/>
      <c r="C29" s="134"/>
      <c r="D29" s="292"/>
      <c r="E29" s="293"/>
      <c r="F29" s="294"/>
      <c r="G29" s="294"/>
      <c r="H29" s="187"/>
      <c r="I29" s="295"/>
      <c r="J29" s="296"/>
      <c r="K29" s="297"/>
      <c r="L29" s="298"/>
      <c r="M29" s="298"/>
      <c r="N29" s="53"/>
      <c r="O29" s="291"/>
      <c r="P29" s="291"/>
      <c r="Q29" s="291"/>
      <c r="R29" s="291"/>
      <c r="S29" s="54"/>
      <c r="T29" s="299"/>
      <c r="U29" s="699"/>
      <c r="V29" s="310"/>
      <c r="W29" s="312"/>
      <c r="X29" s="311"/>
    </row>
    <row r="30" spans="1:24">
      <c r="B30" s="290"/>
      <c r="C30" s="291"/>
      <c r="D30" s="292"/>
      <c r="E30" s="293"/>
      <c r="F30" s="294"/>
      <c r="G30" s="294"/>
      <c r="H30" s="187"/>
      <c r="I30" s="295"/>
      <c r="J30" s="296"/>
      <c r="K30" s="297"/>
      <c r="L30" s="298"/>
      <c r="M30" s="298"/>
      <c r="N30" s="53"/>
      <c r="O30" s="291"/>
      <c r="P30" s="291"/>
      <c r="Q30" s="291"/>
      <c r="R30" s="291"/>
      <c r="S30" s="54"/>
      <c r="T30" s="299"/>
      <c r="U30" s="699"/>
      <c r="V30" s="310"/>
      <c r="W30" s="312"/>
      <c r="X30" s="311"/>
    </row>
    <row r="31" spans="1:24" ht="10.5">
      <c r="B31" s="196"/>
      <c r="C31" s="248"/>
      <c r="D31" s="267"/>
      <c r="E31" s="267"/>
      <c r="F31" s="267"/>
      <c r="G31" s="267"/>
      <c r="H31" s="267"/>
      <c r="I31" s="267"/>
      <c r="J31" s="267"/>
      <c r="K31" s="267"/>
      <c r="L31" s="267"/>
      <c r="M31" s="267"/>
      <c r="N31" s="267"/>
      <c r="O31" s="267"/>
      <c r="P31" s="267"/>
      <c r="Q31" s="267"/>
      <c r="R31" s="267"/>
      <c r="S31" s="54"/>
      <c r="T31" s="299"/>
      <c r="U31" s="699"/>
      <c r="V31" s="310"/>
      <c r="W31" s="312"/>
      <c r="X31" s="311"/>
    </row>
    <row r="32" spans="1:24" ht="11.1" thickBot="1">
      <c r="A32" s="361"/>
      <c r="B32" s="196"/>
      <c r="C32" s="248"/>
      <c r="D32" s="197"/>
      <c r="E32" s="197"/>
      <c r="F32" s="197"/>
      <c r="G32" s="197"/>
      <c r="H32" s="197"/>
      <c r="I32" s="197"/>
      <c r="J32" s="197"/>
      <c r="K32" s="197"/>
      <c r="L32" s="197"/>
      <c r="M32" s="197"/>
      <c r="N32" s="197"/>
      <c r="O32" s="291"/>
      <c r="P32" s="291"/>
      <c r="Q32" s="291"/>
      <c r="R32" s="291"/>
      <c r="S32" s="54"/>
      <c r="T32" s="299"/>
      <c r="U32" s="699"/>
      <c r="V32" s="310"/>
      <c r="W32" s="312"/>
      <c r="X32" s="311"/>
    </row>
    <row r="33" spans="2:24">
      <c r="B33" s="290"/>
      <c r="C33" s="291"/>
      <c r="D33" s="292"/>
      <c r="E33" s="293"/>
      <c r="F33" s="294"/>
      <c r="G33" s="294"/>
      <c r="H33" s="187"/>
      <c r="I33" s="295"/>
      <c r="J33" s="296"/>
      <c r="K33" s="297"/>
      <c r="L33" s="298"/>
      <c r="M33" s="298"/>
      <c r="N33" s="53"/>
      <c r="O33" s="291"/>
      <c r="P33" s="291"/>
      <c r="Q33" s="291"/>
      <c r="R33" s="291"/>
      <c r="S33" s="54"/>
      <c r="T33" s="299"/>
      <c r="U33" s="699"/>
      <c r="V33" s="310"/>
      <c r="W33" s="312"/>
      <c r="X33" s="311"/>
    </row>
    <row r="34" spans="2:24" ht="11.1" thickBot="1">
      <c r="B34" s="200"/>
      <c r="C34" s="249"/>
      <c r="D34" s="201"/>
      <c r="E34" s="201"/>
      <c r="F34" s="201"/>
      <c r="G34" s="201"/>
      <c r="H34" s="201"/>
      <c r="I34" s="201"/>
      <c r="J34" s="201"/>
      <c r="K34" s="201"/>
      <c r="L34" s="201"/>
      <c r="M34" s="201"/>
      <c r="N34" s="201"/>
      <c r="O34" s="301"/>
      <c r="P34" s="301"/>
      <c r="Q34" s="301"/>
      <c r="R34" s="301"/>
      <c r="S34" s="259"/>
      <c r="T34" s="309"/>
      <c r="U34" s="699"/>
      <c r="V34" s="310"/>
      <c r="W34" s="312"/>
      <c r="X34" s="311"/>
    </row>
    <row r="35" spans="2:24">
      <c r="B35" s="379"/>
      <c r="C35" s="376"/>
      <c r="D35" s="388"/>
      <c r="E35" s="388"/>
      <c r="F35" s="388"/>
      <c r="G35" s="388"/>
      <c r="H35" s="388"/>
      <c r="I35" s="388"/>
      <c r="J35" s="388"/>
      <c r="K35" s="388"/>
      <c r="L35" s="388"/>
      <c r="M35" s="388"/>
      <c r="N35" s="388"/>
      <c r="O35" s="123"/>
    </row>
    <row r="36" spans="2:24" ht="10.5">
      <c r="B36" s="250"/>
      <c r="C36" s="251"/>
      <c r="D36" s="252"/>
      <c r="E36" s="252"/>
      <c r="F36" s="252"/>
      <c r="G36" s="252"/>
      <c r="H36" s="252"/>
      <c r="I36" s="252"/>
      <c r="J36" s="252"/>
      <c r="K36" s="252"/>
      <c r="L36" s="252"/>
      <c r="M36" s="252"/>
      <c r="N36" s="252"/>
      <c r="O36" s="38"/>
    </row>
    <row r="37" spans="2:24" ht="11.1" thickBot="1">
      <c r="B37" s="321"/>
      <c r="C37" s="322"/>
      <c r="D37" s="323"/>
      <c r="E37" s="323"/>
      <c r="F37" s="323"/>
      <c r="G37" s="323"/>
      <c r="H37" s="323"/>
      <c r="I37" s="323"/>
      <c r="J37" s="323"/>
      <c r="K37" s="323"/>
      <c r="L37" s="323"/>
      <c r="M37" s="323"/>
      <c r="N37" s="323"/>
      <c r="O37" s="325"/>
    </row>
    <row r="38" spans="2:24" ht="10.5">
      <c r="B38" s="196"/>
      <c r="C38" s="248"/>
      <c r="D38" s="197"/>
      <c r="E38" s="116"/>
      <c r="F38" s="116"/>
      <c r="G38" s="116"/>
      <c r="H38" s="116"/>
      <c r="I38" s="116"/>
      <c r="J38" s="116"/>
      <c r="K38" s="116"/>
      <c r="L38" s="116"/>
      <c r="M38" s="116"/>
      <c r="N38" s="116"/>
      <c r="O38" s="242"/>
    </row>
    <row r="39" spans="2:24">
      <c r="B39" s="115"/>
      <c r="C39" s="98"/>
      <c r="D39" s="116"/>
      <c r="E39" s="116"/>
      <c r="F39" s="116"/>
      <c r="G39" s="116"/>
      <c r="H39" s="116"/>
      <c r="I39" s="116"/>
      <c r="J39" s="116"/>
      <c r="K39" s="116"/>
      <c r="L39" s="116"/>
      <c r="M39" s="116"/>
      <c r="N39" s="116"/>
      <c r="O39" s="242"/>
    </row>
    <row r="40" spans="2:24" ht="11.1" thickBot="1">
      <c r="B40" s="243"/>
      <c r="C40" s="243"/>
      <c r="D40" s="243"/>
      <c r="E40" s="243"/>
      <c r="F40" s="243"/>
      <c r="G40" s="243"/>
      <c r="H40" s="243"/>
      <c r="I40" s="243"/>
      <c r="J40" s="243"/>
      <c r="K40" s="243"/>
      <c r="L40" s="243"/>
      <c r="M40" s="243"/>
      <c r="N40" s="243"/>
      <c r="O40" s="382"/>
    </row>
    <row r="41" spans="2:24" ht="10.5">
      <c r="B41" s="225"/>
      <c r="C41" s="244"/>
      <c r="D41" s="244"/>
      <c r="E41" s="244"/>
      <c r="F41" s="244"/>
      <c r="G41" s="244"/>
      <c r="H41" s="244"/>
      <c r="I41" s="244"/>
      <c r="J41" s="244"/>
      <c r="K41" s="244"/>
      <c r="L41" s="244"/>
      <c r="M41" s="244"/>
      <c r="N41" s="244"/>
    </row>
    <row r="42" spans="2:24" ht="10.5">
      <c r="B42" s="196"/>
      <c r="C42" s="248"/>
      <c r="D42" s="197"/>
      <c r="E42" s="243"/>
      <c r="F42" s="46"/>
      <c r="G42" s="243"/>
      <c r="H42" s="243"/>
      <c r="I42" s="243"/>
      <c r="J42" s="243"/>
      <c r="K42" s="46"/>
      <c r="L42" s="46"/>
      <c r="M42" s="46"/>
      <c r="N42" s="46"/>
    </row>
    <row r="43" spans="2:24" ht="10.5">
      <c r="B43" s="225"/>
      <c r="C43" s="244"/>
      <c r="D43" s="244"/>
      <c r="E43" s="244"/>
      <c r="F43" s="29"/>
      <c r="G43" s="270"/>
      <c r="H43" s="244"/>
      <c r="I43" s="244"/>
      <c r="J43" s="244"/>
      <c r="K43" s="29"/>
      <c r="L43" s="29"/>
      <c r="M43" s="29"/>
      <c r="N43" s="29"/>
    </row>
    <row r="44" spans="2:24" ht="10.5">
      <c r="B44" s="271"/>
      <c r="C44" s="272"/>
      <c r="D44" s="272"/>
      <c r="E44" s="272"/>
      <c r="F44" s="103"/>
      <c r="G44" s="271"/>
      <c r="H44" s="186"/>
      <c r="I44" s="186"/>
      <c r="J44" s="186"/>
      <c r="K44" s="103"/>
      <c r="L44" s="103"/>
      <c r="M44" s="103"/>
      <c r="N44" s="103"/>
    </row>
    <row r="45" spans="2:24">
      <c r="B45" s="271"/>
      <c r="C45" s="272"/>
      <c r="D45" s="272"/>
      <c r="E45" s="272"/>
      <c r="F45" s="116"/>
      <c r="G45" s="271"/>
      <c r="H45" s="186"/>
      <c r="I45" s="186"/>
      <c r="J45" s="186"/>
      <c r="K45" s="116"/>
      <c r="L45" s="116"/>
      <c r="M45" s="116"/>
      <c r="N45" s="116"/>
    </row>
    <row r="46" spans="2:24" ht="11.1" thickBot="1">
      <c r="B46" s="200"/>
      <c r="C46" s="249"/>
      <c r="D46" s="201"/>
      <c r="E46" s="249"/>
      <c r="F46" s="249"/>
      <c r="G46" s="249"/>
      <c r="H46" s="249"/>
      <c r="I46" s="249"/>
      <c r="J46" s="249"/>
      <c r="K46" s="249"/>
      <c r="L46" s="249"/>
      <c r="M46" s="249"/>
      <c r="N46" s="249"/>
      <c r="O46" s="249"/>
      <c r="P46" s="249"/>
      <c r="Q46" s="249"/>
      <c r="R46" s="249"/>
    </row>
    <row r="47" spans="2:24">
      <c r="B47" s="202"/>
      <c r="C47" s="183"/>
      <c r="D47" s="182"/>
      <c r="E47" s="182"/>
      <c r="F47" s="182"/>
      <c r="G47" s="182"/>
      <c r="H47" s="182"/>
      <c r="I47" s="182"/>
      <c r="J47" s="182"/>
      <c r="K47" s="182"/>
      <c r="L47" s="182"/>
      <c r="M47" s="182"/>
      <c r="N47" s="182"/>
      <c r="O47" s="182"/>
      <c r="P47" s="182"/>
      <c r="Q47" s="182"/>
      <c r="R47" s="182"/>
    </row>
    <row r="48" spans="2:24" ht="10.5">
      <c r="B48" s="253"/>
      <c r="C48" s="272"/>
      <c r="D48" s="272"/>
      <c r="E48" s="272"/>
      <c r="F48" s="109"/>
      <c r="G48" s="271"/>
      <c r="H48" s="186"/>
      <c r="I48" s="186"/>
      <c r="J48" s="186"/>
      <c r="K48" s="109"/>
      <c r="L48" s="109"/>
      <c r="M48" s="109"/>
      <c r="N48" s="109"/>
    </row>
    <row r="49" spans="2:15" ht="11.1" thickBot="1">
      <c r="B49" s="200"/>
      <c r="C49" s="249"/>
      <c r="D49" s="201"/>
      <c r="E49" s="201"/>
      <c r="F49" s="201"/>
      <c r="G49" s="201"/>
      <c r="H49" s="201"/>
      <c r="I49" s="201"/>
      <c r="J49" s="201"/>
      <c r="K49" s="201"/>
      <c r="L49" s="201"/>
      <c r="M49" s="201"/>
      <c r="N49" s="201"/>
    </row>
    <row r="50" spans="2:15">
      <c r="B50" s="202"/>
      <c r="C50" s="182"/>
      <c r="D50" s="198"/>
      <c r="E50" s="198"/>
      <c r="F50" s="198"/>
      <c r="G50" s="198"/>
      <c r="H50" s="198"/>
      <c r="I50" s="198"/>
      <c r="J50" s="198"/>
      <c r="K50" s="198"/>
      <c r="L50" s="198"/>
      <c r="M50" s="198"/>
      <c r="N50" s="198"/>
    </row>
    <row r="51" spans="2:15" ht="10.5">
      <c r="B51" s="202"/>
      <c r="C51" s="182"/>
      <c r="D51" s="182"/>
      <c r="E51" s="182"/>
      <c r="F51" s="29"/>
      <c r="G51" s="202"/>
      <c r="H51" s="182"/>
      <c r="I51" s="182"/>
      <c r="J51" s="182"/>
      <c r="K51" s="29"/>
      <c r="L51" s="29"/>
      <c r="M51" s="29"/>
      <c r="N51" s="29"/>
    </row>
    <row r="52" spans="2:15" ht="10.5">
      <c r="B52" s="261"/>
      <c r="C52" s="103"/>
      <c r="D52" s="103"/>
      <c r="E52" s="103"/>
      <c r="F52" s="103"/>
      <c r="G52" s="103"/>
      <c r="H52" s="103"/>
      <c r="I52" s="103"/>
      <c r="J52" s="103"/>
      <c r="K52" s="103"/>
      <c r="L52" s="103"/>
      <c r="M52" s="103"/>
      <c r="N52" s="103"/>
    </row>
    <row r="54" spans="2:15" ht="10.5" thickBot="1">
      <c r="B54" s="326"/>
      <c r="C54" s="327"/>
      <c r="D54" s="394"/>
      <c r="E54" s="394"/>
      <c r="F54" s="394"/>
      <c r="G54" s="394"/>
      <c r="H54" s="394"/>
      <c r="I54" s="394"/>
      <c r="J54" s="394"/>
      <c r="K54" s="394"/>
      <c r="L54" s="394"/>
      <c r="M54" s="394"/>
      <c r="N54" s="394"/>
      <c r="O54" s="395"/>
    </row>
    <row r="55" spans="2:15">
      <c r="B55" s="113"/>
      <c r="C55" s="98"/>
      <c r="D55" s="98"/>
      <c r="E55" s="98"/>
      <c r="F55" s="98"/>
      <c r="G55" s="98"/>
      <c r="H55" s="98"/>
      <c r="I55" s="98"/>
      <c r="J55" s="98"/>
      <c r="K55" s="98"/>
      <c r="L55" s="98"/>
      <c r="M55" s="98"/>
      <c r="N55" s="98"/>
      <c r="O55" s="98"/>
    </row>
    <row r="57" spans="2:15">
      <c r="C57" s="32"/>
      <c r="D57" s="32"/>
      <c r="E57" s="32"/>
      <c r="F57" s="32"/>
      <c r="G57" s="32"/>
      <c r="H57" s="32"/>
      <c r="I57" s="32"/>
      <c r="J57" s="32"/>
      <c r="K57" s="32"/>
      <c r="L57" s="32"/>
      <c r="M57" s="32"/>
      <c r="N57" s="32"/>
    </row>
    <row r="58" spans="2:15" ht="10.5">
      <c r="B58" s="84"/>
    </row>
    <row r="61" spans="2:15" ht="10.5">
      <c r="B61" s="29"/>
      <c r="C61" s="29"/>
      <c r="D61" s="29"/>
      <c r="E61" s="29"/>
      <c r="F61" s="29"/>
      <c r="G61" s="29"/>
      <c r="H61" s="29"/>
      <c r="I61" s="29"/>
      <c r="J61" s="29"/>
      <c r="K61" s="29"/>
      <c r="L61" s="29"/>
      <c r="M61" s="29"/>
      <c r="N61" s="29"/>
      <c r="O61" s="29"/>
    </row>
    <row r="62" spans="2:15" ht="10.5">
      <c r="B62" s="102"/>
      <c r="C62" s="103"/>
      <c r="D62" s="103"/>
      <c r="E62" s="103"/>
      <c r="F62" s="103"/>
      <c r="G62" s="103"/>
      <c r="H62" s="103"/>
      <c r="I62" s="103"/>
      <c r="J62" s="103"/>
      <c r="K62" s="103"/>
      <c r="L62" s="103"/>
      <c r="M62" s="103"/>
      <c r="N62" s="103"/>
      <c r="O62" s="122"/>
    </row>
    <row r="63" spans="2:15" ht="10.5">
      <c r="B63" s="120"/>
      <c r="O63" s="125"/>
    </row>
    <row r="64" spans="2:15">
      <c r="B64" s="118"/>
      <c r="D64" s="97"/>
      <c r="E64" s="97"/>
      <c r="F64" s="97"/>
      <c r="G64" s="97"/>
      <c r="H64" s="97"/>
      <c r="I64" s="97"/>
      <c r="J64" s="97"/>
      <c r="K64" s="97"/>
      <c r="L64" s="97"/>
      <c r="M64" s="97"/>
      <c r="N64" s="97"/>
      <c r="O64" s="126"/>
    </row>
    <row r="65" spans="2:15">
      <c r="B65" s="118"/>
      <c r="D65" s="97"/>
      <c r="E65" s="97"/>
      <c r="F65" s="97"/>
      <c r="G65" s="97"/>
      <c r="H65" s="97"/>
      <c r="I65" s="97"/>
      <c r="J65" s="97"/>
      <c r="K65" s="97"/>
      <c r="L65" s="97"/>
      <c r="M65" s="97"/>
      <c r="N65" s="97"/>
      <c r="O65" s="126"/>
    </row>
    <row r="66" spans="2:15">
      <c r="B66" s="118"/>
      <c r="D66" s="97"/>
      <c r="E66" s="97"/>
      <c r="F66" s="97"/>
      <c r="G66" s="97"/>
      <c r="H66" s="97"/>
      <c r="I66" s="97"/>
      <c r="J66" s="97"/>
      <c r="K66" s="97"/>
      <c r="L66" s="97"/>
      <c r="M66" s="97"/>
      <c r="N66" s="97"/>
      <c r="O66" s="80"/>
    </row>
    <row r="67" spans="2:15" ht="10.5">
      <c r="B67" s="93"/>
      <c r="C67" s="93"/>
      <c r="D67" s="93"/>
      <c r="E67" s="93"/>
      <c r="F67" s="93"/>
      <c r="G67" s="93"/>
      <c r="H67" s="93"/>
      <c r="I67" s="93"/>
      <c r="J67" s="93"/>
      <c r="K67" s="93"/>
      <c r="L67" s="93"/>
      <c r="M67" s="93"/>
      <c r="N67" s="93"/>
      <c r="O67" s="125"/>
    </row>
    <row r="68" spans="2:15" ht="10.5">
      <c r="B68" s="160"/>
      <c r="C68" s="100"/>
      <c r="D68" s="109"/>
      <c r="E68" s="109"/>
      <c r="F68" s="109"/>
      <c r="G68" s="109"/>
      <c r="H68" s="109"/>
      <c r="I68" s="109"/>
      <c r="J68" s="109"/>
      <c r="K68" s="109"/>
      <c r="L68" s="109"/>
      <c r="M68" s="109"/>
      <c r="N68" s="109"/>
      <c r="O68" s="126"/>
    </row>
    <row r="69" spans="2:15">
      <c r="B69" s="105"/>
      <c r="D69" s="97"/>
      <c r="E69" s="97"/>
      <c r="F69" s="97"/>
      <c r="G69" s="97"/>
      <c r="H69" s="97"/>
      <c r="I69" s="97"/>
      <c r="J69" s="97"/>
      <c r="K69" s="97"/>
      <c r="L69" s="97"/>
      <c r="M69" s="97"/>
      <c r="N69" s="97"/>
      <c r="O69" s="126"/>
    </row>
    <row r="70" spans="2:15">
      <c r="B70" s="105"/>
      <c r="D70" s="97"/>
      <c r="E70" s="97"/>
      <c r="F70" s="97"/>
      <c r="G70" s="97"/>
      <c r="H70" s="97"/>
      <c r="I70" s="97"/>
      <c r="J70" s="97"/>
      <c r="K70" s="97"/>
      <c r="L70" s="97"/>
      <c r="M70" s="97"/>
      <c r="N70" s="97"/>
      <c r="O70" s="126"/>
    </row>
    <row r="71" spans="2:15" ht="10.5">
      <c r="B71" s="184"/>
      <c r="C71" s="184"/>
      <c r="D71" s="184"/>
      <c r="E71" s="184"/>
      <c r="F71" s="184"/>
      <c r="G71" s="184"/>
      <c r="H71" s="184"/>
      <c r="I71" s="184"/>
      <c r="J71" s="184"/>
      <c r="K71" s="97"/>
      <c r="L71" s="97"/>
      <c r="M71" s="97"/>
      <c r="N71" s="97"/>
      <c r="O71" s="126"/>
    </row>
    <row r="72" spans="2:15" ht="10.5">
      <c r="B72" s="193"/>
      <c r="C72" s="193"/>
      <c r="D72" s="220"/>
      <c r="E72" s="220"/>
      <c r="F72" s="221"/>
      <c r="G72" s="220"/>
      <c r="H72" s="220"/>
      <c r="I72" s="220"/>
      <c r="J72" s="220"/>
      <c r="K72" s="319"/>
      <c r="L72" s="319"/>
      <c r="M72" s="319"/>
      <c r="N72" s="319"/>
      <c r="O72" s="328"/>
    </row>
    <row r="73" spans="2:15">
      <c r="B73" s="118"/>
      <c r="D73" s="97"/>
      <c r="E73" s="97"/>
      <c r="F73" s="97"/>
      <c r="G73" s="97"/>
      <c r="H73" s="97"/>
      <c r="I73" s="97"/>
      <c r="J73" s="97"/>
      <c r="K73" s="97"/>
      <c r="L73" s="97"/>
      <c r="M73" s="97"/>
      <c r="N73" s="97"/>
      <c r="O73" s="127"/>
    </row>
    <row r="74" spans="2:15">
      <c r="B74" s="247"/>
      <c r="C74" s="185"/>
      <c r="D74" s="222"/>
      <c r="E74" s="273"/>
      <c r="F74" s="223"/>
      <c r="G74" s="186"/>
      <c r="H74" s="223"/>
      <c r="I74" s="274"/>
      <c r="J74" s="186"/>
      <c r="K74" s="97"/>
      <c r="L74" s="97"/>
      <c r="M74" s="97"/>
      <c r="N74" s="97"/>
      <c r="O74" s="126"/>
    </row>
    <row r="75" spans="2:15">
      <c r="B75" s="247"/>
      <c r="C75" s="185"/>
      <c r="D75" s="222"/>
      <c r="E75" s="273"/>
      <c r="F75" s="223"/>
      <c r="G75" s="186"/>
      <c r="H75" s="223"/>
      <c r="I75" s="274"/>
      <c r="J75" s="186"/>
      <c r="K75" s="97"/>
      <c r="L75" s="97"/>
      <c r="M75" s="97"/>
      <c r="N75" s="97"/>
      <c r="O75" s="127"/>
    </row>
    <row r="76" spans="2:15">
      <c r="B76" s="247"/>
      <c r="C76" s="185"/>
      <c r="D76" s="222"/>
      <c r="E76" s="273"/>
      <c r="F76" s="223"/>
      <c r="G76" s="186"/>
      <c r="H76" s="223"/>
      <c r="I76" s="274"/>
      <c r="J76" s="186"/>
      <c r="K76" s="97"/>
      <c r="L76" s="97"/>
      <c r="M76" s="97"/>
      <c r="N76" s="97"/>
      <c r="O76" s="126"/>
    </row>
    <row r="77" spans="2:15">
      <c r="B77" s="247"/>
      <c r="C77" s="185"/>
      <c r="D77" s="222"/>
      <c r="E77" s="273"/>
      <c r="F77" s="223"/>
      <c r="G77" s="186"/>
      <c r="H77" s="223"/>
      <c r="I77" s="274"/>
      <c r="J77" s="186"/>
      <c r="K77" s="97"/>
      <c r="L77" s="97"/>
      <c r="M77" s="97"/>
      <c r="N77" s="97"/>
      <c r="O77" s="80"/>
    </row>
    <row r="78" spans="2:15" ht="11.1" thickBot="1">
      <c r="B78" s="119"/>
      <c r="C78" s="101"/>
      <c r="D78" s="112"/>
      <c r="E78" s="112"/>
      <c r="F78" s="112"/>
      <c r="G78" s="112"/>
      <c r="H78" s="112"/>
      <c r="I78" s="112"/>
      <c r="J78" s="112"/>
      <c r="K78" s="112"/>
      <c r="L78" s="112"/>
      <c r="M78" s="112"/>
      <c r="N78" s="112"/>
      <c r="O78" s="124"/>
    </row>
    <row r="79" spans="2:15">
      <c r="B79" s="113"/>
    </row>
    <row r="80" spans="2:15" ht="10.5" thickBot="1">
      <c r="B80" s="387"/>
      <c r="C80" s="389"/>
      <c r="D80" s="390"/>
      <c r="E80" s="390"/>
      <c r="F80" s="390"/>
      <c r="G80" s="390"/>
      <c r="H80" s="390"/>
      <c r="I80" s="390"/>
      <c r="J80" s="390"/>
      <c r="K80" s="390"/>
      <c r="L80" s="390"/>
      <c r="M80" s="390"/>
      <c r="N80" s="390"/>
    </row>
    <row r="81" spans="2:15">
      <c r="B81" s="202"/>
      <c r="C81" s="185"/>
      <c r="D81" s="222"/>
      <c r="E81" s="273"/>
      <c r="F81" s="223"/>
      <c r="G81" s="186"/>
      <c r="H81" s="223"/>
      <c r="I81" s="274"/>
      <c r="J81" s="186"/>
    </row>
    <row r="82" spans="2:15">
      <c r="B82" s="247"/>
      <c r="C82" s="185"/>
      <c r="D82" s="222"/>
      <c r="E82" s="273"/>
      <c r="F82" s="223"/>
      <c r="G82" s="186"/>
      <c r="H82" s="223"/>
      <c r="I82" s="274"/>
      <c r="J82" s="186"/>
    </row>
    <row r="83" spans="2:15">
      <c r="B83" s="247"/>
      <c r="C83" s="185"/>
      <c r="D83" s="222"/>
      <c r="E83" s="273"/>
      <c r="F83" s="223"/>
      <c r="G83" s="186"/>
      <c r="H83" s="223"/>
      <c r="I83" s="274"/>
      <c r="J83" s="186"/>
    </row>
    <row r="84" spans="2:15">
      <c r="B84" s="247"/>
      <c r="C84" s="185"/>
      <c r="D84" s="222"/>
      <c r="E84" s="273"/>
      <c r="F84" s="223"/>
      <c r="G84" s="186"/>
      <c r="H84" s="223"/>
      <c r="I84" s="274"/>
      <c r="J84" s="186"/>
    </row>
    <row r="85" spans="2:15">
      <c r="B85" s="247"/>
      <c r="C85" s="185"/>
      <c r="D85" s="222"/>
      <c r="E85" s="273"/>
      <c r="F85" s="223"/>
      <c r="G85" s="186"/>
      <c r="H85" s="223"/>
      <c r="I85" s="274"/>
      <c r="J85" s="186"/>
    </row>
    <row r="86" spans="2:15">
      <c r="B86" s="247"/>
      <c r="C86" s="185"/>
      <c r="D86" s="222"/>
      <c r="E86" s="275"/>
      <c r="F86" s="223"/>
      <c r="G86" s="186"/>
      <c r="H86" s="223"/>
      <c r="I86" s="276"/>
      <c r="J86" s="186"/>
    </row>
    <row r="87" spans="2:15" ht="10.5">
      <c r="B87" s="247"/>
      <c r="C87" s="185"/>
      <c r="D87" s="222"/>
      <c r="E87" s="275"/>
      <c r="F87" s="223"/>
      <c r="G87" s="186"/>
      <c r="H87" s="223"/>
      <c r="I87" s="276"/>
      <c r="J87" s="186"/>
      <c r="K87" s="93"/>
      <c r="L87" s="93"/>
      <c r="M87" s="93"/>
      <c r="N87" s="93"/>
      <c r="O87" s="93"/>
    </row>
    <row r="88" spans="2:15" ht="10.5">
      <c r="B88" s="247"/>
      <c r="C88" s="185"/>
      <c r="D88" s="222"/>
      <c r="E88" s="275"/>
      <c r="F88" s="223"/>
      <c r="G88" s="186"/>
      <c r="H88" s="223"/>
      <c r="I88" s="276"/>
      <c r="J88" s="186"/>
      <c r="K88" s="109"/>
      <c r="L88" s="109"/>
      <c r="M88" s="109"/>
      <c r="N88" s="109"/>
      <c r="O88" s="121"/>
    </row>
    <row r="89" spans="2:15" ht="10.5" thickBot="1">
      <c r="B89" s="153"/>
      <c r="C89" s="153"/>
      <c r="D89" s="153"/>
      <c r="E89" s="153"/>
      <c r="F89" s="153"/>
      <c r="G89" s="153"/>
      <c r="H89" s="153"/>
      <c r="I89" s="153"/>
      <c r="J89" s="153"/>
    </row>
    <row r="94" spans="2:15" ht="10.5" thickBot="1">
      <c r="B94" s="326"/>
      <c r="C94" s="391"/>
      <c r="D94" s="392"/>
      <c r="E94" s="392"/>
      <c r="F94" s="392"/>
      <c r="G94" s="392"/>
      <c r="H94" s="392"/>
      <c r="I94" s="392"/>
      <c r="J94" s="392"/>
      <c r="K94" s="392"/>
      <c r="L94" s="392"/>
      <c r="M94" s="392"/>
      <c r="N94" s="392"/>
      <c r="O94" s="393"/>
    </row>
    <row r="95" spans="2:15">
      <c r="B95" s="113"/>
    </row>
    <row r="97" spans="2:15" ht="10.5">
      <c r="B97" s="184"/>
      <c r="C97" s="184"/>
      <c r="D97" s="184"/>
      <c r="E97" s="184"/>
      <c r="F97" s="184"/>
      <c r="G97" s="184"/>
      <c r="H97" s="184"/>
      <c r="I97" s="184"/>
      <c r="J97" s="184"/>
    </row>
    <row r="98" spans="2:15" ht="10.5">
      <c r="B98" s="193"/>
      <c r="C98" s="193"/>
      <c r="D98" s="220"/>
      <c r="E98" s="220"/>
      <c r="F98" s="220"/>
      <c r="G98" s="221"/>
      <c r="H98" s="220"/>
      <c r="I98" s="237"/>
      <c r="J98" s="220"/>
    </row>
    <row r="99" spans="2:15">
      <c r="B99" s="247"/>
      <c r="C99" s="185"/>
      <c r="D99" s="222"/>
      <c r="E99" s="277"/>
      <c r="F99" s="223"/>
      <c r="G99" s="223"/>
      <c r="H99" s="223"/>
      <c r="I99" s="238"/>
      <c r="J99" s="186"/>
    </row>
    <row r="100" spans="2:15">
      <c r="B100" s="247"/>
      <c r="C100" s="185"/>
      <c r="D100" s="222"/>
      <c r="E100" s="277"/>
      <c r="F100" s="223"/>
      <c r="G100" s="223"/>
      <c r="H100" s="223"/>
      <c r="I100" s="238"/>
      <c r="J100" s="186"/>
    </row>
    <row r="101" spans="2:15">
      <c r="B101" s="247"/>
      <c r="C101" s="185"/>
      <c r="D101" s="222"/>
      <c r="E101" s="277"/>
      <c r="F101" s="223"/>
      <c r="G101" s="223"/>
      <c r="H101" s="223"/>
      <c r="I101" s="238"/>
      <c r="J101" s="186"/>
    </row>
    <row r="102" spans="2:15">
      <c r="B102" s="247"/>
      <c r="C102" s="185"/>
      <c r="D102" s="222"/>
      <c r="E102" s="277"/>
      <c r="F102" s="223"/>
      <c r="G102" s="223"/>
      <c r="H102" s="223"/>
      <c r="I102" s="238"/>
      <c r="J102" s="186"/>
    </row>
    <row r="103" spans="2:15">
      <c r="B103" s="247"/>
      <c r="C103" s="185"/>
      <c r="D103" s="222"/>
      <c r="E103" s="277"/>
      <c r="F103" s="223"/>
      <c r="G103" s="223"/>
      <c r="H103" s="223"/>
      <c r="I103" s="238"/>
      <c r="J103" s="186"/>
    </row>
    <row r="104" spans="2:15">
      <c r="B104" s="247"/>
      <c r="C104" s="185"/>
      <c r="D104" s="222"/>
      <c r="E104" s="277"/>
      <c r="F104" s="223"/>
      <c r="G104" s="223"/>
      <c r="H104" s="223"/>
      <c r="I104" s="238"/>
      <c r="J104" s="186"/>
    </row>
    <row r="105" spans="2:15">
      <c r="B105" s="247"/>
      <c r="C105" s="185"/>
      <c r="D105" s="222"/>
      <c r="E105" s="277"/>
      <c r="F105" s="223"/>
      <c r="G105" s="223"/>
      <c r="H105" s="223"/>
      <c r="I105" s="238"/>
      <c r="J105" s="186"/>
    </row>
    <row r="106" spans="2:15">
      <c r="B106" s="247"/>
      <c r="C106" s="185"/>
      <c r="D106" s="222"/>
      <c r="E106" s="277"/>
      <c r="F106" s="223"/>
      <c r="G106" s="223"/>
      <c r="H106" s="223"/>
      <c r="I106" s="238"/>
      <c r="J106" s="186"/>
    </row>
    <row r="107" spans="2:15">
      <c r="B107" s="247"/>
      <c r="C107" s="185"/>
      <c r="D107" s="222"/>
      <c r="E107" s="277"/>
      <c r="F107" s="223"/>
      <c r="G107" s="223"/>
      <c r="H107" s="223"/>
      <c r="I107" s="238"/>
      <c r="J107" s="186"/>
    </row>
    <row r="108" spans="2:15" ht="10.5">
      <c r="B108" s="247"/>
      <c r="C108" s="185"/>
      <c r="D108" s="222"/>
      <c r="E108" s="277"/>
      <c r="F108" s="223"/>
      <c r="G108" s="223"/>
      <c r="H108" s="223"/>
      <c r="I108" s="238"/>
      <c r="J108" s="186"/>
      <c r="K108" s="93"/>
      <c r="L108" s="93"/>
      <c r="M108" s="93"/>
      <c r="N108" s="93"/>
      <c r="O108" s="93"/>
    </row>
    <row r="109" spans="2:15" ht="10.5">
      <c r="B109" s="247"/>
      <c r="C109" s="185"/>
      <c r="D109" s="222"/>
      <c r="E109" s="277"/>
      <c r="F109" s="223"/>
      <c r="G109" s="223"/>
      <c r="H109" s="223"/>
      <c r="I109" s="238"/>
      <c r="J109" s="186"/>
      <c r="K109" s="109"/>
      <c r="L109" s="109"/>
      <c r="M109" s="109"/>
      <c r="N109" s="109"/>
      <c r="O109" s="121"/>
    </row>
    <row r="110" spans="2:15">
      <c r="B110" s="247"/>
      <c r="C110" s="185"/>
      <c r="D110" s="222"/>
      <c r="E110" s="277"/>
      <c r="F110" s="223"/>
      <c r="G110" s="223"/>
      <c r="H110" s="223"/>
      <c r="I110" s="238"/>
      <c r="J110" s="186"/>
    </row>
    <row r="111" spans="2:15">
      <c r="B111" s="247"/>
      <c r="C111" s="185"/>
      <c r="D111" s="222"/>
      <c r="E111" s="278"/>
      <c r="F111" s="223"/>
      <c r="G111" s="223"/>
      <c r="H111" s="223"/>
      <c r="I111" s="239"/>
      <c r="J111" s="186"/>
    </row>
    <row r="112" spans="2:15">
      <c r="B112" s="247"/>
      <c r="C112" s="185"/>
      <c r="D112" s="222"/>
      <c r="E112" s="278"/>
      <c r="F112" s="223"/>
      <c r="G112" s="223"/>
      <c r="H112" s="223"/>
      <c r="I112" s="239"/>
      <c r="J112" s="186"/>
    </row>
    <row r="113" spans="2:10">
      <c r="B113" s="247"/>
      <c r="C113" s="185"/>
      <c r="D113" s="222"/>
      <c r="E113" s="278"/>
      <c r="F113" s="223"/>
      <c r="G113" s="223"/>
      <c r="H113" s="223"/>
      <c r="I113" s="239"/>
      <c r="J113" s="186"/>
    </row>
    <row r="114" spans="2:10" ht="10.5" thickBot="1">
      <c r="B114" s="153"/>
      <c r="C114" s="153"/>
      <c r="D114" s="153"/>
      <c r="E114" s="153"/>
      <c r="F114" s="153"/>
      <c r="G114" s="153"/>
      <c r="H114" s="153"/>
      <c r="I114" s="153"/>
      <c r="J114" s="153"/>
    </row>
    <row r="117" spans="2:10">
      <c r="C117" s="58"/>
    </row>
    <row r="119" spans="2:10" ht="10.5">
      <c r="B119" s="184"/>
      <c r="C119" s="184"/>
      <c r="D119" s="184"/>
      <c r="E119" s="184"/>
      <c r="F119" s="184"/>
      <c r="G119" s="184"/>
      <c r="H119" s="184"/>
      <c r="I119" s="184"/>
    </row>
    <row r="120" spans="2:10" ht="10.5">
      <c r="B120" s="193"/>
      <c r="C120" s="193"/>
      <c r="D120" s="221"/>
      <c r="E120" s="221"/>
      <c r="F120" s="221"/>
      <c r="G120" s="220"/>
      <c r="H120" s="220"/>
      <c r="I120" s="220"/>
    </row>
    <row r="121" spans="2:10">
      <c r="B121" s="182"/>
      <c r="C121" s="185"/>
      <c r="D121" s="186"/>
      <c r="E121" s="223"/>
      <c r="F121" s="224"/>
      <c r="G121" s="222"/>
      <c r="H121" s="186"/>
      <c r="I121" s="186"/>
    </row>
    <row r="122" spans="2:10">
      <c r="B122" s="182"/>
      <c r="C122" s="185"/>
      <c r="D122" s="186"/>
      <c r="E122" s="223"/>
      <c r="F122" s="224"/>
      <c r="G122" s="222"/>
      <c r="H122" s="186"/>
      <c r="I122" s="186"/>
    </row>
    <row r="123" spans="2:10">
      <c r="B123" s="182"/>
      <c r="C123" s="185"/>
      <c r="D123" s="186"/>
      <c r="E123" s="223"/>
      <c r="F123" s="224"/>
      <c r="G123" s="222"/>
      <c r="H123" s="186"/>
      <c r="I123" s="186"/>
    </row>
    <row r="124" spans="2:10">
      <c r="B124" s="182"/>
      <c r="C124" s="185"/>
      <c r="D124" s="186"/>
      <c r="E124" s="223"/>
      <c r="F124" s="224"/>
      <c r="G124" s="222"/>
      <c r="H124" s="186"/>
      <c r="I124" s="186"/>
    </row>
    <row r="125" spans="2:10">
      <c r="B125" s="182"/>
      <c r="C125" s="185"/>
      <c r="D125" s="186"/>
      <c r="E125" s="223"/>
      <c r="F125" s="224"/>
      <c r="G125" s="222"/>
      <c r="H125" s="186"/>
      <c r="I125" s="186"/>
    </row>
    <row r="126" spans="2:10">
      <c r="B126" s="182"/>
      <c r="C126" s="185"/>
      <c r="D126" s="186"/>
      <c r="E126" s="223"/>
      <c r="F126" s="224"/>
      <c r="G126" s="222"/>
      <c r="H126" s="186"/>
      <c r="I126" s="186"/>
    </row>
    <row r="127" spans="2:10">
      <c r="B127" s="182"/>
      <c r="C127" s="185"/>
      <c r="D127" s="186"/>
      <c r="E127" s="223"/>
      <c r="F127" s="224"/>
      <c r="G127" s="222"/>
      <c r="H127" s="186"/>
      <c r="I127" s="186"/>
    </row>
    <row r="128" spans="2:10">
      <c r="B128" s="182"/>
      <c r="C128" s="185"/>
      <c r="D128" s="186"/>
      <c r="E128" s="223"/>
      <c r="F128" s="224"/>
      <c r="G128" s="222"/>
      <c r="H128" s="186"/>
      <c r="I128" s="186"/>
    </row>
    <row r="129" spans="2:15">
      <c r="B129" s="182"/>
      <c r="C129" s="185"/>
      <c r="D129" s="186"/>
      <c r="E129" s="223"/>
      <c r="F129" s="224"/>
      <c r="G129" s="222"/>
      <c r="H129" s="186"/>
      <c r="I129" s="186"/>
    </row>
    <row r="130" spans="2:15">
      <c r="B130" s="182"/>
      <c r="C130" s="185"/>
      <c r="D130" s="186"/>
      <c r="E130" s="223"/>
      <c r="F130" s="224"/>
      <c r="G130" s="222"/>
      <c r="H130" s="186"/>
      <c r="I130" s="186"/>
    </row>
    <row r="131" spans="2:15" ht="10.5">
      <c r="B131" s="182"/>
      <c r="C131" s="185"/>
      <c r="D131" s="186"/>
      <c r="E131" s="223"/>
      <c r="F131" s="224"/>
      <c r="G131" s="222"/>
      <c r="H131" s="186"/>
      <c r="I131" s="186"/>
      <c r="J131" s="93"/>
      <c r="K131" s="93"/>
      <c r="L131" s="93"/>
      <c r="M131" s="93"/>
      <c r="N131" s="93"/>
      <c r="O131" s="93"/>
    </row>
    <row r="132" spans="2:15" ht="10.5">
      <c r="B132" s="182"/>
      <c r="C132" s="185"/>
      <c r="D132" s="186"/>
      <c r="E132" s="223"/>
      <c r="F132" s="224"/>
      <c r="G132" s="222"/>
      <c r="H132" s="186"/>
      <c r="I132" s="186"/>
      <c r="J132" s="109"/>
      <c r="K132" s="109"/>
      <c r="L132" s="109"/>
      <c r="M132" s="109"/>
      <c r="N132" s="109"/>
      <c r="O132" s="121"/>
    </row>
    <row r="133" spans="2:15">
      <c r="B133" s="182"/>
      <c r="C133" s="185"/>
      <c r="D133" s="186"/>
      <c r="E133" s="223"/>
      <c r="F133" s="224"/>
      <c r="G133" s="222"/>
      <c r="H133" s="186"/>
      <c r="I133" s="186"/>
    </row>
    <row r="134" spans="2:15">
      <c r="B134" s="182"/>
      <c r="C134" s="185"/>
      <c r="D134" s="186"/>
      <c r="E134" s="223"/>
      <c r="F134" s="224"/>
      <c r="G134" s="222"/>
      <c r="H134" s="186"/>
      <c r="I134" s="186"/>
    </row>
    <row r="135" spans="2:15">
      <c r="B135" s="182"/>
      <c r="C135" s="185"/>
      <c r="D135" s="186"/>
      <c r="E135" s="223"/>
      <c r="F135" s="224"/>
      <c r="G135" s="222"/>
      <c r="H135" s="186"/>
      <c r="I135" s="186"/>
    </row>
    <row r="136" spans="2:15" ht="10.5" thickBot="1">
      <c r="B136" s="153"/>
      <c r="C136" s="153"/>
      <c r="D136" s="153"/>
      <c r="E136" s="153"/>
      <c r="F136" s="153"/>
      <c r="G136" s="153"/>
      <c r="H136" s="153"/>
      <c r="I136" s="153"/>
    </row>
    <row r="137" spans="2:15">
      <c r="B137" s="202"/>
      <c r="C137" s="152"/>
    </row>
    <row r="138" spans="2:15" ht="10.5">
      <c r="C138" s="154"/>
      <c r="D138" s="38"/>
      <c r="E138" s="38"/>
      <c r="F138" s="38"/>
    </row>
    <row r="139" spans="2:15" ht="10.5">
      <c r="C139" s="140"/>
      <c r="D139" s="156"/>
      <c r="E139" s="109"/>
      <c r="F139" s="189"/>
    </row>
    <row r="146" spans="2:15" ht="11.1" thickBot="1">
      <c r="B146" s="184"/>
      <c r="C146" s="184"/>
      <c r="D146" s="184"/>
      <c r="E146" s="334"/>
      <c r="F146" s="337"/>
    </row>
    <row r="147" spans="2:15" ht="10.5">
      <c r="B147" s="225"/>
      <c r="C147" s="225"/>
      <c r="D147" s="225"/>
    </row>
    <row r="148" spans="2:15">
      <c r="B148" s="194"/>
      <c r="C148" s="226"/>
      <c r="D148" s="226"/>
    </row>
    <row r="149" spans="2:15">
      <c r="B149" s="194"/>
      <c r="C149" s="226"/>
      <c r="D149" s="226"/>
    </row>
    <row r="150" spans="2:15">
      <c r="B150" s="194"/>
      <c r="C150" s="226"/>
      <c r="D150" s="226"/>
    </row>
    <row r="151" spans="2:15">
      <c r="B151" s="194"/>
      <c r="C151" s="226"/>
      <c r="D151" s="226"/>
    </row>
    <row r="152" spans="2:15">
      <c r="B152" s="194"/>
      <c r="C152" s="226"/>
      <c r="D152" s="226"/>
    </row>
    <row r="153" spans="2:15" ht="11.1" thickBot="1">
      <c r="B153" s="200"/>
      <c r="C153" s="201"/>
      <c r="D153" s="201"/>
    </row>
    <row r="154" spans="2:15" ht="10.5">
      <c r="B154" s="202"/>
      <c r="C154" s="93"/>
      <c r="D154" s="93"/>
      <c r="E154" s="93"/>
      <c r="F154" s="93"/>
      <c r="G154" s="93"/>
      <c r="H154" s="93"/>
      <c r="I154" s="93"/>
      <c r="J154" s="93"/>
      <c r="K154" s="93"/>
      <c r="L154" s="93"/>
      <c r="M154" s="93"/>
      <c r="N154" s="93"/>
      <c r="O154" s="93"/>
    </row>
    <row r="155" spans="2:15" ht="10.5">
      <c r="B155" s="160"/>
      <c r="C155" s="100"/>
      <c r="D155" s="109"/>
      <c r="E155" s="109"/>
      <c r="F155" s="109"/>
      <c r="G155" s="109"/>
      <c r="H155" s="109"/>
      <c r="I155" s="109"/>
      <c r="J155" s="109"/>
      <c r="K155" s="109"/>
      <c r="L155" s="109"/>
      <c r="M155" s="109"/>
      <c r="N155" s="109"/>
      <c r="O155" s="121"/>
    </row>
    <row r="161" spans="2:5" ht="10.5">
      <c r="B161" s="227"/>
      <c r="C161" s="227"/>
      <c r="D161" s="227"/>
      <c r="E161" s="227"/>
    </row>
    <row r="162" spans="2:5" ht="10.5">
      <c r="B162" s="228"/>
      <c r="C162" s="229"/>
      <c r="D162" s="229"/>
      <c r="E162" s="229"/>
    </row>
    <row r="163" spans="2:5">
      <c r="B163" s="231"/>
      <c r="C163" s="186"/>
      <c r="D163" s="186"/>
      <c r="E163" s="186"/>
    </row>
    <row r="164" spans="2:5">
      <c r="B164" s="231"/>
      <c r="C164" s="186"/>
      <c r="D164" s="186"/>
      <c r="E164" s="186"/>
    </row>
    <row r="165" spans="2:5">
      <c r="B165" s="232"/>
      <c r="C165" s="198"/>
      <c r="D165" s="182"/>
      <c r="E165" s="182"/>
    </row>
    <row r="166" spans="2:5">
      <c r="B166" s="232"/>
      <c r="C166" s="198"/>
      <c r="D166" s="182"/>
      <c r="E166" s="182"/>
    </row>
    <row r="167" spans="2:5" ht="10.5">
      <c r="B167" s="396"/>
      <c r="C167" s="397"/>
      <c r="D167" s="397"/>
      <c r="E167" s="397"/>
    </row>
    <row r="168" spans="2:5">
      <c r="B168" s="194"/>
      <c r="C168" s="233"/>
      <c r="D168" s="198"/>
      <c r="E168" s="182"/>
    </row>
    <row r="169" spans="2:5">
      <c r="B169" s="194"/>
      <c r="C169" s="233"/>
      <c r="D169" s="198"/>
      <c r="E169" s="182"/>
    </row>
    <row r="170" spans="2:5">
      <c r="B170" s="194"/>
      <c r="C170" s="233"/>
      <c r="D170" s="198"/>
      <c r="E170" s="182"/>
    </row>
    <row r="171" spans="2:5">
      <c r="B171" s="194"/>
      <c r="C171" s="233"/>
      <c r="D171" s="198"/>
      <c r="E171" s="182"/>
    </row>
    <row r="172" spans="2:5" ht="10.5">
      <c r="B172" s="396"/>
      <c r="C172" s="398"/>
      <c r="D172" s="398"/>
      <c r="E172" s="398"/>
    </row>
    <row r="173" spans="2:5">
      <c r="B173" s="234"/>
      <c r="C173" s="235"/>
      <c r="D173" s="182"/>
      <c r="E173" s="182"/>
    </row>
    <row r="174" spans="2:5">
      <c r="B174" s="234"/>
      <c r="C174" s="235"/>
      <c r="D174" s="182"/>
      <c r="E174" s="182"/>
    </row>
    <row r="175" spans="2:5">
      <c r="B175" s="234"/>
      <c r="C175" s="235"/>
      <c r="D175" s="182"/>
      <c r="E175" s="182"/>
    </row>
    <row r="176" spans="2:5" ht="11.1" thickBot="1">
      <c r="B176" s="200"/>
      <c r="C176" s="236"/>
      <c r="D176" s="236"/>
      <c r="E176" s="236"/>
    </row>
    <row r="177" spans="2:15" ht="10.5">
      <c r="B177" s="202"/>
      <c r="C177" s="93"/>
      <c r="D177" s="93"/>
      <c r="E177" s="93"/>
      <c r="F177" s="93"/>
      <c r="G177" s="93"/>
      <c r="H177" s="93"/>
      <c r="I177" s="93"/>
      <c r="J177" s="93"/>
      <c r="K177" s="93"/>
      <c r="L177" s="93"/>
      <c r="M177" s="93"/>
      <c r="N177" s="93"/>
      <c r="O177" s="93"/>
    </row>
    <row r="178" spans="2:15" ht="10.5">
      <c r="B178" s="160"/>
      <c r="C178" s="100"/>
      <c r="D178" s="109"/>
      <c r="E178" s="109"/>
      <c r="F178" s="109"/>
      <c r="G178" s="109"/>
      <c r="H178" s="109"/>
      <c r="I178" s="109"/>
      <c r="J178" s="109"/>
      <c r="K178" s="109"/>
      <c r="L178" s="109"/>
      <c r="M178" s="109"/>
      <c r="N178" s="109"/>
      <c r="O178" s="121"/>
    </row>
    <row r="200" spans="2:15" ht="10.5">
      <c r="B200" s="93"/>
      <c r="C200" s="93"/>
      <c r="D200" s="93"/>
      <c r="E200" s="93"/>
      <c r="F200" s="93"/>
      <c r="G200" s="93"/>
      <c r="H200" s="93"/>
      <c r="I200" s="93"/>
      <c r="J200" s="93"/>
      <c r="K200" s="93"/>
      <c r="L200" s="93"/>
      <c r="M200" s="93"/>
      <c r="N200" s="93"/>
      <c r="O200" s="93"/>
    </row>
    <row r="201" spans="2:15" ht="10.5">
      <c r="B201" s="160"/>
      <c r="C201" s="100"/>
      <c r="D201" s="109"/>
      <c r="E201" s="109"/>
      <c r="F201" s="109"/>
      <c r="G201" s="109"/>
      <c r="H201" s="109"/>
      <c r="I201" s="109"/>
      <c r="J201" s="109"/>
      <c r="K201" s="109"/>
      <c r="L201" s="109"/>
      <c r="M201" s="109"/>
      <c r="N201" s="109"/>
      <c r="O201" s="121"/>
    </row>
  </sheetData>
  <conditionalFormatting sqref="B13">
    <cfRule type="cellIs" dxfId="43" priority="82" operator="equal">
      <formula>"END"</formula>
    </cfRule>
  </conditionalFormatting>
  <conditionalFormatting sqref="B44:B45">
    <cfRule type="cellIs" dxfId="42" priority="24" operator="equal">
      <formula>"not selected"</formula>
    </cfRule>
  </conditionalFormatting>
  <conditionalFormatting sqref="B27:I27">
    <cfRule type="expression" dxfId="41" priority="22">
      <formula>MOD(ROW(),2)=0</formula>
    </cfRule>
  </conditionalFormatting>
  <conditionalFormatting sqref="B121:I135">
    <cfRule type="expression" dxfId="40" priority="3">
      <formula>MOD(ROW(),2)=0</formula>
    </cfRule>
  </conditionalFormatting>
  <conditionalFormatting sqref="B74:J77 C81:J81 B82:J88">
    <cfRule type="expression" dxfId="39" priority="21">
      <formula>MOD(ROW(),2)=0</formula>
    </cfRule>
  </conditionalFormatting>
  <conditionalFormatting sqref="B99:J113">
    <cfRule type="expression" dxfId="38" priority="6">
      <formula>MOD(ROW(),2)=0</formula>
    </cfRule>
  </conditionalFormatting>
  <conditionalFormatting sqref="B52:N52">
    <cfRule type="cellIs" dxfId="37" priority="63" operator="equal">
      <formula>0</formula>
    </cfRule>
  </conditionalFormatting>
  <conditionalFormatting sqref="B68:N68">
    <cfRule type="cellIs" dxfId="36" priority="46" operator="equal">
      <formula>"FYTEF"</formula>
    </cfRule>
  </conditionalFormatting>
  <conditionalFormatting sqref="B155:O155">
    <cfRule type="cellIs" dxfId="35" priority="32" operator="equal">
      <formula>"FYTEF"</formula>
    </cfRule>
  </conditionalFormatting>
  <conditionalFormatting sqref="B178:O178">
    <cfRule type="cellIs" dxfId="34" priority="29" operator="equal">
      <formula>"FYTEF"</formula>
    </cfRule>
  </conditionalFormatting>
  <conditionalFormatting sqref="B201:O201">
    <cfRule type="cellIs" dxfId="33" priority="26" operator="equal">
      <formula>"FYTEF"</formula>
    </cfRule>
  </conditionalFormatting>
  <conditionalFormatting sqref="B8:R8">
    <cfRule type="cellIs" dxfId="32" priority="52" operator="equal">
      <formula>"FYTEF"</formula>
    </cfRule>
  </conditionalFormatting>
  <conditionalFormatting sqref="C9:N9">
    <cfRule type="cellIs" dxfId="31" priority="94" operator="equal">
      <formula>"FYTEF"</formula>
    </cfRule>
  </conditionalFormatting>
  <conditionalFormatting sqref="C15:N15">
    <cfRule type="cellIs" dxfId="30" priority="2" operator="equal">
      <formula>"FYTE"</formula>
    </cfRule>
  </conditionalFormatting>
  <conditionalFormatting sqref="C62:O62">
    <cfRule type="cellIs" dxfId="29" priority="74" operator="equal">
      <formula>"FYTE"</formula>
    </cfRule>
  </conditionalFormatting>
  <conditionalFormatting sqref="D5:N5">
    <cfRule type="cellIs" dxfId="28" priority="86" operator="equal">
      <formula>"FYTEF"</formula>
    </cfRule>
  </conditionalFormatting>
  <conditionalFormatting sqref="D12:N12">
    <cfRule type="cellIs" dxfId="27" priority="17" operator="equal">
      <formula>"FYTEF"</formula>
    </cfRule>
    <cfRule type="cellIs" dxfId="26" priority="18" operator="equal">
      <formula>0</formula>
    </cfRule>
    <cfRule type="cellIs" dxfId="25" priority="19" operator="equal">
      <formula>"DELETE"</formula>
    </cfRule>
  </conditionalFormatting>
  <conditionalFormatting sqref="D25:N25">
    <cfRule type="cellIs" dxfId="24" priority="14" operator="equal">
      <formula>"FYTEF"</formula>
    </cfRule>
    <cfRule type="cellIs" dxfId="23" priority="15" operator="equal">
      <formula>0</formula>
    </cfRule>
    <cfRule type="cellIs" dxfId="22" priority="16" operator="equal">
      <formula>"DELETE"</formula>
    </cfRule>
  </conditionalFormatting>
  <conditionalFormatting sqref="D41:N41">
    <cfRule type="cellIs" dxfId="21" priority="11" operator="equal">
      <formula>"FYTEF"</formula>
    </cfRule>
    <cfRule type="cellIs" dxfId="20" priority="12" operator="equal">
      <formula>0</formula>
    </cfRule>
    <cfRule type="cellIs" dxfId="19" priority="13" operator="equal">
      <formula>"DELETE"</formula>
    </cfRule>
  </conditionalFormatting>
  <conditionalFormatting sqref="D52:N52">
    <cfRule type="cellIs" dxfId="18" priority="62" operator="equal">
      <formula>"FYTEF"</formula>
    </cfRule>
  </conditionalFormatting>
  <conditionalFormatting sqref="D80:N80">
    <cfRule type="cellIs" dxfId="17" priority="7" operator="lessThan">
      <formula>0</formula>
    </cfRule>
  </conditionalFormatting>
  <conditionalFormatting sqref="D18:R18">
    <cfRule type="cellIs" dxfId="16" priority="20" operator="equal">
      <formula>"FYTEF"</formula>
    </cfRule>
  </conditionalFormatting>
  <conditionalFormatting sqref="E146">
    <cfRule type="dataBar" priority="55">
      <dataBar>
        <cfvo type="min"/>
        <cfvo type="max"/>
        <color rgb="FF638EC6"/>
      </dataBar>
    </cfRule>
  </conditionalFormatting>
  <conditionalFormatting sqref="F42 K42:N42">
    <cfRule type="cellIs" dxfId="15" priority="90" operator="equal">
      <formula>"FYTEF"</formula>
    </cfRule>
  </conditionalFormatting>
  <conditionalFormatting sqref="F44 K44:N44">
    <cfRule type="cellIs" dxfId="14" priority="64" operator="equal">
      <formula>"FYTEF"</formula>
    </cfRule>
    <cfRule type="cellIs" dxfId="13" priority="65" operator="equal">
      <formula>0</formula>
    </cfRule>
  </conditionalFormatting>
  <conditionalFormatting sqref="F48 K48:N48">
    <cfRule type="cellIs" dxfId="12" priority="49" operator="equal">
      <formula>"FYTEF"</formula>
    </cfRule>
  </conditionalFormatting>
  <conditionalFormatting sqref="F146">
    <cfRule type="dataBar" priority="54">
      <dataBar>
        <cfvo type="min"/>
        <cfvo type="max"/>
        <color rgb="FF638EC6"/>
      </dataBar>
    </cfRule>
  </conditionalFormatting>
  <conditionalFormatting sqref="G44:G45 G48">
    <cfRule type="cellIs" dxfId="11" priority="23" operator="equal">
      <formula>"not selected"</formula>
    </cfRule>
  </conditionalFormatting>
  <conditionalFormatting sqref="I121:I135">
    <cfRule type="cellIs" dxfId="10" priority="4" operator="equal">
      <formula>"N"</formula>
    </cfRule>
    <cfRule type="cellIs" dxfId="9" priority="5" operator="equal">
      <formula>"Y"</formula>
    </cfRule>
  </conditionalFormatting>
  <conditionalFormatting sqref="J132:O132">
    <cfRule type="cellIs" dxfId="8" priority="36" operator="equal">
      <formula>"FYTEF"</formula>
    </cfRule>
  </conditionalFormatting>
  <conditionalFormatting sqref="K16:N16">
    <cfRule type="cellIs" dxfId="7" priority="76" operator="equal">
      <formula>0</formula>
    </cfRule>
    <cfRule type="cellIs" dxfId="6" priority="77" operator="equal">
      <formula>"FYTEF"</formula>
    </cfRule>
  </conditionalFormatting>
  <conditionalFormatting sqref="K88:O88">
    <cfRule type="cellIs" dxfId="5" priority="43" operator="equal">
      <formula>"FYTEF"</formula>
    </cfRule>
  </conditionalFormatting>
  <conditionalFormatting sqref="K109:O109">
    <cfRule type="cellIs" dxfId="4" priority="40" operator="equal">
      <formula>"FYTEF"</formula>
    </cfRule>
  </conditionalFormatting>
  <conditionalFormatting sqref="O16">
    <cfRule type="iconSet" priority="78">
      <iconSet>
        <cfvo type="percent" val="0"/>
        <cfvo type="num" val="$O$11"/>
        <cfvo type="num" val="$O$11*1.1"/>
      </iconSet>
    </cfRule>
  </conditionalFormatting>
  <conditionalFormatting sqref="T18">
    <cfRule type="cellIs" dxfId="3" priority="58" operator="equal">
      <formula>"Pass"</formula>
    </cfRule>
    <cfRule type="cellIs" dxfId="2" priority="59" operator="equal">
      <formula>"Fail"</formula>
    </cfRule>
  </conditionalFormatting>
  <conditionalFormatting sqref="T20:T34">
    <cfRule type="cellIs" dxfId="1" priority="60" operator="equal">
      <formula>"Pass"</formula>
    </cfRule>
    <cfRule type="cellIs" dxfId="0" priority="61" operator="equal">
      <formula>"Fail"</formula>
    </cfRule>
  </conditionalFormatting>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8DF7E553BFB84093FF865736AEFC66" ma:contentTypeVersion="13" ma:contentTypeDescription="Create a new document." ma:contentTypeScope="" ma:versionID="4386d3960cf3d567c17107f5c6da0351">
  <xsd:schema xmlns:xsd="http://www.w3.org/2001/XMLSchema" xmlns:xs="http://www.w3.org/2001/XMLSchema" xmlns:p="http://schemas.microsoft.com/office/2006/metadata/properties" xmlns:ns2="38e78b56-7bea-4154-860d-7dcd2ffab1ba" xmlns:ns3="5ace1a05-ae52-4048-85a1-b0eac4a590d4" targetNamespace="http://schemas.microsoft.com/office/2006/metadata/properties" ma:root="true" ma:fieldsID="7ea765a072bb90ef1851e038b1f92b7c" ns2:_="" ns3:_="">
    <xsd:import namespace="38e78b56-7bea-4154-860d-7dcd2ffab1ba"/>
    <xsd:import namespace="5ace1a05-ae52-4048-85a1-b0eac4a590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78b56-7bea-4154-860d-7dcd2ffab1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ce1a05-ae52-4048-85a1-b0eac4a590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A4B924-55EF-4C96-81A3-CB5497E238CD}"/>
</file>

<file path=customXml/itemProps2.xml><?xml version="1.0" encoding="utf-8"?>
<ds:datastoreItem xmlns:ds="http://schemas.openxmlformats.org/officeDocument/2006/customXml" ds:itemID="{9DC19E16-6423-4435-A771-F05B9ECBE3FA}"/>
</file>

<file path=customXml/itemProps3.xml><?xml version="1.0" encoding="utf-8"?>
<ds:datastoreItem xmlns:ds="http://schemas.openxmlformats.org/officeDocument/2006/customXml" ds:itemID="{5CDF543E-FCA9-4D94-B313-862ECF6167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Huy Nguyen</dc:creator>
  <cp:keywords/>
  <dc:description/>
  <cp:lastModifiedBy/>
  <cp:revision/>
  <dcterms:created xsi:type="dcterms:W3CDTF">2019-07-11T09:08:43Z</dcterms:created>
  <dcterms:modified xsi:type="dcterms:W3CDTF">2026-05-28T09:08:21Z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0x010100B78DF7E553BFB84093FF865736AEFC66</vt:lpwstr>
  </property>
  <property fmtid="{D5CDD505-2E9C-101B-9397-08002B2CF9AE}" pid="3" name="Order">
    <vt:r8>1500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A44787D4-0540-4523-9961-78E4036D8C6D}">
    <vt:lpwstr>{D6E15C97-6978-44B3-9AE1-1211B9901263}</vt:lpwstr>
  </property>
</Properties>
</file>